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omments8.xml" ContentType="application/vnd.openxmlformats-officedocument.spreadsheetml.comments+xml"/>
  <Override PartName="/xl/drawings/drawing4.xml" ContentType="application/vnd.openxmlformats-officedocument.drawing+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5.xml" ContentType="application/vnd.openxmlformats-officedocument.drawing+xml"/>
  <Override PartName="/xl/comments1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5.xml" ContentType="application/vnd.openxmlformats-officedocument.spreadsheetml.comments+xml"/>
  <Override PartName="/xl/drawings/drawing9.xml" ContentType="application/vnd.openxmlformats-officedocument.drawing+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drawings/drawing10.xml" ContentType="application/vnd.openxmlformats-officedocument.drawing+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drawings/drawing11.xml" ContentType="application/vnd.openxmlformats-officedocument.drawing+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9001" codeName="{320AAD7A-AEEB-3B57-35EE-6C7AAB037B02}"/>
  <workbookPr codeName="ThisWorkbook" defaultThemeVersion="124226"/>
  <mc:AlternateContent xmlns:mc="http://schemas.openxmlformats.org/markup-compatibility/2006">
    <mc:Choice Requires="x15">
      <x15ac:absPath xmlns:x15ac="http://schemas.microsoft.com/office/spreadsheetml/2010/11/ac" url="O:\Valuation\RNA Advisors\Templates\Model\"/>
    </mc:Choice>
  </mc:AlternateContent>
  <bookViews>
    <workbookView xWindow="360" yWindow="1035" windowWidth="15600" windowHeight="10800" tabRatio="890" firstSheet="1" activeTab="9" xr2:uid="{00000000-000D-0000-FFFF-FFFF00000000}"/>
  </bookViews>
  <sheets>
    <sheet name="Model Guidelines" sheetId="123" r:id="rId1"/>
    <sheet name="MASTER PubCo Inputs" sheetId="79" r:id="rId2"/>
    <sheet name="Change Log" sheetId="228" r:id="rId3"/>
    <sheet name="Notes &amp; Assumptions" sheetId="142" r:id="rId4"/>
    <sheet name="Checklist" sheetId="248" r:id="rId5"/>
    <sheet name="Exhibits--&gt;&gt;" sheetId="86" r:id="rId6"/>
    <sheet name="Title" sheetId="1" r:id="rId7"/>
    <sheet name="Outline" sheetId="133" r:id="rId8"/>
    <sheet name="Val Summ" sheetId="4" r:id="rId9"/>
    <sheet name="Allocation Method &gt;&gt;" sheetId="90" r:id="rId10"/>
    <sheet name="PWERM" sheetId="73" r:id="rId11"/>
    <sheet name="Exit Probability" sheetId="126" r:id="rId12"/>
    <sheet name="PoTS" sheetId="132" r:id="rId13"/>
    <sheet name="OPM 1" sheetId="52" r:id="rId14"/>
    <sheet name="OPM 2" sheetId="66" r:id="rId15"/>
    <sheet name="DCF &gt;&gt;" sheetId="94" r:id="rId16"/>
    <sheet name="DCF" sheetId="6" r:id="rId17"/>
    <sheet name="Depreciation - MACRS" sheetId="229" r:id="rId18"/>
    <sheet name="Hist IS" sheetId="10" r:id="rId19"/>
    <sheet name="Hist BS" sheetId="8" r:id="rId20"/>
    <sheet name="Discount Rate FP &gt;&gt;" sheetId="27" r:id="rId21"/>
    <sheet name="WACC CAPM" sheetId="39" r:id="rId22"/>
    <sheet name="Beta Calc" sheetId="41" r:id="rId23"/>
    <sheet name="WACC PWERM" sheetId="40" r:id="rId24"/>
    <sheet name="RoR Stage of Dev" sheetId="38" r:id="rId25"/>
    <sheet name="GCM FP &gt;&gt;" sheetId="21" r:id="rId26"/>
    <sheet name="GCM SUMM" sheetId="48" r:id="rId27"/>
    <sheet name="Comp.1" sheetId="47" r:id="rId28"/>
    <sheet name="Comp.2" sheetId="172" r:id="rId29"/>
    <sheet name="Comp.5" sheetId="53" r:id="rId30"/>
    <sheet name="Comp.6" sheetId="15" r:id="rId31"/>
    <sheet name="GTM FP &gt;&gt;" sheetId="22" r:id="rId32"/>
    <sheet name="GTM SUMM" sheetId="62" r:id="rId33"/>
    <sheet name="Trans.1" sheetId="57" r:id="rId34"/>
    <sheet name="Trans.2" sheetId="59" r:id="rId35"/>
    <sheet name="Cap Structure FP &gt;&gt;" sheetId="24" r:id="rId36"/>
    <sheet name="Cap Table" sheetId="63" r:id="rId37"/>
    <sheet name="Econ Rights" sheetId="64" r:id="rId38"/>
    <sheet name="Support FP &gt;&gt;" sheetId="25" r:id="rId39"/>
    <sheet name="DLOM" sheetId="11" r:id="rId40"/>
    <sheet name="Asset Vol_OPM" sheetId="12" r:id="rId41"/>
    <sheet name="Asset Vol_DLOM" sheetId="257" r:id="rId42"/>
    <sheet name="Asset Vol_IPO Early" sheetId="256" r:id="rId43"/>
    <sheet name="Asset Vol_IPO Late" sheetId="249" r:id="rId44"/>
    <sheet name="Asset Vol_M&amp;A Early" sheetId="250" r:id="rId45"/>
    <sheet name="Asset Vol_M&amp;A Late" sheetId="251" r:id="rId46"/>
    <sheet name="Equity Vol" sheetId="13" r:id="rId47"/>
    <sheet name="Risk-Free Rates" sheetId="14" r:id="rId48"/>
    <sheet name="Licensing Deals" sheetId="217" r:id="rId49"/>
    <sheet name="_CIQHiddenCacheSheet" sheetId="263" state="veryHidden" r:id="rId50"/>
    <sheet name="IPO Data_BioPharma" sheetId="233" r:id="rId51"/>
    <sheet name="IPO Data_Med Device" sheetId="234" r:id="rId52"/>
    <sheet name="IPO Data_Diagnostic" sheetId="235" r:id="rId53"/>
    <sheet name="Control Premium Summary" sheetId="189" r:id="rId54"/>
    <sheet name="Title_Workpapers &gt; &gt;" sheetId="152" r:id="rId55"/>
    <sheet name="Outline_Workpapers" sheetId="232" r:id="rId56"/>
    <sheet name="Hybrid OPM" sheetId="236" r:id="rId57"/>
    <sheet name="OPM 1 Hybrid" sheetId="241" r:id="rId58"/>
    <sheet name="OPM 2 Hybrid" sheetId="242" r:id="rId59"/>
    <sheet name="DLOM Hybrid" sheetId="243" r:id="rId60"/>
    <sheet name="Asset Vol Hybrid" sheetId="244" r:id="rId61"/>
    <sheet name="Class Vol" sheetId="245" r:id="rId62"/>
    <sheet name="Market Trends since Prior Val" sheetId="185" r:id="rId63"/>
    <sheet name="Comparative Sheet" sheetId="156" r:id="rId64"/>
    <sheet name="Comp.4" sheetId="173" r:id="rId65"/>
    <sheet name="DLOM Rest Stock" sheetId="5" r:id="rId66"/>
    <sheet name="Lack Voting" sheetId="2" r:id="rId67"/>
    <sheet name="PBC -&gt;&gt;&gt;" sheetId="231" r:id="rId68"/>
    <sheet name="CAPIQ -&gt;&gt;&gt;" sheetId="230" r:id="rId69"/>
    <sheet name="Capital IQ Sheet-GPC" sheetId="200" r:id="rId70"/>
    <sheet name="Capital IQ Sheet-STM" sheetId="204" r:id="rId71"/>
    <sheet name="GPC Linked" sheetId="213" r:id="rId72"/>
    <sheet name="STM Linked" sheetId="214" r:id="rId73"/>
    <sheet name="&lt;DO NOT INCLUDE&gt;" sheetId="26" r:id="rId74"/>
    <sheet name="List Data" sheetId="106" r:id="rId75"/>
    <sheet name="Template Details" sheetId="88" r:id="rId76"/>
  </sheets>
  <externalReferences>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s>
  <definedNames>
    <definedName name="_" localSheetId="41" hidden="1">#REF!</definedName>
    <definedName name="_" localSheetId="42" hidden="1">#REF!</definedName>
    <definedName name="_" localSheetId="43" hidden="1">#REF!</definedName>
    <definedName name="_" localSheetId="45" hidden="1">#REF!</definedName>
    <definedName name="_" localSheetId="4" hidden="1">#REF!</definedName>
    <definedName name="_" localSheetId="50" hidden="1">#REF!</definedName>
    <definedName name="_" localSheetId="52" hidden="1">#REF!</definedName>
    <definedName name="_" localSheetId="51" hidden="1">#REF!</definedName>
    <definedName name="_" localSheetId="55" hidden="1">#REF!</definedName>
    <definedName name="_" hidden="1">#REF!</definedName>
    <definedName name="__123Graph_A" hidden="1">'[1]Sheet1 (2)'!$H$20:$O$20</definedName>
    <definedName name="__123Graph_B" hidden="1">'[1]Sheet1 (2)'!$H$15:$O$15</definedName>
    <definedName name="__123Graph_X" hidden="1">'[1]Sheet1 (2)'!$H$3:$P$3</definedName>
    <definedName name="__FDS_HYPERLINK_TOGGLE_STATE__" hidden="1">"ON"</definedName>
    <definedName name="__IntlFixup" hidden="1">TRUE</definedName>
    <definedName name="__IntlFixupTable" localSheetId="41" hidden="1">#REF!</definedName>
    <definedName name="__IntlFixupTable" localSheetId="42" hidden="1">#REF!</definedName>
    <definedName name="__IntlFixupTable" localSheetId="43" hidden="1">#REF!</definedName>
    <definedName name="__IntlFixupTable" localSheetId="45" hidden="1">#REF!</definedName>
    <definedName name="__IntlFixupTable" localSheetId="4" hidden="1">#REF!</definedName>
    <definedName name="__IntlFixupTable" localSheetId="50" hidden="1">#REF!</definedName>
    <definedName name="__IntlFixupTable" localSheetId="52" hidden="1">#REF!</definedName>
    <definedName name="__IntlFixupTable" localSheetId="51" hidden="1">#REF!</definedName>
    <definedName name="__IntlFixupTable" localSheetId="55" hidden="1">#REF!</definedName>
    <definedName name="__IntlFixupTable" hidden="1">#REF!</definedName>
    <definedName name="_1__123Graph_ACHART_1" hidden="1">[2]Africa!$B$19:$V$19</definedName>
    <definedName name="_10__123Graph_ACHART_18" hidden="1">[2]Ocean!$B$28:$V$28</definedName>
    <definedName name="_11__123Graph_ACHART_19" hidden="1">'[2]S Amer'!$B$19:$V$19</definedName>
    <definedName name="_12__123Graph_ACHART_2" hidden="1">[2]Africa!$B$14:$V$14</definedName>
    <definedName name="_13__123Graph_ACHART_20" hidden="1">'[2]S Amer'!$B$14:$V$14</definedName>
    <definedName name="_14__123Graph_ACHART_21" hidden="1">'[2]S Amer'!$B$28:$V$28</definedName>
    <definedName name="_15__123Graph_ACHART_22" hidden="1">'[2]W Eur'!$B$19:$V$19</definedName>
    <definedName name="_16__123Graph_ACHART_23" hidden="1">'[2]W Eur'!$B$14:$V$14</definedName>
    <definedName name="_17__123Graph_ACHART_24" hidden="1">'[2]W Eur'!$B$28:$V$28</definedName>
    <definedName name="_18__123Graph_ACHART_3" hidden="1">[2]Africa!$B$28:$V$28</definedName>
    <definedName name="_19__123Graph_ACHART_4" hidden="1">'[2]C Amer'!$B$19:$V$19</definedName>
    <definedName name="_2__123Graph_ACHART_10" hidden="1">'[2]E Eur'!$B$14:$V$14</definedName>
    <definedName name="_20__123Graph_ACHART_5" hidden="1">'[2]C Amer'!$B$14:$V$14</definedName>
    <definedName name="_21__123Graph_ACHART_6" hidden="1">'[2]C Amer'!$B$28:$V$28</definedName>
    <definedName name="_22__123Graph_A_Chart_1A" hidden="1">'[3]Stock Price'!$B$4:$B$265</definedName>
    <definedName name="_22__123Graph_ACHART_7" hidden="1">'[2]E Asia'!$B$19:$V$19</definedName>
    <definedName name="_23__123Graph_AChart_1" hidden="1">[4]Total!$D$322:$D$325</definedName>
    <definedName name="_23__123Graph_ACHART_8" hidden="1">'[2]E Asia'!$B$14:$V$14</definedName>
    <definedName name="_24__123Graph_AChart_2" hidden="1">'[5]sales vol.'!$K$398:$K$401</definedName>
    <definedName name="_24__123Graph_ACHART_9" hidden="1">'[2]E Eur'!$B$19:$V$19</definedName>
    <definedName name="_25__123Graph_AChart_3" hidden="1">'[5]sales vol.'!$K$211:$K$214</definedName>
    <definedName name="_25__123Graph_BCHART_1" hidden="1">[2]Africa!$B$21:$V$21</definedName>
    <definedName name="_26__123Graph_AChart_4" hidden="1">'[5]sales vol.'!$J$1121:$J$1122</definedName>
    <definedName name="_26__123Graph_BCHART_10" hidden="1">'[2]E Eur'!$B$51:$V$51</definedName>
    <definedName name="_27__123Graph_AChart_5" hidden="1">'[5]sales vol.'!$J$1632:$J$1635</definedName>
    <definedName name="_27__123Graph_BCHART_13" hidden="1">[2]Mideast!$B$21:$V$21</definedName>
    <definedName name="_28__123Graph_AChart_6" hidden="1">'[5]sales vol.'!$J$2248:$J$2251</definedName>
    <definedName name="_28__123Graph_BCHART_14" hidden="1">[2]Mideast!$B$51:$V$51</definedName>
    <definedName name="_29__123Graph_B_Chart_1A" hidden="1">'[3]Stock Price'!$C$4:$C$265</definedName>
    <definedName name="_29__123Graph_BCHART_16" hidden="1">[2]Ocean!$B$21:$V$21</definedName>
    <definedName name="_3__123Graph_ACHART_11" hidden="1">'[2]E Eur'!$B$28:$V$28</definedName>
    <definedName name="_30__123Graph_BCHART_17" hidden="1">[2]Ocean!$B$51:$V$51</definedName>
    <definedName name="_30__123Graph_C_Chart_1A" hidden="1">'[3]Stock Price'!$D$4:$D$265</definedName>
    <definedName name="_31__123Graph_BCHART_19" hidden="1">'[2]S Amer'!$B$21:$V$21</definedName>
    <definedName name="_31__123Graph_D_Chart_1A" hidden="1">'[3]Stock Price'!$E$4:$E$265</definedName>
    <definedName name="_32__123Graph_BCHART_2" hidden="1">[2]Africa!$B$51:$V$51</definedName>
    <definedName name="_32__123Graph_E_Chart_1A" hidden="1">'[3]Stock Price'!$F$4:$F$265</definedName>
    <definedName name="_33__123Graph_BCHART_20" hidden="1">'[2]S Amer'!$B$51:$V$51</definedName>
    <definedName name="_33__123Graph_F_Chart_1A" hidden="1">'[3]Stock Price'!$G$4:$G$265</definedName>
    <definedName name="_34__123Graph_BCHART_22" hidden="1">'[2]W Eur'!$B$21:$V$21</definedName>
    <definedName name="_34__123Graph_X_Chart_1A" hidden="1">'[3]Stock Price'!$A$4:$A$265</definedName>
    <definedName name="_35__123Graph_BCHART_23" hidden="1">'[2]W Eur'!$B$51:$V$51</definedName>
    <definedName name="_35__123Graph_XChart_1" hidden="1">[4]Total!$C$322:$C$325</definedName>
    <definedName name="_36__123Graph_BCHART_4" hidden="1">'[2]C Amer'!$B$21:$V$21</definedName>
    <definedName name="_36__123Graph_XChart_2" hidden="1">'[5]sales vol.'!$J$398:$J$401</definedName>
    <definedName name="_37__123Graph_BCHART_5" hidden="1">'[2]C Amer'!$B$51:$V$51</definedName>
    <definedName name="_37__123Graph_XChart_3" hidden="1">'[5]sales vol.'!$J$211:$J$214</definedName>
    <definedName name="_38__123Graph_BCHART_7" hidden="1">'[2]E Asia'!$B$21:$V$21</definedName>
    <definedName name="_38__123Graph_XChart_4" hidden="1">'[5]sales vol.'!$I$1121:$I$1122</definedName>
    <definedName name="_39__123Graph_BCHART_8" hidden="1">'[2]E Asia'!$B$51:$V$51</definedName>
    <definedName name="_39__123Graph_XChart_5" hidden="1">'[5]sales vol.'!$I$1632:$I$1635</definedName>
    <definedName name="_4__123Graph_ACHART_12" hidden="1">'[2]E Asia'!$B$28:$V$28</definedName>
    <definedName name="_40__123Graph_BCHART_9" hidden="1">'[2]E Eur'!$B$21:$V$21</definedName>
    <definedName name="_40__123Graph_XChart_6" hidden="1">'[5]sales vol.'!$I$2248:$I$2251</definedName>
    <definedName name="_41__123Graph_CCHART_10" hidden="1">'[2]E Eur'!$B$13:$V$13</definedName>
    <definedName name="_42__123Graph_CCHART_14" hidden="1">[2]Mideast!$B$13:$V$13</definedName>
    <definedName name="_43__123Graph_CCHART_17" hidden="1">[2]Ocean!$B$13:$V$13</definedName>
    <definedName name="_44__123Graph_CCHART_2" hidden="1">[2]Africa!$B$13:$V$13</definedName>
    <definedName name="_45__123Graph_CCHART_20" hidden="1">'[2]S Amer'!$B$13:$V$13</definedName>
    <definedName name="_46__123Graph_CCHART_23" hidden="1">'[2]W Eur'!$B$13:$V$13</definedName>
    <definedName name="_47__123Graph_CCHART_5" hidden="1">'[2]C Amer'!$B$13:$V$13</definedName>
    <definedName name="_48__123Graph_CCHART_8" hidden="1">'[2]E Asia'!$B$13:$V$13</definedName>
    <definedName name="_49__123Graph_XCHART_10" hidden="1">'[2]E Eur'!$B$8:$V$8</definedName>
    <definedName name="_5__123Graph_ACHART_13" hidden="1">[2]Mideast!$B$19:$V$19</definedName>
    <definedName name="_50__123Graph_XCHART_11" hidden="1">'[2]E Eur'!$B$8:$V$8</definedName>
    <definedName name="_51__123Graph_XCHART_14" hidden="1">[2]Mideast!$B$8:$V$8</definedName>
    <definedName name="_52__123Graph_XCHART_15" hidden="1">[2]Mideast!$B$8:$V$8</definedName>
    <definedName name="_53__123Graph_XCHART_17" hidden="1">[2]Ocean!$B$8:$V$8</definedName>
    <definedName name="_54__123Graph_XCHART_18" hidden="1">[2]Ocean!$B$8:$V$8</definedName>
    <definedName name="_55__123Graph_XCHART_2" hidden="1">[2]Africa!$B$8:$V$8</definedName>
    <definedName name="_56__123Graph_XCHART_20" hidden="1">'[2]S Amer'!$B$8:$V$8</definedName>
    <definedName name="_57__123Graph_XCHART_21" hidden="1">'[2]S Amer'!$B$8:$V$8</definedName>
    <definedName name="_58__123Graph_XCHART_23" hidden="1">'[2]W Eur'!$B$8:$V$8</definedName>
    <definedName name="_59__123Graph_XCHART_24" hidden="1">'[2]W Eur'!$B$8:$V$8</definedName>
    <definedName name="_6__123Graph_ACHART_14" hidden="1">[2]Mideast!$B$14:$V$14</definedName>
    <definedName name="_60__123Graph_XCHART_3" hidden="1">[2]Africa!$B$8:$V$8</definedName>
    <definedName name="_61__123Graph_XCHART_5" hidden="1">'[2]C Amer'!$B$8:$V$8</definedName>
    <definedName name="_62__123Graph_XCHART_6" hidden="1">'[2]C Amer'!$B$8:$V$8</definedName>
    <definedName name="_63__123Graph_XCHART_8" hidden="1">'[2]E Asia'!$B$8:$V$8</definedName>
    <definedName name="_64_0_0Cwvu.GREY_A" localSheetId="41" hidden="1">[6]TargIS!#REF!</definedName>
    <definedName name="_64_0_0Cwvu.GREY_A" localSheetId="42" hidden="1">[6]TargIS!#REF!</definedName>
    <definedName name="_64_0_0Cwvu.GREY_A" localSheetId="43" hidden="1">[6]TargIS!#REF!</definedName>
    <definedName name="_64_0_0Cwvu.GREY_A" localSheetId="45" hidden="1">[6]TargIS!#REF!</definedName>
    <definedName name="_64_0_0Cwvu.GREY_A" localSheetId="4" hidden="1">[6]TargIS!#REF!</definedName>
    <definedName name="_64_0_0Cwvu.GREY_A" localSheetId="50" hidden="1">[6]TargIS!#REF!</definedName>
    <definedName name="_64_0_0Cwvu.GREY_A" localSheetId="52" hidden="1">[6]TargIS!#REF!</definedName>
    <definedName name="_64_0_0Cwvu.GREY_A" localSheetId="51" hidden="1">[6]TargIS!#REF!</definedName>
    <definedName name="_64_0_0Cwvu.GREY_A" localSheetId="55" hidden="1">[6]TargIS!#REF!</definedName>
    <definedName name="_64_0_0Cwvu.GREY_A" hidden="1">[6]TargIS!#REF!</definedName>
    <definedName name="_7__123Graph_ACHART_15" hidden="1">[2]Mideast!$B$28:$V$28</definedName>
    <definedName name="_8__123Graph_ACHART_16" hidden="1">[2]Ocean!$B$19:$V$19</definedName>
    <definedName name="_9__123Graph_ACHART_17" hidden="1">[2]Ocean!$B$14:$V$14</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46a18ed9dffd4cd6880b56437874ece9.edm" localSheetId="41" hidden="1">#REF!</definedName>
    <definedName name="_bdm.46a18ed9dffd4cd6880b56437874ece9.edm" localSheetId="42" hidden="1">#REF!</definedName>
    <definedName name="_bdm.46a18ed9dffd4cd6880b56437874ece9.edm" localSheetId="43" hidden="1">#REF!</definedName>
    <definedName name="_bdm.46a18ed9dffd4cd6880b56437874ece9.edm" localSheetId="45" hidden="1">#REF!</definedName>
    <definedName name="_bdm.46a18ed9dffd4cd6880b56437874ece9.edm" localSheetId="4" hidden="1">#REF!</definedName>
    <definedName name="_bdm.46a18ed9dffd4cd6880b56437874ece9.edm" localSheetId="61" hidden="1">#REF!</definedName>
    <definedName name="_bdm.46a18ed9dffd4cd6880b56437874ece9.edm" hidden="1">#REF!</definedName>
    <definedName name="_bdm.d437fcb6dd254b7a8c2aff490de850e3.edm" localSheetId="41" hidden="1">#REF!</definedName>
    <definedName name="_bdm.d437fcb6dd254b7a8c2aff490de850e3.edm" localSheetId="42" hidden="1">#REF!</definedName>
    <definedName name="_bdm.d437fcb6dd254b7a8c2aff490de850e3.edm" localSheetId="43" hidden="1">#REF!</definedName>
    <definedName name="_bdm.d437fcb6dd254b7a8c2aff490de850e3.edm" localSheetId="45" hidden="1">#REF!</definedName>
    <definedName name="_bdm.d437fcb6dd254b7a8c2aff490de850e3.edm" localSheetId="4" hidden="1">#REF!</definedName>
    <definedName name="_bdm.d437fcb6dd254b7a8c2aff490de850e3.edm" localSheetId="61" hidden="1">#REF!</definedName>
    <definedName name="_bdm.d437fcb6dd254b7a8c2aff490de850e3.edm" hidden="1">#REF!</definedName>
    <definedName name="_bdm.d97762a431bc47a188ab7c2f84c57d3e.edm" localSheetId="41" hidden="1">#REF!</definedName>
    <definedName name="_bdm.d97762a431bc47a188ab7c2f84c57d3e.edm" localSheetId="42" hidden="1">#REF!</definedName>
    <definedName name="_bdm.d97762a431bc47a188ab7c2f84c57d3e.edm" localSheetId="43" hidden="1">#REF!</definedName>
    <definedName name="_bdm.d97762a431bc47a188ab7c2f84c57d3e.edm" localSheetId="45" hidden="1">#REF!</definedName>
    <definedName name="_bdm.d97762a431bc47a188ab7c2f84c57d3e.edm" localSheetId="4" hidden="1">#REF!</definedName>
    <definedName name="_bdm.d97762a431bc47a188ab7c2f84c57d3e.edm" localSheetId="50" hidden="1">#REF!</definedName>
    <definedName name="_bdm.d97762a431bc47a188ab7c2f84c57d3e.edm" localSheetId="52" hidden="1">#REF!</definedName>
    <definedName name="_bdm.d97762a431bc47a188ab7c2f84c57d3e.edm" localSheetId="51" hidden="1">#REF!</definedName>
    <definedName name="_bdm.d97762a431bc47a188ab7c2f84c57d3e.edm" localSheetId="55" hidden="1">#REF!</definedName>
    <definedName name="_bdm.d97762a431bc47a188ab7c2f84c57d3e.edm" hidden="1">#REF!</definedName>
    <definedName name="_bdm.D97763A431BC47A188AB7C2F84C57D3E.edm" localSheetId="41" hidden="1">#REF!</definedName>
    <definedName name="_bdm.D97763A431BC47A188AB7C2F84C57D3E.edm" localSheetId="42" hidden="1">#REF!</definedName>
    <definedName name="_bdm.D97763A431BC47A188AB7C2F84C57D3E.edm" localSheetId="43" hidden="1">#REF!</definedName>
    <definedName name="_bdm.D97763A431BC47A188AB7C2F84C57D3E.edm" localSheetId="45" hidden="1">#REF!</definedName>
    <definedName name="_bdm.D97763A431BC47A188AB7C2F84C57D3E.edm" localSheetId="4" hidden="1">#REF!</definedName>
    <definedName name="_bdm.D97763A431BC47A188AB7C2F84C57D3E.edm" localSheetId="50" hidden="1">#REF!</definedName>
    <definedName name="_bdm.D97763A431BC47A188AB7C2F84C57D3E.edm" localSheetId="52" hidden="1">#REF!</definedName>
    <definedName name="_bdm.D97763A431BC47A188AB7C2F84C57D3E.edm" localSheetId="51" hidden="1">#REF!</definedName>
    <definedName name="_bdm.D97763A431BC47A188AB7C2F84C57D3E.edm" localSheetId="55" hidden="1">#REF!</definedName>
    <definedName name="_bdm.D97763A431BC47A188AB7C2F84C57D3E.edm" hidden="1">#REF!</definedName>
    <definedName name="_bdm.FBC8F4734CD44B95848F689416B40C4F.edm" localSheetId="41" hidden="1">#REF!</definedName>
    <definedName name="_bdm.FBC8F4734CD44B95848F689416B40C4F.edm" localSheetId="42" hidden="1">#REF!</definedName>
    <definedName name="_bdm.FBC8F4734CD44B95848F689416B40C4F.edm" localSheetId="43" hidden="1">#REF!</definedName>
    <definedName name="_bdm.FBC8F4734CD44B95848F689416B40C4F.edm" localSheetId="45" hidden="1">#REF!</definedName>
    <definedName name="_bdm.FBC8F4734CD44B95848F689416B40C4F.edm" localSheetId="4" hidden="1">#REF!</definedName>
    <definedName name="_bdm.FBC8F4734CD44B95848F689416B40C4F.edm" localSheetId="61" hidden="1">#REF!</definedName>
    <definedName name="_bdm.FBC8F4734CD44B95848F689416B40C4F.edm" localSheetId="17" hidden="1">#REF!</definedName>
    <definedName name="_bdm.FBC8F4734CD44B95848F689416B40C4F.edm" localSheetId="50" hidden="1">#REF!</definedName>
    <definedName name="_bdm.FBC8F4734CD44B95848F689416B40C4F.edm" localSheetId="52" hidden="1">#REF!</definedName>
    <definedName name="_bdm.FBC8F4734CD44B95848F689416B40C4F.edm" localSheetId="51" hidden="1">#REF!</definedName>
    <definedName name="_bdm.FBC8F4734CD44B95848F689416B40C4F.edm" localSheetId="55" hidden="1">#REF!</definedName>
    <definedName name="_bdm.FBC8F4734CD44B95848F689416B40C4F.edm" localSheetId="72" hidden="1">#REF!</definedName>
    <definedName name="_bdm.FBC8F4734CD44B95848F689416B40C4F.edm" hidden="1">#REF!</definedName>
    <definedName name="_Dist_Values" localSheetId="41" hidden="1">#REF!</definedName>
    <definedName name="_Dist_Values" localSheetId="42" hidden="1">#REF!</definedName>
    <definedName name="_Dist_Values" localSheetId="43" hidden="1">#REF!</definedName>
    <definedName name="_Dist_Values" localSheetId="45" hidden="1">#REF!</definedName>
    <definedName name="_Dist_Values" localSheetId="4" hidden="1">#REF!</definedName>
    <definedName name="_Dist_Values" localSheetId="61" hidden="1">#REF!</definedName>
    <definedName name="_Dist_Values" localSheetId="17" hidden="1">#REF!</definedName>
    <definedName name="_Dist_Values" localSheetId="50" hidden="1">#REF!</definedName>
    <definedName name="_Dist_Values" localSheetId="52" hidden="1">#REF!</definedName>
    <definedName name="_Dist_Values" localSheetId="51" hidden="1">#REF!</definedName>
    <definedName name="_Dist_Values" localSheetId="55" hidden="1">#REF!</definedName>
    <definedName name="_Dist_Values" localSheetId="72" hidden="1">#REF!</definedName>
    <definedName name="_Dist_Values" hidden="1">#REF!</definedName>
    <definedName name="_Fill" localSheetId="41" hidden="1">#REF!</definedName>
    <definedName name="_Fill" localSheetId="42" hidden="1">#REF!</definedName>
    <definedName name="_Fill" localSheetId="43" hidden="1">#REF!</definedName>
    <definedName name="_Fill" localSheetId="45" hidden="1">#REF!</definedName>
    <definedName name="_Fill" localSheetId="4" hidden="1">#REF!</definedName>
    <definedName name="_Fill" localSheetId="61" hidden="1">#REF!</definedName>
    <definedName name="_Fill" localSheetId="17" hidden="1">#REF!</definedName>
    <definedName name="_Fill" localSheetId="50" hidden="1">#REF!</definedName>
    <definedName name="_Fill" localSheetId="52" hidden="1">#REF!</definedName>
    <definedName name="_Fill" localSheetId="51" hidden="1">#REF!</definedName>
    <definedName name="_Fill" localSheetId="55" hidden="1">#REF!</definedName>
    <definedName name="_Fill" localSheetId="72" hidden="1">#REF!</definedName>
    <definedName name="_Fill" hidden="1">#REF!</definedName>
    <definedName name="_xlnm._FilterDatabase" localSheetId="50" hidden="1">'IPO Data_BioPharma'!$B$10:$AI$128</definedName>
    <definedName name="_xlnm._FilterDatabase" localSheetId="52" hidden="1">'IPO Data_Diagnostic'!$B$10:$AB$135</definedName>
    <definedName name="_xlnm._FilterDatabase" localSheetId="51" hidden="1">'IPO Data_Med Device'!#REF!</definedName>
    <definedName name="_xlnm._FilterDatabase" localSheetId="48" hidden="1">'Licensing Deals'!$B$6:$M$137</definedName>
    <definedName name="_I2" localSheetId="61" hidden="1">{"PVGraph2",#N/A,FALSE,"PV Data"}</definedName>
    <definedName name="_I2" localSheetId="56" hidden="1">{"PVGraph2",#N/A,FALSE,"PV Data"}</definedName>
    <definedName name="_I2" hidden="1">{"PVGraph2",#N/A,FALSE,"PV Data"}</definedName>
    <definedName name="_I3" localSheetId="61" hidden="1">{"PVGraph2",#N/A,FALSE,"PV Data"}</definedName>
    <definedName name="_I3" localSheetId="56" hidden="1">{"PVGraph2",#N/A,FALSE,"PV Data"}</definedName>
    <definedName name="_I3" hidden="1">{"PVGraph2",#N/A,FALSE,"PV Data"}</definedName>
    <definedName name="_Key1" localSheetId="41" hidden="1">#REF!</definedName>
    <definedName name="_Key1" localSheetId="42" hidden="1">#REF!</definedName>
    <definedName name="_Key1" localSheetId="43" hidden="1">#REF!</definedName>
    <definedName name="_Key1" localSheetId="45" hidden="1">#REF!</definedName>
    <definedName name="_Key1" localSheetId="4" hidden="1">#REF!</definedName>
    <definedName name="_Key1" localSheetId="61" hidden="1">#REF!</definedName>
    <definedName name="_Key1" localSheetId="17" hidden="1">#REF!</definedName>
    <definedName name="_Key1" localSheetId="50" hidden="1">#REF!</definedName>
    <definedName name="_Key1" localSheetId="52" hidden="1">#REF!</definedName>
    <definedName name="_Key1" localSheetId="51" hidden="1">#REF!</definedName>
    <definedName name="_Key1" localSheetId="55" hidden="1">#REF!</definedName>
    <definedName name="_Key1" localSheetId="72" hidden="1">#REF!</definedName>
    <definedName name="_Key1" hidden="1">#REF!</definedName>
    <definedName name="_Key2" localSheetId="41" hidden="1">#REF!</definedName>
    <definedName name="_Key2" localSheetId="42" hidden="1">#REF!</definedName>
    <definedName name="_Key2" localSheetId="43" hidden="1">#REF!</definedName>
    <definedName name="_Key2" localSheetId="45" hidden="1">#REF!</definedName>
    <definedName name="_Key2" localSheetId="4" hidden="1">#REF!</definedName>
    <definedName name="_Key2" localSheetId="61" hidden="1">#REF!</definedName>
    <definedName name="_Key2" localSheetId="17" hidden="1">#REF!</definedName>
    <definedName name="_Key2" localSheetId="50" hidden="1">#REF!</definedName>
    <definedName name="_Key2" localSheetId="52" hidden="1">#REF!</definedName>
    <definedName name="_Key2" localSheetId="51" hidden="1">#REF!</definedName>
    <definedName name="_Key2" localSheetId="55" hidden="1">#REF!</definedName>
    <definedName name="_Key2" localSheetId="72" hidden="1">#REF!</definedName>
    <definedName name="_Key2" hidden="1">#REF!</definedName>
    <definedName name="_m" localSheetId="41" hidden="1">#REF!</definedName>
    <definedName name="_m" localSheetId="42" hidden="1">#REF!</definedName>
    <definedName name="_m" localSheetId="43" hidden="1">#REF!</definedName>
    <definedName name="_m" localSheetId="45" hidden="1">#REF!</definedName>
    <definedName name="_m" localSheetId="4" hidden="1">#REF!</definedName>
    <definedName name="_m" localSheetId="50" hidden="1">#REF!</definedName>
    <definedName name="_m" localSheetId="52" hidden="1">#REF!</definedName>
    <definedName name="_m" localSheetId="51" hidden="1">#REF!</definedName>
    <definedName name="_m" localSheetId="55" hidden="1">#REF!</definedName>
    <definedName name="_m" hidden="1">#REF!</definedName>
    <definedName name="_Order1" hidden="1">0</definedName>
    <definedName name="_Order2" hidden="1">255</definedName>
    <definedName name="_s1" hidden="1">'[5]sales vol.'!$J$34:$J$37</definedName>
    <definedName name="_s2" hidden="1">'[5]sales vol.'!$J$398:$J$401</definedName>
    <definedName name="_s3" hidden="1">'[5]sales vol.'!$J$211:$J$214</definedName>
    <definedName name="_s4" hidden="1">'[5]sales vol.'!$I$1121:$I$1122</definedName>
    <definedName name="_s5" hidden="1">'[5]sales vol.'!$I$1632:$I$1635</definedName>
    <definedName name="_s6" hidden="1">'[5]sales vol.'!$I$2248:$I$2251</definedName>
    <definedName name="_Sort" localSheetId="41" hidden="1">#REF!</definedName>
    <definedName name="_Sort" localSheetId="42" hidden="1">#REF!</definedName>
    <definedName name="_Sort" localSheetId="43" hidden="1">#REF!</definedName>
    <definedName name="_Sort" localSheetId="45" hidden="1">#REF!</definedName>
    <definedName name="_Sort" localSheetId="4" hidden="1">#REF!</definedName>
    <definedName name="_Sort" localSheetId="61" hidden="1">#REF!</definedName>
    <definedName name="_Sort" localSheetId="17" hidden="1">#REF!</definedName>
    <definedName name="_Sort" localSheetId="50" hidden="1">#REF!</definedName>
    <definedName name="_Sort" localSheetId="52" hidden="1">#REF!</definedName>
    <definedName name="_Sort" localSheetId="51" hidden="1">#REF!</definedName>
    <definedName name="_Sort" localSheetId="55" hidden="1">#REF!</definedName>
    <definedName name="_Sort" localSheetId="72" hidden="1">#REF!</definedName>
    <definedName name="_Sort" hidden="1">#REF!</definedName>
    <definedName name="_Table1_In1" localSheetId="41" hidden="1">#REF!</definedName>
    <definedName name="_Table1_In1" localSheetId="42" hidden="1">#REF!</definedName>
    <definedName name="_Table1_In1" localSheetId="43" hidden="1">#REF!</definedName>
    <definedName name="_Table1_In1" localSheetId="45" hidden="1">#REF!</definedName>
    <definedName name="_Table1_In1" localSheetId="4" hidden="1">#REF!</definedName>
    <definedName name="_Table1_In1" localSheetId="61" hidden="1">#REF!</definedName>
    <definedName name="_Table1_In1" localSheetId="17" hidden="1">#REF!</definedName>
    <definedName name="_Table1_In1" localSheetId="50" hidden="1">#REF!</definedName>
    <definedName name="_Table1_In1" localSheetId="52" hidden="1">#REF!</definedName>
    <definedName name="_Table1_In1" localSheetId="51" hidden="1">#REF!</definedName>
    <definedName name="_Table1_In1" localSheetId="55" hidden="1">#REF!</definedName>
    <definedName name="_Table1_In1" localSheetId="72" hidden="1">#REF!</definedName>
    <definedName name="_Table1_In1" hidden="1">#REF!</definedName>
    <definedName name="_Table1_Out" localSheetId="41" hidden="1">#REF!</definedName>
    <definedName name="_Table1_Out" localSheetId="42" hidden="1">#REF!</definedName>
    <definedName name="_Table1_Out" localSheetId="43" hidden="1">#REF!</definedName>
    <definedName name="_Table1_Out" localSheetId="45" hidden="1">#REF!</definedName>
    <definedName name="_Table1_Out" localSheetId="4" hidden="1">#REF!</definedName>
    <definedName name="_Table1_Out" localSheetId="61" hidden="1">#REF!</definedName>
    <definedName name="_Table1_Out" localSheetId="17" hidden="1">#REF!</definedName>
    <definedName name="_Table1_Out" localSheetId="50" hidden="1">#REF!</definedName>
    <definedName name="_Table1_Out" localSheetId="52" hidden="1">#REF!</definedName>
    <definedName name="_Table1_Out" localSheetId="51" hidden="1">#REF!</definedName>
    <definedName name="_Table1_Out" localSheetId="55" hidden="1">#REF!</definedName>
    <definedName name="_Table1_Out" localSheetId="72" hidden="1">#REF!</definedName>
    <definedName name="_Table1_Out" hidden="1">#REF!</definedName>
    <definedName name="_Table2_In1" localSheetId="41" hidden="1">#REF!</definedName>
    <definedName name="_Table2_In1" localSheetId="42" hidden="1">#REF!</definedName>
    <definedName name="_Table2_In1" localSheetId="43" hidden="1">#REF!</definedName>
    <definedName name="_Table2_In1" localSheetId="45" hidden="1">#REF!</definedName>
    <definedName name="_Table2_In1" localSheetId="4" hidden="1">#REF!</definedName>
    <definedName name="_Table2_In1" localSheetId="61" hidden="1">#REF!</definedName>
    <definedName name="_Table2_In1" localSheetId="17" hidden="1">#REF!</definedName>
    <definedName name="_Table2_In1" localSheetId="50" hidden="1">#REF!</definedName>
    <definedName name="_Table2_In1" localSheetId="52" hidden="1">#REF!</definedName>
    <definedName name="_Table2_In1" localSheetId="51" hidden="1">#REF!</definedName>
    <definedName name="_Table2_In1" localSheetId="55" hidden="1">#REF!</definedName>
    <definedName name="_Table2_In1" localSheetId="72" hidden="1">#REF!</definedName>
    <definedName name="_Table2_In1" hidden="1">#REF!</definedName>
    <definedName name="_Table2_In2" localSheetId="41" hidden="1">#REF!</definedName>
    <definedName name="_Table2_In2" localSheetId="42" hidden="1">#REF!</definedName>
    <definedName name="_Table2_In2" localSheetId="43" hidden="1">#REF!</definedName>
    <definedName name="_Table2_In2" localSheetId="45" hidden="1">#REF!</definedName>
    <definedName name="_Table2_In2" localSheetId="4" hidden="1">#REF!</definedName>
    <definedName name="_Table2_In2" localSheetId="50" hidden="1">#REF!</definedName>
    <definedName name="_Table2_In2" localSheetId="52" hidden="1">#REF!</definedName>
    <definedName name="_Table2_In2" localSheetId="51" hidden="1">#REF!</definedName>
    <definedName name="_Table2_In2" localSheetId="55" hidden="1">#REF!</definedName>
    <definedName name="_Table2_In2" hidden="1">#REF!</definedName>
    <definedName name="_Table2_Out" localSheetId="41" hidden="1">#REF!</definedName>
    <definedName name="_Table2_Out" localSheetId="42" hidden="1">#REF!</definedName>
    <definedName name="_Table2_Out" localSheetId="43" hidden="1">#REF!</definedName>
    <definedName name="_Table2_Out" localSheetId="45" hidden="1">#REF!</definedName>
    <definedName name="_Table2_Out" localSheetId="4" hidden="1">#REF!</definedName>
    <definedName name="_Table2_Out" localSheetId="61" hidden="1">#REF!</definedName>
    <definedName name="_Table2_Out" localSheetId="17" hidden="1">#REF!</definedName>
    <definedName name="_Table2_Out" localSheetId="50" hidden="1">#REF!</definedName>
    <definedName name="_Table2_Out" localSheetId="52" hidden="1">#REF!</definedName>
    <definedName name="_Table2_Out" localSheetId="51" hidden="1">#REF!</definedName>
    <definedName name="_Table2_Out" localSheetId="55" hidden="1">#REF!</definedName>
    <definedName name="_Table2_Out" localSheetId="72" hidden="1">#REF!</definedName>
    <definedName name="_Table2_Out" hidden="1">#REF!</definedName>
    <definedName name="_w1" localSheetId="61" hidden="1">{"PVGraph2",#N/A,FALSE,"PV Data"}</definedName>
    <definedName name="_w1" localSheetId="56" hidden="1">{"PVGraph2",#N/A,FALSE,"PV Data"}</definedName>
    <definedName name="_w1" hidden="1">{"PVGraph2",#N/A,FALSE,"PV Data"}</definedName>
    <definedName name="_w2" localSheetId="61" hidden="1">{"PVGraph2",#N/A,FALSE,"PV Data"}</definedName>
    <definedName name="_w2" localSheetId="56" hidden="1">{"PVGraph2",#N/A,FALSE,"PV Data"}</definedName>
    <definedName name="_w2" hidden="1">{"PVGraph2",#N/A,FALSE,"PV Data"}</definedName>
    <definedName name="_w3" localSheetId="61" hidden="1">{"PVGraph2",#N/A,FALSE,"PV Data"}</definedName>
    <definedName name="_w3" localSheetId="56" hidden="1">{"PVGraph2",#N/A,FALSE,"PV Data"}</definedName>
    <definedName name="_w3" hidden="1">{"PVGraph2",#N/A,FALSE,"PV Data"}</definedName>
    <definedName name="_y2" localSheetId="61" hidden="1">{"PVGraph2",#N/A,FALSE,"PV Data"}</definedName>
    <definedName name="_y2" localSheetId="56" hidden="1">{"PVGraph2",#N/A,FALSE,"PV Data"}</definedName>
    <definedName name="_y2" hidden="1">{"PVGraph2",#N/A,FALSE,"PV Data"}</definedName>
    <definedName name="abc" localSheetId="41" hidden="1">#REF!</definedName>
    <definedName name="abc" localSheetId="42" hidden="1">#REF!</definedName>
    <definedName name="abc" localSheetId="43" hidden="1">#REF!</definedName>
    <definedName name="abc" localSheetId="45" hidden="1">#REF!</definedName>
    <definedName name="abc" localSheetId="4" hidden="1">#REF!</definedName>
    <definedName name="ABC" localSheetId="61" hidden="1">#REF!</definedName>
    <definedName name="abc" localSheetId="50" hidden="1">#REF!</definedName>
    <definedName name="abc" localSheetId="52" hidden="1">#REF!</definedName>
    <definedName name="abc" localSheetId="51" hidden="1">#REF!</definedName>
    <definedName name="abc" localSheetId="55" hidden="1">#REF!</definedName>
    <definedName name="abc" hidden="1">#REF!</definedName>
    <definedName name="ABS" localSheetId="41" hidden="1">#REF!</definedName>
    <definedName name="ABS" localSheetId="42" hidden="1">#REF!</definedName>
    <definedName name="ABS" localSheetId="43" hidden="1">#REF!</definedName>
    <definedName name="ABS" localSheetId="45" hidden="1">#REF!</definedName>
    <definedName name="ABS" localSheetId="4" hidden="1">#REF!</definedName>
    <definedName name="ABS" localSheetId="50" hidden="1">#REF!</definedName>
    <definedName name="ABS" localSheetId="52" hidden="1">#REF!</definedName>
    <definedName name="ABS" localSheetId="51" hidden="1">#REF!</definedName>
    <definedName name="ABS" localSheetId="55" hidden="1">#REF!</definedName>
    <definedName name="ABS" hidden="1">#REF!</definedName>
    <definedName name="AccessDatabase" hidden="1">"I:\DEPT8900\OEL\FY01\Reports\Budget Comparison\Comparitive Budget TEST.mdb"</definedName>
    <definedName name="adsf" localSheetId="41" hidden="1">#REF!</definedName>
    <definedName name="adsf" localSheetId="42" hidden="1">#REF!</definedName>
    <definedName name="adsf" localSheetId="43" hidden="1">#REF!</definedName>
    <definedName name="adsf" localSheetId="45" hidden="1">#REF!</definedName>
    <definedName name="adsf" localSheetId="4" hidden="1">#REF!</definedName>
    <definedName name="adsf" localSheetId="50" hidden="1">#REF!</definedName>
    <definedName name="adsf" localSheetId="52" hidden="1">#REF!</definedName>
    <definedName name="adsf" localSheetId="51" hidden="1">#REF!</definedName>
    <definedName name="adsf" localSheetId="55" hidden="1">#REF!</definedName>
    <definedName name="adsf" hidden="1">#REF!</definedName>
    <definedName name="anscount" hidden="1">6</definedName>
    <definedName name="as" localSheetId="61" hidden="1">{"ModelPage1",#N/A,TRUE,"Model";"ModelSum_Debt",#N/A,TRUE,"Model"}</definedName>
    <definedName name="as" localSheetId="56" hidden="1">{"ModelPage1",#N/A,TRUE,"Model";"ModelSum_Debt",#N/A,TRUE,"Model"}</definedName>
    <definedName name="as" hidden="1">{"ModelPage1",#N/A,TRUE,"Model";"ModelSum_Debt",#N/A,TRUE,"Model"}</definedName>
    <definedName name="AS2DocOpenMode" hidden="1">"AS2DocumentEdit"</definedName>
    <definedName name="AS2ReportLS" hidden="1">1</definedName>
    <definedName name="AS2SyncStepLS" hidden="1">0</definedName>
    <definedName name="AS2VersionLS" hidden="1">300</definedName>
    <definedName name="asd" localSheetId="61" hidden="1">{"DCF","UPSIDE CASE",FALSE,"Sheet1";"DCF","BASE CASE",FALSE,"Sheet1";"DCF","DOWNSIDE CASE",FALSE,"Sheet1"}</definedName>
    <definedName name="asd" localSheetId="56" hidden="1">{"DCF","UPSIDE CASE",FALSE,"Sheet1";"DCF","BASE CASE",FALSE,"Sheet1";"DCF","DOWNSIDE CASE",FALSE,"Sheet1"}</definedName>
    <definedName name="ASD">{"DCF","UPSIDE CASE",FALSE,"Sheet1";"DCF","BASE CASE",FALSE,"Sheet1";"DCF","DOWNSIDE CASE",FALSE,"Sheet1"}</definedName>
    <definedName name="asdfasdfdddd" localSheetId="61" hidden="1">{"DCF","UPSIDE CASE",FALSE,"Sheet1";"DCF","BASE CASE",FALSE,"Sheet1";"DCF","DOWNSIDE CASE",FALSE,"Sheet1"}</definedName>
    <definedName name="asdfasdfdddd" localSheetId="17" hidden="1">{"DCF","UPSIDE CASE",FALSE,"Sheet1";"DCF","BASE CASE",FALSE,"Sheet1";"DCF","DOWNSIDE CASE",FALSE,"Sheet1"}</definedName>
    <definedName name="asdfasdfdddd" localSheetId="56" hidden="1">{"DCF","UPSIDE CASE",FALSE,"Sheet1";"DCF","BASE CASE",FALSE,"Sheet1";"DCF","DOWNSIDE CASE",FALSE,"Sheet1"}</definedName>
    <definedName name="asdfasdfdddd" hidden="1">{"DCF","UPSIDE CASE",FALSE,"Sheet1";"DCF","BASE CASE",FALSE,"Sheet1";"DCF","DOWNSIDE CASE",FALSE,"Sheet1"}</definedName>
    <definedName name="avegmultiple" localSheetId="41" hidden="1">#REF!</definedName>
    <definedName name="avegmultiple" localSheetId="42" hidden="1">#REF!</definedName>
    <definedName name="avegmultiple" localSheetId="43" hidden="1">#REF!</definedName>
    <definedName name="avegmultiple" localSheetId="45" hidden="1">#REF!</definedName>
    <definedName name="avegmultiple" localSheetId="4" hidden="1">#REF!</definedName>
    <definedName name="avegmultiple" localSheetId="50" hidden="1">#REF!</definedName>
    <definedName name="avegmultiple" localSheetId="52" hidden="1">#REF!</definedName>
    <definedName name="avegmultiple" localSheetId="51" hidden="1">#REF!</definedName>
    <definedName name="avegmultiple" localSheetId="55" hidden="1">#REF!</definedName>
    <definedName name="avegmultiple" hidden="1">#REF!</definedName>
    <definedName name="bei" localSheetId="61" hidden="1">{#N/A,#N/A,FALSE,"softdraw";#N/A,#N/A,FALSE,"linereclass";"northpint loan",#N/A,FALSE,"LOAN"}</definedName>
    <definedName name="bei" localSheetId="56" hidden="1">{#N/A,#N/A,FALSE,"softdraw";#N/A,#N/A,FALSE,"linereclass";"northpint loan",#N/A,FALSE,"LOAN"}</definedName>
    <definedName name="bei" hidden="1">{#N/A,#N/A,FALSE,"softdraw";#N/A,#N/A,FALSE,"linereclass";"northpint loan",#N/A,FALSE,"LOAN"}</definedName>
    <definedName name="Benefits">350</definedName>
    <definedName name="BG_Ins" hidden="1">4</definedName>
    <definedName name="BG_Mod" hidden="1">6</definedName>
    <definedName name="BLPH1" localSheetId="41" hidden="1">#REF!</definedName>
    <definedName name="BLPH1" localSheetId="42" hidden="1">#REF!</definedName>
    <definedName name="BLPH1" localSheetId="43" hidden="1">#REF!</definedName>
    <definedName name="BLPH1" localSheetId="45" hidden="1">#REF!</definedName>
    <definedName name="BLPH1" localSheetId="4" hidden="1">#REF!</definedName>
    <definedName name="BLPH1" localSheetId="56" hidden="1">#REF!</definedName>
    <definedName name="BLPH1" localSheetId="50" hidden="1">#REF!</definedName>
    <definedName name="BLPH1" localSheetId="52" hidden="1">#REF!</definedName>
    <definedName name="BLPH1" localSheetId="51" hidden="1">#REF!</definedName>
    <definedName name="BLPH1" localSheetId="55" hidden="1">#REF!</definedName>
    <definedName name="BLPH1" hidden="1">#REF!</definedName>
    <definedName name="BLPH10" localSheetId="41" hidden="1">#REF!</definedName>
    <definedName name="BLPH10" localSheetId="42" hidden="1">#REF!</definedName>
    <definedName name="BLPH10" localSheetId="43" hidden="1">#REF!</definedName>
    <definedName name="BLPH10" localSheetId="45" hidden="1">#REF!</definedName>
    <definedName name="BLPH10" localSheetId="4" hidden="1">#REF!</definedName>
    <definedName name="BLPH10" localSheetId="50" hidden="1">#REF!</definedName>
    <definedName name="BLPH10" localSheetId="52" hidden="1">#REF!</definedName>
    <definedName name="BLPH10" localSheetId="51" hidden="1">#REF!</definedName>
    <definedName name="BLPH10" localSheetId="55" hidden="1">#REF!</definedName>
    <definedName name="BLPH10" hidden="1">#REF!</definedName>
    <definedName name="BLPH11" localSheetId="41" hidden="1">#REF!</definedName>
    <definedName name="BLPH11" localSheetId="42" hidden="1">#REF!</definedName>
    <definedName name="BLPH11" localSheetId="43" hidden="1">#REF!</definedName>
    <definedName name="BLPH11" localSheetId="45" hidden="1">#REF!</definedName>
    <definedName name="BLPH11" localSheetId="4" hidden="1">#REF!</definedName>
    <definedName name="BLPH11" localSheetId="50" hidden="1">#REF!</definedName>
    <definedName name="BLPH11" localSheetId="52" hidden="1">#REF!</definedName>
    <definedName name="BLPH11" localSheetId="51" hidden="1">#REF!</definedName>
    <definedName name="BLPH11" localSheetId="55" hidden="1">#REF!</definedName>
    <definedName name="BLPH11" hidden="1">#REF!</definedName>
    <definedName name="BLPH12" localSheetId="41" hidden="1">#REF!</definedName>
    <definedName name="BLPH12" localSheetId="42" hidden="1">#REF!</definedName>
    <definedName name="BLPH12" localSheetId="43" hidden="1">#REF!</definedName>
    <definedName name="BLPH12" localSheetId="45" hidden="1">#REF!</definedName>
    <definedName name="BLPH12" localSheetId="4" hidden="1">#REF!</definedName>
    <definedName name="BLPH12" localSheetId="50" hidden="1">#REF!</definedName>
    <definedName name="BLPH12" localSheetId="52" hidden="1">#REF!</definedName>
    <definedName name="BLPH12" localSheetId="51" hidden="1">#REF!</definedName>
    <definedName name="BLPH12" localSheetId="55" hidden="1">#REF!</definedName>
    <definedName name="BLPH12" hidden="1">#REF!</definedName>
    <definedName name="BLPH13" localSheetId="41" hidden="1">#REF!</definedName>
    <definedName name="BLPH13" localSheetId="42" hidden="1">#REF!</definedName>
    <definedName name="BLPH13" localSheetId="43" hidden="1">#REF!</definedName>
    <definedName name="BLPH13" localSheetId="45" hidden="1">#REF!</definedName>
    <definedName name="BLPH13" localSheetId="4" hidden="1">#REF!</definedName>
    <definedName name="BLPH13" localSheetId="50" hidden="1">#REF!</definedName>
    <definedName name="BLPH13" localSheetId="52" hidden="1">#REF!</definedName>
    <definedName name="BLPH13" localSheetId="51" hidden="1">#REF!</definedName>
    <definedName name="BLPH13" localSheetId="55" hidden="1">#REF!</definedName>
    <definedName name="BLPH13" hidden="1">#REF!</definedName>
    <definedName name="BLPH14" localSheetId="41" hidden="1">#REF!</definedName>
    <definedName name="BLPH14" localSheetId="42" hidden="1">#REF!</definedName>
    <definedName name="BLPH14" localSheetId="43" hidden="1">#REF!</definedName>
    <definedName name="BLPH14" localSheetId="45" hidden="1">#REF!</definedName>
    <definedName name="BLPH14" localSheetId="4" hidden="1">#REF!</definedName>
    <definedName name="BLPH14" localSheetId="50" hidden="1">#REF!</definedName>
    <definedName name="BLPH14" localSheetId="52" hidden="1">#REF!</definedName>
    <definedName name="BLPH14" localSheetId="51" hidden="1">#REF!</definedName>
    <definedName name="BLPH14" localSheetId="55" hidden="1">#REF!</definedName>
    <definedName name="BLPH14" hidden="1">#REF!</definedName>
    <definedName name="BLPH15" localSheetId="41" hidden="1">#REF!</definedName>
    <definedName name="BLPH15" localSheetId="42" hidden="1">#REF!</definedName>
    <definedName name="BLPH15" localSheetId="43" hidden="1">#REF!</definedName>
    <definedName name="BLPH15" localSheetId="45" hidden="1">#REF!</definedName>
    <definedName name="BLPH15" localSheetId="4" hidden="1">#REF!</definedName>
    <definedName name="BLPH15" localSheetId="50" hidden="1">#REF!</definedName>
    <definedName name="BLPH15" localSheetId="52" hidden="1">#REF!</definedName>
    <definedName name="BLPH15" localSheetId="51" hidden="1">#REF!</definedName>
    <definedName name="BLPH15" localSheetId="55" hidden="1">#REF!</definedName>
    <definedName name="BLPH15" hidden="1">#REF!</definedName>
    <definedName name="BLPH16" localSheetId="41" hidden="1">#REF!</definedName>
    <definedName name="BLPH16" localSheetId="42" hidden="1">#REF!</definedName>
    <definedName name="BLPH16" localSheetId="43" hidden="1">#REF!</definedName>
    <definedName name="BLPH16" localSheetId="45" hidden="1">#REF!</definedName>
    <definedName name="BLPH16" localSheetId="4" hidden="1">#REF!</definedName>
    <definedName name="BLPH16" localSheetId="50" hidden="1">#REF!</definedName>
    <definedName name="BLPH16" localSheetId="52" hidden="1">#REF!</definedName>
    <definedName name="BLPH16" localSheetId="51" hidden="1">#REF!</definedName>
    <definedName name="BLPH16" localSheetId="55" hidden="1">#REF!</definedName>
    <definedName name="BLPH16" hidden="1">#REF!</definedName>
    <definedName name="BLPH2" localSheetId="41" hidden="1">#REF!</definedName>
    <definedName name="BLPH2" localSheetId="42" hidden="1">#REF!</definedName>
    <definedName name="BLPH2" localSheetId="43" hidden="1">#REF!</definedName>
    <definedName name="BLPH2" localSheetId="45" hidden="1">#REF!</definedName>
    <definedName name="BLPH2" localSheetId="4" hidden="1">#REF!</definedName>
    <definedName name="BLPH2" localSheetId="50" hidden="1">#REF!</definedName>
    <definedName name="BLPH2" localSheetId="52" hidden="1">#REF!</definedName>
    <definedName name="BLPH2" localSheetId="51" hidden="1">#REF!</definedName>
    <definedName name="BLPH2" localSheetId="55" hidden="1">#REF!</definedName>
    <definedName name="BLPH2" hidden="1">#REF!</definedName>
    <definedName name="BLPH3" localSheetId="41" hidden="1">#REF!</definedName>
    <definedName name="BLPH3" localSheetId="42" hidden="1">#REF!</definedName>
    <definedName name="BLPH3" localSheetId="43" hidden="1">#REF!</definedName>
    <definedName name="BLPH3" localSheetId="45" hidden="1">#REF!</definedName>
    <definedName name="BLPH3" localSheetId="4" hidden="1">#REF!</definedName>
    <definedName name="BLPH3" localSheetId="50" hidden="1">#REF!</definedName>
    <definedName name="BLPH3" localSheetId="52" hidden="1">#REF!</definedName>
    <definedName name="BLPH3" localSheetId="51" hidden="1">#REF!</definedName>
    <definedName name="BLPH3" localSheetId="55" hidden="1">#REF!</definedName>
    <definedName name="BLPH3" hidden="1">#REF!</definedName>
    <definedName name="BLPH4" localSheetId="41" hidden="1">#REF!</definedName>
    <definedName name="BLPH4" localSheetId="42" hidden="1">#REF!</definedName>
    <definedName name="BLPH4" localSheetId="43" hidden="1">#REF!</definedName>
    <definedName name="BLPH4" localSheetId="45" hidden="1">#REF!</definedName>
    <definedName name="BLPH4" localSheetId="4" hidden="1">#REF!</definedName>
    <definedName name="BLPH4" localSheetId="50" hidden="1">#REF!</definedName>
    <definedName name="BLPH4" localSheetId="52" hidden="1">#REF!</definedName>
    <definedName name="BLPH4" localSheetId="51" hidden="1">#REF!</definedName>
    <definedName name="BLPH4" localSheetId="55" hidden="1">#REF!</definedName>
    <definedName name="BLPH4" hidden="1">#REF!</definedName>
    <definedName name="BLPH5" localSheetId="41" hidden="1">#REF!</definedName>
    <definedName name="BLPH5" localSheetId="42" hidden="1">#REF!</definedName>
    <definedName name="BLPH5" localSheetId="43" hidden="1">#REF!</definedName>
    <definedName name="BLPH5" localSheetId="45" hidden="1">#REF!</definedName>
    <definedName name="BLPH5" localSheetId="4" hidden="1">#REF!</definedName>
    <definedName name="BLPH5" localSheetId="50" hidden="1">#REF!</definedName>
    <definedName name="BLPH5" localSheetId="52" hidden="1">#REF!</definedName>
    <definedName name="BLPH5" localSheetId="51" hidden="1">#REF!</definedName>
    <definedName name="BLPH5" localSheetId="55" hidden="1">#REF!</definedName>
    <definedName name="BLPH5" hidden="1">#REF!</definedName>
    <definedName name="BLPH6" localSheetId="41" hidden="1">#REF!</definedName>
    <definedName name="BLPH6" localSheetId="42" hidden="1">#REF!</definedName>
    <definedName name="BLPH6" localSheetId="43" hidden="1">#REF!</definedName>
    <definedName name="BLPH6" localSheetId="45" hidden="1">#REF!</definedName>
    <definedName name="BLPH6" localSheetId="4" hidden="1">#REF!</definedName>
    <definedName name="BLPH6" localSheetId="50" hidden="1">#REF!</definedName>
    <definedName name="BLPH6" localSheetId="52" hidden="1">#REF!</definedName>
    <definedName name="BLPH6" localSheetId="51" hidden="1">#REF!</definedName>
    <definedName name="BLPH6" localSheetId="55" hidden="1">#REF!</definedName>
    <definedName name="BLPH6" hidden="1">#REF!</definedName>
    <definedName name="BLPH7" localSheetId="41" hidden="1">#REF!</definedName>
    <definedName name="BLPH7" localSheetId="42" hidden="1">#REF!</definedName>
    <definedName name="BLPH7" localSheetId="43" hidden="1">#REF!</definedName>
    <definedName name="BLPH7" localSheetId="45" hidden="1">#REF!</definedName>
    <definedName name="BLPH7" localSheetId="4" hidden="1">#REF!</definedName>
    <definedName name="BLPH7" localSheetId="50" hidden="1">#REF!</definedName>
    <definedName name="BLPH7" localSheetId="52" hidden="1">#REF!</definedName>
    <definedName name="BLPH7" localSheetId="51" hidden="1">#REF!</definedName>
    <definedName name="BLPH7" localSheetId="55" hidden="1">#REF!</definedName>
    <definedName name="BLPH7" hidden="1">#REF!</definedName>
    <definedName name="BLPH8" localSheetId="41" hidden="1">#REF!</definedName>
    <definedName name="BLPH8" localSheetId="42" hidden="1">#REF!</definedName>
    <definedName name="BLPH8" localSheetId="43" hidden="1">#REF!</definedName>
    <definedName name="BLPH8" localSheetId="45" hidden="1">#REF!</definedName>
    <definedName name="BLPH8" localSheetId="4" hidden="1">#REF!</definedName>
    <definedName name="BLPH8" localSheetId="50" hidden="1">#REF!</definedName>
    <definedName name="BLPH8" localSheetId="52" hidden="1">#REF!</definedName>
    <definedName name="BLPH8" localSheetId="51" hidden="1">#REF!</definedName>
    <definedName name="BLPH8" localSheetId="55" hidden="1">#REF!</definedName>
    <definedName name="BLPH8" hidden="1">#REF!</definedName>
    <definedName name="BLPH9" localSheetId="41" hidden="1">#REF!</definedName>
    <definedName name="BLPH9" localSheetId="42" hidden="1">#REF!</definedName>
    <definedName name="BLPH9" localSheetId="43" hidden="1">#REF!</definedName>
    <definedName name="BLPH9" localSheetId="45" hidden="1">#REF!</definedName>
    <definedName name="BLPH9" localSheetId="4" hidden="1">#REF!</definedName>
    <definedName name="BLPH9" localSheetId="50" hidden="1">#REF!</definedName>
    <definedName name="BLPH9" localSheetId="52" hidden="1">#REF!</definedName>
    <definedName name="BLPH9" localSheetId="51" hidden="1">#REF!</definedName>
    <definedName name="BLPH9" localSheetId="55" hidden="1">#REF!</definedName>
    <definedName name="BLPH9" hidden="1">#REF!</definedName>
    <definedName name="BNE_MESSAGES_HIDDEN" localSheetId="41" hidden="1">#REF!</definedName>
    <definedName name="BNE_MESSAGES_HIDDEN" localSheetId="42" hidden="1">#REF!</definedName>
    <definedName name="BNE_MESSAGES_HIDDEN" localSheetId="43" hidden="1">#REF!</definedName>
    <definedName name="BNE_MESSAGES_HIDDEN" localSheetId="45" hidden="1">#REF!</definedName>
    <definedName name="BNE_MESSAGES_HIDDEN" localSheetId="4" hidden="1">#REF!</definedName>
    <definedName name="BNE_MESSAGES_HIDDEN" localSheetId="50" hidden="1">#REF!</definedName>
    <definedName name="BNE_MESSAGES_HIDDEN" localSheetId="52" hidden="1">#REF!</definedName>
    <definedName name="BNE_MESSAGES_HIDDEN" localSheetId="51" hidden="1">#REF!</definedName>
    <definedName name="BNE_MESSAGES_HIDDEN" localSheetId="55" hidden="1">#REF!</definedName>
    <definedName name="BNE_MESSAGES_HIDDEN" hidden="1">#REF!</definedName>
    <definedName name="Bridge_mo" localSheetId="61" hidden="1">{#N/A,#N/A,FALSE,"Model";#N/A,#N/A,FALSE,"Gen Pts &amp; Rts 2000";#N/A,#N/A,FALSE,"AcqsAss";#N/A,#N/A,FALSE,"Acqs &amp; De Novos"}</definedName>
    <definedName name="Bridge_mo" localSheetId="56" hidden="1">{#N/A,#N/A,FALSE,"Model";#N/A,#N/A,FALSE,"Gen Pts &amp; Rts 2000";#N/A,#N/A,FALSE,"AcqsAss";#N/A,#N/A,FALSE,"Acqs &amp; De Novos"}</definedName>
    <definedName name="Bridge_mo" hidden="1">{#N/A,#N/A,FALSE,"Model";#N/A,#N/A,FALSE,"Gen Pts &amp; Rts 2000";#N/A,#N/A,FALSE,"AcqsAss";#N/A,#N/A,FALSE,"Acqs &amp; De Novos"}</definedName>
    <definedName name="bridge_month" localSheetId="61" hidden="1">{#N/A,#N/A,FALSE,"Model";#N/A,#N/A,FALSE,"Gen Pts &amp; Rts 2000";#N/A,#N/A,FALSE,"AcqsAss";#N/A,#N/A,FALSE,"Acqs &amp; De Novos"}</definedName>
    <definedName name="bridge_month" localSheetId="56" hidden="1">{#N/A,#N/A,FALSE,"Model";#N/A,#N/A,FALSE,"Gen Pts &amp; Rts 2000";#N/A,#N/A,FALSE,"AcqsAss";#N/A,#N/A,FALSE,"Acqs &amp; De Novos"}</definedName>
    <definedName name="bridge_month" hidden="1">{#N/A,#N/A,FALSE,"Model";#N/A,#N/A,FALSE,"Gen Pts &amp; Rts 2000";#N/A,#N/A,FALSE,"AcqsAss";#N/A,#N/A,FALSE,"Acqs &amp; De Novos"}</definedName>
    <definedName name="bridge_qtr" localSheetId="61" hidden="1">{#N/A,#N/A,FALSE,"Model";#N/A,#N/A,FALSE,"Gen Pts &amp; Rts 2000";#N/A,#N/A,FALSE,"AcqsAss";#N/A,#N/A,FALSE,"Acqs &amp; De Novos"}</definedName>
    <definedName name="bridge_qtr" localSheetId="56" hidden="1">{#N/A,#N/A,FALSE,"Model";#N/A,#N/A,FALSE,"Gen Pts &amp; Rts 2000";#N/A,#N/A,FALSE,"AcqsAss";#N/A,#N/A,FALSE,"Acqs &amp; De Novos"}</definedName>
    <definedName name="bridge_qtr" hidden="1">{#N/A,#N/A,FALSE,"Model";#N/A,#N/A,FALSE,"Gen Pts &amp; Rts 2000";#N/A,#N/A,FALSE,"AcqsAss";#N/A,#N/A,FALSE,"Acqs &amp; De Novos"}</definedName>
    <definedName name="bridger_qtr" localSheetId="61" hidden="1">{#N/A,#N/A,FALSE,"Model";#N/A,#N/A,FALSE,"Gen Pts &amp; Rts 2000";#N/A,#N/A,FALSE,"AcqsAss";#N/A,#N/A,FALSE,"Acqs &amp; De Novos"}</definedName>
    <definedName name="bridger_qtr" localSheetId="56" hidden="1">{#N/A,#N/A,FALSE,"Model";#N/A,#N/A,FALSE,"Gen Pts &amp; Rts 2000";#N/A,#N/A,FALSE,"AcqsAss";#N/A,#N/A,FALSE,"Acqs &amp; De Novos"}</definedName>
    <definedName name="bridger_qtr" hidden="1">{#N/A,#N/A,FALSE,"Model";#N/A,#N/A,FALSE,"Gen Pts &amp; Rts 2000";#N/A,#N/A,FALSE,"AcqsAss";#N/A,#N/A,FALSE,"Acqs &amp; De Novos"}</definedName>
    <definedName name="build" localSheetId="61" hidden="1">{#N/A,#N/A,FALSE,"softdraw";#N/A,#N/A,FALSE,"linereclass";"northpint loan",#N/A,FALSE,"LOAN"}</definedName>
    <definedName name="build" localSheetId="56" hidden="1">{#N/A,#N/A,FALSE,"softdraw";#N/A,#N/A,FALSE,"linereclass";"northpint loan",#N/A,FALSE,"LOAN"}</definedName>
    <definedName name="build" hidden="1">{#N/A,#N/A,FALSE,"softdraw";#N/A,#N/A,FALSE,"linereclass";"northpint loan",#N/A,FALSE,"LOAN"}</definedName>
    <definedName name="CBWorkbookPriority" hidden="1">-1959504492</definedName>
    <definedName name="CIQWBGuid" localSheetId="17" hidden="1">"fbaca8dc-146f-4192-88d0-0ff1a2eb9703"</definedName>
    <definedName name="CIQWBGuid" localSheetId="71" hidden="1">"fbe512cc-6749-4c8e-993d-8a4c49fb67e0"</definedName>
    <definedName name="CIQWBGuid" localSheetId="72" hidden="1">"fbe512cc-6749-4c8e-993d-8a4c49fb67e0"</definedName>
    <definedName name="CIQWBGuid" hidden="1">"4c317e69-d429-41e3-b46a-b4c398e620fd"</definedName>
    <definedName name="COBRA" localSheetId="61" hidden="1">{#N/A,#N/A,FALSE,"softdraw";#N/A,#N/A,FALSE,"linereclass";"northpint loan",#N/A,FALSE,"LOAN"}</definedName>
    <definedName name="COBRA" localSheetId="56" hidden="1">{#N/A,#N/A,FALSE,"softdraw";#N/A,#N/A,FALSE,"linereclass";"northpint loan",#N/A,FALSE,"LOAN"}</definedName>
    <definedName name="COBRA" hidden="1">{#N/A,#N/A,FALSE,"softdraw";#N/A,#N/A,FALSE,"linereclass";"northpint loan",#N/A,FALSE,"LOAN"}</definedName>
    <definedName name="COBRA1" localSheetId="61" hidden="1">{#N/A,#N/A,FALSE,"softdraw";#N/A,#N/A,FALSE,"linereclass";"northpint loan",#N/A,FALSE,"LOAN"}</definedName>
    <definedName name="COBRA1" localSheetId="56" hidden="1">{#N/A,#N/A,FALSE,"softdraw";#N/A,#N/A,FALSE,"linereclass";"northpint loan",#N/A,FALSE,"LOAN"}</definedName>
    <definedName name="COBRA1" hidden="1">{#N/A,#N/A,FALSE,"softdraw";#N/A,#N/A,FALSE,"linereclass";"northpint loan",#N/A,FALSE,"LOAN"}</definedName>
    <definedName name="Company_Name" hidden="1">[7]Settings!$C$56</definedName>
    <definedName name="CompanyName" localSheetId="56">[8]Setup!$C$1</definedName>
    <definedName name="compnam" localSheetId="41" hidden="1">[9]KeyMultInputs!#REF!</definedName>
    <definedName name="compnam" localSheetId="42" hidden="1">[9]KeyMultInputs!#REF!</definedName>
    <definedName name="compnam" localSheetId="43" hidden="1">[9]KeyMultInputs!#REF!</definedName>
    <definedName name="compnam" localSheetId="45" hidden="1">[9]KeyMultInputs!#REF!</definedName>
    <definedName name="compnam" localSheetId="4" hidden="1">[9]KeyMultInputs!#REF!</definedName>
    <definedName name="compnam" localSheetId="56" hidden="1">[9]KeyMultInputs!#REF!</definedName>
    <definedName name="compnam" localSheetId="50" hidden="1">[9]KeyMultInputs!#REF!</definedName>
    <definedName name="compnam" localSheetId="52" hidden="1">[9]KeyMultInputs!#REF!</definedName>
    <definedName name="compnam" localSheetId="51" hidden="1">[9]KeyMultInputs!#REF!</definedName>
    <definedName name="compnam" localSheetId="55" hidden="1">[9]KeyMultInputs!#REF!</definedName>
    <definedName name="compnam" hidden="1">[9]KeyMultInputs!#REF!</definedName>
    <definedName name="copy" localSheetId="61" hidden="1">{#N/A,#N/A,FALSE,"Title Page";#N/A,#N/A,FALSE,"Conclusions";#N/A,#N/A,FALSE,"Assum.";#N/A,#N/A,FALSE,"Sun  DCF-WC-Dep";#N/A,#N/A,FALSE,"MarketValue";#N/A,#N/A,FALSE,"BalSheet";#N/A,#N/A,FALSE,"WACC";#N/A,#N/A,FALSE,"PC+ Info.";#N/A,#N/A,FALSE,"PC+Info_2"}</definedName>
    <definedName name="copy" localSheetId="56" hidden="1">{#N/A,#N/A,FALSE,"Title Page";#N/A,#N/A,FALSE,"Conclusions";#N/A,#N/A,FALSE,"Assum.";#N/A,#N/A,FALSE,"Sun  DCF-WC-Dep";#N/A,#N/A,FALSE,"MarketValue";#N/A,#N/A,FALSE,"BalSheet";#N/A,#N/A,FALSE,"WACC";#N/A,#N/A,FALSE,"PC+ Info.";#N/A,#N/A,FALSE,"PC+Info_2"}</definedName>
    <definedName name="copy" hidden="1">{#N/A,#N/A,FALSE,"Title Page";#N/A,#N/A,FALSE,"Conclusions";#N/A,#N/A,FALSE,"Assum.";#N/A,#N/A,FALSE,"Sun  DCF-WC-Dep";#N/A,#N/A,FALSE,"MarketValue";#N/A,#N/A,FALSE,"BalSheet";#N/A,#N/A,FALSE,"WACC";#N/A,#N/A,FALSE,"PC+ Info.";#N/A,#N/A,FALSE,"PC+Info_2"}</definedName>
    <definedName name="Data.Dump" localSheetId="41" hidden="1">OFFSET([0]!Data.Top.Left,1,0)</definedName>
    <definedName name="Data.Dump" localSheetId="42" hidden="1">OFFSET([0]!Data.Top.Left,1,0)</definedName>
    <definedName name="Data.Dump" localSheetId="43" hidden="1">OFFSET([0]!Data.Top.Left,1,0)</definedName>
    <definedName name="Data.Dump" localSheetId="45" hidden="1">OFFSET([0]!Data.Top.Left,1,0)</definedName>
    <definedName name="Data.Dump" localSheetId="4" hidden="1">OFFSET([0]!Data.Top.Left,1,0)</definedName>
    <definedName name="Data.Dump" localSheetId="61" hidden="1">OFFSET([0]!Data.Top.Left,1,0)</definedName>
    <definedName name="Data.Dump" localSheetId="56" hidden="1">OFFSET([0]!Data.Top.Left,1,0)</definedName>
    <definedName name="Data.Dump" localSheetId="50" hidden="1">OFFSET([0]!Data.Top.Left,1,0)</definedName>
    <definedName name="Data.Dump" localSheetId="52" hidden="1">OFFSET([0]!Data.Top.Left,1,0)</definedName>
    <definedName name="Data.Dump" localSheetId="51" hidden="1">OFFSET([0]!Data.Top.Left,1,0)</definedName>
    <definedName name="Data.Dump" localSheetId="55" hidden="1">OFFSET([0]!Data.Top.Left,1,0)</definedName>
    <definedName name="Data.Dump" hidden="1">OFFSET([0]!Data.Top.Left,1,0)</definedName>
    <definedName name="Dates">[10]Lookup!$K$2:$K$55</definedName>
    <definedName name="dd" localSheetId="61" hidden="1">{#N/A,#N/A,FALSE,"Model";#N/A,#N/A,FALSE,"Gen Pts &amp; Rts 2000";#N/A,#N/A,FALSE,"AcqsAss";#N/A,#N/A,FALSE,"Acqs &amp; De Novos"}</definedName>
    <definedName name="dd" localSheetId="56" hidden="1">{#N/A,#N/A,FALSE,"Bakersfield PCs";#N/A,#N/A,FALSE,"Bremer PCs";#N/A,#N/A,FALSE,"Bakersfield Notebooks"}</definedName>
    <definedName name="dd" hidden="1">{#N/A,#N/A,FALSE,"Bakersfield PCs";#N/A,#N/A,FALSE,"Bremer PCs";#N/A,#N/A,FALSE,"Bakersfield Notebooks"}</definedName>
    <definedName name="dddddddddddddddd" localSheetId="41" hidden="1">Main.SAPF4Help()</definedName>
    <definedName name="dddddddddddddddd" localSheetId="42" hidden="1">Main.SAPF4Help()</definedName>
    <definedName name="dddddddddddddddd" localSheetId="43" hidden="1">Main.SAPF4Help()</definedName>
    <definedName name="dddddddddddddddd" localSheetId="45" hidden="1">Main.SAPF4Help()</definedName>
    <definedName name="dddddddddddddddd" localSheetId="4" hidden="1">Main.SAPF4Help()</definedName>
    <definedName name="dddddddddddddddd" localSheetId="61" hidden="1">Main.SAPF4Help()</definedName>
    <definedName name="dddddddddddddddd" localSheetId="17" hidden="1">Main.SAPF4Help()</definedName>
    <definedName name="dddddddddddddddd" localSheetId="56" hidden="1">Main.SAPF4Help()</definedName>
    <definedName name="dddddddddddddddd" localSheetId="50" hidden="1">Main.SAPF4Help()</definedName>
    <definedName name="dddddddddddddddd" localSheetId="52" hidden="1">Main.SAPF4Help()</definedName>
    <definedName name="dddddddddddddddd" localSheetId="51" hidden="1">Main.SAPF4Help()</definedName>
    <definedName name="dddddddddddddddd" localSheetId="55" hidden="1">Main.SAPF4Help()</definedName>
    <definedName name="dddddddddddddddd" hidden="1">Main.SAPF4Help()</definedName>
    <definedName name="del" localSheetId="61" hidden="1">{#N/A,#N/A,FALSE,"Cov";#N/A,#N/A,FALSE,"sum";#N/A,#N/A,FALSE,"baladj";#N/A,#N/A,FALSE,"bs";#N/A,#N/A,FALSE,"is";#N/A,#N/A,FALSE,"pis";#N/A,#N/A,FALSE,"pis";#N/A,#N/A,FALSE,"cf";#N/A,#N/A,FALSE,"balhist";#N/A,#N/A,FALSE,"wc";#N/A,#N/A,FALSE,"ltd";#N/A,#N/A,FALSE,"cover";#N/A,#N/A,FALSE,"fa";#N/A,#N/A,FALSE,"tax";#N/A,#N/A,FALSE,"irr";#N/A,#N/A,FALSE,"in";#N/A,#N/A,FALSE,"DCF Cov";#N/A,#N/A,FALSE,"dcf"}</definedName>
    <definedName name="del" localSheetId="56" hidden="1">{#N/A,#N/A,FALSE,"Cov";#N/A,#N/A,FALSE,"sum";#N/A,#N/A,FALSE,"baladj";#N/A,#N/A,FALSE,"bs";#N/A,#N/A,FALSE,"is";#N/A,#N/A,FALSE,"pis";#N/A,#N/A,FALSE,"pis";#N/A,#N/A,FALSE,"cf";#N/A,#N/A,FALSE,"balhist";#N/A,#N/A,FALSE,"wc";#N/A,#N/A,FALSE,"ltd";#N/A,#N/A,FALSE,"cover";#N/A,#N/A,FALSE,"fa";#N/A,#N/A,FALSE,"tax";#N/A,#N/A,FALSE,"irr";#N/A,#N/A,FALSE,"in";#N/A,#N/A,FALSE,"DCF Cov";#N/A,#N/A,FALSE,"dcf"}</definedName>
    <definedName name="del" hidden="1">{#N/A,#N/A,FALSE,"Cov";#N/A,#N/A,FALSE,"sum";#N/A,#N/A,FALSE,"baladj";#N/A,#N/A,FALSE,"bs";#N/A,#N/A,FALSE,"is";#N/A,#N/A,FALSE,"pis";#N/A,#N/A,FALSE,"pis";#N/A,#N/A,FALSE,"cf";#N/A,#N/A,FALSE,"balhist";#N/A,#N/A,FALSE,"wc";#N/A,#N/A,FALSE,"ltd";#N/A,#N/A,FALSE,"cover";#N/A,#N/A,FALSE,"fa";#N/A,#N/A,FALSE,"tax";#N/A,#N/A,FALSE,"irr";#N/A,#N/A,FALSE,"in";#N/A,#N/A,FALSE,"DCF Cov";#N/A,#N/A,FALSE,"dcf"}</definedName>
    <definedName name="dele" localSheetId="61" hidden="1">{#N/A,#N/A,FALSE,"Cov";#N/A,#N/A,FALSE,"sum";#N/A,#N/A,FALSE,"baladj";#N/A,#N/A,FALSE,"bs";#N/A,#N/A,FALSE,"is";#N/A,#N/A,FALSE,"pis";#N/A,#N/A,FALSE,"cf";#N/A,#N/A,FALSE,"balhist";#N/A,#N/A,FALSE,"wc";#N/A,#N/A,FALSE,"ltd";#N/A,#N/A,FALSE,"cover";#N/A,#N/A,FALSE,"fa";#N/A,#N/A,FALSE,"tax";#N/A,#N/A,FALSE,"irr";#N/A,#N/A,FALSE,"in"}</definedName>
    <definedName name="dele" localSheetId="56" hidden="1">{#N/A,#N/A,FALSE,"Cov";#N/A,#N/A,FALSE,"sum";#N/A,#N/A,FALSE,"baladj";#N/A,#N/A,FALSE,"bs";#N/A,#N/A,FALSE,"is";#N/A,#N/A,FALSE,"pis";#N/A,#N/A,FALSE,"cf";#N/A,#N/A,FALSE,"balhist";#N/A,#N/A,FALSE,"wc";#N/A,#N/A,FALSE,"ltd";#N/A,#N/A,FALSE,"cover";#N/A,#N/A,FALSE,"fa";#N/A,#N/A,FALSE,"tax";#N/A,#N/A,FALSE,"irr";#N/A,#N/A,FALSE,"in"}</definedName>
    <definedName name="dele" hidden="1">{#N/A,#N/A,FALSE,"Cov";#N/A,#N/A,FALSE,"sum";#N/A,#N/A,FALSE,"baladj";#N/A,#N/A,FALSE,"bs";#N/A,#N/A,FALSE,"is";#N/A,#N/A,FALSE,"pis";#N/A,#N/A,FALSE,"cf";#N/A,#N/A,FALSE,"balhist";#N/A,#N/A,FALSE,"wc";#N/A,#N/A,FALSE,"ltd";#N/A,#N/A,FALSE,"cover";#N/A,#N/A,FALSE,"fa";#N/A,#N/A,FALSE,"tax";#N/A,#N/A,FALSE,"irr";#N/A,#N/A,FALSE,"in"}</definedName>
    <definedName name="delete" localSheetId="61" hidden="1">{#N/A,#N/A,FALSE,"DCF Cov";#N/A,#N/A,FALSE,"dcf"}</definedName>
    <definedName name="delete" localSheetId="56" hidden="1">{#N/A,#N/A,FALSE,"DCF Cov";#N/A,#N/A,FALSE,"dcf"}</definedName>
    <definedName name="delete" hidden="1">{#N/A,#N/A,FALSE,"DCF Cov";#N/A,#N/A,FALSE,"dcf"}</definedName>
    <definedName name="dse" localSheetId="61" hidden="1">{#N/A,#N/A,FALSE,"Model";#N/A,#N/A,FALSE,"Gen Pts &amp; Rts 2000";#N/A,#N/A,FALSE,"AcqsAss";#N/A,#N/A,FALSE,"Acqs &amp; De Novos"}</definedName>
    <definedName name="dse" localSheetId="56" hidden="1">{#N/A,#N/A,FALSE,"Model";#N/A,#N/A,FALSE,"Gen Pts &amp; Rts 2000";#N/A,#N/A,FALSE,"AcqsAss";#N/A,#N/A,FALSE,"Acqs &amp; De Novos"}</definedName>
    <definedName name="dse" hidden="1">{#N/A,#N/A,FALSE,"Model";#N/A,#N/A,FALSE,"Gen Pts &amp; Rts 2000";#N/A,#N/A,FALSE,"AcqsAss";#N/A,#N/A,FALSE,"Acqs &amp; De Novos"}</definedName>
    <definedName name="ef." localSheetId="61" hidden="1">{#N/A,"A",FALSE,"DCF"}</definedName>
    <definedName name="ef." localSheetId="56" hidden="1">{#N/A,"A",FALSE,"DCF"}</definedName>
    <definedName name="ef." hidden="1">{#N/A,"A",FALSE,"DCF"}</definedName>
    <definedName name="Error_Amount" hidden="1">"'Error_Checks'!B10"</definedName>
    <definedName name="Error_Check" hidden="1">"ABS(Error_Amount)&gt;Error_Threshold"</definedName>
    <definedName name="Error_Threshold" hidden="1">0.05</definedName>
    <definedName name="ev.Calculation" hidden="1">-4105</definedName>
    <definedName name="ev.Initialized" hidden="1">FALSE</definedName>
    <definedName name="ExactAddinReports" hidden="1">1</definedName>
    <definedName name="ExbMult_Total" localSheetId="41" hidden="1">#REF!</definedName>
    <definedName name="ExbMult_Total" localSheetId="42" hidden="1">#REF!</definedName>
    <definedName name="ExbMult_Total" localSheetId="43" hidden="1">#REF!</definedName>
    <definedName name="ExbMult_Total" localSheetId="45" hidden="1">#REF!</definedName>
    <definedName name="ExbMult_Total" localSheetId="4" hidden="1">#REF!</definedName>
    <definedName name="ExbMult_Total" localSheetId="50" hidden="1">#REF!</definedName>
    <definedName name="ExbMult_Total" localSheetId="52" hidden="1">#REF!</definedName>
    <definedName name="ExbMult_Total" localSheetId="51" hidden="1">#REF!</definedName>
    <definedName name="ExbMult_Total" localSheetId="55" hidden="1">#REF!</definedName>
    <definedName name="ExbMult_Total" hidden="1">#REF!</definedName>
    <definedName name="Facilities">1700</definedName>
    <definedName name="finres" localSheetId="41" hidden="1">#REF!</definedName>
    <definedName name="finres" localSheetId="42" hidden="1">#REF!</definedName>
    <definedName name="finres" localSheetId="43" hidden="1">#REF!</definedName>
    <definedName name="finres" localSheetId="45" hidden="1">#REF!</definedName>
    <definedName name="finres" localSheetId="4" hidden="1">#REF!</definedName>
    <definedName name="finres" localSheetId="50" hidden="1">#REF!</definedName>
    <definedName name="finres" localSheetId="52" hidden="1">#REF!</definedName>
    <definedName name="finres" localSheetId="51" hidden="1">#REF!</definedName>
    <definedName name="finres" localSheetId="55" hidden="1">#REF!</definedName>
    <definedName name="finres" hidden="1">#REF!</definedName>
    <definedName name="FirstProj" localSheetId="56">[8]Setup!$C$14</definedName>
    <definedName name="fw" localSheetId="61" hidden="1">{#N/A,#N/A,FALSE,"Model";#N/A,#N/A,FALSE,"Gen Pts &amp; Rts 2000";#N/A,#N/A,FALSE,"AcqsAss";#N/A,#N/A,FALSE,"Acqs &amp; De Novos"}</definedName>
    <definedName name="fw" localSheetId="56" hidden="1">{#N/A,#N/A,FALSE,"Model";#N/A,#N/A,FALSE,"Gen Pts &amp; Rts 2000";#N/A,#N/A,FALSE,"AcqsAss";#N/A,#N/A,FALSE,"Acqs &amp; De Novos"}</definedName>
    <definedName name="fw" hidden="1">{#N/A,#N/A,FALSE,"Model";#N/A,#N/A,FALSE,"Gen Pts &amp; Rts 2000";#N/A,#N/A,FALSE,"AcqsAss";#N/A,#N/A,FALSE,"Acqs &amp; De Novos"}</definedName>
    <definedName name="gin" localSheetId="41" hidden="1">#REF!</definedName>
    <definedName name="gin" localSheetId="42" hidden="1">#REF!</definedName>
    <definedName name="gin" localSheetId="43" hidden="1">#REF!</definedName>
    <definedName name="gin" localSheetId="45" hidden="1">#REF!</definedName>
    <definedName name="gin" localSheetId="4" hidden="1">#REF!</definedName>
    <definedName name="gin" localSheetId="61" hidden="1">#REF!</definedName>
    <definedName name="gin" localSheetId="50" hidden="1">#REF!</definedName>
    <definedName name="gin" localSheetId="52" hidden="1">#REF!</definedName>
    <definedName name="gin" localSheetId="51" hidden="1">#REF!</definedName>
    <definedName name="gin" localSheetId="55" hidden="1">#REF!</definedName>
    <definedName name="gin" hidden="1">#REF!</definedName>
    <definedName name="hh" localSheetId="61" hidden="1">{#N/A,#N/A,FALSE,"Bakersfield PCs";#N/A,#N/A,FALSE,"Bremer PCs";#N/A,#N/A,FALSE,"Bakersfield Notebooks"}</definedName>
    <definedName name="hh" localSheetId="56" hidden="1">{#N/A,#N/A,FALSE,"Bakersfield PCs";#N/A,#N/A,FALSE,"Bremer PCs";#N/A,#N/A,FALSE,"Bakersfield Notebooks"}</definedName>
    <definedName name="hh" hidden="1">{#N/A,#N/A,FALSE,"Bakersfield PCs";#N/A,#N/A,FALSE,"Bremer PCs";#N/A,#N/A,FALSE,"Bakersfield Notebooks"}</definedName>
    <definedName name="hhhh" localSheetId="61" hidden="1">{#N/A,#N/A,FALSE,"Bakersfield PCs";#N/A,#N/A,FALSE,"Bremer PCs";#N/A,#N/A,FALSE,"Bakersfield Notebooks"}</definedName>
    <definedName name="hhhh" localSheetId="56" hidden="1">{#N/A,#N/A,FALSE,"Bakersfield PCs";#N/A,#N/A,FALSE,"Bremer PCs";#N/A,#N/A,FALSE,"Bakersfield Notebooks"}</definedName>
    <definedName name="hhhh" hidden="1">{#N/A,#N/A,FALSE,"Bakersfield PCs";#N/A,#N/A,FALSE,"Bremer PCs";#N/A,#N/A,FALSE,"Bakersfield Notebooks"}</definedName>
    <definedName name="hhhhh" localSheetId="61" hidden="1">{#N/A,#N/A,FALSE,"Bakersfield PCs";#N/A,#N/A,FALSE,"Bremer PCs";#N/A,#N/A,FALSE,"Bakersfield Notebooks"}</definedName>
    <definedName name="hhhhh" localSheetId="56" hidden="1">{#N/A,#N/A,FALSE,"Bakersfield PCs";#N/A,#N/A,FALSE,"Bremer PCs";#N/A,#N/A,FALSE,"Bakersfield Notebooks"}</definedName>
    <definedName name="hhhhh" hidden="1">{#N/A,#N/A,FALSE,"Bakersfield PCs";#N/A,#N/A,FALSE,"Bremer PCs";#N/A,#N/A,FALSE,"Bakersfield Notebooks"}</definedName>
    <definedName name="hhhw" localSheetId="61" hidden="1">{#N/A,#N/A,FALSE,"Bakersfield PCs";#N/A,#N/A,FALSE,"Bremer PCs";#N/A,#N/A,FALSE,"Bakersfield Notebooks"}</definedName>
    <definedName name="hhhw" localSheetId="56" hidden="1">{#N/A,#N/A,FALSE,"Bakersfield PCs";#N/A,#N/A,FALSE,"Bremer PCs";#N/A,#N/A,FALSE,"Bakersfield Notebooks"}</definedName>
    <definedName name="hhhw" hidden="1">{#N/A,#N/A,FALSE,"Bakersfield PCs";#N/A,#N/A,FALSE,"Bremer PCs";#N/A,#N/A,FALSE,"Bakersfield Notebooks"}</definedName>
    <definedName name="hn.ExtDb" hidden="1">FALSE</definedName>
    <definedName name="hn.ModelType" hidden="1">"DEAL"</definedName>
    <definedName name="hn.ModelVersion" hidden="1">1</definedName>
    <definedName name="hn.NoUpload" hidden="1">0</definedName>
    <definedName name="HTML_CodePage" hidden="1">1252</definedName>
    <definedName name="HTML_Control" localSheetId="61" hidden="1">{"'Leverage'!$B$2:$M$418"}</definedName>
    <definedName name="HTML_Control" localSheetId="56" hidden="1">{"'Leverage'!$B$2:$M$418"}</definedName>
    <definedName name="HTML_Control" hidden="1">{"'Leverage'!$B$2:$M$418"}</definedName>
    <definedName name="HTML_Description" hidden="1">""</definedName>
    <definedName name="HTML_Email" hidden="1">""</definedName>
    <definedName name="HTML_Header" hidden="1">"Leverage"</definedName>
    <definedName name="HTML_LastUpdate" hidden="1">"8/21/00"</definedName>
    <definedName name="HTML_LineAfter" hidden="1">FALSE</definedName>
    <definedName name="HTML_LineBefore" hidden="1">FALSE</definedName>
    <definedName name="HTML_Name" hidden="1">"Frank Vickers"</definedName>
    <definedName name="HTML_OBDlg2" hidden="1">TRUE</definedName>
    <definedName name="HTML_OBDlg4" hidden="1">TRUE</definedName>
    <definedName name="HTML_OS" hidden="1">0</definedName>
    <definedName name="HTML_PathFile" hidden="1">"C:\my documents\lever.htm"</definedName>
    <definedName name="HTML_PathFileMac" hidden="1">"Macintosh HD:HomePageStuff:New_Home_Page:datafile:ctryprem.html"</definedName>
    <definedName name="HTML_Title" hidden="1">"leverage"</definedName>
    <definedName name="HTML1_1" hidden="1">"[BC死亡者数.xls]BCpts!$A$2:$I$51"</definedName>
    <definedName name="HTML1_10" hidden="1">""</definedName>
    <definedName name="HTML1_11" hidden="1">1</definedName>
    <definedName name="HTML1_12" hidden="1">"O:\CTAT\Z-mate\厚生省\BC-death.htm"</definedName>
    <definedName name="HTML1_2" hidden="1">1</definedName>
    <definedName name="HTML1_3" hidden="1">"BC死亡者数.xls"</definedName>
    <definedName name="HTML1_4" hidden="1">"BCpts"</definedName>
    <definedName name="HTML1_5" hidden="1">""</definedName>
    <definedName name="HTML1_6" hidden="1">-4146</definedName>
    <definedName name="HTML1_7" hidden="1">-4146</definedName>
    <definedName name="HTML1_8" hidden="1">"98/06/04"</definedName>
    <definedName name="HTML1_9" hidden="1">"j631091"</definedName>
    <definedName name="HTMLCount" hidden="1">1</definedName>
    <definedName name="iiii" localSheetId="61" hidden="1">{#N/A,#N/A,FALSE,"Bakersfield PCs";#N/A,#N/A,FALSE,"Bremer PCs";#N/A,#N/A,FALSE,"Bakersfield Notebooks"}</definedName>
    <definedName name="iiii" localSheetId="56" hidden="1">{#N/A,#N/A,FALSE,"Bakersfield PCs";#N/A,#N/A,FALSE,"Bremer PCs";#N/A,#N/A,FALSE,"Bakersfield Notebooks"}</definedName>
    <definedName name="iiii" hidden="1">{#N/A,#N/A,FALSE,"Bakersfield PCs";#N/A,#N/A,FALSE,"Bremer PCs";#N/A,#N/A,FALSE,"Bakersfield Notebooks"}</definedName>
    <definedName name="int_ext_sel">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"c7"</definedName>
    <definedName name="IQ_ACCUMULATED_PENSION_OBLIGATION" hidden="1">"c2108"</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FAX" hidden="1">"c2100"</definedName>
    <definedName name="IQ_BOARD_MEMBER_OFFICE" hidden="1">"c2098"</definedName>
    <definedName name="IQ_BOARD_MEMBER_PHONE" hidden="1">"c2099"</definedName>
    <definedName name="IQ_BOARD_MEMBER_TITLE" hidden="1">"c97"</definedName>
    <definedName name="IQ_BONDRATING_FITCH" hidden="1">"c223"</definedName>
    <definedName name="IQ_BONDRATING_FITCH_DATE" hidden="1">"c241"</definedName>
    <definedName name="IQ_BONDRATING_SP" hidden="1">"c224"</definedName>
    <definedName name="IQ_BONDRATING_SP_DATE" hidden="1">"c242"</definedName>
    <definedName name="IQ_BROK_COMISSION" hidden="1">"c98"</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INESS_DESCRIPTION" hidden="1">"c322"</definedName>
    <definedName name="IQ_BV_ACT_OR_EST_REUT" hidden="1">"c5471"</definedName>
    <definedName name="IQ_BV_ACT_OR_EST_THOM" hidden="1">"c5308"</definedName>
    <definedName name="IQ_BV_EST_REUT" hidden="1">"c5403"</definedName>
    <definedName name="IQ_BV_EST_THOM" hidden="1">"c5147"</definedName>
    <definedName name="IQ_BV_HIGH_EST_REUT" hidden="1">"c5405"</definedName>
    <definedName name="IQ_BV_HIGH_EST_THOM" hidden="1">"c5149"</definedName>
    <definedName name="IQ_BV_LOW_EST_REUT" hidden="1">"c5406"</definedName>
    <definedName name="IQ_BV_LOW_EST_THOM" hidden="1">"c5150"</definedName>
    <definedName name="IQ_BV_MEDIAN_EST_REUT" hidden="1">"c5404"</definedName>
    <definedName name="IQ_BV_MEDIAN_EST_THOM" hidden="1">"c5148"</definedName>
    <definedName name="IQ_BV_NUM_EST_REUT" hidden="1">"c5407"</definedName>
    <definedName name="IQ_BV_NUM_EST_THOM" hidden="1">"c5151"</definedName>
    <definedName name="IQ_BV_OVER_SHARES" hidden="1">"c100"</definedName>
    <definedName name="IQ_BV_SHARE" hidden="1">"c100"</definedName>
    <definedName name="IQ_BV_STDDEV_EST_REUT" hidden="1">"c5408"</definedName>
    <definedName name="IQ_BV_STDDEV_EST_THOM" hidden="1">"c5152"</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_REUT" hidden="1">"c6800"</definedName>
    <definedName name="IQ_CAL_Y" hidden="1">"c102"</definedName>
    <definedName name="IQ_CAL_Y_EST_REUT" hidden="1">"c6801"</definedName>
    <definedName name="IQ_CALC_TYPE_BS" hidden="1">"c3086"</definedName>
    <definedName name="IQ_CALC_TYPE_CF" hidden="1">"c3085"</definedName>
    <definedName name="IQ_CALC_TYPE_IS" hidden="1">"c3084"</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QUIV" hidden="1">"c118"</definedName>
    <definedName name="IQ_CASH_FINAN" hidden="1">"c119"</definedName>
    <definedName name="IQ_CASH_IN_PROCESS_FDIC" hidden="1">"c6386"</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CE_FDIC" hidden="1">"c6296"</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DET_EST_REUT_CURRENCY_CURRENCY_REUT" hidden="1">"c12526"</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RATE" hidden="1">"c2192"</definedName>
    <definedName name="IQ_CONVERT" hidden="1">"c2536"</definedName>
    <definedName name="IQ_CONVERT_DEBT" hidden="1">"c224"</definedName>
    <definedName name="IQ_CONVERT_PCT" hidden="1">"c2537"</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PAYOUT" hidden="1">"c3005"</definedName>
    <definedName name="IQ_DISTRIBUTABLE_CASH_SHARE" hidden="1">"c3003"</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 hidden="1">"c2801"</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ROWTH_1" hidden="1">"c157"</definedName>
    <definedName name="IQ_EBIT_GROWTH_2" hidden="1">"c161"</definedName>
    <definedName name="IQ_EBIT_INT" hidden="1">"c360"</definedName>
    <definedName name="IQ_EBIT_MARGIN" hidden="1">"c359"</definedName>
    <definedName name="IQ_EBIT_OVER_IE" hidden="1">"c360"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"c368"</definedName>
    <definedName name="IQ_EBITDA_DET_EST_REUT_CURRENCY_CURRENCY_REUT" hidden="1">"c12529"</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GROWTH_1" hidden="1">"c156"</definedName>
    <definedName name="IQ_EBITDA_GROWTH_2" hidden="1">"c160"</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_REUT" hidden="1">"c3641"</definedName>
    <definedName name="IQ_EBITDA_NO_EST" hidden="1">"c267"</definedName>
    <definedName name="IQ_EBITDA_NUM_EST" hidden="1">"c374"</definedName>
    <definedName name="IQ_EBITDA_NUM_EST_REUT" hidden="1">"c3644"</definedName>
    <definedName name="IQ_EBITDA_OVER_TOTAL_IE" hidden="1">"c373"</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GW_DET_EST_REUT_CURRENCY_CURRENCY_REUT" hidden="1">"c12533"</definedName>
    <definedName name="IQ_EPS_GW_EST_REUT" hidden="1">"c5389"</definedName>
    <definedName name="IQ_EPS_GW_HIGH_EST_REUT" hidden="1">"c5391"</definedName>
    <definedName name="IQ_EPS_GW_LOW_EST_REUT" hidden="1">"c5392"</definedName>
    <definedName name="IQ_EPS_GW_MEDIAN_EST_REUT" hidden="1">"c5390"</definedName>
    <definedName name="IQ_EPS_GW_NUM_EST_REUT" hidden="1">"c5393"</definedName>
    <definedName name="IQ_EPS_GW_STDDEV_EST_REUT" hidden="1">"c5394"</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_EST" hidden="1">"c271"</definedName>
    <definedName name="IQ_EPS_NORM" hidden="1">"c1902"</definedName>
    <definedName name="IQ_EPS_NORM_EST_REUT" hidden="1">"c5326"</definedName>
    <definedName name="IQ_EPS_NORM_HIGH_EST_REUT" hidden="1">"c5328"</definedName>
    <definedName name="IQ_EPS_NORM_LOW_EST_REUT" hidden="1">"c5329"</definedName>
    <definedName name="IQ_EPS_NORM_MEDIAN_EST_REUT" hidden="1">"c5327"</definedName>
    <definedName name="IQ_EPS_NORM_NUM_EST_REUT" hidden="1">"c5330"</definedName>
    <definedName name="IQ_EPS_NORM_STDDEV_EST_REUT" hidden="1">"c5331"</definedName>
    <definedName name="IQ_EPS_NUM_EST" hidden="1">"c402"</definedName>
    <definedName name="IQ_EPS_NUM_EST_REUT" hidden="1">"c5451"</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ED_EST_REUT" hidden="1">"c5396"</definedName>
    <definedName name="IQ_EPS_REPORTED_HIGH_EST_REUT" hidden="1">"c5398"</definedName>
    <definedName name="IQ_EPS_REPORTED_LOW_EST_REUT" hidden="1">"c5399"</definedName>
    <definedName name="IQ_EPS_REPORTED_MEDIAN_EST_REUT" hidden="1">"c5397"</definedName>
    <definedName name="IQ_EPS_REPORTED_NUM_EST_REUT" hidden="1">"c5400"</definedName>
    <definedName name="IQ_EPS_REPORTED_STDDEV_EST_REUT" hidden="1">"c5401"</definedName>
    <definedName name="IQ_EPS_STDDEV_EST" hidden="1">"c403"</definedName>
    <definedName name="IQ_EPS_STDDEV_EST_REUT" hidden="1">"c5452"</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THOM" hidden="1">"c5153"</definedName>
    <definedName name="IQ_EST_ACT_EPS" hidden="1">"c1648"</definedName>
    <definedName name="IQ_EST_ACT_EPS_GW_REUT" hidden="1">"c5395"</definedName>
    <definedName name="IQ_EST_ACT_EPS_NORM_REUT" hidden="1">"c5332"</definedName>
    <definedName name="IQ_EST_ACT_EPS_PRIMARY" hidden="1">"c2232"</definedName>
    <definedName name="IQ_EST_ACT_EPS_REPORTED_REUT" hidden="1">"c5402"</definedName>
    <definedName name="IQ_EST_ACT_FFO_REUT" hidden="1">"c3843"</definedName>
    <definedName name="IQ_EST_ACT_FFO_THOM" hidden="1">"c4005"</definedName>
    <definedName name="IQ_EST_BV_DIFF_REUT" hidden="1">"c5433"</definedName>
    <definedName name="IQ_EST_BV_DIFF_THOM" hidden="1">"c5204"</definedName>
    <definedName name="IQ_EST_BV_SURPRISE_PERCENT_REUT" hidden="1">"c5434"</definedName>
    <definedName name="IQ_EST_BV_SURPRISE_PERCENT_THOM" hidden="1">"c5205"</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_REUT" hidden="1">"c5429"</definedName>
    <definedName name="IQ_EST_EPS_GW_SURPRISE_PERCENT_REUT" hidden="1">"c5430"</definedName>
    <definedName name="IQ_EST_EPS_NORM_DIFF_REUT" hidden="1">"c5411"</definedName>
    <definedName name="IQ_EST_EPS_NORM_SURPRISE_PERCENT_REUT" hidden="1">"c5412"</definedName>
    <definedName name="IQ_EST_EPS_REPORT_DIFF_REUT" hidden="1">"c5431"</definedName>
    <definedName name="IQ_EST_EPS_REPORT_SURPRISE_PERCENT_REUT" hidden="1">"c5432"</definedName>
    <definedName name="IQ_EST_EPS_SURPRISE" hidden="1">"c1635"</definedName>
    <definedName name="IQ_EST_FFO_DIFF_REUT" hidden="1">"c3890"</definedName>
    <definedName name="IQ_EST_FFO_DIFF_THOM" hidden="1">"c5186"</definedName>
    <definedName name="IQ_EST_FFO_SURPRISE_PERCENT_REUT" hidden="1">"c3891"</definedName>
    <definedName name="IQ_EST_FFO_SURPRISE_PERCENT_THOM" hidden="1">"c5187"</definedName>
    <definedName name="IQ_EST_NUM_BUY_CIQ" hidden="1">"c3700"</definedName>
    <definedName name="IQ_EST_NUM_BUY_REUT" hidden="1">"c3869"</definedName>
    <definedName name="IQ_EST_NUM_BUY_THOM" hidden="1">"c5165"</definedName>
    <definedName name="IQ_EST_NUM_HOLD_CIQ" hidden="1">"c3702"</definedName>
    <definedName name="IQ_EST_NUM_HOLD_REUT" hidden="1">"c3871"</definedName>
    <definedName name="IQ_EST_NUM_HOLD_THOM" hidden="1">"c5167"</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ST_REV_GROWTH_1YR" hidden="1">"c1638"</definedName>
    <definedName name="IQ_EST_REV_GROWTH_2YR" hidden="1">"c1639"</definedName>
    <definedName name="IQ_EST_REV_GROWTH_Q_1YR" hidden="1">"c1640"</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"c165"</definedName>
    <definedName name="IQ_EV_OVER_REVENUE_EST_1" hidden="1">"c166"</definedName>
    <definedName name="IQ_EXCHANGE" hidden="1">"c405"</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ENSE_CODE_" hidden="1">"ajsdasd"</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 hidden="1">"c418"</definedName>
    <definedName name="IQ_FFO_EST_CIQ" hidden="1">"c3668"</definedName>
    <definedName name="IQ_FFO_EST_DET_EST" hidden="1">"c12059"</definedName>
    <definedName name="IQ_FFO_EST_DET_EST_CIQ" hidden="1">"c12121"</definedName>
    <definedName name="IQ_FFO_EST_DET_EST_CURRENCY" hidden="1">"c12466"</definedName>
    <definedName name="IQ_FFO_EST_DET_EST_CURRENCY_CIQ" hidden="1">"c12512"</definedName>
    <definedName name="IQ_FFO_EST_DET_EST_CURRENCY_REUT" hidden="1">"c12536"</definedName>
    <definedName name="IQ_FFO_EST_DET_EST_DATE" hidden="1">"c12212"</definedName>
    <definedName name="IQ_FFO_EST_DET_EST_DATE_CIQ" hidden="1">"c12267"</definedName>
    <definedName name="IQ_FFO_EST_DET_EST_DATE_REUT" hidden="1">"c12295"</definedName>
    <definedName name="IQ_FFO_EST_DET_EST_INCL" hidden="1">"c12349"</definedName>
    <definedName name="IQ_FFO_EST_DET_EST_INCL_CIQ" hidden="1">"c12395"</definedName>
    <definedName name="IQ_FFO_EST_DET_EST_INCL_REUT" hidden="1">"c12419"</definedName>
    <definedName name="IQ_FFO_EST_DET_EST_ORIGIN" hidden="1">"c12722"</definedName>
    <definedName name="IQ_FFO_EST_DET_EST_ORIGIN_CIQ" hidden="1">"c12720"</definedName>
    <definedName name="IQ_FFO_EST_DET_EST_ORIGIN_REUT" hidden="1">"c12724"</definedName>
    <definedName name="IQ_FFO_EST_DET_EST_REUT" hidden="1">"c12153"</definedName>
    <definedName name="IQ_FFO_EST_REUT" hidden="1">"c3837"</definedName>
    <definedName name="IQ_FFO_EST_THOM" hidden="1">"c3999"</definedName>
    <definedName name="IQ_FFO_HIGH_EST" hidden="1">"c419"</definedName>
    <definedName name="IQ_FFO_HIGH_EST_CIQ" hidden="1">"c3670"</definedName>
    <definedName name="IQ_FFO_HIGH_EST_REUT" hidden="1">"c3839"</definedName>
    <definedName name="IQ_FFO_HIGH_EST_THOM" hidden="1">"c4001"</definedName>
    <definedName name="IQ_FFO_LOW_EST" hidden="1">"c420"</definedName>
    <definedName name="IQ_FFO_LOW_EST_CIQ" hidden="1">"c3671"</definedName>
    <definedName name="IQ_FFO_LOW_EST_REUT" hidden="1">"c3840"</definedName>
    <definedName name="IQ_FFO_LOW_EST_THOM" hidden="1">"c4002"</definedName>
    <definedName name="IQ_FFO_MEDIAN_EST_CIQ" hidden="1">"c3669"</definedName>
    <definedName name="IQ_FFO_MEDIAN_EST_REUT" hidden="1">"c3838"</definedName>
    <definedName name="IQ_FFO_MEDIAN_EST_THOM" hidden="1">"c4000"</definedName>
    <definedName name="IQ_FFO_NO_EST" hidden="1">"c276"</definedName>
    <definedName name="IQ_FFO_NUM_EST" hidden="1">"c421"</definedName>
    <definedName name="IQ_FFO_NUM_EST_CIQ" hidden="1">"c3672"</definedName>
    <definedName name="IQ_FFO_NUM_EST_REUT" hidden="1">"c3841"</definedName>
    <definedName name="IQ_FFO_NUM_EST_THOM" hidden="1">"c4003"</definedName>
    <definedName name="IQ_FFO_PAYOUT_RATIO" hidden="1">"c3492"</definedName>
    <definedName name="IQ_FFO_STDDEV_EST" hidden="1">"c422"</definedName>
    <definedName name="IQ_FFO_STDDEV_EST_CIQ" hidden="1">"c3673"</definedName>
    <definedName name="IQ_FFO_STDDEV_EST_REUT" hidden="1">"c3842"</definedName>
    <definedName name="IQ_FFO_STDDEV_EST_THOM" hidden="1">"c4004"</definedName>
    <definedName name="IQ_FH">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I_12M_RETURN" hidden="1">"c25807"</definedName>
    <definedName name="IQ_FII_3M_RETURN" hidden="1">"c25808"</definedName>
    <definedName name="IQ_FII_6M_RETURN" hidden="1">"c25809"</definedName>
    <definedName name="IQ_FII_AVGBIDSPREAD" hidden="1">"c25820"</definedName>
    <definedName name="IQ_FII_CONVEX" hidden="1">"c25799"</definedName>
    <definedName name="IQ_FII_COUPON" hidden="1">"c25800"</definedName>
    <definedName name="IQ_FII_DAILY_RETURN" hidden="1">"c25810"</definedName>
    <definedName name="IQ_FII_DURTW" hidden="1">"c25802"</definedName>
    <definedName name="IQ_FII_EXCESS_RETURN" hidden="1">"c25819"</definedName>
    <definedName name="IQ_FII_INDEXPRICE" hidden="1">"c25806"</definedName>
    <definedName name="IQ_FII_MATURITY" hidden="1">"c25804"</definedName>
    <definedName name="IQ_FII_MODDUR" hidden="1">"c25801"</definedName>
    <definedName name="IQ_FII_MTD_RETURN_COUPON" hidden="1">"c25813"</definedName>
    <definedName name="IQ_FII_MTD_RETURN_CURRENCY" hidden="1">"c25814"</definedName>
    <definedName name="IQ_FII_MTD_RETURN_PAYDOWN" hidden="1">"c25815"</definedName>
    <definedName name="IQ_FII_MTD_RETURN_PRICE" hidden="1">"c25816"</definedName>
    <definedName name="IQ_FII_MTD_RETURN_TOTAL" hidden="1">"c25812"</definedName>
    <definedName name="IQ_FII_MV" hidden="1">"c25803"</definedName>
    <definedName name="IQ_FII_NUMISSUE" hidden="1">"c25805"</definedName>
    <definedName name="IQ_FII_OAS" hidden="1">"c25798"</definedName>
    <definedName name="IQ_FII_RETURN_INCEPTION" hidden="1">"c25811"</definedName>
    <definedName name="IQ_FII_YTD_RETURN" hidden="1">"c25817"</definedName>
    <definedName name="IQ_FII_YTW" hidden="1">"c25818"</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ANCING_CASH" hidden="1">"c893"</definedName>
    <definedName name="IQ_FINANCING_CASH_SUPPL" hidden="1">"c899"</definedName>
    <definedName name="IQ_FINISHED_INV" hidden="1">"c438"</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_REUT" hidden="1">"c6798"</definedName>
    <definedName name="IQ_FISCAL_Y" hidden="1">"c441"</definedName>
    <definedName name="IQ_FISCAL_Y_EST_REUT" hidden="1">"c6799"</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1000</definedName>
    <definedName name="IQ_FY_DATE" hidden="1">"IQ_FY_DATE"</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"c511"</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ELD_MATURITY_FDIC" hidden="1">"c6408"</definedName>
    <definedName name="IQ_HIGH_TARGET_PRICE_REUT" hidden="1">"c5317"</definedName>
    <definedName name="IQ_HIGHPRICE" hidden="1">"c545"</definedName>
    <definedName name="IQ_HOME_EQUITY_LOC_NET_CHARGE_OFFS_FDIC" hidden="1">"c6644"</definedName>
    <definedName name="IQ_HOME_EQUITY_LOC_TOTAL_CHARGE_OFFS_FDIC" hidden="1">"c6606"</definedName>
    <definedName name="IQ_HOME_EQUITY_LOC_TOTAL_RECOVERIES_FDIC" hidden="1">"c6625"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PROVIDED_DIVIDEND" hidden="1">"c19252"</definedName>
    <definedName name="IQ_INDEXCONSTITUENT_CLOSEPRICE" hidden="1">"c19241"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L_EPS_EST" hidden="1">"c24729"</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LT_DEBT" hidden="1">"c2086"</definedName>
    <definedName name="IQ_INTEREST_RATE_CONTRACTS_FDIC" hidden="1">"c6512"</definedName>
    <definedName name="IQ_INTEREST_RATE_EXPOSURES_FDIC" hidden="1">"c6662"</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D_GUARANTEED_US_FDIC" hidden="1">"c6404"</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"100"</definedName>
    <definedName name="IQ_LATESTQ" hidden="1">500</definedName>
    <definedName name="IQ_LATESTQFR" hidden="1">"50"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ISTING_CURRENCY" hidden="1">"c2127"</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DATE" hidden="1">"IQ_LTM_DATE"</definedName>
    <definedName name="IQ_LTM_REVENUE_OVER_EMPLOYEES" hidden="1">"c1304"</definedName>
    <definedName name="IQ_LTMMONTH" hidden="1">120000</definedName>
    <definedName name="IQ_MACHINERY" hidden="1">"c711"</definedName>
    <definedName name="IQ_MACRO_SURVEY_CONSUMER_SENTIMENT" hidden="1">"c20808"</definedName>
    <definedName name="IQ_MAINT_CAPEX" hidden="1">"c2947"</definedName>
    <definedName name="IQ_MAINT_CAPEX_ACT_OR_EST" hidden="1">"c4458"</definedName>
    <definedName name="IQ_MAINT_REPAIR" hidden="1">"c2087"</definedName>
    <definedName name="IQ_MARKET_CAP_LFCF" hidden="1">"c2209"</definedName>
    <definedName name="IQ_MARKETCAP" hidden="1">"c712"</definedName>
    <definedName name="IQ_MARKETING" hidden="1">"c2239"</definedName>
    <definedName name="IQ_MARKTCAP" hidden="1">"c258"</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EY_MARKET_DEPOSIT_ACCOUNTS_FDIC" hidden="1">"c6553"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localSheetId="61" hidden="1">42308.5232523148</definedName>
    <definedName name="IQ_NAMES_REVISION_DATE_" localSheetId="17" hidden="1">41596.122662037</definedName>
    <definedName name="IQ_NAMES_REVISION_DATE_" localSheetId="62" hidden="1">42418.5945138889</definedName>
    <definedName name="IQ_NAMES_REVISION_DATE_" localSheetId="72" hidden="1">42571.2669444444</definedName>
    <definedName name="IQ_NAMES_REVISION_DATE_" hidden="1">43096.4881481481</definedName>
    <definedName name="IQ_NAMES_REVISION_DATE__1" hidden="1">41449.5435763889</definedName>
    <definedName name="IQ_NAV_ACT_OR_EST" hidden="1">"c2225"</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"c158"</definedName>
    <definedName name="IQ_NET_INC_GROWTH_2" hidden="1">"c162"</definedName>
    <definedName name="IQ_NET_INC_MARGIN" hidden="1">"c794"</definedName>
    <definedName name="IQ_NET_INCOME_FDIC" hidden="1">"c6587"</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_OFFIC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"c362"</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_BR" hidden="1">"c5566"</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MONTH_THOM" hidden="1">"c5244"</definedName>
    <definedName name="IQ_PERCENT_CHANGE_EST_FFO_WEEK" hidden="1">"c1823"</definedName>
    <definedName name="IQ_PERCENT_CHANGE_EST_FFO_WEEK_CIQ" hidden="1">"c3795"</definedName>
    <definedName name="IQ_PERCENT_CHANGE_EST_FFO_WEEK_REUT" hidden="1">"c3964"</definedName>
    <definedName name="IQ_PERCENT_CHANGE_EST_FFO_WEEK_THOM" hidden="1">"c5274"</definedName>
    <definedName name="IQ_PERCENT_INSURED_FDIC" hidden="1">"c6374"</definedName>
    <definedName name="IQ_PERIODDATE" hidden="1">"c1034"</definedName>
    <definedName name="IQ_PERIODDATE_BS" hidden="1">"c1032"</definedName>
    <definedName name="IQ_PERIODDATE_CF" hidden="1">"c1033"</definedName>
    <definedName name="IQ_PERIODDATE_FDIC" hidden="1">"c13646"</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INC_10K" hidden="1">"IQ_PRETAX_INC_10K"</definedName>
    <definedName name="IQ_PRETAX_INC_10Q" hidden="1">"IQ_PRETAX_INC_10Q"</definedName>
    <definedName name="IQ_PRETAX_INC_10Q1" hidden="1">"IQ_PRETAX_INC_10Q1"</definedName>
    <definedName name="IQ_PRETAX_RETURN_ASSETS_FDIC" hidden="1">"c6731"</definedName>
    <definedName name="IQ_PRICE_OVER_BVPS" hidden="1">"c1026"</definedName>
    <definedName name="IQ_PRICE_OVER_EPS_EST" hidden="1">"c174"</definedName>
    <definedName name="IQ_PRICE_OVER_EPS_EST_1" hidden="1">"c175"</definedName>
    <definedName name="IQ_PRICE_OVER_LTM_EPS" hidden="1">"c1029"</definedName>
    <definedName name="IQ_PRICE_TARGET" hidden="1">"c82"</definedName>
    <definedName name="IQ_PRICE_TARGET_REUT" hidden="1">"c3631"</definedName>
    <definedName name="IQ_PRICEDATE" hidden="1">"c1069"</definedName>
    <definedName name="IQ_PRICEDATETIME" hidden="1">"IQ_PRICEDATETIME"</definedName>
    <definedName name="IQ_PRICING_DATE" hidden="1">"c1613"</definedName>
    <definedName name="IQ_PRIMARY_EPS_TYPE_THOM" hidden="1">"c5297"</definedName>
    <definedName name="IQ_PRIMARY_INDUSTRY" hidden="1">"c1070"</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DEEM_PREF_STOCK" hidden="1">"c1059"</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EST" hidden="1">"c1126"</definedName>
    <definedName name="IQ_REVENUE_EST_REUT" hidden="1">"c3634"</definedName>
    <definedName name="IQ_REVENUE_GROWTH_1" hidden="1">"c155"</definedName>
    <definedName name="IQ_REVENUE_GROWTH_2" hidden="1">"c159"</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_REUT" hidden="1">"c3635"</definedName>
    <definedName name="IQ_REVENUE_NO_EST" hidden="1">"c263"</definedName>
    <definedName name="IQ_REVENUE_NUM_EST" hidden="1">"c1129"</definedName>
    <definedName name="IQ_REVENUE_NUM_EST_REUT" hidden="1">"c3638"</definedName>
    <definedName name="IQ_Revision_date_2" hidden="1">38784.4474652778</definedName>
    <definedName name="IQ_REVOLVING_SECURED_1_–4_NON_ACCRUAL_FFIEC" hidden="1">"c15565"</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_ISSUE_LC_ACTION" hidden="1">"c2644"</definedName>
    <definedName name="IQ_SP_ISSUE_LC_DATE" hidden="1">"c2643"</definedName>
    <definedName name="IQ_SP_ISSUE_LC_LT" hidden="1">"c2645"</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GS_FIN" hidden="1">"c2998"</definedName>
    <definedName name="IQ_STOCK_BASED_COGS_UTIL" hidden="1">"c2997"</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LASTCLOSE" hidden="1">"c1855"</definedName>
    <definedName name="IQ_TARGET_PRICE_NUM_REUT" hidden="1">"c5319"</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DUE" hidden="1">"c2509"</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R" hidden="1">"c5517"</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ADVISORS" hidden="1">"c2387"</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ADVISORS" hidden="1">"c2388"</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BDEBT" hidden="1">"c2370"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ADVISORS" hidden="1">"c2386"</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 hidden="1">"c2930"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 hidden="1">"c2932"</definedName>
    <definedName name="IQ_US_GAAP_CL_ADJ" hidden="1">"c2927"</definedName>
    <definedName name="IQ_US_GAAP_COST_REV" hidden="1">"c2965"</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 hidden="1">"c2973"</definedName>
    <definedName name="IQ_US_GAAP_DO_ADJ" hidden="1">"c2959"</definedName>
    <definedName name="IQ_US_GAAP_EXTRA_ACC_ITEMS" hidden="1">"c2972"</definedName>
    <definedName name="IQ_US_GAAP_EXTRA_ACC_ITEMS_ADJ" hidden="1">"c2958"</definedName>
    <definedName name="IQ_US_GAAP_INC_TAX" hidden="1">"c2975"</definedName>
    <definedName name="IQ_US_GAAP_INC_TAX_ADJ" hidden="1">"c2961"</definedName>
    <definedName name="IQ_US_GAAP_INTEREST_EXP" hidden="1">"c2971"</definedName>
    <definedName name="IQ_US_GAAP_INTEREST_EXP_ADJ" hidden="1">"c2957"</definedName>
    <definedName name="IQ_US_GAAP_LIAB_LT" hidden="1">"c2933"</definedName>
    <definedName name="IQ_US_GAAP_LIAB_LT_ADJ" hidden="1">"c2928"</definedName>
    <definedName name="IQ_US_GAAP_LIAB_TOTAL_LIAB" hidden="1">"c2933"</definedName>
    <definedName name="IQ_US_GAAP_MINORITY_INTEREST_IS" hidden="1">"c2974"</definedName>
    <definedName name="IQ_US_GAAP_MINORITY_INTEREST_IS_ADJ" hidden="1">"c2960"</definedName>
    <definedName name="IQ_US_GAAP_NCA" hidden="1">"c2931"</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EXCL" hidden="1">"c2977"</definedName>
    <definedName name="IQ_US_GAAP_NI_AVAIL_INCL" hidden="1">"c2978"</definedName>
    <definedName name="IQ_US_GAAP_OTHER_ADJ_ADJ" hidden="1">"c2962"</definedName>
    <definedName name="IQ_US_GAAP_OTHER_NON_OPER" hidden="1">"c2969"</definedName>
    <definedName name="IQ_US_GAAP_OTHER_NON_OPER_ADJ" hidden="1">"c2955"</definedName>
    <definedName name="IQ_US_GAAP_OTHER_OPER" hidden="1">"c2968"</definedName>
    <definedName name="IQ_US_GAAP_OTHER_OPER_ADJ" hidden="1">"c2954"</definedName>
    <definedName name="IQ_US_GAAP_RD" hidden="1">"c2967"</definedName>
    <definedName name="IQ_US_GAAP_RD_ADJ" hidden="1">"c2953"</definedName>
    <definedName name="IQ_US_GAAP_SGA" hidden="1">"c2966"</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 hidden="1">"c2964"</definedName>
    <definedName name="IQ_US_GAAP_TOTAL_REV_ADJ" hidden="1">"c2950"</definedName>
    <definedName name="IQ_US_GAAP_TOTAL_UNUSUAL" hidden="1">"c2970"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3000</definedName>
    <definedName name="IQ_YTDMONTH" hidden="1">130000</definedName>
    <definedName name="IQ_Z_SCORE" hidden="1">"c1339"</definedName>
    <definedName name="IQRA1" hidden="1">"$A$2:$A$368"</definedName>
    <definedName name="IQRA22" hidden="1">"$A$23:$A$42"</definedName>
    <definedName name="IQRA5" hidden="1">"$A$6"</definedName>
    <definedName name="IQRA8" hidden="1">"$A$9:$A$260"</definedName>
    <definedName name="IQRAB22" hidden="1">"$AB$23:$AB$42"</definedName>
    <definedName name="IQRAE22" hidden="1">"$AE$23:$AE$42"</definedName>
    <definedName name="IQRAF16" hidden="1">"$AF$17:$AF$268"</definedName>
    <definedName name="IQRAF17" hidden="1">"$AF$18:$AF$269"</definedName>
    <definedName name="IQRAH22" hidden="1">"$AH$23:$AH$42"</definedName>
    <definedName name="IQRAK22" hidden="1">"$AK$23:$AK$42"</definedName>
    <definedName name="IQRAN22" hidden="1">"$AN$23:$AN$42"</definedName>
    <definedName name="IQRAQ22" hidden="1">"$AQ$23:$AQ$42"</definedName>
    <definedName name="IQRB14" hidden="1">"$B$15:$B$518"</definedName>
    <definedName name="IQRB16" hidden="1">"$B$17:$B$520"</definedName>
    <definedName name="IQRB17" hidden="1">"$B$18:$B$78"</definedName>
    <definedName name="IQRB18" hidden="1">"$B$19:$B$522"</definedName>
    <definedName name="IQRB8" hidden="1">"$B$9:$B$260"</definedName>
    <definedName name="IQRBB17" hidden="1">"$BB$18:$BB$1299"</definedName>
    <definedName name="IQRC14" hidden="1">"$C$15:$C$119"</definedName>
    <definedName name="IQRC5" hidden="1">"$C$6:$C$70"</definedName>
    <definedName name="IQRC8" hidden="1">"$C$9:$C$260"</definedName>
    <definedName name="IQRCapitalIQDATAJ8" hidden="1">'GPC Linked'!$N$10</definedName>
    <definedName name="IQRCapitalIQDATAK8" hidden="1">'GPC Linked'!$O$10</definedName>
    <definedName name="IQRCapitalIQDATAL8" hidden="1">'GPC Linked'!$P$10</definedName>
    <definedName name="IQRCapitalIQDATAM8" hidden="1">'GPC Linked'!$Q$10</definedName>
    <definedName name="IQRD14" hidden="1">"$D$15:$D$38"</definedName>
    <definedName name="IQRD22" hidden="1">"$D$23:$D$42"</definedName>
    <definedName name="IQRD5" hidden="1">"$D$6:$D$70"</definedName>
    <definedName name="IQRE5" hidden="1">"$E$6:$E$70"</definedName>
    <definedName name="IQRF3" hidden="1">"$F$4:$F$68"</definedName>
    <definedName name="IQRF5" hidden="1">"$F$6:$F$70"</definedName>
    <definedName name="IQRF8" hidden="1">"$F$9:$F$269"</definedName>
    <definedName name="IQRG22" hidden="1">"$G$23:$G$42"</definedName>
    <definedName name="IQRG3" hidden="1">"$G$4:$G$68"</definedName>
    <definedName name="IQRG41" hidden="1">"$G$42:$G$1300"</definedName>
    <definedName name="IQRG5" hidden="1">"$G$6:$G$70"</definedName>
    <definedName name="IQRHistoricMultiplesAR9" localSheetId="41" hidden="1">#REF!</definedName>
    <definedName name="IQRHistoricMultiplesAR9" localSheetId="42" hidden="1">#REF!</definedName>
    <definedName name="IQRHistoricMultiplesAR9" localSheetId="43" hidden="1">#REF!</definedName>
    <definedName name="IQRHistoricMultiplesAR9" localSheetId="45" hidden="1">#REF!</definedName>
    <definedName name="IQRHistoricMultiplesAR9" localSheetId="4" hidden="1">#REF!</definedName>
    <definedName name="IQRHistoricMultiplesAR9" localSheetId="50" hidden="1">#REF!</definedName>
    <definedName name="IQRHistoricMultiplesAR9" localSheetId="52" hidden="1">#REF!</definedName>
    <definedName name="IQRHistoricMultiplesAR9" localSheetId="51" hidden="1">#REF!</definedName>
    <definedName name="IQRHistoricMultiplesAR9" localSheetId="55" hidden="1">#REF!</definedName>
    <definedName name="IQRHistoricMultiplesAR9" hidden="1">#REF!</definedName>
    <definedName name="IQRHistoricMultiplesAW9" localSheetId="41" hidden="1">#REF!</definedName>
    <definedName name="IQRHistoricMultiplesAW9" localSheetId="42" hidden="1">#REF!</definedName>
    <definedName name="IQRHistoricMultiplesAW9" localSheetId="43" hidden="1">#REF!</definedName>
    <definedName name="IQRHistoricMultiplesAW9" localSheetId="45" hidden="1">#REF!</definedName>
    <definedName name="IQRHistoricMultiplesAW9" localSheetId="4" hidden="1">#REF!</definedName>
    <definedName name="IQRHistoricMultiplesAW9" localSheetId="50" hidden="1">#REF!</definedName>
    <definedName name="IQRHistoricMultiplesAW9" localSheetId="52" hidden="1">#REF!</definedName>
    <definedName name="IQRHistoricMultiplesAW9" localSheetId="51" hidden="1">#REF!</definedName>
    <definedName name="IQRHistoricMultiplesAW9" localSheetId="55" hidden="1">#REF!</definedName>
    <definedName name="IQRHistoricMultiplesAW9" hidden="1">#REF!</definedName>
    <definedName name="IQRHistoricMultiplesBB9" localSheetId="41" hidden="1">#REF!</definedName>
    <definedName name="IQRHistoricMultiplesBB9" localSheetId="42" hidden="1">#REF!</definedName>
    <definedName name="IQRHistoricMultiplesBB9" localSheetId="43" hidden="1">#REF!</definedName>
    <definedName name="IQRHistoricMultiplesBB9" localSheetId="45" hidden="1">#REF!</definedName>
    <definedName name="IQRHistoricMultiplesBB9" localSheetId="4" hidden="1">#REF!</definedName>
    <definedName name="IQRHistoricMultiplesBB9" localSheetId="50" hidden="1">#REF!</definedName>
    <definedName name="IQRHistoricMultiplesBB9" localSheetId="52" hidden="1">#REF!</definedName>
    <definedName name="IQRHistoricMultiplesBB9" localSheetId="51" hidden="1">#REF!</definedName>
    <definedName name="IQRHistoricMultiplesBB9" localSheetId="55" hidden="1">#REF!</definedName>
    <definedName name="IQRHistoricMultiplesBB9" hidden="1">#REF!</definedName>
    <definedName name="IQRHistoricMultiplesBG9" localSheetId="41" hidden="1">#REF!</definedName>
    <definedName name="IQRHistoricMultiplesBG9" localSheetId="42" hidden="1">#REF!</definedName>
    <definedName name="IQRHistoricMultiplesBG9" localSheetId="43" hidden="1">#REF!</definedName>
    <definedName name="IQRHistoricMultiplesBG9" localSheetId="45" hidden="1">#REF!</definedName>
    <definedName name="IQRHistoricMultiplesBG9" localSheetId="4" hidden="1">#REF!</definedName>
    <definedName name="IQRHistoricMultiplesBG9" localSheetId="50" hidden="1">#REF!</definedName>
    <definedName name="IQRHistoricMultiplesBG9" localSheetId="52" hidden="1">#REF!</definedName>
    <definedName name="IQRHistoricMultiplesBG9" localSheetId="51" hidden="1">#REF!</definedName>
    <definedName name="IQRHistoricMultiplesBG9" localSheetId="55" hidden="1">#REF!</definedName>
    <definedName name="IQRHistoricMultiplesBG9" hidden="1">#REF!</definedName>
    <definedName name="IQRHistoricMultiplesBL9" localSheetId="41" hidden="1">#REF!</definedName>
    <definedName name="IQRHistoricMultiplesBL9" localSheetId="42" hidden="1">#REF!</definedName>
    <definedName name="IQRHistoricMultiplesBL9" localSheetId="43" hidden="1">#REF!</definedName>
    <definedName name="IQRHistoricMultiplesBL9" localSheetId="45" hidden="1">#REF!</definedName>
    <definedName name="IQRHistoricMultiplesBL9" localSheetId="4" hidden="1">#REF!</definedName>
    <definedName name="IQRHistoricMultiplesBL9" localSheetId="50" hidden="1">#REF!</definedName>
    <definedName name="IQRHistoricMultiplesBL9" localSheetId="52" hidden="1">#REF!</definedName>
    <definedName name="IQRHistoricMultiplesBL9" localSheetId="51" hidden="1">#REF!</definedName>
    <definedName name="IQRHistoricMultiplesBL9" localSheetId="55" hidden="1">#REF!</definedName>
    <definedName name="IQRHistoricMultiplesBL9" hidden="1">#REF!</definedName>
    <definedName name="IQRHistoricMultiplesBQ9" localSheetId="41" hidden="1">#REF!</definedName>
    <definedName name="IQRHistoricMultiplesBQ9" localSheetId="42" hidden="1">#REF!</definedName>
    <definedName name="IQRHistoricMultiplesBQ9" localSheetId="43" hidden="1">#REF!</definedName>
    <definedName name="IQRHistoricMultiplesBQ9" localSheetId="45" hidden="1">#REF!</definedName>
    <definedName name="IQRHistoricMultiplesBQ9" localSheetId="4" hidden="1">#REF!</definedName>
    <definedName name="IQRHistoricMultiplesBQ9" localSheetId="50" hidden="1">#REF!</definedName>
    <definedName name="IQRHistoricMultiplesBQ9" localSheetId="52" hidden="1">#REF!</definedName>
    <definedName name="IQRHistoricMultiplesBQ9" localSheetId="51" hidden="1">#REF!</definedName>
    <definedName name="IQRHistoricMultiplesBQ9" localSheetId="55" hidden="1">#REF!</definedName>
    <definedName name="IQRHistoricMultiplesBQ9" hidden="1">#REF!</definedName>
    <definedName name="IQRHistoricMultiplesBV9" localSheetId="41" hidden="1">#REF!</definedName>
    <definedName name="IQRHistoricMultiplesBV9" localSheetId="42" hidden="1">#REF!</definedName>
    <definedName name="IQRHistoricMultiplesBV9" localSheetId="43" hidden="1">#REF!</definedName>
    <definedName name="IQRHistoricMultiplesBV9" localSheetId="45" hidden="1">#REF!</definedName>
    <definedName name="IQRHistoricMultiplesBV9" localSheetId="4" hidden="1">#REF!</definedName>
    <definedName name="IQRHistoricMultiplesBV9" localSheetId="50" hidden="1">#REF!</definedName>
    <definedName name="IQRHistoricMultiplesBV9" localSheetId="52" hidden="1">#REF!</definedName>
    <definedName name="IQRHistoricMultiplesBV9" localSheetId="51" hidden="1">#REF!</definedName>
    <definedName name="IQRHistoricMultiplesBV9" localSheetId="55" hidden="1">#REF!</definedName>
    <definedName name="IQRHistoricMultiplesBV9" hidden="1">#REF!</definedName>
    <definedName name="IQRHistoricMultiplesCA9" localSheetId="41" hidden="1">#REF!</definedName>
    <definedName name="IQRHistoricMultiplesCA9" localSheetId="42" hidden="1">#REF!</definedName>
    <definedName name="IQRHistoricMultiplesCA9" localSheetId="43" hidden="1">#REF!</definedName>
    <definedName name="IQRHistoricMultiplesCA9" localSheetId="45" hidden="1">#REF!</definedName>
    <definedName name="IQRHistoricMultiplesCA9" localSheetId="4" hidden="1">#REF!</definedName>
    <definedName name="IQRHistoricMultiplesCA9" localSheetId="50" hidden="1">#REF!</definedName>
    <definedName name="IQRHistoricMultiplesCA9" localSheetId="52" hidden="1">#REF!</definedName>
    <definedName name="IQRHistoricMultiplesCA9" localSheetId="51" hidden="1">#REF!</definedName>
    <definedName name="IQRHistoricMultiplesCA9" localSheetId="55" hidden="1">#REF!</definedName>
    <definedName name="IQRHistoricMultiplesCA9" hidden="1">#REF!</definedName>
    <definedName name="IQRHistoricMultiplesCF9" localSheetId="41" hidden="1">#REF!</definedName>
    <definedName name="IQRHistoricMultiplesCF9" localSheetId="42" hidden="1">#REF!</definedName>
    <definedName name="IQRHistoricMultiplesCF9" localSheetId="43" hidden="1">#REF!</definedName>
    <definedName name="IQRHistoricMultiplesCF9" localSheetId="45" hidden="1">#REF!</definedName>
    <definedName name="IQRHistoricMultiplesCF9" localSheetId="4" hidden="1">#REF!</definedName>
    <definedName name="IQRHistoricMultiplesCF9" localSheetId="50" hidden="1">#REF!</definedName>
    <definedName name="IQRHistoricMultiplesCF9" localSheetId="52" hidden="1">#REF!</definedName>
    <definedName name="IQRHistoricMultiplesCF9" localSheetId="51" hidden="1">#REF!</definedName>
    <definedName name="IQRHistoricMultiplesCF9" localSheetId="55" hidden="1">#REF!</definedName>
    <definedName name="IQRHistoricMultiplesCF9" hidden="1">#REF!</definedName>
    <definedName name="IQRHistoricMultiplesCK9" localSheetId="41" hidden="1">#REF!</definedName>
    <definedName name="IQRHistoricMultiplesCK9" localSheetId="42" hidden="1">#REF!</definedName>
    <definedName name="IQRHistoricMultiplesCK9" localSheetId="43" hidden="1">#REF!</definedName>
    <definedName name="IQRHistoricMultiplesCK9" localSheetId="45" hidden="1">#REF!</definedName>
    <definedName name="IQRHistoricMultiplesCK9" localSheetId="4" hidden="1">#REF!</definedName>
    <definedName name="IQRHistoricMultiplesCK9" localSheetId="50" hidden="1">#REF!</definedName>
    <definedName name="IQRHistoricMultiplesCK9" localSheetId="52" hidden="1">#REF!</definedName>
    <definedName name="IQRHistoricMultiplesCK9" localSheetId="51" hidden="1">#REF!</definedName>
    <definedName name="IQRHistoricMultiplesCK9" localSheetId="55" hidden="1">#REF!</definedName>
    <definedName name="IQRHistoricMultiplesCK9" hidden="1">#REF!</definedName>
    <definedName name="IQRIPOAF12" localSheetId="41" hidden="1">#REF!</definedName>
    <definedName name="IQRIPOAF12" localSheetId="42" hidden="1">#REF!</definedName>
    <definedName name="IQRIPOAF12" localSheetId="43" hidden="1">#REF!</definedName>
    <definedName name="IQRIPOAF12" localSheetId="45" hidden="1">#REF!</definedName>
    <definedName name="IQRIPOAF12" localSheetId="4" hidden="1">#REF!</definedName>
    <definedName name="IQRIPOAF12" localSheetId="61" hidden="1">#REF!</definedName>
    <definedName name="IQRIPOAF12" localSheetId="50" hidden="1">#REF!</definedName>
    <definedName name="IQRIPOAF12" localSheetId="52" hidden="1">#REF!</definedName>
    <definedName name="IQRIPOAF12" localSheetId="51" hidden="1">#REF!</definedName>
    <definedName name="IQRIPOAF12" localSheetId="55" hidden="1">#REF!</definedName>
    <definedName name="IQRIPOAF12" hidden="1">#REF!</definedName>
    <definedName name="IQRIPOAF13" localSheetId="41" hidden="1">#REF!</definedName>
    <definedName name="IQRIPOAF13" localSheetId="42" hidden="1">#REF!</definedName>
    <definedName name="IQRIPOAF13" localSheetId="43" hidden="1">#REF!</definedName>
    <definedName name="IQRIPOAF13" localSheetId="45" hidden="1">#REF!</definedName>
    <definedName name="IQRIPOAF13" localSheetId="4" hidden="1">#REF!</definedName>
    <definedName name="IQRIPOAF13" localSheetId="61" hidden="1">#REF!</definedName>
    <definedName name="IQRIPOAF13" localSheetId="50" hidden="1">#REF!</definedName>
    <definedName name="IQRIPOAF13" localSheetId="52" hidden="1">#REF!</definedName>
    <definedName name="IQRIPOAF13" localSheetId="51" hidden="1">#REF!</definedName>
    <definedName name="IQRIPOAF13" localSheetId="55" hidden="1">#REF!</definedName>
    <definedName name="IQRIPOAF13" hidden="1">#REF!</definedName>
    <definedName name="IQRIPOAF14" localSheetId="41" hidden="1">[11]IPO!#REF!</definedName>
    <definedName name="IQRIPOAF14" localSheetId="42" hidden="1">[11]IPO!#REF!</definedName>
    <definedName name="IQRIPOAF14" localSheetId="43" hidden="1">[11]IPO!#REF!</definedName>
    <definedName name="IQRIPOAF14" localSheetId="45" hidden="1">[11]IPO!#REF!</definedName>
    <definedName name="IQRIPOAF14" localSheetId="4" hidden="1">[11]IPO!#REF!</definedName>
    <definedName name="IQRIPOAF14" localSheetId="61" hidden="1">[12]IPO!#REF!</definedName>
    <definedName name="IQRIPOAF14" localSheetId="56" hidden="1">[13]IPO!#REF!</definedName>
    <definedName name="IQRIPOAF14" localSheetId="50" hidden="1">[11]IPO!#REF!</definedName>
    <definedName name="IQRIPOAF14" localSheetId="52" hidden="1">[11]IPO!#REF!</definedName>
    <definedName name="IQRIPOAF14" localSheetId="51" hidden="1">[11]IPO!#REF!</definedName>
    <definedName name="IQRIPOAF14" localSheetId="55" hidden="1">[11]IPO!#REF!</definedName>
    <definedName name="IQRIPOAF14" hidden="1">[11]IPO!#REF!</definedName>
    <definedName name="IQRIPOAF15" localSheetId="41" hidden="1">#REF!</definedName>
    <definedName name="IQRIPOAF15" localSheetId="42" hidden="1">#REF!</definedName>
    <definedName name="IQRIPOAF15" localSheetId="43" hidden="1">#REF!</definedName>
    <definedName name="IQRIPOAF15" localSheetId="45" hidden="1">#REF!</definedName>
    <definedName name="IQRIPOAF15" localSheetId="4" hidden="1">#REF!</definedName>
    <definedName name="IQRIPOAF15" localSheetId="61" hidden="1">#REF!</definedName>
    <definedName name="IQRIPOAF15" localSheetId="50" hidden="1">#REF!</definedName>
    <definedName name="IQRIPOAF15" localSheetId="52" hidden="1">#REF!</definedName>
    <definedName name="IQRIPOAF15" localSheetId="51" hidden="1">#REF!</definedName>
    <definedName name="IQRIPOAF15" localSheetId="55" hidden="1">#REF!</definedName>
    <definedName name="IQRIPOAF15" hidden="1">#REF!</definedName>
    <definedName name="IQRIPOAF16" localSheetId="41" hidden="1">#REF!</definedName>
    <definedName name="IQRIPOAF16" localSheetId="42" hidden="1">#REF!</definedName>
    <definedName name="IQRIPOAF16" localSheetId="43" hidden="1">#REF!</definedName>
    <definedName name="IQRIPOAF16" localSheetId="45" hidden="1">#REF!</definedName>
    <definedName name="IQRIPOAF16" localSheetId="4" hidden="1">#REF!</definedName>
    <definedName name="IQRIPOAF16" localSheetId="61" hidden="1">#REF!</definedName>
    <definedName name="IQRIPOAF16" localSheetId="50" hidden="1">#REF!</definedName>
    <definedName name="IQRIPOAF16" localSheetId="52" hidden="1">#REF!</definedName>
    <definedName name="IQRIPOAF16" localSheetId="51" hidden="1">#REF!</definedName>
    <definedName name="IQRIPOAF16" localSheetId="55" hidden="1">#REF!</definedName>
    <definedName name="IQRIPOAF16" hidden="1">#REF!</definedName>
    <definedName name="IQRIPOAF17" localSheetId="41" hidden="1">#REF!</definedName>
    <definedName name="IQRIPOAF17" localSheetId="42" hidden="1">#REF!</definedName>
    <definedName name="IQRIPOAF17" localSheetId="43" hidden="1">#REF!</definedName>
    <definedName name="IQRIPOAF17" localSheetId="45" hidden="1">#REF!</definedName>
    <definedName name="IQRIPOAF17" localSheetId="4" hidden="1">#REF!</definedName>
    <definedName name="IQRIPOAF17" localSheetId="61" hidden="1">#REF!</definedName>
    <definedName name="IQRIPOAF17" localSheetId="50" hidden="1">#REF!</definedName>
    <definedName name="IQRIPOAF17" localSheetId="52" hidden="1">#REF!</definedName>
    <definedName name="IQRIPOAF17" localSheetId="51" hidden="1">#REF!</definedName>
    <definedName name="IQRIPOAF17" localSheetId="55" hidden="1">#REF!</definedName>
    <definedName name="IQRIPOAF17" hidden="1">#REF!</definedName>
    <definedName name="IQRIPOAF18" localSheetId="41" hidden="1">#REF!</definedName>
    <definedName name="IQRIPOAF18" localSheetId="42" hidden="1">#REF!</definedName>
    <definedName name="IQRIPOAF18" localSheetId="43" hidden="1">#REF!</definedName>
    <definedName name="IQRIPOAF18" localSheetId="45" hidden="1">#REF!</definedName>
    <definedName name="IQRIPOAF18" localSheetId="4" hidden="1">#REF!</definedName>
    <definedName name="IQRIPOAF18" localSheetId="61" hidden="1">#REF!</definedName>
    <definedName name="IQRIPOAF18" localSheetId="50" hidden="1">#REF!</definedName>
    <definedName name="IQRIPOAF18" localSheetId="52" hidden="1">#REF!</definedName>
    <definedName name="IQRIPOAF18" localSheetId="51" hidden="1">#REF!</definedName>
    <definedName name="IQRIPOAF18" localSheetId="55" hidden="1">#REF!</definedName>
    <definedName name="IQRIPOAF18" hidden="1">#REF!</definedName>
    <definedName name="IQRIPOAF19" localSheetId="41" hidden="1">#REF!</definedName>
    <definedName name="IQRIPOAF19" localSheetId="42" hidden="1">#REF!</definedName>
    <definedName name="IQRIPOAF19" localSheetId="43" hidden="1">#REF!</definedName>
    <definedName name="IQRIPOAF19" localSheetId="45" hidden="1">#REF!</definedName>
    <definedName name="IQRIPOAF19" localSheetId="4" hidden="1">#REF!</definedName>
    <definedName name="IQRIPOAF19" localSheetId="61" hidden="1">#REF!</definedName>
    <definedName name="IQRIPOAF19" localSheetId="50" hidden="1">#REF!</definedName>
    <definedName name="IQRIPOAF19" localSheetId="52" hidden="1">#REF!</definedName>
    <definedName name="IQRIPOAF19" localSheetId="51" hidden="1">#REF!</definedName>
    <definedName name="IQRIPOAF19" localSheetId="55" hidden="1">#REF!</definedName>
    <definedName name="IQRIPOAF19" hidden="1">#REF!</definedName>
    <definedName name="IQRIPOAF20" localSheetId="41" hidden="1">#REF!</definedName>
    <definedName name="IQRIPOAF20" localSheetId="42" hidden="1">#REF!</definedName>
    <definedName name="IQRIPOAF20" localSheetId="43" hidden="1">#REF!</definedName>
    <definedName name="IQRIPOAF20" localSheetId="45" hidden="1">#REF!</definedName>
    <definedName name="IQRIPOAF20" localSheetId="4" hidden="1">#REF!</definedName>
    <definedName name="IQRIPOAF20" localSheetId="61" hidden="1">#REF!</definedName>
    <definedName name="IQRIPOAF20" localSheetId="50" hidden="1">#REF!</definedName>
    <definedName name="IQRIPOAF20" localSheetId="52" hidden="1">#REF!</definedName>
    <definedName name="IQRIPOAF20" localSheetId="51" hidden="1">#REF!</definedName>
    <definedName name="IQRIPOAF20" localSheetId="55" hidden="1">#REF!</definedName>
    <definedName name="IQRIPOAF20" hidden="1">#REF!</definedName>
    <definedName name="IQRIPOAF21" localSheetId="41" hidden="1">#REF!</definedName>
    <definedName name="IQRIPOAF21" localSheetId="42" hidden="1">#REF!</definedName>
    <definedName name="IQRIPOAF21" localSheetId="43" hidden="1">#REF!</definedName>
    <definedName name="IQRIPOAF21" localSheetId="45" hidden="1">#REF!</definedName>
    <definedName name="IQRIPOAF21" localSheetId="4" hidden="1">#REF!</definedName>
    <definedName name="IQRIPOAF21" localSheetId="61" hidden="1">#REF!</definedName>
    <definedName name="IQRIPOAF21" localSheetId="50" hidden="1">#REF!</definedName>
    <definedName name="IQRIPOAF21" localSheetId="52" hidden="1">#REF!</definedName>
    <definedName name="IQRIPOAF21" localSheetId="51" hidden="1">#REF!</definedName>
    <definedName name="IQRIPOAF21" localSheetId="55" hidden="1">#REF!</definedName>
    <definedName name="IQRIPOAF21" hidden="1">#REF!</definedName>
    <definedName name="IQRIPOAF22" localSheetId="41" hidden="1">#REF!</definedName>
    <definedName name="IQRIPOAF22" localSheetId="42" hidden="1">#REF!</definedName>
    <definedName name="IQRIPOAF22" localSheetId="43" hidden="1">#REF!</definedName>
    <definedName name="IQRIPOAF22" localSheetId="45" hidden="1">#REF!</definedName>
    <definedName name="IQRIPOAF22" localSheetId="4" hidden="1">#REF!</definedName>
    <definedName name="IQRIPOAF22" localSheetId="61" hidden="1">#REF!</definedName>
    <definedName name="IQRIPOAF22" localSheetId="50" hidden="1">#REF!</definedName>
    <definedName name="IQRIPOAF22" localSheetId="52" hidden="1">#REF!</definedName>
    <definedName name="IQRIPOAF22" localSheetId="51" hidden="1">#REF!</definedName>
    <definedName name="IQRIPOAF22" localSheetId="55" hidden="1">#REF!</definedName>
    <definedName name="IQRIPOAF22" hidden="1">#REF!</definedName>
    <definedName name="IQRIPOAF23" localSheetId="41" hidden="1">#REF!</definedName>
    <definedName name="IQRIPOAF23" localSheetId="42" hidden="1">#REF!</definedName>
    <definedName name="IQRIPOAF23" localSheetId="43" hidden="1">#REF!</definedName>
    <definedName name="IQRIPOAF23" localSheetId="45" hidden="1">#REF!</definedName>
    <definedName name="IQRIPOAF23" localSheetId="4" hidden="1">#REF!</definedName>
    <definedName name="IQRIPOAF23" localSheetId="61" hidden="1">#REF!</definedName>
    <definedName name="IQRIPOAF23" localSheetId="50" hidden="1">#REF!</definedName>
    <definedName name="IQRIPOAF23" localSheetId="52" hidden="1">#REF!</definedName>
    <definedName name="IQRIPOAF23" localSheetId="51" hidden="1">#REF!</definedName>
    <definedName name="IQRIPOAF23" localSheetId="55" hidden="1">#REF!</definedName>
    <definedName name="IQRIPOAF23" hidden="1">#REF!</definedName>
    <definedName name="IQRIPOAF24" localSheetId="41" hidden="1">#REF!</definedName>
    <definedName name="IQRIPOAF24" localSheetId="42" hidden="1">#REF!</definedName>
    <definedName name="IQRIPOAF24" localSheetId="43" hidden="1">#REF!</definedName>
    <definedName name="IQRIPOAF24" localSheetId="45" hidden="1">#REF!</definedName>
    <definedName name="IQRIPOAF24" localSheetId="4" hidden="1">#REF!</definedName>
    <definedName name="IQRIPOAF24" localSheetId="61" hidden="1">#REF!</definedName>
    <definedName name="IQRIPOAF24" localSheetId="50" hidden="1">#REF!</definedName>
    <definedName name="IQRIPOAF24" localSheetId="52" hidden="1">#REF!</definedName>
    <definedName name="IQRIPOAF24" localSheetId="51" hidden="1">#REF!</definedName>
    <definedName name="IQRIPOAF24" localSheetId="55" hidden="1">#REF!</definedName>
    <definedName name="IQRIPOAF24" hidden="1">#REF!</definedName>
    <definedName name="IQRIPOAF25" localSheetId="41" hidden="1">[11]IPO!#REF!</definedName>
    <definedName name="IQRIPOAF25" localSheetId="42" hidden="1">[11]IPO!#REF!</definedName>
    <definedName name="IQRIPOAF25" localSheetId="43" hidden="1">[11]IPO!#REF!</definedName>
    <definedName name="IQRIPOAF25" localSheetId="45" hidden="1">[11]IPO!#REF!</definedName>
    <definedName name="IQRIPOAF25" localSheetId="4" hidden="1">[11]IPO!#REF!</definedName>
    <definedName name="IQRIPOAF25" localSheetId="61" hidden="1">[12]IPO!#REF!</definedName>
    <definedName name="IQRIPOAF25" localSheetId="56" hidden="1">[13]IPO!#REF!</definedName>
    <definedName name="IQRIPOAF25" localSheetId="50" hidden="1">[11]IPO!#REF!</definedName>
    <definedName name="IQRIPOAF25" localSheetId="52" hidden="1">[11]IPO!#REF!</definedName>
    <definedName name="IQRIPOAF25" localSheetId="51" hidden="1">[11]IPO!#REF!</definedName>
    <definedName name="IQRIPOAF25" localSheetId="55" hidden="1">[11]IPO!#REF!</definedName>
    <definedName name="IQRIPOAF25" hidden="1">[11]IPO!#REF!</definedName>
    <definedName name="IQRIPOAF26" localSheetId="41" hidden="1">#REF!</definedName>
    <definedName name="IQRIPOAF26" localSheetId="42" hidden="1">#REF!</definedName>
    <definedName name="IQRIPOAF26" localSheetId="43" hidden="1">#REF!</definedName>
    <definedName name="IQRIPOAF26" localSheetId="45" hidden="1">#REF!</definedName>
    <definedName name="IQRIPOAF26" localSheetId="4" hidden="1">#REF!</definedName>
    <definedName name="IQRIPOAF26" localSheetId="61" hidden="1">#REF!</definedName>
    <definedName name="IQRIPOAF26" localSheetId="50" hidden="1">#REF!</definedName>
    <definedName name="IQRIPOAF26" localSheetId="52" hidden="1">#REF!</definedName>
    <definedName name="IQRIPOAF26" localSheetId="51" hidden="1">#REF!</definedName>
    <definedName name="IQRIPOAF26" localSheetId="55" hidden="1">#REF!</definedName>
    <definedName name="IQRIPOAF26" hidden="1">#REF!</definedName>
    <definedName name="IQRIPOAF27" localSheetId="41" hidden="1">#REF!</definedName>
    <definedName name="IQRIPOAF27" localSheetId="42" hidden="1">#REF!</definedName>
    <definedName name="IQRIPOAF27" localSheetId="43" hidden="1">#REF!</definedName>
    <definedName name="IQRIPOAF27" localSheetId="45" hidden="1">#REF!</definedName>
    <definedName name="IQRIPOAF27" localSheetId="4" hidden="1">#REF!</definedName>
    <definedName name="IQRIPOAF27" localSheetId="61" hidden="1">#REF!</definedName>
    <definedName name="IQRIPOAF27" localSheetId="50" hidden="1">#REF!</definedName>
    <definedName name="IQRIPOAF27" localSheetId="52" hidden="1">#REF!</definedName>
    <definedName name="IQRIPOAF27" localSheetId="51" hidden="1">#REF!</definedName>
    <definedName name="IQRIPOAF27" localSheetId="55" hidden="1">#REF!</definedName>
    <definedName name="IQRIPOAF27" hidden="1">#REF!</definedName>
    <definedName name="IQRIPOAF28" localSheetId="41" hidden="1">#REF!</definedName>
    <definedName name="IQRIPOAF28" localSheetId="42" hidden="1">#REF!</definedName>
    <definedName name="IQRIPOAF28" localSheetId="43" hidden="1">#REF!</definedName>
    <definedName name="IQRIPOAF28" localSheetId="45" hidden="1">#REF!</definedName>
    <definedName name="IQRIPOAF28" localSheetId="4" hidden="1">#REF!</definedName>
    <definedName name="IQRIPOAF28" localSheetId="61" hidden="1">#REF!</definedName>
    <definedName name="IQRIPOAF28" localSheetId="50" hidden="1">#REF!</definedName>
    <definedName name="IQRIPOAF28" localSheetId="52" hidden="1">#REF!</definedName>
    <definedName name="IQRIPOAF28" localSheetId="51" hidden="1">#REF!</definedName>
    <definedName name="IQRIPOAF28" localSheetId="55" hidden="1">#REF!</definedName>
    <definedName name="IQRIPOAF28" hidden="1">#REF!</definedName>
    <definedName name="IQRIPOAF29" localSheetId="41" hidden="1">[11]IPO!#REF!</definedName>
    <definedName name="IQRIPOAF29" localSheetId="42" hidden="1">[11]IPO!#REF!</definedName>
    <definedName name="IQRIPOAF29" localSheetId="43" hidden="1">[11]IPO!#REF!</definedName>
    <definedName name="IQRIPOAF29" localSheetId="45" hidden="1">[11]IPO!#REF!</definedName>
    <definedName name="IQRIPOAF29" localSheetId="4" hidden="1">[11]IPO!#REF!</definedName>
    <definedName name="IQRIPOAF29" localSheetId="61" hidden="1">[12]IPO!#REF!</definedName>
    <definedName name="IQRIPOAF29" localSheetId="56" hidden="1">[13]IPO!#REF!</definedName>
    <definedName name="IQRIPOAF29" localSheetId="50" hidden="1">[11]IPO!#REF!</definedName>
    <definedName name="IQRIPOAF29" localSheetId="52" hidden="1">[11]IPO!#REF!</definedName>
    <definedName name="IQRIPOAF29" localSheetId="51" hidden="1">[11]IPO!#REF!</definedName>
    <definedName name="IQRIPOAF29" localSheetId="55" hidden="1">[11]IPO!#REF!</definedName>
    <definedName name="IQRIPOAF29" hidden="1">[11]IPO!#REF!</definedName>
    <definedName name="IQRJ22" hidden="1">"$J$23:$J$42"</definedName>
    <definedName name="IQRK9" hidden="1">"$K$10:$K$1268"</definedName>
    <definedName name="IQRL3" hidden="1">"$L$4:$L$55"</definedName>
    <definedName name="IQRM22" hidden="1">"$M$23:$M$42"</definedName>
    <definedName name="IQRM3" hidden="1">"$M$4:$M$55"</definedName>
    <definedName name="IQRN3" hidden="1">"$N$4:$N$67"</definedName>
    <definedName name="IQROptionValI16" localSheetId="41" hidden="1">'[14]Option Val.'!#REF!</definedName>
    <definedName name="IQROptionValI16" localSheetId="42" hidden="1">'[14]Option Val.'!#REF!</definedName>
    <definedName name="IQROptionValI16" localSheetId="43" hidden="1">'[14]Option Val.'!#REF!</definedName>
    <definedName name="IQROptionValI16" localSheetId="45" hidden="1">'[14]Option Val.'!#REF!</definedName>
    <definedName name="IQROptionValI16" localSheetId="4" hidden="1">'[14]Option Val.'!#REF!</definedName>
    <definedName name="IQROptionValI16" localSheetId="61" hidden="1">'[15]Option Val.'!#REF!</definedName>
    <definedName name="IQROptionValI16" localSheetId="56" hidden="1">'[15]Option Val.'!#REF!</definedName>
    <definedName name="IQROptionValI16" hidden="1">'[14]Option Val.'!#REF!</definedName>
    <definedName name="IQRP22" hidden="1">"$P$23:$P$42"</definedName>
    <definedName name="IQRS22" hidden="1">"$S$23:$S$42"</definedName>
    <definedName name="IQRT22" hidden="1">"$T$23:$T$32"</definedName>
    <definedName name="IQRU14" hidden="1">"$U$15:$U$266"</definedName>
    <definedName name="IQRV22" hidden="1">"$V$23:$V$42"</definedName>
    <definedName name="IQRWACCCapIQBV10" localSheetId="41" hidden="1">#REF!</definedName>
    <definedName name="IQRWACCCapIQBV10" localSheetId="42" hidden="1">#REF!</definedName>
    <definedName name="IQRWACCCapIQBV10" localSheetId="43" hidden="1">#REF!</definedName>
    <definedName name="IQRWACCCapIQBV10" localSheetId="45" hidden="1">#REF!</definedName>
    <definedName name="IQRWACCCapIQBV10" localSheetId="4" hidden="1">#REF!</definedName>
    <definedName name="IQRWACCCapIQBV10" hidden="1">#REF!</definedName>
    <definedName name="IQRWACCCapIQCD10" localSheetId="41" hidden="1">#REF!</definedName>
    <definedName name="IQRWACCCapIQCD10" localSheetId="42" hidden="1">#REF!</definedName>
    <definedName name="IQRWACCCapIQCD10" localSheetId="43" hidden="1">#REF!</definedName>
    <definedName name="IQRWACCCapIQCD10" localSheetId="45" hidden="1">#REF!</definedName>
    <definedName name="IQRWACCCapIQCD10" localSheetId="4" hidden="1">#REF!</definedName>
    <definedName name="IQRWACCCapIQCD10" hidden="1">#REF!</definedName>
    <definedName name="IQRY22" hidden="1">"$Y$23:$Y$42"</definedName>
    <definedName name="IsColHidden" hidden="1">FALSE</definedName>
    <definedName name="IsLTMColHidden" hidden="1">FALSE</definedName>
    <definedName name="jjj" localSheetId="61" hidden="1">{#N/A,#N/A,FALSE,"Bakersfield PCs";#N/A,#N/A,FALSE,"Bremer PCs";#N/A,#N/A,FALSE,"Bakersfield Notebooks"}</definedName>
    <definedName name="jjj" localSheetId="56" hidden="1">{#N/A,#N/A,FALSE,"Bakersfield PCs";#N/A,#N/A,FALSE,"Bremer PCs";#N/A,#N/A,FALSE,"Bakersfield Notebooks"}</definedName>
    <definedName name="jjj" hidden="1">{#N/A,#N/A,FALSE,"Bakersfield PCs";#N/A,#N/A,FALSE,"Bremer PCs";#N/A,#N/A,FALSE,"Bakersfield Notebooks"}</definedName>
    <definedName name="jlklkjlk" localSheetId="61" hidden="1">{#N/A,#N/A,FALSE,"Bakersfield PCs";#N/A,#N/A,FALSE,"Bremer PCs";#N/A,#N/A,FALSE,"Bakersfield Notebooks"}</definedName>
    <definedName name="jlklkjlk" localSheetId="56" hidden="1">{#N/A,#N/A,FALSE,"Bakersfield PCs";#N/A,#N/A,FALSE,"Bremer PCs";#N/A,#N/A,FALSE,"Bakersfield Notebooks"}</definedName>
    <definedName name="jlklkjlk" hidden="1">{#N/A,#N/A,FALSE,"Bakersfield PCs";#N/A,#N/A,FALSE,"Bremer PCs";#N/A,#N/A,FALSE,"Bakersfield Notebooks"}</definedName>
    <definedName name="K2_WBEVMODE" hidden="1">-1</definedName>
    <definedName name="kin" localSheetId="41" hidden="1">#REF!</definedName>
    <definedName name="kin" localSheetId="42" hidden="1">#REF!</definedName>
    <definedName name="kin" localSheetId="43" hidden="1">#REF!</definedName>
    <definedName name="kin" localSheetId="45" hidden="1">#REF!</definedName>
    <definedName name="kin" localSheetId="4" hidden="1">#REF!</definedName>
    <definedName name="kin" localSheetId="61" hidden="1">#REF!</definedName>
    <definedName name="kin" localSheetId="50" hidden="1">#REF!</definedName>
    <definedName name="kin" localSheetId="52" hidden="1">#REF!</definedName>
    <definedName name="kin" localSheetId="51" hidden="1">#REF!</definedName>
    <definedName name="kin" localSheetId="55" hidden="1">#REF!</definedName>
    <definedName name="kin" hidden="1">#REF!</definedName>
    <definedName name="kl">#N/A</definedName>
    <definedName name="Last_Row" localSheetId="56">#N/A</definedName>
    <definedName name="Last_Row">#N/A</definedName>
    <definedName name="Ledger_Code" hidden="1">" "</definedName>
    <definedName name="Ledger_Selection" hidden="1">" "</definedName>
    <definedName name="LicenseCOS">0.01</definedName>
    <definedName name="limcount" hidden="1">2</definedName>
    <definedName name="lin" localSheetId="41" hidden="1">#REF!</definedName>
    <definedName name="lin" localSheetId="42" hidden="1">#REF!</definedName>
    <definedName name="lin" localSheetId="43" hidden="1">#REF!</definedName>
    <definedName name="lin" localSheetId="45" hidden="1">#REF!</definedName>
    <definedName name="lin" localSheetId="4" hidden="1">#REF!</definedName>
    <definedName name="lin" localSheetId="61" hidden="1">#REF!</definedName>
    <definedName name="lin" localSheetId="50" hidden="1">#REF!</definedName>
    <definedName name="lin" localSheetId="52" hidden="1">#REF!</definedName>
    <definedName name="lin" localSheetId="51" hidden="1">#REF!</definedName>
    <definedName name="lin" localSheetId="55" hidden="1">#REF!</definedName>
    <definedName name="lin" hidden="1">#REF!</definedName>
    <definedName name="ListOffset" hidden="1">1</definedName>
    <definedName name="LOC">20000000</definedName>
    <definedName name="Maintenance">0.15</definedName>
    <definedName name="mb_inputLocation" localSheetId="41" hidden="1">#REF!</definedName>
    <definedName name="mb_inputLocation" localSheetId="42" hidden="1">#REF!</definedName>
    <definedName name="mb_inputLocation" localSheetId="43" hidden="1">#REF!</definedName>
    <definedName name="mb_inputLocation" localSheetId="45" hidden="1">#REF!</definedName>
    <definedName name="mb_inputLocation" localSheetId="4" hidden="1">#REF!</definedName>
    <definedName name="mb_inputLocation" localSheetId="50" hidden="1">#REF!</definedName>
    <definedName name="mb_inputLocation" localSheetId="52" hidden="1">#REF!</definedName>
    <definedName name="mb_inputLocation" localSheetId="51" hidden="1">#REF!</definedName>
    <definedName name="mb_inputLocation" localSheetId="55" hidden="1">#REF!</definedName>
    <definedName name="mb_inputLocation" hidden="1">#REF!</definedName>
    <definedName name="medmult" localSheetId="41" hidden="1">#REF!</definedName>
    <definedName name="medmult" localSheetId="42" hidden="1">#REF!</definedName>
    <definedName name="medmult" localSheetId="43" hidden="1">#REF!</definedName>
    <definedName name="medmult" localSheetId="45" hidden="1">#REF!</definedName>
    <definedName name="medmult" localSheetId="4" hidden="1">#REF!</definedName>
    <definedName name="medmult" localSheetId="50" hidden="1">#REF!</definedName>
    <definedName name="medmult" localSheetId="52" hidden="1">#REF!</definedName>
    <definedName name="medmult" localSheetId="51" hidden="1">#REF!</definedName>
    <definedName name="medmult" localSheetId="55" hidden="1">#REF!</definedName>
    <definedName name="medmult" hidden="1">#REF!</definedName>
    <definedName name="Month_ID" hidden="1">" "</definedName>
    <definedName name="New" localSheetId="61" hidden="1">{#N/A,#N/A,FALSE,"Title Page";#N/A,#N/A,FALSE,"Conclusions";#N/A,#N/A,FALSE,"Assum.";#N/A,#N/A,FALSE,"Sun  DCF-WC-Dep";#N/A,#N/A,FALSE,"MarketValue";#N/A,#N/A,FALSE,"BalSheet";#N/A,#N/A,FALSE,"WACC";#N/A,#N/A,FALSE,"PC+ Info.";#N/A,#N/A,FALSE,"PC+Info_2"}</definedName>
    <definedName name="New" localSheetId="56" hidden="1">{#N/A,#N/A,FALSE,"Title Page";#N/A,#N/A,FALSE,"Conclusions";#N/A,#N/A,FALSE,"Assum.";#N/A,#N/A,FALSE,"Sun  DCF-WC-Dep";#N/A,#N/A,FALSE,"MarketValue";#N/A,#N/A,FALSE,"BalSheet";#N/A,#N/A,FALSE,"WACC";#N/A,#N/A,FALSE,"PC+ Info.";#N/A,#N/A,FALSE,"PC+Info_2"}</definedName>
    <definedName name="New" hidden="1">{#N/A,#N/A,FALSE,"Title Page";#N/A,#N/A,FALSE,"Conclusions";#N/A,#N/A,FALSE,"Assum.";#N/A,#N/A,FALSE,"Sun  DCF-WC-Dep";#N/A,#N/A,FALSE,"MarketValue";#N/A,#N/A,FALSE,"BalSheet";#N/A,#N/A,FALSE,"WACC";#N/A,#N/A,FALSE,"PC+ Info.";#N/A,#N/A,FALSE,"PC+Info_2"}</definedName>
    <definedName name="NewHire">8500</definedName>
    <definedName name="newJSECcustomer" localSheetId="61" hidden="1">{#N/A,#N/A,FALSE,"Title Page";#N/A,#N/A,FALSE,"Conclusions";#N/A,#N/A,FALSE,"Assum.";#N/A,#N/A,FALSE,"Sun  DCF-WC-Dep";#N/A,#N/A,FALSE,"MarketValue";#N/A,#N/A,FALSE,"BalSheet";#N/A,#N/A,FALSE,"WACC";#N/A,#N/A,FALSE,"PC+ Info.";#N/A,#N/A,FALSE,"PC+Info_2"}</definedName>
    <definedName name="newJSECcustomer" localSheetId="56" hidden="1">{#N/A,#N/A,FALSE,"Title Page";#N/A,#N/A,FALSE,"Conclusions";#N/A,#N/A,FALSE,"Assum.";#N/A,#N/A,FALSE,"Sun  DCF-WC-Dep";#N/A,#N/A,FALSE,"MarketValue";#N/A,#N/A,FALSE,"BalSheet";#N/A,#N/A,FALSE,"WACC";#N/A,#N/A,FALSE,"PC+ Info.";#N/A,#N/A,FALSE,"PC+Info_2"}</definedName>
    <definedName name="newJSECcustomer" hidden="1">{#N/A,#N/A,FALSE,"Title Page";#N/A,#N/A,FALSE,"Conclusions";#N/A,#N/A,FALSE,"Assum.";#N/A,#N/A,FALSE,"Sun  DCF-WC-Dep";#N/A,#N/A,FALSE,"MarketValue";#N/A,#N/A,FALSE,"BalSheet";#N/A,#N/A,FALSE,"WACC";#N/A,#N/A,FALSE,"PC+ Info.";#N/A,#N/A,FALSE,"PC+Info_2"}</definedName>
    <definedName name="NextLeft">!IV1</definedName>
    <definedName name="NextUp">!A65536</definedName>
    <definedName name="nn" localSheetId="61" hidden="1">{#N/A,#N/A,FALSE,"Bakersfield PCs";#N/A,#N/A,FALSE,"Bremer PCs";#N/A,#N/A,FALSE,"Bakersfield Notebooks"}</definedName>
    <definedName name="nn" localSheetId="56" hidden="1">{#N/A,#N/A,FALSE,"Bakersfield PCs";#N/A,#N/A,FALSE,"Bremer PCs";#N/A,#N/A,FALSE,"Bakersfield Notebooks"}</definedName>
    <definedName name="nn" hidden="1">{#N/A,#N/A,FALSE,"Bakersfield PCs";#N/A,#N/A,FALSE,"Bremer PCs";#N/A,#N/A,FALSE,"Bakersfield Notebooks"}</definedName>
    <definedName name="Number_of_Payments" localSheetId="41">MATCH(0.01,End_Bal,-1)+1</definedName>
    <definedName name="Number_of_Payments" localSheetId="42">MATCH(0.01,End_Bal,-1)+1</definedName>
    <definedName name="Number_of_Payments" localSheetId="43">MATCH(0.01,End_Bal,-1)+1</definedName>
    <definedName name="Number_of_Payments" localSheetId="45">MATCH(0.01,End_Bal,-1)+1</definedName>
    <definedName name="Number_of_Payments" localSheetId="4">MATCH(0.01,End_Bal,-1)+1</definedName>
    <definedName name="Number_of_Payments">MATCH(0.01,End_Bal,-1)+1</definedName>
    <definedName name="NvsAnswerCol">"[ZGL_DETMIKE.xls]Sheet1!$A$7:$A$25"</definedName>
    <definedName name="NvsASD" localSheetId="56">"V2002-09-30"</definedName>
    <definedName name="NvsASD">"V2005-03-15"</definedName>
    <definedName name="NvsAutoDrillOk">"VN"</definedName>
    <definedName name="NvsElapsedTime" localSheetId="56">0.0000288194423774257</definedName>
    <definedName name="NvsElapsedTime">0.00355324074189411</definedName>
    <definedName name="NvsEndTime" localSheetId="56">37531.5975834491</definedName>
    <definedName name="NvsEndTime">38461.5949421296</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 localSheetId="56">"%,XZF.ACCOUNT.PSDetail"</definedName>
    <definedName name="NvsNplSpec">"%,X,RZT.ACCOUNT.,CZF.."</definedName>
    <definedName name="NvsPanelEffdt" localSheetId="56">"V1999-11-02"</definedName>
    <definedName name="NvsPanelEffdt">"V1910-01-01"</definedName>
    <definedName name="NvsPanelSetid" localSheetId="56">"VSHARE"</definedName>
    <definedName name="NvsPanelSetid">"VWORET"</definedName>
    <definedName name="NvsReqBU" localSheetId="56">"VAL000"</definedName>
    <definedName name="NvsReqBU">"VWOMRT"</definedName>
    <definedName name="NvsReqBUOnly">"VN"</definedName>
    <definedName name="NvsTransLed">"VN"</definedName>
    <definedName name="NvsTreeASD" localSheetId="56">"V2002-09-30"</definedName>
    <definedName name="NvsTreeASD">"V2005-03-15"</definedName>
    <definedName name="NvsValTbl.ACCOUNT">"GL_ACCOUNT_TBL"</definedName>
    <definedName name="NvsValTbl.AFFILIATE">"AFFILIATE_VW"</definedName>
    <definedName name="NvsValTbl.BUSINESS_UNIT">"BUS_UNIT_TBL_GL"</definedName>
    <definedName name="NvsValTbl.DEPTID">"DEPARTMENT_TBL"</definedName>
    <definedName name="o" localSheetId="61" hidden="1">{#N/A,#N/A,FALSE,"New Depr Sch-150% DB";#N/A,#N/A,FALSE,"Cash Flows RLP";#N/A,#N/A,FALSE,"IRR";#N/A,#N/A,FALSE,"Proforma IS";#N/A,#N/A,FALSE,"Assumptions"}</definedName>
    <definedName name="o" localSheetId="17" hidden="1">{#N/A,#N/A,FALSE,"New Depr Sch-150% DB";#N/A,#N/A,FALSE,"Cash Flows RLP";#N/A,#N/A,FALSE,"IRR";#N/A,#N/A,FALSE,"Proforma IS";#N/A,#N/A,FALSE,"Assumptions"}</definedName>
    <definedName name="o" localSheetId="56" hidden="1">{#N/A,#N/A,FALSE,"New Depr Sch-150% DB";#N/A,#N/A,FALSE,"Cash Flows RLP";#N/A,#N/A,FALSE,"IRR";#N/A,#N/A,FALSE,"Proforma IS";#N/A,#N/A,FALSE,"Assumptions"}</definedName>
    <definedName name="o" localSheetId="72" hidden="1">{#N/A,#N/A,FALSE,"New Depr Sch-150% DB";#N/A,#N/A,FALSE,"Cash Flows RLP";#N/A,#N/A,FALSE,"IRR";#N/A,#N/A,FALSE,"Proforma IS";#N/A,#N/A,FALSE,"Assumptions"}</definedName>
    <definedName name="o" hidden="1">{#N/A,#N/A,FALSE,"New Depr Sch-150% DB";#N/A,#N/A,FALSE,"Cash Flows RLP";#N/A,#N/A,FALSE,"IRR";#N/A,#N/A,FALSE,"Proforma IS";#N/A,#N/A,FALSE,"Assumptions"}</definedName>
    <definedName name="ok" localSheetId="61" hidden="1">{"Opsys",#N/A,FALSE,"NPV_OPsys";"NT",#N/A,FALSE,"NPV_NT";"DevP",#N/A,FALSE,"NPV_DevPdt";"Office",#N/A,FALSE,"NPV_Office"}</definedName>
    <definedName name="ok" localSheetId="56" hidden="1">{"Opsys",#N/A,FALSE,"NPV_OPsys";"NT",#N/A,FALSE,"NPV_NT";"DevP",#N/A,FALSE,"NPV_DevPdt";"Office",#N/A,FALSE,"NPV_Office"}</definedName>
    <definedName name="ok" hidden="1">{"Opsys",#N/A,FALSE,"NPV_OPsys";"NT",#N/A,FALSE,"NPV_NT";"DevP",#N/A,FALSE,"NPV_DevPdt";"Office",#N/A,FALSE,"NPV_Office"}</definedName>
    <definedName name="oooo" localSheetId="61" hidden="1">{#N/A,#N/A,FALSE,"Bakersfield PCs";#N/A,#N/A,FALSE,"Bremer PCs";#N/A,#N/A,FALSE,"Bakersfield Notebooks"}</definedName>
    <definedName name="oooo" localSheetId="56" hidden="1">{#N/A,#N/A,FALSE,"Bakersfield PCs";#N/A,#N/A,FALSE,"Bremer PCs";#N/A,#N/A,FALSE,"Bakersfield Notebooks"}</definedName>
    <definedName name="oooo" hidden="1">{#N/A,#N/A,FALSE,"Bakersfield PCs";#N/A,#N/A,FALSE,"Bremer PCs";#N/A,#N/A,FALSE,"Bakersfield Notebooks"}</definedName>
    <definedName name="Ownership" localSheetId="41" hidden="1">OFFSET([0]!Data.Top.Left,1,0)</definedName>
    <definedName name="Ownership" localSheetId="42" hidden="1">OFFSET([0]!Data.Top.Left,1,0)</definedName>
    <definedName name="Ownership" localSheetId="43" hidden="1">OFFSET([0]!Data.Top.Left,1,0)</definedName>
    <definedName name="Ownership" localSheetId="45" hidden="1">OFFSET([0]!Data.Top.Left,1,0)</definedName>
    <definedName name="Ownership" localSheetId="4" hidden="1">OFFSET([0]!Data.Top.Left,1,0)</definedName>
    <definedName name="Ownership" localSheetId="61" hidden="1">OFFSET([0]!Data.Top.Left,1,0)</definedName>
    <definedName name="Ownership" localSheetId="56" hidden="1">OFFSET([0]!Data.Top.Left,1,0)</definedName>
    <definedName name="Ownership" localSheetId="50" hidden="1">OFFSET([0]!Data.Top.Left,1,0)</definedName>
    <definedName name="Ownership" localSheetId="52" hidden="1">OFFSET([0]!Data.Top.Left,1,0)</definedName>
    <definedName name="Ownership" localSheetId="51" hidden="1">OFFSET([0]!Data.Top.Left,1,0)</definedName>
    <definedName name="Ownership" localSheetId="55" hidden="1">OFFSET([0]!Data.Top.Left,1,0)</definedName>
    <definedName name="Ownership" hidden="1">OFFSET([0]!Data.Top.Left,1,0)</definedName>
    <definedName name="Payment_Date" localSheetId="41">DATE(YEAR(Loan_Start),MONTH(Loan_Start)+Payment_Number,DAY(Loan_Start))</definedName>
    <definedName name="Payment_Date" localSheetId="42">DATE(YEAR(Loan_Start),MONTH(Loan_Start)+Payment_Number,DAY(Loan_Start))</definedName>
    <definedName name="Payment_Date" localSheetId="43">DATE(YEAR(Loan_Start),MONTH(Loan_Start)+Payment_Number,DAY(Loan_Start))</definedName>
    <definedName name="Payment_Date" localSheetId="45">DATE(YEAR(Loan_Start),MONTH(Loan_Start)+Payment_Number,DAY(Loan_Start))</definedName>
    <definedName name="Payment_Date" localSheetId="4">DATE(YEAR(Loan_Start),MONTH(Loan_Start)+Payment_Number,DAY(Loan_Start))</definedName>
    <definedName name="Payment_Date" localSheetId="56">DATE(YEAR(Loan_Start),MONTH(Loan_Start)+Payment_Number,DAY(Loan_Start))</definedName>
    <definedName name="Payment_Date">DATE(YEAR(Loan_Start),MONTH(Loan_Start)+Payment_Number,DAY(Loan_Start))</definedName>
    <definedName name="PCCnewcustomer" localSheetId="61" hidden="1">{#N/A,#N/A,FALSE,"Title Page";#N/A,#N/A,FALSE,"Conclusions";#N/A,#N/A,FALSE,"Assum.";#N/A,#N/A,FALSE,"Sun  DCF-WC-Dep";#N/A,#N/A,FALSE,"MarketValue";#N/A,#N/A,FALSE,"BalSheet";#N/A,#N/A,FALSE,"WACC";#N/A,#N/A,FALSE,"PC+ Info.";#N/A,#N/A,FALSE,"PC+Info_2"}</definedName>
    <definedName name="PCCnewcustomer" localSheetId="56" hidden="1">{#N/A,#N/A,FALSE,"Title Page";#N/A,#N/A,FALSE,"Conclusions";#N/A,#N/A,FALSE,"Assum.";#N/A,#N/A,FALSE,"Sun  DCF-WC-Dep";#N/A,#N/A,FALSE,"MarketValue";#N/A,#N/A,FALSE,"BalSheet";#N/A,#N/A,FALSE,"WACC";#N/A,#N/A,FALSE,"PC+ Info.";#N/A,#N/A,FALSE,"PC+Info_2"}</definedName>
    <definedName name="PCCnewcustomer" hidden="1">{#N/A,#N/A,FALSE,"Title Page";#N/A,#N/A,FALSE,"Conclusions";#N/A,#N/A,FALSE,"Assum.";#N/A,#N/A,FALSE,"Sun  DCF-WC-Dep";#N/A,#N/A,FALSE,"MarketValue";#N/A,#N/A,FALSE,"BalSheet";#N/A,#N/A,FALSE,"WACC";#N/A,#N/A,FALSE,"PC+ Info.";#N/A,#N/A,FALSE,"PC+Info_2"}</definedName>
    <definedName name="ppp" localSheetId="61" hidden="1">{#N/A,#N/A,FALSE,"Bakersfield PCs";#N/A,#N/A,FALSE,"Bremer PCs";#N/A,#N/A,FALSE,"Bakersfield Notebooks"}</definedName>
    <definedName name="ppp" localSheetId="56" hidden="1">{#N/A,#N/A,FALSE,"Bakersfield PCs";#N/A,#N/A,FALSE,"Bremer PCs";#N/A,#N/A,FALSE,"Bakersfield Notebooks"}</definedName>
    <definedName name="ppp" hidden="1">{#N/A,#N/A,FALSE,"Bakersfield PCs";#N/A,#N/A,FALSE,"Bremer PCs";#N/A,#N/A,FALSE,"Bakersfield Notebooks"}</definedName>
    <definedName name="PRASIMSCENARIOS">"early launch,late launch,"</definedName>
    <definedName name="_xlnm.Print_Area" localSheetId="9">'Allocation Method &gt;&gt;'!$A$1:$G$30</definedName>
    <definedName name="_xlnm.Print_Area" localSheetId="60">'Asset Vol Hybrid'!$A$1:$Z$57</definedName>
    <definedName name="_xlnm.Print_Area" localSheetId="41">'Asset Vol_DLOM'!$A$1:$Z$57</definedName>
    <definedName name="_xlnm.Print_Area" localSheetId="42">'Asset Vol_IPO Early'!$A$1:$Z$57</definedName>
    <definedName name="_xlnm.Print_Area" localSheetId="43">'Asset Vol_IPO Late'!$A$1:$Z$57</definedName>
    <definedName name="_xlnm.Print_Area" localSheetId="44">'Asset Vol_M&amp;A Early'!$A$1:$Z$57</definedName>
    <definedName name="_xlnm.Print_Area" localSheetId="45">'Asset Vol_M&amp;A Late'!$A$1:$Z$57</definedName>
    <definedName name="_xlnm.Print_Area" localSheetId="40">'Asset Vol_OPM'!$A$1:$Z$57</definedName>
    <definedName name="_xlnm.Print_Area" localSheetId="22">'Beta Calc'!$A$1:$S$48</definedName>
    <definedName name="_xlnm.Print_Area" localSheetId="35">'Cap Structure FP &gt;&gt;'!$A$1:$G$30</definedName>
    <definedName name="_xlnm.Print_Area" localSheetId="36">'Cap Table'!$A$1:$N$54</definedName>
    <definedName name="_xlnm.Print_Area" localSheetId="69">'Capital IQ Sheet-GPC'!$A$1:$BZ$75</definedName>
    <definedName name="_xlnm.Print_Area" localSheetId="70">'Capital IQ Sheet-STM'!$A$1:$AJ$69</definedName>
    <definedName name="_xlnm.Print_Area" localSheetId="4">Checklist!$A$1:$F$49</definedName>
    <definedName name="_xlnm.Print_Area" localSheetId="61">'Class Vol'!$A$1:$X$41</definedName>
    <definedName name="_xlnm.Print_Area" localSheetId="27">'Comp.1'!$A$1:$AA$50</definedName>
    <definedName name="_xlnm.Print_Area" localSheetId="28">'Comp.2'!$A$1:$X$50</definedName>
    <definedName name="_xlnm.Print_Area" localSheetId="64">'Comp.4'!$A$1:$R$51</definedName>
    <definedName name="_xlnm.Print_Area" localSheetId="29">'Comp.5'!$A$1:$X$48</definedName>
    <definedName name="_xlnm.Print_Area" localSheetId="30">'Comp.6'!$A$1:$E$40</definedName>
    <definedName name="_xlnm.Print_Area" localSheetId="63">'Comparative Sheet'!$A$1:$H$165</definedName>
    <definedName name="_xlnm.Print_Area" localSheetId="16">DCF!$A$1:$P$87</definedName>
    <definedName name="_xlnm.Print_Area" localSheetId="15">'DCF &gt;&gt;'!$A$1:$G$30</definedName>
    <definedName name="_xlnm.Print_Area" localSheetId="17">'Depreciation - MACRS'!$A$1:$Q$47</definedName>
    <definedName name="_xlnm.Print_Area" localSheetId="20">'Discount Rate FP &gt;&gt;'!$A$1:$G$30</definedName>
    <definedName name="_xlnm.Print_Area" localSheetId="39">DLOM!$A$1:$K$71</definedName>
    <definedName name="_xlnm.Print_Area" localSheetId="59">'DLOM Hybrid'!$A$1:$N$48</definedName>
    <definedName name="_xlnm.Print_Area" localSheetId="65">'DLOM Rest Stock'!$A$1:$K$21</definedName>
    <definedName name="_xlnm.Print_Area" localSheetId="37">'Econ Rights'!$A$1:$K$34</definedName>
    <definedName name="_xlnm.Print_Area" localSheetId="46">'Equity Vol'!$A$1:$L$52</definedName>
    <definedName name="_xlnm.Print_Area" localSheetId="11">'Exit Probability'!$A$1:$H$61</definedName>
    <definedName name="_xlnm.Print_Area" localSheetId="25">'GCM FP &gt;&gt;'!$A$1:$G$30</definedName>
    <definedName name="_xlnm.Print_Area" localSheetId="26">'GCM SUMM'!$A$1:$S$58</definedName>
    <definedName name="_xlnm.Print_Area" localSheetId="71">'GPC Linked'!$A$1:$BZ$74</definedName>
    <definedName name="_xlnm.Print_Area" localSheetId="31">'GTM FP &gt;&gt;'!$A$1:$G$30</definedName>
    <definedName name="_xlnm.Print_Area" localSheetId="32">'GTM SUMM'!$A$1:$S$59</definedName>
    <definedName name="_xlnm.Print_Area" localSheetId="19">'Hist BS'!$A$1:$T$68</definedName>
    <definedName name="_xlnm.Print_Area" localSheetId="18">'Hist IS'!$A$1:$V$44</definedName>
    <definedName name="_xlnm.Print_Area" localSheetId="56">'Hybrid OPM'!$A$1:$G$35</definedName>
    <definedName name="_xlnm.Print_Area" localSheetId="50">'IPO Data_BioPharma'!$A$1:$Q$157</definedName>
    <definedName name="_xlnm.Print_Area" localSheetId="52">'IPO Data_Diagnostic'!$A$1:$Q$137</definedName>
    <definedName name="_xlnm.Print_Area" localSheetId="51">'IPO Data_Med Device'!$A$1:$Z$47</definedName>
    <definedName name="_xlnm.Print_Area" localSheetId="66">'Lack Voting'!$A$1:$G$48</definedName>
    <definedName name="_xlnm.Print_Area" localSheetId="48">'Licensing Deals'!$A$1:$L$144</definedName>
    <definedName name="_xlnm.Print_Area" localSheetId="62">'Market Trends since Prior Val'!$A$1:$AA$49</definedName>
    <definedName name="_xlnm.Print_Area" localSheetId="13">'OPM 1'!$A$1:$T$200</definedName>
    <definedName name="_xlnm.Print_Area" localSheetId="57">'OPM 1 Hybrid'!$A$1:$T$200</definedName>
    <definedName name="_xlnm.Print_Area" localSheetId="14">'OPM 2'!$A$1:$M$29</definedName>
    <definedName name="_xlnm.Print_Area" localSheetId="58">'OPM 2 Hybrid'!$A$1:$M$29</definedName>
    <definedName name="_xlnm.Print_Area" localSheetId="7">Outline!$A$1:$H$57</definedName>
    <definedName name="_xlnm.Print_Area" localSheetId="55">Outline_Workpapers!$A$1:$G$19</definedName>
    <definedName name="_xlnm.Print_Area" localSheetId="12">PoTS!$A$1:$G$119</definedName>
    <definedName name="_xlnm.Print_Area" localSheetId="10">PWERM!$A$2:$N$218</definedName>
    <definedName name="_xlnm.Print_Area" localSheetId="47">'Risk-Free Rates'!$A$1:$F$87</definedName>
    <definedName name="_xlnm.Print_Area" localSheetId="24">'RoR Stage of Dev'!$A$1:$I$30</definedName>
    <definedName name="_xlnm.Print_Area" localSheetId="72">'STM Linked'!$A$1:$AH$55</definedName>
    <definedName name="_xlnm.Print_Area" localSheetId="38">'Support FP &gt;&gt;'!$A$1:$G$30</definedName>
    <definedName name="_xlnm.Print_Area" localSheetId="6">Title!$A$1:$G$28</definedName>
    <definedName name="_xlnm.Print_Area" localSheetId="54">'Title_Workpapers &gt; &gt;'!$A$1:$G$28</definedName>
    <definedName name="_xlnm.Print_Area" localSheetId="33">Trans.1!$A$1:$AK$50</definedName>
    <definedName name="_xlnm.Print_Area" localSheetId="34">Trans.2!$A$1:$E$29</definedName>
    <definedName name="_xlnm.Print_Area" localSheetId="8">'Val Summ'!$A$1:$M$33</definedName>
    <definedName name="_xlnm.Print_Area" localSheetId="21">'WACC CAPM'!$A$1:$K$42</definedName>
    <definedName name="_xlnm.Print_Area" localSheetId="23">'WACC PWERM'!$A$1:$O$35</definedName>
    <definedName name="Print_Area_Reset" localSheetId="41">OFFSET(Full_Print,0,0,[0]!Last_Row)</definedName>
    <definedName name="Print_Area_Reset" localSheetId="42">OFFSET(Full_Print,0,0,[0]!Last_Row)</definedName>
    <definedName name="Print_Area_Reset" localSheetId="43">OFFSET(Full_Print,0,0,[0]!Last_Row)</definedName>
    <definedName name="Print_Area_Reset" localSheetId="45">OFFSET(Full_Print,0,0,[0]!Last_Row)</definedName>
    <definedName name="Print_Area_Reset" localSheetId="4">OFFSET(Full_Print,0,0,[0]!Last_Row)</definedName>
    <definedName name="Print_Area_Reset" localSheetId="61">OFFSET(Full_Print,0,0,[0]!Last_Row)</definedName>
    <definedName name="Print_Area_Reset" localSheetId="56">OFFSET(Full_Print,0,0,'Hybrid OPM'!Last_Row)</definedName>
    <definedName name="Print_Area_Reset" localSheetId="50">OFFSET(Full_Print,0,0,Last_Row)</definedName>
    <definedName name="Print_Area_Reset" localSheetId="52">OFFSET(Full_Print,0,0,Last_Row)</definedName>
    <definedName name="Print_Area_Reset" localSheetId="51">OFFSET(Full_Print,0,0,Last_Row)</definedName>
    <definedName name="Print_Area_Reset" localSheetId="55">OFFSET(Full_Print,0,0,Last_Row)</definedName>
    <definedName name="Print_Area_Reset">OFFSET(Full_Print,0,0,Last_Row)</definedName>
    <definedName name="_xlnm.Print_Titles" localSheetId="27">'Comp.1'!$A:$C,'Comp.1'!$1:$9</definedName>
    <definedName name="_xlnm.Print_Titles" localSheetId="28">'Comp.2'!$A:$C,'Comp.2'!$1:$9</definedName>
    <definedName name="_xlnm.Print_Titles" localSheetId="64">'Comp.4'!$A:$C,'Comp.4'!$1:$10</definedName>
    <definedName name="_xlnm.Print_Titles" localSheetId="29">'Comp.5'!$A:$C,'Comp.5'!$1:$5</definedName>
    <definedName name="_xlnm.Print_Titles" localSheetId="30">'Comp.6'!$2:$8</definedName>
    <definedName name="_xlnm.Print_Titles" localSheetId="63">'Comparative Sheet'!$1:$9</definedName>
    <definedName name="_xlnm.Print_Titles" localSheetId="16">DCF!$2:$10</definedName>
    <definedName name="_xlnm.Print_Titles" localSheetId="50">'IPO Data_BioPharma'!$1:$10</definedName>
    <definedName name="_xlnm.Print_Titles" localSheetId="52">'IPO Data_Diagnostic'!$1:$10</definedName>
    <definedName name="_xlnm.Print_Titles" localSheetId="51">'IPO Data_Med Device'!$1:$7</definedName>
    <definedName name="_xlnm.Print_Titles" localSheetId="48">'Licensing Deals'!$1:$7</definedName>
    <definedName name="_xlnm.Print_Titles" localSheetId="62">'Market Trends since Prior Val'!$A:$B,'Market Trends since Prior Val'!$1:$8</definedName>
    <definedName name="_xlnm.Print_Titles" localSheetId="13">'OPM 1'!$1:$16</definedName>
    <definedName name="_xlnm.Print_Titles" localSheetId="57">'OPM 1 Hybrid'!$1:$16</definedName>
    <definedName name="_xlnm.Print_Titles" localSheetId="12">PoTS!$1:$5</definedName>
    <definedName name="_xlnm.Print_Titles" localSheetId="10">PWERM!$1:$8</definedName>
    <definedName name="_xlnm.Print_Titles" localSheetId="47">'Risk-Free Rates'!$1:$20</definedName>
    <definedName name="_xlnm.Print_Titles" localSheetId="33">Trans.1!$A:$P,Trans.1!$1:$7</definedName>
    <definedName name="_xlnm.Print_Titles" localSheetId="34">Trans.2!$2:$7</definedName>
    <definedName name="Purpose" localSheetId="56">[8]Setup!$C$4</definedName>
    <definedName name="Purpose_IP" localSheetId="56">'[16]Setup - IP Val'!$C$4</definedName>
    <definedName name="q" localSheetId="61" hidden="1">{#N/A,#N/A,FALSE,"Bakersfield PCs";#N/A,#N/A,FALSE,"Bremer PCs";#N/A,#N/A,FALSE,"Bakersfield Notebooks"}</definedName>
    <definedName name="q" localSheetId="56" hidden="1">{#N/A,#N/A,FALSE,"Bakersfield PCs";#N/A,#N/A,FALSE,"Bremer PCs";#N/A,#N/A,FALSE,"Bakersfield Notebooks"}</definedName>
    <definedName name="q" hidden="1">{#N/A,#N/A,FALSE,"Bakersfield PCs";#N/A,#N/A,FALSE,"Bremer PCs";#N/A,#N/A,FALSE,"Bakersfield Notebooks"}</definedName>
    <definedName name="rarte" localSheetId="61" hidden="1">{#N/A,#N/A,FALSE,"Bakersfield PCs";#N/A,#N/A,FALSE,"Bremer PCs";#N/A,#N/A,FALSE,"Bakersfield Notebooks"}</definedName>
    <definedName name="rarte" localSheetId="56" hidden="1">{#N/A,#N/A,FALSE,"Bakersfield PCs";#N/A,#N/A,FALSE,"Bremer PCs";#N/A,#N/A,FALSE,"Bakersfield Notebooks"}</definedName>
    <definedName name="rarte" hidden="1">{#N/A,#N/A,FALSE,"Bakersfield PCs";#N/A,#N/A,FALSE,"Bremer PCs";#N/A,#N/A,FALSE,"Bakersfield Notebooks"}</definedName>
    <definedName name="reality" localSheetId="61" hidden="1">{#N/A,#N/A,FALSE,"Title Page";#N/A,#N/A,FALSE,"Conclusions";#N/A,#N/A,FALSE,"Assum.";#N/A,#N/A,FALSE,"Sun  DCF-WC-Dep";#N/A,#N/A,FALSE,"MarketValue";#N/A,#N/A,FALSE,"BalSheet";#N/A,#N/A,FALSE,"WACC";#N/A,#N/A,FALSE,"PC+ Info.";#N/A,#N/A,FALSE,"PC+Info_2"}</definedName>
    <definedName name="reality" localSheetId="56" hidden="1">{#N/A,#N/A,FALSE,"Title Page";#N/A,#N/A,FALSE,"Conclusions";#N/A,#N/A,FALSE,"Assum.";#N/A,#N/A,FALSE,"Sun  DCF-WC-Dep";#N/A,#N/A,FALSE,"MarketValue";#N/A,#N/A,FALSE,"BalSheet";#N/A,#N/A,FALSE,"WACC";#N/A,#N/A,FALSE,"PC+ Info.";#N/A,#N/A,FALSE,"PC+Info_2"}</definedName>
    <definedName name="reality" hidden="1">{#N/A,#N/A,FALSE,"Title Page";#N/A,#N/A,FALSE,"Conclusions";#N/A,#N/A,FALSE,"Assum.";#N/A,#N/A,FALSE,"Sun  DCF-WC-Dep";#N/A,#N/A,FALSE,"MarketValue";#N/A,#N/A,FALSE,"BalSheet";#N/A,#N/A,FALSE,"WACC";#N/A,#N/A,FALSE,"PC+ Info.";#N/A,#N/A,FALSE,"PC+Info_2"}</definedName>
    <definedName name="Recruiting">0.1</definedName>
    <definedName name="regmult" localSheetId="41" hidden="1">#REF!</definedName>
    <definedName name="regmult" localSheetId="42" hidden="1">#REF!</definedName>
    <definedName name="regmult" localSheetId="43" hidden="1">#REF!</definedName>
    <definedName name="regmult" localSheetId="45" hidden="1">#REF!</definedName>
    <definedName name="regmult" localSheetId="4" hidden="1">#REF!</definedName>
    <definedName name="regmult" localSheetId="50" hidden="1">#REF!</definedName>
    <definedName name="regmult" localSheetId="52" hidden="1">#REF!</definedName>
    <definedName name="regmult" localSheetId="51" hidden="1">#REF!</definedName>
    <definedName name="regmult" localSheetId="55" hidden="1">#REF!</definedName>
    <definedName name="regmult" hidden="1">#REF!</definedName>
    <definedName name="relativevalue2" localSheetId="61" hidden="1">{#N/A,#N/A,FALSE,"Bakersfield PCs";#N/A,#N/A,FALSE,"Bremer PCs";#N/A,#N/A,FALSE,"Bakersfield Notebooks"}</definedName>
    <definedName name="relativevalue2" localSheetId="56" hidden="1">{#N/A,#N/A,FALSE,"Bakersfield PCs";#N/A,#N/A,FALSE,"Bremer PCs";#N/A,#N/A,FALSE,"Bakersfield Notebooks"}</definedName>
    <definedName name="relativevalue2" hidden="1">{#N/A,#N/A,FALSE,"Bakersfield PCs";#N/A,#N/A,FALSE,"Bremer PCs";#N/A,#N/A,FALSE,"Bakersfield Notebooks"}</definedName>
    <definedName name="relativevalue3" localSheetId="61" hidden="1">{#N/A,#N/A,FALSE,"Bakersfield PCs";#N/A,#N/A,FALSE,"Bremer PCs";#N/A,#N/A,FALSE,"Bakersfield Notebooks"}</definedName>
    <definedName name="relativevalue3" localSheetId="56" hidden="1">{#N/A,#N/A,FALSE,"Bakersfield PCs";#N/A,#N/A,FALSE,"Bremer PCs";#N/A,#N/A,FALSE,"Bakersfield Notebooks"}</definedName>
    <definedName name="relativevalue3" hidden="1">{#N/A,#N/A,FALSE,"Bakersfield PCs";#N/A,#N/A,FALSE,"Bremer PCs";#N/A,#N/A,FALSE,"Bakersfield Notebooks"}</definedName>
    <definedName name="REPDATA">[17]SUBS!$B$10:$V$70</definedName>
    <definedName name="Report_Divisor" hidden="1">1000</definedName>
    <definedName name="Report_Divisor_000" hidden="1">1000000</definedName>
    <definedName name="Report_ID" hidden="1">"AL"</definedName>
    <definedName name="ReportGroup" hidden="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r" localSheetId="61" hidden="1">{#N/A,#N/A,FALSE,"Bakersfield PCs";#N/A,#N/A,FALSE,"Bremer PCs";#N/A,#N/A,FALSE,"Bakersfield Notebooks"}</definedName>
    <definedName name="rr" localSheetId="56" hidden="1">{#N/A,#N/A,FALSE,"Bakersfield PCs";#N/A,#N/A,FALSE,"Bremer PCs";#N/A,#N/A,FALSE,"Bakersfield Notebooks"}</definedName>
    <definedName name="rr" hidden="1">{#N/A,#N/A,FALSE,"Bakersfield PCs";#N/A,#N/A,FALSE,"Bremer PCs";#N/A,#N/A,FALSE,"Bakersfield Notebooks"}</definedName>
    <definedName name="Sales_Rep">'[10]Revenue Assumptions and Summary'!$T$24:$T$25</definedName>
    <definedName name="SAPBEXrevision" hidden="1">1</definedName>
    <definedName name="SAPBEXsysID" hidden="1">"PBL"</definedName>
    <definedName name="SAPBEXwbID" hidden="1">"3JWXP1JGVR0V27DB0INATEIH7"</definedName>
    <definedName name="SAPFuncF4Help" localSheetId="41" hidden="1">Main.SAPF4Help()</definedName>
    <definedName name="SAPFuncF4Help" localSheetId="42" hidden="1">Main.SAPF4Help()</definedName>
    <definedName name="SAPFuncF4Help" localSheetId="43" hidden="1">Main.SAPF4Help()</definedName>
    <definedName name="SAPFuncF4Help" localSheetId="45" hidden="1">Main.SAPF4Help()</definedName>
    <definedName name="SAPFuncF4Help" localSheetId="4" hidden="1">Main.SAPF4Help()</definedName>
    <definedName name="SAPFuncF4Help" localSheetId="61" hidden="1">Main.SAPF4Help()</definedName>
    <definedName name="SAPFuncF4Help" localSheetId="17" hidden="1">Main.SAPF4Help()</definedName>
    <definedName name="SAPFuncF4Help" localSheetId="56" hidden="1">Main.SAPF4Help()</definedName>
    <definedName name="SAPFuncF4Help" localSheetId="50" hidden="1">Main.SAPF4Help()</definedName>
    <definedName name="SAPFuncF4Help" localSheetId="52" hidden="1">Main.SAPF4Help()</definedName>
    <definedName name="SAPFuncF4Help" localSheetId="51" hidden="1">Main.SAPF4Help()</definedName>
    <definedName name="SAPFuncF4Help" localSheetId="55" hidden="1">Main.SAPF4Help()</definedName>
    <definedName name="SAPFuncF4Help" hidden="1">Main.SAPF4Help()</definedName>
    <definedName name="sdf" localSheetId="61" hidden="1">{#N/A,"A",FALSE,"DCF"}</definedName>
    <definedName name="sdf" localSheetId="56" hidden="1">{#N/A,"A",FALSE,"DCF"}</definedName>
    <definedName name="sdf" hidden="1">{#N/A,"A",FALSE,"DCF"}</definedName>
    <definedName name="SecondProj" localSheetId="56">[8]Setup!$C$15</definedName>
    <definedName name="sencount" hidden="1">2</definedName>
    <definedName name="Sheeet1" localSheetId="61" hidden="1">{#N/A,#N/A,FALSE,"Summary";#N/A,#N/A,FALSE,"Proforma";#N/A,#N/A,FALSE,"Tx"}</definedName>
    <definedName name="Sheeet1" localSheetId="56" hidden="1">{#N/A,#N/A,FALSE,"Summary";#N/A,#N/A,FALSE,"Proforma";#N/A,#N/A,FALSE,"Tx"}</definedName>
    <definedName name="Sheeet1" hidden="1">{#N/A,#N/A,FALSE,"Summary";#N/A,#N/A,FALSE,"Proforma";#N/A,#N/A,FALSE,"Tx"}</definedName>
    <definedName name="sheet" localSheetId="61" hidden="1">{#N/A,#N/A,FALSE,"Summary";#N/A,#N/A,FALSE,"Proforma";#N/A,#N/A,FALSE,"Tx"}</definedName>
    <definedName name="sheet" localSheetId="56" hidden="1">{#N/A,#N/A,FALSE,"Summary";#N/A,#N/A,FALSE,"Proforma";#N/A,#N/A,FALSE,"Tx"}</definedName>
    <definedName name="sheet" hidden="1">{#N/A,#N/A,FALSE,"Summary";#N/A,#N/A,FALSE,"Proforma";#N/A,#N/A,FALSE,"Tx"}</definedName>
    <definedName name="sheet1" localSheetId="61" hidden="1">{#N/A,#N/A,FALSE,"Summary";#N/A,#N/A,FALSE,"Proforma";#N/A,#N/A,FALSE,"Tx"}</definedName>
    <definedName name="sheet1" localSheetId="56" hidden="1">{#N/A,#N/A,FALSE,"Summary";#N/A,#N/A,FALSE,"Proforma";#N/A,#N/A,FALSE,"Tx"}</definedName>
    <definedName name="sheet1" hidden="1">{#N/A,#N/A,FALSE,"Summary";#N/A,#N/A,FALSE,"Proforma";#N/A,#N/A,FALSE,"Tx"}</definedName>
    <definedName name="solver_adj" localSheetId="56" hidden="1">'Hybrid OPM'!$J$28</definedName>
    <definedName name="solver_cvg" localSheetId="56" hidden="1">0.0001</definedName>
    <definedName name="solver_drv" localSheetId="56" hidden="1">1</definedName>
    <definedName name="solver_eng" localSheetId="56" hidden="1">1</definedName>
    <definedName name="solver_est" localSheetId="56" hidden="1">1</definedName>
    <definedName name="solver_itr" localSheetId="56" hidden="1">2147483647</definedName>
    <definedName name="solver_lin" hidden="1">0</definedName>
    <definedName name="solver_mip" localSheetId="56" hidden="1">2147483647</definedName>
    <definedName name="solver_mni" localSheetId="56" hidden="1">30</definedName>
    <definedName name="solver_mrt" localSheetId="56" hidden="1">0.075</definedName>
    <definedName name="solver_msl" localSheetId="56" hidden="1">2</definedName>
    <definedName name="solver_neg" localSheetId="56" hidden="1">1</definedName>
    <definedName name="solver_nod" localSheetId="56" hidden="1">2147483647</definedName>
    <definedName name="solver_num" localSheetId="56" hidden="1">0</definedName>
    <definedName name="solver_num" hidden="1">0</definedName>
    <definedName name="solver_nwt" localSheetId="56" hidden="1">1</definedName>
    <definedName name="solver_opt" localSheetId="56" hidden="1">'Hybrid OPM'!$J$29</definedName>
    <definedName name="solver_pre" localSheetId="56" hidden="1">0.000001</definedName>
    <definedName name="solver_rbv" localSheetId="56" hidden="1">1</definedName>
    <definedName name="solver_rlx" localSheetId="56" hidden="1">2</definedName>
    <definedName name="solver_rsd" localSheetId="56" hidden="1">0</definedName>
    <definedName name="solver_scl" localSheetId="56" hidden="1">1</definedName>
    <definedName name="solver_sho" localSheetId="56" hidden="1">2</definedName>
    <definedName name="solver_ssz" localSheetId="56" hidden="1">100</definedName>
    <definedName name="solver_tim" localSheetId="56" hidden="1">2147483647</definedName>
    <definedName name="solver_tol" localSheetId="56" hidden="1">0.01</definedName>
    <definedName name="solver_typ" localSheetId="56" hidden="1">3</definedName>
    <definedName name="solver_typ" hidden="1">3</definedName>
    <definedName name="solver_val" localSheetId="56" hidden="1">0</definedName>
    <definedName name="solver_val" hidden="1">0</definedName>
    <definedName name="solver_ver" localSheetId="56" hidden="1">3</definedName>
    <definedName name="Ss" localSheetId="61" hidden="1">{#N/A,#N/A,FALSE,"Model";#N/A,#N/A,FALSE,"Gen Pts &amp; Rts 2000";#N/A,#N/A,FALSE,"AcqsAss";#N/A,#N/A,FALSE,"Acqs &amp; De Novos"}</definedName>
    <definedName name="Ss" localSheetId="56" hidden="1">{#N/A,#N/A,FALSE,"Model";#N/A,#N/A,FALSE,"Gen Pts &amp; Rts 2000";#N/A,#N/A,FALSE,"AcqsAss";#N/A,#N/A,FALSE,"Acqs &amp; De Novos"}</definedName>
    <definedName name="Ss" hidden="1">{#N/A,#N/A,FALSE,"Model";#N/A,#N/A,FALSE,"Gen Pts &amp; Rts 2000";#N/A,#N/A,FALSE,"AcqsAss";#N/A,#N/A,FALSE,"Acqs &amp; De Novos"}</definedName>
    <definedName name="steve" localSheetId="61" hidden="1">{#N/A,#N/A,FALSE,"Bakersfield PCs";#N/A,#N/A,FALSE,"Bremer PCs";#N/A,#N/A,FALSE,"Bakersfield Notebooks"}</definedName>
    <definedName name="steve" localSheetId="56" hidden="1">{#N/A,#N/A,FALSE,"Bakersfield PCs";#N/A,#N/A,FALSE,"Bremer PCs";#N/A,#N/A,FALSE,"Bakersfield Notebooks"}</definedName>
    <definedName name="steve" hidden="1">{#N/A,#N/A,FALSE,"Bakersfield PCs";#N/A,#N/A,FALSE,"Bremer PCs";#N/A,#N/A,FALSE,"Bakersfield Notebooks"}</definedName>
    <definedName name="steve2" localSheetId="61" hidden="1">{#N/A,#N/A,FALSE,"Bakersfield PCs";#N/A,#N/A,FALSE,"Bremer PCs";#N/A,#N/A,FALSE,"Bakersfield Notebooks"}</definedName>
    <definedName name="steve2" localSheetId="56" hidden="1">{#N/A,#N/A,FALSE,"Bakersfield PCs";#N/A,#N/A,FALSE,"Bremer PCs";#N/A,#N/A,FALSE,"Bakersfield Notebooks"}</definedName>
    <definedName name="steve2" hidden="1">{#N/A,#N/A,FALSE,"Bakersfield PCs";#N/A,#N/A,FALSE,"Bremer PCs";#N/A,#N/A,FALSE,"Bakersfield Notebooks"}</definedName>
    <definedName name="suckit" localSheetId="41" hidden="1">#REF!</definedName>
    <definedName name="suckit" localSheetId="42" hidden="1">#REF!</definedName>
    <definedName name="suckit" localSheetId="43" hidden="1">#REF!</definedName>
    <definedName name="suckit" localSheetId="45" hidden="1">#REF!</definedName>
    <definedName name="suckit" localSheetId="4" hidden="1">#REF!</definedName>
    <definedName name="suckit" localSheetId="50" hidden="1">#REF!</definedName>
    <definedName name="suckit" localSheetId="52" hidden="1">#REF!</definedName>
    <definedName name="suckit" localSheetId="51" hidden="1">#REF!</definedName>
    <definedName name="suckit" localSheetId="55" hidden="1">#REF!</definedName>
    <definedName name="suckit" hidden="1">#REF!</definedName>
    <definedName name="t" localSheetId="61" hidden="1">{"bs",#N/A,FALSE,"SCF"}</definedName>
    <definedName name="t" localSheetId="56" hidden="1">{"bs",#N/A,FALSE,"SCF"}</definedName>
    <definedName name="t" hidden="1">{"bs",#N/A,FALSE,"SCF"}</definedName>
    <definedName name="TableName">"Dummy"</definedName>
    <definedName name="Taxes">0.085</definedName>
    <definedName name="tejhre" localSheetId="61" hidden="1">{#N/A,#N/A,FALSE,"Bakersfield PCs";#N/A,#N/A,FALSE,"Bremer PCs";#N/A,#N/A,FALSE,"Bakersfield Notebooks"}</definedName>
    <definedName name="tejhre" localSheetId="56" hidden="1">{#N/A,#N/A,FALSE,"Bakersfield PCs";#N/A,#N/A,FALSE,"Bremer PCs";#N/A,#N/A,FALSE,"Bakersfield Notebooks"}</definedName>
    <definedName name="tejhre" hidden="1">{#N/A,#N/A,FALSE,"Bakersfield PCs";#N/A,#N/A,FALSE,"Bremer PCs";#N/A,#N/A,FALSE,"Bakersfield Notebooks"}</definedName>
    <definedName name="temp" localSheetId="61" hidden="1">{#N/A,#N/A,FALSE,"Bakersfield PCs";#N/A,#N/A,FALSE,"Bremer PCs";#N/A,#N/A,FALSE,"Bakersfield Notebooks"}</definedName>
    <definedName name="temp" localSheetId="56" hidden="1">{#N/A,#N/A,FALSE,"Bakersfield PCs";#N/A,#N/A,FALSE,"Bremer PCs";#N/A,#N/A,FALSE,"Bakersfield Notebooks"}</definedName>
    <definedName name="temp" hidden="1">{#N/A,#N/A,FALSE,"Bakersfield PCs";#N/A,#N/A,FALSE,"Bremer PCs";#N/A,#N/A,FALSE,"Bakersfield Notebooks"}</definedName>
    <definedName name="test" localSheetId="56" hidden="1">{#N/A,#N/A,TRUE,"Tax";#N/A,#N/A,TRUE,"Structure";#N/A,#N/A,TRUE,"Accounting";#N/A,#N/A,TRUE,"Equipment"}</definedName>
    <definedName name="test" hidden="1">{#N/A,#N/A,TRUE,"Tax";#N/A,#N/A,TRUE,"Structure";#N/A,#N/A,TRUE,"Accounting";#N/A,#N/A,TRUE,"Equipment"}</definedName>
    <definedName name="ThirdProj" localSheetId="56">[8]Setup!$C$16</definedName>
    <definedName name="TM1REBUILDOPTION">0</definedName>
    <definedName name="Toggle_DB_Location" hidden="1">2</definedName>
    <definedName name="Toggle_Freeze_View" hidden="1">0</definedName>
    <definedName name="totcap" localSheetId="41" hidden="1">#REF!,#REF!,#REF!,#REF!</definedName>
    <definedName name="totcap" localSheetId="42" hidden="1">#REF!,#REF!,#REF!,#REF!</definedName>
    <definedName name="totcap" localSheetId="43" hidden="1">#REF!,#REF!,#REF!,#REF!</definedName>
    <definedName name="totcap" localSheetId="45" hidden="1">#REF!,#REF!,#REF!,#REF!</definedName>
    <definedName name="totcap" localSheetId="4" hidden="1">#REF!,#REF!,#REF!,#REF!</definedName>
    <definedName name="totcap" localSheetId="50" hidden="1">#REF!,#REF!,#REF!,#REF!</definedName>
    <definedName name="totcap" localSheetId="52" hidden="1">#REF!,#REF!,#REF!,#REF!</definedName>
    <definedName name="totcap" localSheetId="51" hidden="1">#REF!,#REF!,#REF!,#REF!</definedName>
    <definedName name="totcap" localSheetId="55" hidden="1">#REF!,#REF!,#REF!,#REF!</definedName>
    <definedName name="totcap" hidden="1">#REF!,#REF!,#REF!,#REF!</definedName>
    <definedName name="ValuationDate" localSheetId="56">[8]Setup!$C$2</definedName>
    <definedName name="ValuationDate_IP" localSheetId="56">'[16]Setup - IP Val'!$C$2</definedName>
    <definedName name="Values_Entered" localSheetId="41">IF(Loan_Amount*Interest_Rate*Loan_Years*Loan_Start&gt;0,1,0)</definedName>
    <definedName name="Values_Entered" localSheetId="42">IF(Loan_Amount*Interest_Rate*Loan_Years*Loan_Start&gt;0,1,0)</definedName>
    <definedName name="Values_Entered" localSheetId="43">IF(Loan_Amount*Interest_Rate*Loan_Years*Loan_Start&gt;0,1,0)</definedName>
    <definedName name="Values_Entered" localSheetId="45">IF(Loan_Amount*Interest_Rate*Loan_Years*Loan_Start&gt;0,1,0)</definedName>
    <definedName name="Values_Entered" localSheetId="4">IF(Loan_Amount*Interest_Rate*Loan_Years*Loan_Start&gt;0,1,0)</definedName>
    <definedName name="Values_Entered" localSheetId="56">IF(Loan_Amount*Interest_Rate*Loan_Years*Loan_Start&gt;0,1,0)</definedName>
    <definedName name="Values_Entered">IF(Loan_Amount*Interest_Rate*Loan_Years*Loan_Start&gt;0,1,0)</definedName>
    <definedName name="Version_Nbr" hidden="1">1</definedName>
    <definedName name="willie" localSheetId="61" hidden="1">{#N/A,#N/A,FALSE,"Bakersfield PCs";#N/A,#N/A,FALSE,"Bremer PCs";#N/A,#N/A,FALSE,"Bakersfield Notebooks"}</definedName>
    <definedName name="willie" localSheetId="56" hidden="1">{#N/A,#N/A,FALSE,"Bakersfield PCs";#N/A,#N/A,FALSE,"Bremer PCs";#N/A,#N/A,FALSE,"Bakersfield Notebooks"}</definedName>
    <definedName name="willie" hidden="1">{#N/A,#N/A,FALSE,"Bakersfield PCs";#N/A,#N/A,FALSE,"Bremer PCs";#N/A,#N/A,FALSE,"Bakersfield Notebooks"}</definedName>
    <definedName name="wrn.All._.Sites." localSheetId="61" hidden="1">{#N/A,#N/A,FALSE,"Bakersfield PCs";#N/A,#N/A,FALSE,"Bremer PCs";#N/A,#N/A,FALSE,"Bakersfield Notebooks"}</definedName>
    <definedName name="wrn.All._.Sites." localSheetId="56" hidden="1">{#N/A,#N/A,FALSE,"Bakersfield PCs";#N/A,#N/A,FALSE,"Bremer PCs";#N/A,#N/A,FALSE,"Bakersfield Notebooks"}</definedName>
    <definedName name="wrn.All._.Sites." hidden="1">{#N/A,#N/A,FALSE,"Bakersfield PCs";#N/A,#N/A,FALSE,"Bremer PCs";#N/A,#N/A,FALSE,"Bakersfield Notebooks"}</definedName>
    <definedName name="wrn.BAC" localSheetId="61" hidden="1">{#N/A,#N/A,TRUE,"Tax";#N/A,#N/A,TRUE,"Structure";#N/A,#N/A,TRUE,"Accounting";#N/A,#N/A,TRUE,"Equipment"}</definedName>
    <definedName name="wrn.BAC" localSheetId="56" hidden="1">{#N/A,#N/A,TRUE,"Tax";#N/A,#N/A,TRUE,"Structure";#N/A,#N/A,TRUE,"Accounting";#N/A,#N/A,TRUE,"Equipment"}</definedName>
    <definedName name="wrn.BAC" hidden="1">{#N/A,#N/A,TRUE,"Tax";#N/A,#N/A,TRUE,"Structure";#N/A,#N/A,TRUE,"Accounting";#N/A,#N/A,TRUE,"Equipment"}</definedName>
    <definedName name="wrn.balance._.sheet." localSheetId="61" hidden="1">{"bs",#N/A,FALSE,"SCF"}</definedName>
    <definedName name="wrn.balance._.sheet." localSheetId="56" hidden="1">{"bs",#N/A,FALSE,"SCF"}</definedName>
    <definedName name="wrn.balance._.sheet." hidden="1">{"bs",#N/A,FALSE,"SCF"}</definedName>
    <definedName name="wrn.Basic._.Report." localSheetId="61" hidden="1">{#N/A,#N/A,FALSE,"New Depr Sch-150% DB";#N/A,#N/A,FALSE,"Cash Flows RLP";#N/A,#N/A,FALSE,"IRR";#N/A,#N/A,FALSE,"Proforma IS";#N/A,#N/A,FALSE,"Assumptions"}</definedName>
    <definedName name="wrn.Basic._.Report." localSheetId="17" hidden="1">{#N/A,#N/A,FALSE,"New Depr Sch-150% DB";#N/A,#N/A,FALSE,"Cash Flows RLP";#N/A,#N/A,FALSE,"IRR";#N/A,#N/A,FALSE,"Proforma IS";#N/A,#N/A,FALSE,"Assumptions"}</definedName>
    <definedName name="wrn.Basic._.Report." localSheetId="56" hidden="1">{#N/A,#N/A,FALSE,"New Depr Sch-150% DB";#N/A,#N/A,FALSE,"Cash Flows RLP";#N/A,#N/A,FALSE,"IRR";#N/A,#N/A,FALSE,"Proforma IS";#N/A,#N/A,FALSE,"Assumptions"}</definedName>
    <definedName name="wrn.Basic._.Report." localSheetId="72" hidden="1">{#N/A,#N/A,FALSE,"New Depr Sch-150% DB";#N/A,#N/A,FALSE,"Cash Flows RLP";#N/A,#N/A,FALSE,"IRR";#N/A,#N/A,FALSE,"Proforma IS";#N/A,#N/A,FALSE,"Assumptions"}</definedName>
    <definedName name="wrn.Basic._.Report." hidden="1">{#N/A,#N/A,FALSE,"New Depr Sch-150% DB";#N/A,#N/A,FALSE,"Cash Flows RLP";#N/A,#N/A,FALSE,"IRR";#N/A,#N/A,FALSE,"Proforma IS";#N/A,#N/A,FALSE,"Assumptions"}</definedName>
    <definedName name="wrn.BoeingAircraftChecklist." localSheetId="61" hidden="1">{#N/A,#N/A,TRUE,"Tax";#N/A,#N/A,TRUE,"Structure";#N/A,#N/A,TRUE,"Accounting";#N/A,#N/A,TRUE,"Equipment"}</definedName>
    <definedName name="wrn.BoeingAircraftChecklist." localSheetId="56" hidden="1">{#N/A,#N/A,TRUE,"Tax";#N/A,#N/A,TRUE,"Structure";#N/A,#N/A,TRUE,"Accounting";#N/A,#N/A,TRUE,"Equipment"}</definedName>
    <definedName name="wrn.BoeingAircraftChecklist." hidden="1">{#N/A,#N/A,TRUE,"Tax";#N/A,#N/A,TRUE,"Structure";#N/A,#N/A,TRUE,"Accounting";#N/A,#N/A,TRUE,"Equipment"}</definedName>
    <definedName name="wrn.brisbane." localSheetId="61" hidden="1">{#N/A,#N/A,FALSE,"LOAN";#N/A,#N/A,FALSE,"linereclass";#N/A,#N/A,FALSE,"softdraw"}</definedName>
    <definedName name="wrn.brisbane." localSheetId="56" hidden="1">{#N/A,#N/A,FALSE,"LOAN";#N/A,#N/A,FALSE,"linereclass";#N/A,#N/A,FALSE,"softdraw"}</definedName>
    <definedName name="wrn.brisbane." hidden="1">{#N/A,#N/A,FALSE,"LOAN";#N/A,#N/A,FALSE,"linereclass";#N/A,#N/A,FALSE,"softdraw"}</definedName>
    <definedName name="wrn.clientcopy." localSheetId="6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17"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56"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72"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mplete._.Report." localSheetId="61" hidden="1">{#N/A,#N/A,FALSE,"Assumptions";#N/A,#N/A,FALSE,"Proforma IS";#N/A,#N/A,FALSE,"Cash Flows RLP";#N/A,#N/A,FALSE,"IRR";#N/A,#N/A,FALSE,"New Depr Sch-150% DB";#N/A,#N/A,FALSE,"Comments"}</definedName>
    <definedName name="wrn.Complete._.Report." localSheetId="17" hidden="1">{#N/A,#N/A,FALSE,"Assumptions";#N/A,#N/A,FALSE,"Proforma IS";#N/A,#N/A,FALSE,"Cash Flows RLP";#N/A,#N/A,FALSE,"IRR";#N/A,#N/A,FALSE,"New Depr Sch-150% DB";#N/A,#N/A,FALSE,"Comments"}</definedName>
    <definedName name="wrn.Complete._.Report." localSheetId="56" hidden="1">{#N/A,#N/A,FALSE,"Assumptions";#N/A,#N/A,FALSE,"Proforma IS";#N/A,#N/A,FALSE,"Cash Flows RLP";#N/A,#N/A,FALSE,"IRR";#N/A,#N/A,FALSE,"New Depr Sch-150% DB";#N/A,#N/A,FALSE,"Comments"}</definedName>
    <definedName name="wrn.Complete._.Report." localSheetId="72" hidden="1">{#N/A,#N/A,FALSE,"Assumptions";#N/A,#N/A,FALSE,"Proforma IS";#N/A,#N/A,FALSE,"Cash Flows RLP";#N/A,#N/A,FALSE,"IRR";#N/A,#N/A,FALSE,"New Depr Sch-150% DB";#N/A,#N/A,FALSE,"Comments"}</definedName>
    <definedName name="wrn.Complete._.Report." hidden="1">{#N/A,#N/A,FALSE,"Assumptions";#N/A,#N/A,FALSE,"Proforma IS";#N/A,#N/A,FALSE,"Cash Flows RLP";#N/A,#N/A,FALSE,"IRR";#N/A,#N/A,FALSE,"New Depr Sch-150% DB";#N/A,#N/A,FALSE,"Comments"}</definedName>
    <definedName name="wrn.contributory._.asset._.charges." localSheetId="61" hidden="1">{"contributory1",#N/A,FALSE,"Contributory Assets Detail";"contributory2",#N/A,FALSE,"Contributory Assets Detail"}</definedName>
    <definedName name="wrn.contributory._.asset._.charges." localSheetId="56" hidden="1">{"contributory1",#N/A,FALSE,"Contributory Assets Detail";"contributory2",#N/A,FALSE,"Contributory Assets Detail"}</definedName>
    <definedName name="wrn.contributory._.asset._.charges." hidden="1">{"contributory1",#N/A,FALSE,"Contributory Assets Detail";"contributory2",#N/A,FALSE,"Contributory Assets Detail"}</definedName>
    <definedName name="wrn.Customer_base." localSheetId="61" hidden="1">{"customer base",#N/A,FALSE,"customer_base";"customer base perf estimates",#N/A,FALSE,"customer_base"}</definedName>
    <definedName name="wrn.Customer_base." localSheetId="56" hidden="1">{"customer base",#N/A,FALSE,"customer_base";"customer base perf estimates",#N/A,FALSE,"customer_base"}</definedName>
    <definedName name="wrn.Customer_base." hidden="1">{"customer base",#N/A,FALSE,"customer_base";"customer base perf estimates",#N/A,FALSE,"customer_base"}</definedName>
    <definedName name="wrn.DCF." localSheetId="61" hidden="1">{#N/A,#N/A,FALSE,"DCF Cov";#N/A,#N/A,FALSE,"dcf"}</definedName>
    <definedName name="wrn.DCF." localSheetId="56" hidden="1">{#N/A,#N/A,FALSE,"DCF Cov";#N/A,#N/A,FALSE,"dcf"}</definedName>
    <definedName name="wrn.DCF." hidden="1">{#N/A,#N/A,FALSE,"DCF Cov";#N/A,#N/A,FALSE,"dcf"}</definedName>
    <definedName name="wrn.documentation." localSheetId="61" hidden="1">{"documentation1",#N/A,FALSE,"Documentation";"documentation2",#N/A,FALSE,"Documentation"}</definedName>
    <definedName name="wrn.documentation." localSheetId="56" hidden="1">{"documentation1",#N/A,FALSE,"Documentation";"documentation2",#N/A,FALSE,"Documentation"}</definedName>
    <definedName name="wrn.documentation." hidden="1">{"documentation1",#N/A,FALSE,"Documentation";"documentation2",#N/A,FALSE,"Documentation"}</definedName>
    <definedName name="wrn.ESPP." localSheetId="61" hidden="1">{#N/A,#N/A,FALSE,"REPORT"}</definedName>
    <definedName name="wrn.ESPP." localSheetId="56" hidden="1">{#N/A,#N/A,FALSE,"REPORT"}</definedName>
    <definedName name="wrn.ESPP." hidden="1">{#N/A,#N/A,FALSE,"REPORT"}</definedName>
    <definedName name="wrn.exhibits." localSheetId="61" hidden="1">{#N/A,#N/A,FALSE,"IS";#N/A,#N/A,FALSE,"BS";#N/A,#N/A,FALSE,"RMA";#N/A,#N/A,FALSE,"INCOME";#N/A,#N/A,FALSE,"DCF";#N/A,#N/A,FALSE,"MARKET"}</definedName>
    <definedName name="wrn.exhibits." localSheetId="56" hidden="1">{#N/A,#N/A,FALSE,"IS";#N/A,#N/A,FALSE,"BS";#N/A,#N/A,FALSE,"RMA";#N/A,#N/A,FALSE,"INCOME";#N/A,#N/A,FALSE,"DCF";#N/A,#N/A,FALSE,"MARKET"}</definedName>
    <definedName name="wrn.exhibits." hidden="1">{#N/A,#N/A,FALSE,"IS";#N/A,#N/A,FALSE,"BS";#N/A,#N/A,FALSE,"RMA";#N/A,#N/A,FALSE,"INCOME";#N/A,#N/A,FALSE,"DCF";#N/A,#N/A,FALSE,"MARKET"}</definedName>
    <definedName name="wrn.Fcst._.by._.Mon." localSheetId="61" hidden="1">{"Fcst by Mon Full",#N/A,FALSE,"Tot PalmPalm";"Fcst by Mon Full",#N/A,FALSE,"Tot Device";"Fcst by Mon Full",#N/A,FALSE,"Platform";"Fcst by Mon Full",#N/A,FALSE,"Palm.Net";"Fcst by Mon Full",#N/A,FALSE,"Elim"}</definedName>
    <definedName name="wrn.Fcst._.by._.Mon." localSheetId="56" hidden="1">{"Fcst by Mon Full",#N/A,FALSE,"Tot PalmPalm";"Fcst by Mon Full",#N/A,FALSE,"Tot Device";"Fcst by Mon Full",#N/A,FALSE,"Platform";"Fcst by Mon Full",#N/A,FALSE,"Palm.Net";"Fcst by Mon Full",#N/A,FALSE,"Elim"}</definedName>
    <definedName name="wrn.Fcst._.by._.Mon." hidden="1">{"Fcst by Mon Full",#N/A,FALSE,"Tot PalmPalm";"Fcst by Mon Full",#N/A,FALSE,"Tot Device";"Fcst by Mon Full",#N/A,FALSE,"Platform";"Fcst by Mon Full",#N/A,FALSE,"Palm.Net";"Fcst by Mon Full",#N/A,FALSE,"Elim"}</definedName>
    <definedName name="wrn.Fcst._.by._.Qtr." localSheetId="61" hidden="1">{"Fcst by Qtr Full",#N/A,FALSE,"Tot PalmPalm";"Fcst by Qtr Full",#N/A,FALSE,"Tot Device";"Fcst by Qtr Full",#N/A,FALSE,"Platform";"Fcst by Qtr Full",#N/A,FALSE,"Palm.Net";"Fcst by Qtr Full",#N/A,FALSE,"Elim"}</definedName>
    <definedName name="wrn.Fcst._.by._.Qtr." localSheetId="56" hidden="1">{"Fcst by Qtr Full",#N/A,FALSE,"Tot PalmPalm";"Fcst by Qtr Full",#N/A,FALSE,"Tot Device";"Fcst by Qtr Full",#N/A,FALSE,"Platform";"Fcst by Qtr Full",#N/A,FALSE,"Palm.Net";"Fcst by Qtr Full",#N/A,FALSE,"Elim"}</definedName>
    <definedName name="wrn.Fcst._.by._.Qtr." hidden="1">{"Fcst by Qtr Full",#N/A,FALSE,"Tot PalmPalm";"Fcst by Qtr Full",#N/A,FALSE,"Tot Device";"Fcst by Qtr Full",#N/A,FALSE,"Platform";"Fcst by Qtr Full",#N/A,FALSE,"Palm.Net";"Fcst by Qtr Full",#N/A,FALSE,"Elim"}</definedName>
    <definedName name="wrn.File." localSheetId="61"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56"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copy." localSheetId="6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17"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56"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72"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ull._.Model." localSheetId="61"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56" hidden="1">{#N/A,#N/A,FALSE,"Cov";#N/A,#N/A,FALSE,"sum";#N/A,#N/A,FALSE,"baladj";#N/A,#N/A,FALSE,"bs";#N/A,#N/A,FALSE,"is";#N/A,#N/A,FALSE,"pis";#N/A,#N/A,FALSE,"pis";#N/A,#N/A,FALSE,"cf";#N/A,#N/A,FALSE,"balhist";#N/A,#N/A,FALSE,"wc";#N/A,#N/A,FALSE,"ltd";#N/A,#N/A,FALSE,"cover";#N/A,#N/A,FALSE,"fa";#N/A,#N/A,FALSE,"tax";#N/A,#N/A,FALSE,"irr";#N/A,#N/A,FALSE,"in";#N/A,#N/A,FALSE,"DCF Cov";#N/A,#N/A,FALSE,"dcf"}</definedName>
    <definedName name="wrn.Full._.Model." hidden="1">{#N/A,#N/A,FALSE,"Cov";#N/A,#N/A,FALSE,"sum";#N/A,#N/A,FALSE,"baladj";#N/A,#N/A,FALSE,"bs";#N/A,#N/A,FALSE,"is";#N/A,#N/A,FALSE,"pis";#N/A,#N/A,FALSE,"pis";#N/A,#N/A,FALSE,"cf";#N/A,#N/A,FALSE,"balhist";#N/A,#N/A,FALSE,"wc";#N/A,#N/A,FALSE,"ltd";#N/A,#N/A,FALSE,"cover";#N/A,#N/A,FALSE,"fa";#N/A,#N/A,FALSE,"tax";#N/A,#N/A,FALSE,"irr";#N/A,#N/A,FALSE,"in";#N/A,#N/A,FALSE,"DCF Cov";#N/A,#N/A,FALSE,"dcf"}</definedName>
    <definedName name="wrn.Full._.Print." localSheetId="61"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56"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ACQ." localSheetId="61" hidden="1">{#N/A,#N/A,FALSE,"Summary";#N/A,#N/A,FALSE,"Proforma";#N/A,#N/A,FALSE,"Tx"}</definedName>
    <definedName name="wrn.FULL_ACQ." localSheetId="56" hidden="1">{#N/A,#N/A,FALSE,"Summary";#N/A,#N/A,FALSE,"Proforma";#N/A,#N/A,FALSE,"Tx"}</definedName>
    <definedName name="wrn.FULL_ACQ." hidden="1">{#N/A,#N/A,FALSE,"Summary";#N/A,#N/A,FALSE,"Proforma";#N/A,#N/A,FALSE,"Tx"}</definedName>
    <definedName name="wrn.LBO." localSheetId="61" hidden="1">{#N/A,#N/A,FALSE,"Cov";#N/A,#N/A,FALSE,"sum";#N/A,#N/A,FALSE,"baladj";#N/A,#N/A,FALSE,"bs";#N/A,#N/A,FALSE,"is";#N/A,#N/A,FALSE,"pis";#N/A,#N/A,FALSE,"cf";#N/A,#N/A,FALSE,"balhist";#N/A,#N/A,FALSE,"wc";#N/A,#N/A,FALSE,"ltd";#N/A,#N/A,FALSE,"cover";#N/A,#N/A,FALSE,"fa";#N/A,#N/A,FALSE,"tax";#N/A,#N/A,FALSE,"irr";#N/A,#N/A,FALSE,"in"}</definedName>
    <definedName name="wrn.LBO." localSheetId="56" hidden="1">{#N/A,#N/A,FALSE,"Cov";#N/A,#N/A,FALSE,"sum";#N/A,#N/A,FALSE,"baladj";#N/A,#N/A,FALSE,"bs";#N/A,#N/A,FALSE,"is";#N/A,#N/A,FALSE,"pis";#N/A,#N/A,FALSE,"cf";#N/A,#N/A,FALSE,"balhist";#N/A,#N/A,FALSE,"wc";#N/A,#N/A,FALSE,"ltd";#N/A,#N/A,FALSE,"cover";#N/A,#N/A,FALSE,"fa";#N/A,#N/A,FALSE,"tax";#N/A,#N/A,FALSE,"irr";#N/A,#N/A,FALSE,"in"}</definedName>
    <definedName name="wrn.LBO." hidden="1">{#N/A,#N/A,FALSE,"Cov";#N/A,#N/A,FALSE,"sum";#N/A,#N/A,FALSE,"baladj";#N/A,#N/A,FALSE,"bs";#N/A,#N/A,FALSE,"is";#N/A,#N/A,FALSE,"pis";#N/A,#N/A,FALSE,"cf";#N/A,#N/A,FALSE,"balhist";#N/A,#N/A,FALSE,"wc";#N/A,#N/A,FALSE,"ltd";#N/A,#N/A,FALSE,"cover";#N/A,#N/A,FALSE,"fa";#N/A,#N/A,FALSE,"tax";#N/A,#N/A,FALSE,"irr";#N/A,#N/A,FALSE,"in"}</definedName>
    <definedName name="wrn.northpoint." localSheetId="61" hidden="1">{#N/A,#N/A,FALSE,"softdraw";#N/A,#N/A,FALSE,"linereclass";"northpint loan",#N/A,FALSE,"LOAN"}</definedName>
    <definedName name="wrn.northpoint." localSheetId="56" hidden="1">{#N/A,#N/A,FALSE,"softdraw";#N/A,#N/A,FALSE,"linereclass";"northpint loan",#N/A,FALSE,"LOAN"}</definedName>
    <definedName name="wrn.northpoint." hidden="1">{#N/A,#N/A,FALSE,"softdraw";#N/A,#N/A,FALSE,"linereclass";"northpint loan",#N/A,FALSE,"LOAN"}</definedName>
    <definedName name="wrn.Olk._.by._.Qtr." localSheetId="61" hidden="1">{"Olk by Qtr Full",#N/A,FALSE,"Tot PalmPalm";"Olk by Qtr Full",#N/A,FALSE,"Tot Device";"Olk by Qtr Full",#N/A,FALSE,"Platform";"Olk by Qtr Full",#N/A,FALSE,"Palm.Net";"Olk by Qtr Full",#N/A,FALSE,"Elim"}</definedName>
    <definedName name="wrn.Olk._.by._.Qtr." localSheetId="56" hidden="1">{"Olk by Qtr Full",#N/A,FALSE,"Tot PalmPalm";"Olk by Qtr Full",#N/A,FALSE,"Tot Device";"Olk by Qtr Full",#N/A,FALSE,"Platform";"Olk by Qtr Full",#N/A,FALSE,"Palm.Net";"Olk by Qtr Full",#N/A,FALSE,"Elim"}</definedName>
    <definedName name="wrn.Olk._.by._.Qtr." hidden="1">{"Olk by Qtr Full",#N/A,FALSE,"Tot PalmPalm";"Olk by Qtr Full",#N/A,FALSE,"Tot Device";"Olk by Qtr Full",#N/A,FALSE,"Platform";"Olk by Qtr Full",#N/A,FALSE,"Palm.Net";"Olk by Qtr Full",#N/A,FALSE,"Elim"}</definedName>
    <definedName name="wrn.OUTPUT." localSheetId="61" hidden="1">{"DCF","UPSIDE CASE",FALSE,"Sheet1";"DCF","BASE CASE",FALSE,"Sheet1";"DCF","DOWNSIDE CASE",FALSE,"Sheet1"}</definedName>
    <definedName name="wrn.OUTPUT." localSheetId="17" hidden="1">{"DCF","UPSIDE CASE",FALSE,"Sheet1";"DCF","BASE CASE",FALSE,"Sheet1";"DCF","DOWNSIDE CASE",FALSE,"Sheet1"}</definedName>
    <definedName name="wrn.OUTPUT." localSheetId="56" hidden="1">{"DCF","UPSIDE CASE",FALSE,"Sheet1";"DCF","BASE CASE",FALSE,"Sheet1";"DCF","DOWNSIDE CASE",FALSE,"Sheet1"}</definedName>
    <definedName name="wrn.OUTPUT." hidden="1">{"DCF","UPSIDE CASE",FALSE,"Sheet1";"DCF","BASE CASE",FALSE,"Sheet1";"DCF","DOWNSIDE CASE",FALSE,"Sheet1"}</definedName>
    <definedName name="wrn.PaperPanel." localSheetId="61" hidden="1">{#N/A,#N/A,FALSE,"Control"}</definedName>
    <definedName name="wrn.PaperPanel." localSheetId="56" hidden="1">{#N/A,#N/A,FALSE,"Control"}</definedName>
    <definedName name="wrn.PaperPanel." hidden="1">{#N/A,#N/A,FALSE,"Control"}</definedName>
    <definedName name="wrn.partial._.Print." localSheetId="61"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56"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NERSHIP." localSheetId="61" hidden="1">{#N/A,#N/A,FALSE,"Ptnr Cash Flow";#N/A,#N/A,FALSE,"Pship Summary";#N/A,#N/A,FALSE,"Pship Proforma";#N/A,#N/A,FALSE,"Tx"}</definedName>
    <definedName name="wrn.PARTNERSHIP." localSheetId="56" hidden="1">{#N/A,#N/A,FALSE,"Ptnr Cash Flow";#N/A,#N/A,FALSE,"Pship Summary";#N/A,#N/A,FALSE,"Pship Proforma";#N/A,#N/A,FALSE,"Tx"}</definedName>
    <definedName name="wrn.PARTNERSHIP." hidden="1">{#N/A,#N/A,FALSE,"Ptnr Cash Flow";#N/A,#N/A,FALSE,"Pship Summary";#N/A,#N/A,FALSE,"Pship Proforma";#N/A,#N/A,FALSE,"Tx"}</definedName>
    <definedName name="wrn.print." localSheetId="61" hidden="1">{#N/A,#N/A,FALSE,"Japan 2003";#N/A,#N/A,FALSE,"Sheet2"}</definedName>
    <definedName name="wrn.print." localSheetId="17" hidden="1">{#N/A,#N/A,FALSE,"Japan 2003";#N/A,#N/A,FALSE,"Sheet2"}</definedName>
    <definedName name="wrn.print." localSheetId="56" hidden="1">{#N/A,#N/A,FALSE,"Japan 2003";#N/A,#N/A,FALSE,"Sheet2"}</definedName>
    <definedName name="wrn.print." localSheetId="72" hidden="1">{#N/A,#N/A,FALSE,"Japan 2003";#N/A,#N/A,FALSE,"Sheet2"}</definedName>
    <definedName name="wrn.print." hidden="1">{#N/A,#N/A,FALSE,"Japan 2003";#N/A,#N/A,FALSE,"Sheet2"}</definedName>
    <definedName name="wrn.print._.all._.sheets." localSheetId="61"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56"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Disk." localSheetId="61"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56"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graphs." localSheetId="61" hidden="1">{"cap_structure",#N/A,FALSE,"Graph-Mkt Cap";"price",#N/A,FALSE,"Graph-Price";"ebit",#N/A,FALSE,"Graph-EBITDA";"ebitda",#N/A,FALSE,"Graph-EBITDA"}</definedName>
    <definedName name="wrn.print._.graphs." localSheetId="56"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raw._.data._.entry." localSheetId="61" hidden="1">{"inputs raw data",#N/A,TRUE,"INPUT"}</definedName>
    <definedName name="wrn.print._.raw._.data._.entry." localSheetId="56" hidden="1">{"inputs raw data",#N/A,TRUE,"INPUT"}</definedName>
    <definedName name="wrn.print._.raw._.data._.entry." hidden="1">{"inputs raw data",#N/A,TRUE,"INPUT"}</definedName>
    <definedName name="wrn.print._.summary._.sheets." localSheetId="61" hidden="1">{"summary1",#N/A,TRUE,"Comps";"summary2",#N/A,TRUE,"Comps";"summary3",#N/A,TRUE,"Comps"}</definedName>
    <definedName name="wrn.print._.summary._.sheets." localSheetId="56" hidden="1">{"summary1",#N/A,TRUE,"Comps";"summary2",#N/A,TRUE,"Comps";"summary3",#N/A,TRUE,"Comps"}</definedName>
    <definedName name="wrn.print._.summary._.sheets." hidden="1">{"summary1",#N/A,TRUE,"Comps";"summary2",#N/A,TRUE,"Comps";"summary3",#N/A,TRUE,"Comps"}</definedName>
    <definedName name="wrn.PrintSelected." localSheetId="61" hidden="1">{"ModelPage1",#N/A,TRUE,"Model";"ModelSum_Debt",#N/A,TRUE,"Model"}</definedName>
    <definedName name="wrn.PrintSelected." localSheetId="56" hidden="1">{"ModelPage1",#N/A,TRUE,"Model";"ModelSum_Debt",#N/A,TRUE,"Model"}</definedName>
    <definedName name="wrn.PrintSelected." hidden="1">{"ModelPage1",#N/A,TRUE,"Model";"ModelSum_Debt",#N/A,TRUE,"Model"}</definedName>
    <definedName name="wrn.Relevant." localSheetId="61" hidden="1">{#N/A,#N/A,FALSE,"Title Page";#N/A,#N/A,FALSE,"Conclusions";#N/A,#N/A,FALSE,"Assum.";#N/A,#N/A,FALSE,"Sun  DCF-WC-Dep";#N/A,#N/A,FALSE,"MarketValue";#N/A,#N/A,FALSE,"BalSheet";#N/A,#N/A,FALSE,"WACC";#N/A,#N/A,FALSE,"PC+ Info.";#N/A,#N/A,FALSE,"PC+Info_2"}</definedName>
    <definedName name="wrn.Relevant." localSheetId="56" hidden="1">{#N/A,#N/A,FALSE,"Title Page";#N/A,#N/A,FALSE,"Conclusions";#N/A,#N/A,FALSE,"Assum.";#N/A,#N/A,FALSE,"Sun  DCF-WC-Dep";#N/A,#N/A,FALSE,"MarketValue";#N/A,#N/A,FALSE,"BalSheet";#N/A,#N/A,FALSE,"WACC";#N/A,#N/A,FALSE,"PC+ Info.";#N/A,#N/A,FALSE,"PC+Info_2"}</definedName>
    <definedName name="wrn.Relevant." hidden="1">{#N/A,#N/A,FALSE,"Title Page";#N/A,#N/A,FALSE,"Conclusions";#N/A,#N/A,FALSE,"Assum.";#N/A,#N/A,FALSE,"Sun  DCF-WC-Dep";#N/A,#N/A,FALSE,"MarketValue";#N/A,#N/A,FALSE,"BalSheet";#N/A,#N/A,FALSE,"WACC";#N/A,#N/A,FALSE,"PC+ Info.";#N/A,#N/A,FALSE,"PC+Info_2"}</definedName>
    <definedName name="wrn.Relevant1." localSheetId="61" hidden="1">{#N/A,#N/A,FALSE,"Title Page";#N/A,#N/A,FALSE,"Conclusions";#N/A,#N/A,FALSE,"Assum.";#N/A,#N/A,FALSE,"Sun  DCF-WC-Dep";#N/A,#N/A,FALSE,"MarketValue";#N/A,#N/A,FALSE,"BalSheet";#N/A,#N/A,FALSE,"WACC";#N/A,#N/A,FALSE,"PC+ Info.";#N/A,#N/A,FALSE,"PC+Info_2"}</definedName>
    <definedName name="wrn.Relevant1." localSheetId="56" hidden="1">{#N/A,#N/A,FALSE,"Title Page";#N/A,#N/A,FALSE,"Conclusions";#N/A,#N/A,FALSE,"Assum.";#N/A,#N/A,FALSE,"Sun  DCF-WC-Dep";#N/A,#N/A,FALSE,"MarketValue";#N/A,#N/A,FALSE,"BalSheet";#N/A,#N/A,FALSE,"WACC";#N/A,#N/A,FALSE,"PC+ Info.";#N/A,#N/A,FALSE,"PC+Info_2"}</definedName>
    <definedName name="wrn.Relevant1." hidden="1">{#N/A,#N/A,FALSE,"Title Page";#N/A,#N/A,FALSE,"Conclusions";#N/A,#N/A,FALSE,"Assum.";#N/A,#N/A,FALSE,"Sun  DCF-WC-Dep";#N/A,#N/A,FALSE,"MarketValue";#N/A,#N/A,FALSE,"BalSheet";#N/A,#N/A,FALSE,"WACC";#N/A,#N/A,FALSE,"PC+ Info.";#N/A,#N/A,FALSE,"PC+Info_2"}</definedName>
    <definedName name="wrn.rep." localSheetId="61" hidden="1">{#N/A,#N/A,FALSE,"Exh. 5A";#N/A,#N/A,FALSE,"Exh. 6"}</definedName>
    <definedName name="wrn.rep." localSheetId="56" hidden="1">{#N/A,#N/A,FALSE,"Exh. 5A";#N/A,#N/A,FALSE,"Exh. 6"}</definedName>
    <definedName name="wrn.rep." hidden="1">{#N/A,#N/A,FALSE,"Exh. 5A";#N/A,#N/A,FALSE,"Exh. 6"}</definedName>
    <definedName name="wrn.REPORT." localSheetId="61"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56"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venue._.detail." localSheetId="61" hidden="1">{"revenue detail 1",#N/A,FALSE,"Revenue Detail";"revenue detail 2",#N/A,FALSE,"Revenue Detail";"revenue detail 3",#N/A,FALSE,"Revenue Detail";"revenue detail 4",#N/A,FALSE,"Revenue Detail"}</definedName>
    <definedName name="wrn.revenue._.detail." localSheetId="56" hidden="1">{"revenue detail 1",#N/A,FALSE,"Revenue Detail";"revenue detail 2",#N/A,FALSE,"Revenue Detail";"revenue detail 3",#N/A,FALSE,"Revenue Detail";"revenue detail 4",#N/A,FALSE,"Revenue Detail"}</definedName>
    <definedName name="wrn.revenue._.detail." hidden="1">{"revenue detail 1",#N/A,FALSE,"Revenue Detail";"revenue detail 2",#N/A,FALSE,"Revenue Detail";"revenue detail 3",#N/A,FALSE,"Revenue Detail";"revenue detail 4",#N/A,FALSE,"Revenue Detail"}</definedName>
    <definedName name="wrn.Revs." localSheetId="61" hidden="1">{"Base_rev",#N/A,FALSE,"Proj_IS_Base";"Projrev",#N/A,FALSE,"Proj_IS_wOTLC";"Delta",#N/A,FALSE,"Delta Rev_PV"}</definedName>
    <definedName name="wrn.Revs." localSheetId="56" hidden="1">{"Base_rev",#N/A,FALSE,"Proj_IS_Base";"Projrev",#N/A,FALSE,"Proj_IS_wOTLC";"Delta",#N/A,FALSE,"Delta Rev_PV"}</definedName>
    <definedName name="wrn.Revs." hidden="1">{"Base_rev",#N/A,FALSE,"Proj_IS_Base";"Projrev",#N/A,FALSE,"Proj_IS_wOTLC";"Delta",#N/A,FALSE,"Delta Rev_PV"}</definedName>
    <definedName name="wrn.Riverwood_comp_model." localSheetId="61" hidden="1">{#N/A,#N/A,FALSE,"Che-Ga";#N/A,#N/A,FALSE,"Iv-Sm";#N/A,#N/A,FALSE,"So-We";#N/A,#N/A,FALSE,"Me-Po";#N/A,#N/A,FALSE,"Be-Bo";#N/A,#N/A,FALSE,"Cha-Ki";#N/A,#N/A,FALSE,"In";#N/A,#N/A,FALSE,"Schedule 23";#N/A,#N/A,FALSE,"Schedule 22";#N/A,#N/A,FALSE,"WACC"}</definedName>
    <definedName name="wrn.Riverwood_comp_model." localSheetId="56" hidden="1">{#N/A,#N/A,FALSE,"Che-Ga";#N/A,#N/A,FALSE,"Iv-Sm";#N/A,#N/A,FALSE,"So-We";#N/A,#N/A,FALSE,"Me-Po";#N/A,#N/A,FALSE,"Be-Bo";#N/A,#N/A,FALSE,"Cha-Ki";#N/A,#N/A,FALSE,"In";#N/A,#N/A,FALSE,"Schedule 23";#N/A,#N/A,FALSE,"Schedule 22";#N/A,#N/A,FALSE,"WACC"}</definedName>
    <definedName name="wrn.Riverwood_comp_model." hidden="1">{#N/A,#N/A,FALSE,"Che-Ga";#N/A,#N/A,FALSE,"Iv-Sm";#N/A,#N/A,FALSE,"So-We";#N/A,#N/A,FALSE,"Me-Po";#N/A,#N/A,FALSE,"Be-Bo";#N/A,#N/A,FALSE,"Cha-Ki";#N/A,#N/A,FALSE,"In";#N/A,#N/A,FALSE,"Schedule 23";#N/A,#N/A,FALSE,"Schedule 22";#N/A,#N/A,FALSE,"WACC"}</definedName>
    <definedName name="wrn.ROUGH." localSheetId="61" hidden="1">{#N/A,#N/A,FALSE,"ROA";#N/A,#N/A,FALSE,"ROI";#N/A,#N/A,FALSE,"EBIT";#N/A,#N/A,FALSE,"MULT X"}</definedName>
    <definedName name="wrn.ROUGH." localSheetId="56" hidden="1">{#N/A,#N/A,FALSE,"ROA";#N/A,#N/A,FALSE,"ROI";#N/A,#N/A,FALSE,"EBIT";#N/A,#N/A,FALSE,"MULT X"}</definedName>
    <definedName name="wrn.ROUGH." hidden="1">{#N/A,#N/A,FALSE,"ROA";#N/A,#N/A,FALSE,"ROI";#N/A,#N/A,FALSE,"EBIT";#N/A,#N/A,FALSE,"MULT X"}</definedName>
    <definedName name="wrn.rptexhibits." localSheetId="61" hidden="1">{#N/A,#N/A,FALSE,"BS";#N/A,#N/A,FALSE,"IS";#N/A,#N/A,FALSE,"RMA ";#N/A,#N/A,FALSE,"ADJ IS";#N/A,#N/A,FALSE,"DCF"}</definedName>
    <definedName name="wrn.rptexhibits." localSheetId="56" hidden="1">{#N/A,#N/A,FALSE,"BS";#N/A,#N/A,FALSE,"IS";#N/A,#N/A,FALSE,"RMA ";#N/A,#N/A,FALSE,"ADJ IS";#N/A,#N/A,FALSE,"DCF"}</definedName>
    <definedName name="wrn.rptexhibits." hidden="1">{#N/A,#N/A,FALSE,"BS";#N/A,#N/A,FALSE,"IS";#N/A,#N/A,FALSE,"RMA ";#N/A,#N/A,FALSE,"ADJ IS";#N/A,#N/A,FALSE,"DCF"}</definedName>
    <definedName name="wrn.subs." localSheetId="61" hidden="1">{#N/A,#N/A,FALSE,"Comp - War";#N/A,#N/A,FALSE,"Comp - War"}</definedName>
    <definedName name="wrn.subs." localSheetId="56" hidden="1">{#N/A,#N/A,FALSE,"Comp - War";#N/A,#N/A,FALSE,"Comp - War"}</definedName>
    <definedName name="wrn.subs." hidden="1">{#N/A,#N/A,FALSE,"Comp - War";#N/A,#N/A,FALSE,"Comp - War"}</definedName>
    <definedName name="wrn.sum." localSheetId="61" hidden="1">{"Opsys",#N/A,FALSE,"NPV_OPsys";"NT",#N/A,FALSE,"NPV_NT";"DevP",#N/A,FALSE,"NPV_DevPdt";"Office",#N/A,FALSE,"NPV_Office"}</definedName>
    <definedName name="wrn.sum." localSheetId="56" hidden="1">{"Opsys",#N/A,FALSE,"NPV_OPsys";"NT",#N/A,FALSE,"NPV_NT";"DevP",#N/A,FALSE,"NPV_DevPdt";"Office",#N/A,FALSE,"NPV_Office"}</definedName>
    <definedName name="wrn.sum." hidden="1">{"Opsys",#N/A,FALSE,"NPV_OPsys";"NT",#N/A,FALSE,"NPV_NT";"DevP",#N/A,FALSE,"NPV_DevPdt";"Office",#N/A,FALSE,"NPV_Office"}</definedName>
    <definedName name="wrn.summary._.schedules." localSheetId="61" hidden="1">{"summary1",#N/A,FALSE,"Summary of Values";"summary2",#N/A,FALSE,"Summary of Values"}</definedName>
    <definedName name="wrn.summary._.schedules." localSheetId="56" hidden="1">{"summary1",#N/A,FALSE,"Summary of Values";"summary2",#N/A,FALSE,"Summary of Values"}</definedName>
    <definedName name="wrn.summary._.schedules." hidden="1">{"summary1",#N/A,FALSE,"Summary of Values";"summary2",#N/A,FALSE,"Summary of Values"}</definedName>
    <definedName name="wrn.technology." localSheetId="61" hidden="1">{"developed valuation",#N/A,FALSE,"Valuation Analysis";"developed income statement",#N/A,FALSE,"Abbreviated Income Statement";"inprocess valuation",#N/A,FALSE,"Valuation Analysis";"inprocess income statement",#N/A,FALSE,"Abbreviated Income Statement"}</definedName>
    <definedName name="wrn.technology." localSheetId="56" hidden="1">{"developed valuation",#N/A,FALSE,"Valuation Analysis";"developed income statement",#N/A,FALSE,"Abbreviated Income Statement";"inprocess valuation",#N/A,FALSE,"Valuation Analysis";"inprocess income statement",#N/A,FALSE,"Abbreviated Income Statement"}</definedName>
    <definedName name="wrn.technology." hidden="1">{"developed valuation",#N/A,FALSE,"Valuation Analysis";"developed income statement",#N/A,FALSE,"Abbreviated Income Statement";"inprocess valuation",#N/A,FALSE,"Valuation Analysis";"inprocess income statement",#N/A,FALSE,"Abbreviated Income Statement"}</definedName>
    <definedName name="wrn.Three._.Month._.I.S." localSheetId="61" hidden="1">{"Landscape Detail IS",#N/A,FALSE,"Three Months Ended 8.31.96";"Portrait Summary IS",#N/A,FALSE,"Three Months Ended 8.31.96"}</definedName>
    <definedName name="wrn.Three._.Month._.I.S." localSheetId="56" hidden="1">{"Landscape Detail IS",#N/A,FALSE,"Three Months Ended 8.31.96";"Portrait Summary IS",#N/A,FALSE,"Three Months Ended 8.31.96"}</definedName>
    <definedName name="wrn.Three._.Month._.I.S." hidden="1">{"Landscape Detail IS",#N/A,FALSE,"Three Months Ended 8.31.96";"Portrait Summary IS",#N/A,FALSE,"Three Months Ended 8.31.96"}</definedName>
    <definedName name="wrn.trademark._.and._.trade._.name." localSheetId="61" hidden="1">{"trademark1",#N/A,FALSE,"Trademark(s) and Trade Name(s)"}</definedName>
    <definedName name="wrn.trademark._.and._.trade._.name." localSheetId="56" hidden="1">{"trademark1",#N/A,FALSE,"Trademark(s) and Trade Name(s)"}</definedName>
    <definedName name="wrn.trademark._.and._.trade._.name." hidden="1">{"trademark1",#N/A,FALSE,"Trademark(s) and Trade Name(s)"}</definedName>
    <definedName name="wrn.wara." localSheetId="61" hidden="1">{"weighted average returns",#N/A,FALSE,"WACC and WARA"}</definedName>
    <definedName name="wrn.wara." localSheetId="56" hidden="1">{"weighted average returns",#N/A,FALSE,"WACC and WARA"}</definedName>
    <definedName name="wrn.wara." hidden="1">{"weighted average returns",#N/A,FALSE,"WACC and WARA"}</definedName>
    <definedName name="wrn.Whole._.Model." localSheetId="61" hidden="1">{#N/A,#N/A,FALSE,"Model";#N/A,#N/A,FALSE,"Gen Pts &amp; Rts 2000";#N/A,#N/A,FALSE,"AcqsAss";#N/A,#N/A,FALSE,"Acqs &amp; De Novos"}</definedName>
    <definedName name="wrn.Whole._.Model." localSheetId="56" hidden="1">{#N/A,#N/A,FALSE,"Model";#N/A,#N/A,FALSE,"Gen Pts &amp; Rts 2000";#N/A,#N/A,FALSE,"AcqsAss";#N/A,#N/A,FALSE,"Acqs &amp; De Novos"}</definedName>
    <definedName name="wrn.Whole._.Model." hidden="1">{#N/A,#N/A,FALSE,"Model";#N/A,#N/A,FALSE,"Gen Pts &amp; Rts 2000";#N/A,#N/A,FALSE,"AcqsAss";#N/A,#N/A,FALSE,"Acqs &amp; De Novos"}</definedName>
    <definedName name="wrn.work._.paper._.shcedules." localSheetId="61" hidden="1">{"summary1",#N/A,FALSE,"Summary of Values";"summary2",#N/A,FALSE,"Summary of Values";"weighted average returns",#N/A,FALSE,"WACC and WARA";"fixed asset detail",#N/A,FALSE,"Fixed Asset Detail"}</definedName>
    <definedName name="wrn.work._.paper._.shcedules." localSheetId="56" hidden="1">{"summary1",#N/A,FALSE,"Summary of Values";"summary2",#N/A,FALSE,"Summary of Values";"weighted average returns",#N/A,FALSE,"WACC and WARA";"fixed asset detail",#N/A,FALSE,"Fixed Asset Detail"}</definedName>
    <definedName name="wrn.work._.paper._.shcedules." hidden="1">{"summary1",#N/A,FALSE,"Summary of Values";"summary2",#N/A,FALSE,"Summary of Values";"weighted average returns",#N/A,FALSE,"WACC and WARA";"fixed asset detail",#N/A,FALSE,"Fixed Asset Detail"}</definedName>
    <definedName name="wvu.inputs._.raw._.data." localSheetId="6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5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summary1." localSheetId="6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5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6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5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6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5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 localSheetId="61" hidden="1">{#N/A,#N/A,FALSE,"Bakersfield PCs";#N/A,#N/A,FALSE,"Bremer PCs";#N/A,#N/A,FALSE,"Bakersfield Notebooks"}</definedName>
    <definedName name="ww" localSheetId="56" hidden="1">{#N/A,#N/A,FALSE,"Bakersfield PCs";#N/A,#N/A,FALSE,"Bremer PCs";#N/A,#N/A,FALSE,"Bakersfield Notebooks"}</definedName>
    <definedName name="ww" hidden="1">{#N/A,#N/A,FALSE,"Bakersfield PCs";#N/A,#N/A,FALSE,"Bremer PCs";#N/A,#N/A,FALSE,"Bakersfield Notebooks"}</definedName>
    <definedName name="ww.Rele" localSheetId="61" hidden="1">{#N/A,#N/A,FALSE,"Title Page";#N/A,#N/A,FALSE,"Conclusions";#N/A,#N/A,FALSE,"Assum.";#N/A,#N/A,FALSE,"Sun  DCF-WC-Dep";#N/A,#N/A,FALSE,"MarketValue";#N/A,#N/A,FALSE,"BalSheet";#N/A,#N/A,FALSE,"WACC";#N/A,#N/A,FALSE,"PC+ Info.";#N/A,#N/A,FALSE,"PC+Info_2"}</definedName>
    <definedName name="ww.Rele" localSheetId="56" hidden="1">{#N/A,#N/A,FALSE,"Title Page";#N/A,#N/A,FALSE,"Conclusions";#N/A,#N/A,FALSE,"Assum.";#N/A,#N/A,FALSE,"Sun  DCF-WC-Dep";#N/A,#N/A,FALSE,"MarketValue";#N/A,#N/A,FALSE,"BalSheet";#N/A,#N/A,FALSE,"WACC";#N/A,#N/A,FALSE,"PC+ Info.";#N/A,#N/A,FALSE,"PC+Info_2"}</definedName>
    <definedName name="ww.Rele" hidden="1">{#N/A,#N/A,FALSE,"Title Page";#N/A,#N/A,FALSE,"Conclusions";#N/A,#N/A,FALSE,"Assum.";#N/A,#N/A,FALSE,"Sun  DCF-WC-Dep";#N/A,#N/A,FALSE,"MarketValue";#N/A,#N/A,FALSE,"BalSheet";#N/A,#N/A,FALSE,"WACC";#N/A,#N/A,FALSE,"PC+ Info.";#N/A,#N/A,FALSE,"PC+Info_2"}</definedName>
    <definedName name="www" localSheetId="61" hidden="1">{#N/A,#N/A,FALSE,"Model";#N/A,#N/A,FALSE,"Gen Pts &amp; Rts 2000";#N/A,#N/A,FALSE,"AcqsAss";#N/A,#N/A,FALSE,"Acqs &amp; De Novos"}</definedName>
    <definedName name="www" localSheetId="56" hidden="1">{#N/A,#N/A,FALSE,"Bakersfield PCs";#N/A,#N/A,FALSE,"Bremer PCs";#N/A,#N/A,FALSE,"Bakersfield Notebooks"}</definedName>
    <definedName name="www" hidden="1">{#N/A,#N/A,FALSE,"Bakersfield PCs";#N/A,#N/A,FALSE,"Bremer PCs";#N/A,#N/A,FALSE,"Bakersfield Notebooks"}</definedName>
    <definedName name="x" localSheetId="61" hidden="1">{#N/A,#N/A,FALSE,"Model";#N/A,#N/A,FALSE,"Gen Pts &amp; Rts 2000";#N/A,#N/A,FALSE,"AcqsAss";#N/A,#N/A,FALSE,"Acqs &amp; De Novos"}</definedName>
    <definedName name="x" localSheetId="56" hidden="1">{"contributory1",#N/A,FALSE,"Contributory Assets Detail";"contributory2",#N/A,FALSE,"Contributory Assets Detail"}</definedName>
    <definedName name="x" hidden="1">{"contributory1",#N/A,FALSE,"Contributory Assets Detail";"contributory2",#N/A,FALSE,"Contributory Assets Detail"}</definedName>
    <definedName name="XRefColumnsCount" hidden="1">4</definedName>
    <definedName name="XRefCopyRangeCount" hidden="1">2</definedName>
    <definedName name="XRefPasteRangeCount" hidden="1">11</definedName>
    <definedName name="xxs" localSheetId="61" hidden="1">{#N/A,#N/A,TRUE,"Tax";#N/A,#N/A,TRUE,"Structure";#N/A,#N/A,TRUE,"Accounting";#N/A,#N/A,TRUE,"Equipment"}</definedName>
    <definedName name="xxs" localSheetId="56" hidden="1">{#N/A,#N/A,TRUE,"Tax";#N/A,#N/A,TRUE,"Structure";#N/A,#N/A,TRUE,"Accounting";#N/A,#N/A,TRUE,"Equipment"}</definedName>
    <definedName name="xxs" hidden="1">{#N/A,#N/A,TRUE,"Tax";#N/A,#N/A,TRUE,"Structure";#N/A,#N/A,TRUE,"Accounting";#N/A,#N/A,TRUE,"Equipment"}</definedName>
    <definedName name="xxx" localSheetId="61" hidden="1">'[18]Sept Cash flow 10-Q Report P 3'!$B$8:$B$469</definedName>
    <definedName name="xxx" localSheetId="56"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x" localSheetId="41" hidden="1">#REF!</definedName>
    <definedName name="xxxx" localSheetId="42" hidden="1">#REF!</definedName>
    <definedName name="xxxx" localSheetId="43" hidden="1">#REF!</definedName>
    <definedName name="xxxx" localSheetId="45" hidden="1">#REF!</definedName>
    <definedName name="xxxx" localSheetId="4" hidden="1">#REF!</definedName>
    <definedName name="xxxx" localSheetId="61" hidden="1">'[18]Sept Cash flow 10-Q Report P 3'!$I$8</definedName>
    <definedName name="xxxx" localSheetId="50" hidden="1">#REF!</definedName>
    <definedName name="xxxx" localSheetId="52" hidden="1">#REF!</definedName>
    <definedName name="xxxx" localSheetId="51" hidden="1">#REF!</definedName>
    <definedName name="xxxx" localSheetId="55" hidden="1">#REF!</definedName>
    <definedName name="xxxx" hidden="1">#REF!</definedName>
    <definedName name="yale" localSheetId="61" hidden="1">{"Opsys",#N/A,FALSE,"NPV_OPsys";"NT",#N/A,FALSE,"NPV_NT";"DevP",#N/A,FALSE,"NPV_DevPdt";"Office",#N/A,FALSE,"NPV_Office"}</definedName>
    <definedName name="yale" localSheetId="56" hidden="1">{"Opsys",#N/A,FALSE,"NPV_OPsys";"NT",#N/A,FALSE,"NPV_NT";"DevP",#N/A,FALSE,"NPV_DevPdt";"Office",#N/A,FALSE,"NPV_Office"}</definedName>
    <definedName name="yale" hidden="1">{"Opsys",#N/A,FALSE,"NPV_OPsys";"NT",#N/A,FALSE,"NPV_NT";"DevP",#N/A,FALSE,"NPV_DevPdt";"Office",#N/A,FALSE,"NPV_Office"}</definedName>
    <definedName name="Year_ID" hidden="1">" "</definedName>
    <definedName name="yyy" localSheetId="61" hidden="1">{#N/A,#N/A,FALSE,"Bakersfield PCs";#N/A,#N/A,FALSE,"Bremer PCs";#N/A,#N/A,FALSE,"Bakersfield Notebooks"}</definedName>
    <definedName name="yyy" localSheetId="56" hidden="1">{#N/A,#N/A,FALSE,"Bakersfield PCs";#N/A,#N/A,FALSE,"Bremer PCs";#N/A,#N/A,FALSE,"Bakersfield Notebooks"}</definedName>
    <definedName name="yyy" hidden="1">{#N/A,#N/A,FALSE,"Bakersfield PCs";#N/A,#N/A,FALSE,"Bremer PCs";#N/A,#N/A,FALSE,"Bakersfield Notebooks"}</definedName>
    <definedName name="yyyy" localSheetId="61" hidden="1">{#N/A,#N/A,FALSE,"Bakersfield PCs";#N/A,#N/A,FALSE,"Bremer PCs";#N/A,#N/A,FALSE,"Bakersfield Notebooks"}</definedName>
    <definedName name="yyyy" localSheetId="56" hidden="1">{#N/A,#N/A,FALSE,"Bakersfield PCs";#N/A,#N/A,FALSE,"Bremer PCs";#N/A,#N/A,FALSE,"Bakersfield Notebooks"}</definedName>
    <definedName name="yyyy" hidden="1">{#N/A,#N/A,FALSE,"Bakersfield PCs";#N/A,#N/A,FALSE,"Bremer PCs";#N/A,#N/A,FALSE,"Bakersfield Notebooks"}</definedName>
    <definedName name="yyyyw" localSheetId="61" hidden="1">{#N/A,#N/A,FALSE,"Bakersfield PCs";#N/A,#N/A,FALSE,"Bremer PCs";#N/A,#N/A,FALSE,"Bakersfield Notebooks"}</definedName>
    <definedName name="yyyyw" localSheetId="56" hidden="1">{#N/A,#N/A,FALSE,"Bakersfield PCs";#N/A,#N/A,FALSE,"Bremer PCs";#N/A,#N/A,FALSE,"Bakersfield Notebooks"}</definedName>
    <definedName name="yyyyw" hidden="1">{#N/A,#N/A,FALSE,"Bakersfield PCs";#N/A,#N/A,FALSE,"Bremer PCs";#N/A,#N/A,FALSE,"Bakersfield Notebooks"}</definedName>
    <definedName name="Z_61C555CE_15BC_4BF2_B5AF_AEAF416063B2_.wvu.PrintArea" localSheetId="17" hidden="1">'Depreciation - MACRS'!$A$5:$Q$47</definedName>
    <definedName name="Z_C8D64646_03ED_46A7_AD22_AAB54052AD9D_.wvu.PrintArea" localSheetId="17" hidden="1">'Depreciation - MACRS'!$A$5:$Q$47</definedName>
    <definedName name="Z_D71D642E_6A2D_465F_9B29_ACE3AB710F9D_.wvu.PrintArea" localSheetId="17" hidden="1">'Depreciation - MACRS'!$A$5:$Q$47</definedName>
    <definedName name="zzz.com" localSheetId="61" hidden="1">{#N/A,#N/A,FALSE,"Title Page";#N/A,#N/A,FALSE,"Conclusions";#N/A,#N/A,FALSE,"Assum.";#N/A,#N/A,FALSE,"Sun  DCF-WC-Dep";#N/A,#N/A,FALSE,"MarketValue";#N/A,#N/A,FALSE,"BalSheet";#N/A,#N/A,FALSE,"WACC";#N/A,#N/A,FALSE,"PC+ Info.";#N/A,#N/A,FALSE,"PC+Info_2"}</definedName>
    <definedName name="zzz.com" localSheetId="56" hidden="1">{#N/A,#N/A,FALSE,"Title Page";#N/A,#N/A,FALSE,"Conclusions";#N/A,#N/A,FALSE,"Assum.";#N/A,#N/A,FALSE,"Sun  DCF-WC-Dep";#N/A,#N/A,FALSE,"MarketValue";#N/A,#N/A,FALSE,"BalSheet";#N/A,#N/A,FALSE,"WACC";#N/A,#N/A,FALSE,"PC+ Info.";#N/A,#N/A,FALSE,"PC+Info_2"}</definedName>
    <definedName name="zzz.com" hidden="1">{#N/A,#N/A,FALSE,"Title Page";#N/A,#N/A,FALSE,"Conclusions";#N/A,#N/A,FALSE,"Assum.";#N/A,#N/A,FALSE,"Sun  DCF-WC-Dep";#N/A,#N/A,FALSE,"MarketValue";#N/A,#N/A,FALSE,"BalSheet";#N/A,#N/A,FALSE,"WACC";#N/A,#N/A,FALSE,"PC+ Info.";#N/A,#N/A,FALSE,"PC+Info_2"}</definedName>
  </definedNames>
  <calcPr calcId="171027" calcCompleted="0"/>
</workbook>
</file>

<file path=xl/calcChain.xml><?xml version="1.0" encoding="utf-8"?>
<calcChain xmlns="http://schemas.openxmlformats.org/spreadsheetml/2006/main">
  <c r="F68" i="6" l="1"/>
  <c r="F69" i="6"/>
  <c r="P44" i="4" l="1"/>
  <c r="P38" i="4"/>
  <c r="P37" i="4"/>
  <c r="I48" i="244"/>
  <c r="I48" i="251"/>
  <c r="I48" i="250"/>
  <c r="I48" i="249"/>
  <c r="I48" i="256"/>
  <c r="I48" i="257"/>
  <c r="I48" i="12"/>
  <c r="B101" i="73" l="1"/>
  <c r="B70" i="73"/>
  <c r="R257" i="73"/>
  <c r="B274" i="73"/>
  <c r="B280" i="73"/>
  <c r="B286" i="73"/>
  <c r="B292" i="73"/>
  <c r="P266" i="73"/>
  <c r="P249" i="73"/>
  <c r="P250" i="73" s="1"/>
  <c r="P251" i="73" s="1"/>
  <c r="P252" i="73" s="1"/>
  <c r="P253" i="73" s="1"/>
  <c r="P254" i="73" s="1"/>
  <c r="P255" i="73" s="1"/>
  <c r="P256" i="73" s="1"/>
  <c r="P257" i="73" s="1"/>
  <c r="P258" i="73" s="1"/>
  <c r="P259" i="73" s="1"/>
  <c r="P260" i="73" s="1"/>
  <c r="P261" i="73" s="1"/>
  <c r="P262" i="73" s="1"/>
  <c r="P263" i="73" s="1"/>
  <c r="P264" i="73" s="1"/>
  <c r="P265" i="73" s="1"/>
  <c r="P230" i="73"/>
  <c r="P233" i="73" s="1"/>
  <c r="P236" i="73" s="1"/>
  <c r="P239" i="73" s="1"/>
  <c r="P242" i="73" s="1"/>
  <c r="P245" i="73" s="1"/>
  <c r="P248" i="73" s="1"/>
  <c r="P229" i="73"/>
  <c r="P232" i="73" s="1"/>
  <c r="P235" i="73" s="1"/>
  <c r="P238" i="73" s="1"/>
  <c r="P241" i="73" s="1"/>
  <c r="P244" i="73" s="1"/>
  <c r="P247" i="73" s="1"/>
  <c r="O90" i="73"/>
  <c r="O91" i="73"/>
  <c r="R258" i="73" s="1"/>
  <c r="O92" i="73"/>
  <c r="R259" i="73" s="1"/>
  <c r="O93" i="73"/>
  <c r="R260" i="73" s="1"/>
  <c r="O94" i="73"/>
  <c r="R261" i="73" s="1"/>
  <c r="O95" i="73"/>
  <c r="R262" i="73" s="1"/>
  <c r="O96" i="73"/>
  <c r="R263" i="73" s="1"/>
  <c r="O97" i="73"/>
  <c r="R264" i="73" s="1"/>
  <c r="O98" i="73"/>
  <c r="R265" i="73" s="1"/>
  <c r="O89" i="73"/>
  <c r="R256" i="73" s="1"/>
  <c r="B248" i="73"/>
  <c r="B293" i="73" s="1"/>
  <c r="B247" i="73"/>
  <c r="B245" i="73"/>
  <c r="B290" i="73" s="1"/>
  <c r="B244" i="73"/>
  <c r="B289" i="73" s="1"/>
  <c r="B242" i="73"/>
  <c r="B287" i="73" s="1"/>
  <c r="B241" i="73"/>
  <c r="B239" i="73"/>
  <c r="B284" i="73" s="1"/>
  <c r="B238" i="73"/>
  <c r="B283" i="73" s="1"/>
  <c r="B236" i="73"/>
  <c r="B281" i="73" s="1"/>
  <c r="B235" i="73"/>
  <c r="B233" i="73"/>
  <c r="B278" i="73" s="1"/>
  <c r="B232" i="73"/>
  <c r="B277" i="73" s="1"/>
  <c r="B230" i="73"/>
  <c r="B275" i="73" s="1"/>
  <c r="B229" i="73"/>
  <c r="H53" i="11" l="1"/>
  <c r="G53" i="11"/>
  <c r="F53" i="11"/>
  <c r="E53" i="11"/>
  <c r="D53" i="11"/>
  <c r="H57" i="11"/>
  <c r="G57" i="11"/>
  <c r="F57" i="11"/>
  <c r="E57" i="11"/>
  <c r="D57" i="11"/>
  <c r="D140" i="241" l="1"/>
  <c r="B51" i="13"/>
  <c r="B70" i="11"/>
  <c r="H10" i="11"/>
  <c r="G10" i="11"/>
  <c r="D140" i="52"/>
  <c r="O7" i="57" l="1"/>
  <c r="N7" i="57"/>
  <c r="M7" i="57"/>
  <c r="L7" i="57"/>
  <c r="K13" i="233" l="1"/>
  <c r="N13" i="233" s="1"/>
  <c r="O13" i="233"/>
  <c r="S13" i="233"/>
  <c r="T13" i="233" s="1"/>
  <c r="P13" i="233" l="1"/>
  <c r="X13" i="233"/>
  <c r="AA13" i="233" s="1"/>
  <c r="AD13" i="233" l="1"/>
  <c r="AE13" i="233"/>
  <c r="AF13" i="233"/>
  <c r="U13" i="233"/>
  <c r="S140" i="233"/>
  <c r="T140" i="233" s="1"/>
  <c r="O140" i="233"/>
  <c r="K140" i="233"/>
  <c r="N140" i="233" s="1"/>
  <c r="S139" i="233"/>
  <c r="T139" i="233" s="1"/>
  <c r="O139" i="233"/>
  <c r="K139" i="233"/>
  <c r="N139" i="233" s="1"/>
  <c r="S138" i="233"/>
  <c r="T138" i="233" s="1"/>
  <c r="O138" i="233"/>
  <c r="K138" i="233"/>
  <c r="N138" i="233" s="1"/>
  <c r="AE137" i="233"/>
  <c r="AD137" i="233"/>
  <c r="S137" i="233"/>
  <c r="T137" i="233" s="1"/>
  <c r="O137" i="233"/>
  <c r="K137" i="233"/>
  <c r="N137" i="233" s="1"/>
  <c r="S136" i="233"/>
  <c r="T136" i="233" s="1"/>
  <c r="O136" i="233"/>
  <c r="K136" i="233"/>
  <c r="N136" i="233" s="1"/>
  <c r="S135" i="233"/>
  <c r="T135" i="233" s="1"/>
  <c r="O135" i="233"/>
  <c r="K135" i="233"/>
  <c r="N135" i="233" s="1"/>
  <c r="S134" i="233"/>
  <c r="T134" i="233" s="1"/>
  <c r="O134" i="233"/>
  <c r="K134" i="233"/>
  <c r="N134" i="233" s="1"/>
  <c r="S133" i="233"/>
  <c r="T133" i="233" s="1"/>
  <c r="O133" i="233"/>
  <c r="K133" i="233"/>
  <c r="N133" i="233" s="1"/>
  <c r="S132" i="233"/>
  <c r="T132" i="233" s="1"/>
  <c r="O132" i="233"/>
  <c r="K132" i="233"/>
  <c r="N132" i="233" s="1"/>
  <c r="S131" i="233"/>
  <c r="M131" i="233"/>
  <c r="L131" i="233"/>
  <c r="S130" i="233"/>
  <c r="T130" i="233" s="1"/>
  <c r="O130" i="233"/>
  <c r="K130" i="233"/>
  <c r="N130" i="233" s="1"/>
  <c r="S129" i="233"/>
  <c r="T129" i="233" s="1"/>
  <c r="O129" i="233"/>
  <c r="K129" i="233"/>
  <c r="N129" i="233" s="1"/>
  <c r="P129" i="233" s="1"/>
  <c r="S128" i="233"/>
  <c r="T128" i="233" s="1"/>
  <c r="O128" i="233"/>
  <c r="K128" i="233"/>
  <c r="N128" i="233" s="1"/>
  <c r="S127" i="233"/>
  <c r="T127" i="233" s="1"/>
  <c r="O127" i="233"/>
  <c r="K127" i="233"/>
  <c r="N127" i="233" s="1"/>
  <c r="P127" i="233" s="1"/>
  <c r="S126" i="233"/>
  <c r="T126" i="233" s="1"/>
  <c r="O126" i="233"/>
  <c r="K126" i="233"/>
  <c r="N126" i="233" s="1"/>
  <c r="S125" i="233"/>
  <c r="O125" i="233"/>
  <c r="K125" i="233"/>
  <c r="N125" i="233" s="1"/>
  <c r="S124" i="233"/>
  <c r="T124" i="233" s="1"/>
  <c r="O124" i="233"/>
  <c r="K124" i="233"/>
  <c r="N124" i="233" s="1"/>
  <c r="S123" i="233"/>
  <c r="T123" i="233" s="1"/>
  <c r="O123" i="233"/>
  <c r="K123" i="233"/>
  <c r="N123" i="233" s="1"/>
  <c r="S122" i="233"/>
  <c r="O122" i="233"/>
  <c r="K122" i="233"/>
  <c r="N122" i="233" s="1"/>
  <c r="S112" i="233"/>
  <c r="T112" i="233" s="1"/>
  <c r="O112" i="233"/>
  <c r="K112" i="233"/>
  <c r="N112" i="233" s="1"/>
  <c r="S111" i="233"/>
  <c r="T111" i="233" s="1"/>
  <c r="O111" i="233"/>
  <c r="K111" i="233"/>
  <c r="N111" i="233" s="1"/>
  <c r="S109" i="233"/>
  <c r="T109" i="233" s="1"/>
  <c r="O109" i="233"/>
  <c r="K109" i="233"/>
  <c r="N109" i="233" s="1"/>
  <c r="S108" i="233"/>
  <c r="T108" i="233" s="1"/>
  <c r="O108" i="233"/>
  <c r="K108" i="233"/>
  <c r="N108" i="233" s="1"/>
  <c r="T107" i="233"/>
  <c r="S107" i="233"/>
  <c r="O107" i="233"/>
  <c r="K107" i="233"/>
  <c r="N107" i="233" s="1"/>
  <c r="S106" i="233"/>
  <c r="T106" i="233" s="1"/>
  <c r="O106" i="233"/>
  <c r="K106" i="233"/>
  <c r="N106" i="233" s="1"/>
  <c r="S105" i="233"/>
  <c r="T105" i="233" s="1"/>
  <c r="O105" i="233"/>
  <c r="K105" i="233"/>
  <c r="N105" i="233" s="1"/>
  <c r="S104" i="233"/>
  <c r="T104" i="233" s="1"/>
  <c r="O104" i="233"/>
  <c r="K104" i="233"/>
  <c r="N104" i="233" s="1"/>
  <c r="S103" i="233"/>
  <c r="T103" i="233" s="1"/>
  <c r="O103" i="233"/>
  <c r="K103" i="233"/>
  <c r="N103" i="233" s="1"/>
  <c r="P103" i="233" s="1"/>
  <c r="S102" i="233"/>
  <c r="T102" i="233" s="1"/>
  <c r="O102" i="233"/>
  <c r="K102" i="233"/>
  <c r="N102" i="233" s="1"/>
  <c r="S101" i="233"/>
  <c r="T101" i="233" s="1"/>
  <c r="O101" i="233"/>
  <c r="K101" i="233"/>
  <c r="N101" i="233" s="1"/>
  <c r="S100" i="233"/>
  <c r="T100" i="233" s="1"/>
  <c r="O100" i="233"/>
  <c r="K100" i="233"/>
  <c r="N100" i="233" s="1"/>
  <c r="S99" i="233"/>
  <c r="T99" i="233" s="1"/>
  <c r="O99" i="233"/>
  <c r="K99" i="233"/>
  <c r="N99" i="233" s="1"/>
  <c r="S98" i="233"/>
  <c r="T98" i="233" s="1"/>
  <c r="O98" i="233"/>
  <c r="K98" i="233"/>
  <c r="N98" i="233" s="1"/>
  <c r="S97" i="233"/>
  <c r="T97" i="233" s="1"/>
  <c r="O97" i="233"/>
  <c r="K97" i="233"/>
  <c r="N97" i="233" s="1"/>
  <c r="S96" i="233"/>
  <c r="T96" i="233" s="1"/>
  <c r="O96" i="233"/>
  <c r="K96" i="233"/>
  <c r="N96" i="233" s="1"/>
  <c r="S95" i="233"/>
  <c r="T95" i="233" s="1"/>
  <c r="O95" i="233"/>
  <c r="K95" i="233"/>
  <c r="N95" i="233" s="1"/>
  <c r="S94" i="233"/>
  <c r="T94" i="233" s="1"/>
  <c r="O94" i="233"/>
  <c r="K94" i="233"/>
  <c r="N94" i="233" s="1"/>
  <c r="S93" i="233"/>
  <c r="T93" i="233" s="1"/>
  <c r="O93" i="233"/>
  <c r="K93" i="233"/>
  <c r="N93" i="233" s="1"/>
  <c r="S92" i="233"/>
  <c r="T92" i="233" s="1"/>
  <c r="O92" i="233"/>
  <c r="K92" i="233"/>
  <c r="N92" i="233" s="1"/>
  <c r="BJ91" i="233"/>
  <c r="BG91" i="233"/>
  <c r="BF91" i="233"/>
  <c r="BB91" i="233"/>
  <c r="AZ91" i="233"/>
  <c r="AX91" i="233"/>
  <c r="AV91" i="233"/>
  <c r="AU91" i="233"/>
  <c r="S91" i="233"/>
  <c r="M91" i="233"/>
  <c r="BD91" i="233" s="1"/>
  <c r="L91" i="233"/>
  <c r="O91" i="233" s="1"/>
  <c r="S90" i="233"/>
  <c r="T90" i="233" s="1"/>
  <c r="O90" i="233"/>
  <c r="K90" i="233"/>
  <c r="N90" i="233" s="1"/>
  <c r="S89" i="233"/>
  <c r="T89" i="233" s="1"/>
  <c r="O89" i="233"/>
  <c r="K89" i="233"/>
  <c r="N89" i="233" s="1"/>
  <c r="S88" i="233"/>
  <c r="T88" i="233" s="1"/>
  <c r="O88" i="233"/>
  <c r="K88" i="233"/>
  <c r="N88" i="233" s="1"/>
  <c r="S87" i="233"/>
  <c r="O87" i="233"/>
  <c r="K87" i="233"/>
  <c r="N87" i="233" s="1"/>
  <c r="S86" i="233"/>
  <c r="T86" i="233" s="1"/>
  <c r="O86" i="233"/>
  <c r="K86" i="233"/>
  <c r="N86" i="233" s="1"/>
  <c r="S85" i="233"/>
  <c r="T85" i="233" s="1"/>
  <c r="O85" i="233"/>
  <c r="K85" i="233"/>
  <c r="N85" i="233" s="1"/>
  <c r="S84" i="233"/>
  <c r="T84" i="233" s="1"/>
  <c r="O84" i="233"/>
  <c r="K84" i="233"/>
  <c r="N84" i="233" s="1"/>
  <c r="S83" i="233"/>
  <c r="T83" i="233" s="1"/>
  <c r="O83" i="233"/>
  <c r="K83" i="233"/>
  <c r="N83" i="233" s="1"/>
  <c r="S82" i="233"/>
  <c r="T82" i="233" s="1"/>
  <c r="O82" i="233"/>
  <c r="K82" i="233"/>
  <c r="N82" i="233" s="1"/>
  <c r="S81" i="233"/>
  <c r="T81" i="233" s="1"/>
  <c r="O81" i="233"/>
  <c r="K81" i="233"/>
  <c r="N81" i="233" s="1"/>
  <c r="S80" i="233"/>
  <c r="T80" i="233" s="1"/>
  <c r="O80" i="233"/>
  <c r="K80" i="233"/>
  <c r="N80" i="233" s="1"/>
  <c r="S79" i="233"/>
  <c r="T79" i="233" s="1"/>
  <c r="O79" i="233"/>
  <c r="K79" i="233"/>
  <c r="N79" i="233" s="1"/>
  <c r="S78" i="233"/>
  <c r="T78" i="233" s="1"/>
  <c r="O78" i="233"/>
  <c r="K78" i="233"/>
  <c r="N78" i="233" s="1"/>
  <c r="S77" i="233"/>
  <c r="T77" i="233" s="1"/>
  <c r="O77" i="233"/>
  <c r="K77" i="233"/>
  <c r="N77" i="233" s="1"/>
  <c r="S67" i="233"/>
  <c r="T67" i="233" s="1"/>
  <c r="O67" i="233"/>
  <c r="K67" i="233"/>
  <c r="N67" i="233" s="1"/>
  <c r="S66" i="233"/>
  <c r="T66" i="233" s="1"/>
  <c r="O66" i="233"/>
  <c r="K66" i="233"/>
  <c r="N66" i="233" s="1"/>
  <c r="S65" i="233"/>
  <c r="T65" i="233" s="1"/>
  <c r="O65" i="233"/>
  <c r="K65" i="233"/>
  <c r="N65" i="233" s="1"/>
  <c r="P65" i="233" s="1"/>
  <c r="S64" i="233"/>
  <c r="T64" i="233" s="1"/>
  <c r="O64" i="233"/>
  <c r="K64" i="233"/>
  <c r="N64" i="233" s="1"/>
  <c r="S63" i="233"/>
  <c r="T63" i="233" s="1"/>
  <c r="O63" i="233"/>
  <c r="K63" i="233"/>
  <c r="N63" i="233" s="1"/>
  <c r="S62" i="233"/>
  <c r="T62" i="233" s="1"/>
  <c r="O62" i="233"/>
  <c r="K62" i="233"/>
  <c r="N62" i="233" s="1"/>
  <c r="S61" i="233"/>
  <c r="T61" i="233" s="1"/>
  <c r="O61" i="233"/>
  <c r="K61" i="233"/>
  <c r="N61" i="233" s="1"/>
  <c r="S60" i="233"/>
  <c r="T60" i="233" s="1"/>
  <c r="O60" i="233"/>
  <c r="K60" i="233"/>
  <c r="N60" i="233" s="1"/>
  <c r="S59" i="233"/>
  <c r="T59" i="233" s="1"/>
  <c r="O59" i="233"/>
  <c r="K59" i="233"/>
  <c r="N59" i="233" s="1"/>
  <c r="S58" i="233"/>
  <c r="T58" i="233" s="1"/>
  <c r="O58" i="233"/>
  <c r="K58" i="233"/>
  <c r="N58" i="233" s="1"/>
  <c r="S57" i="233"/>
  <c r="T57" i="233" s="1"/>
  <c r="O57" i="233"/>
  <c r="K57" i="233"/>
  <c r="N57" i="233" s="1"/>
  <c r="S56" i="233"/>
  <c r="T56" i="233" s="1"/>
  <c r="O56" i="233"/>
  <c r="K56" i="233"/>
  <c r="N56" i="233" s="1"/>
  <c r="S55" i="233"/>
  <c r="T55" i="233" s="1"/>
  <c r="O55" i="233"/>
  <c r="K55" i="233"/>
  <c r="N55" i="233" s="1"/>
  <c r="S54" i="233"/>
  <c r="T54" i="233" s="1"/>
  <c r="O54" i="233"/>
  <c r="K54" i="233"/>
  <c r="N54" i="233" s="1"/>
  <c r="X54" i="233" s="1"/>
  <c r="AA54" i="233" s="1"/>
  <c r="AD54" i="233" s="1"/>
  <c r="S53" i="233"/>
  <c r="T53" i="233" s="1"/>
  <c r="O53" i="233"/>
  <c r="K53" i="233"/>
  <c r="N53" i="233" s="1"/>
  <c r="S52" i="233"/>
  <c r="T52" i="233" s="1"/>
  <c r="O52" i="233"/>
  <c r="K52" i="233"/>
  <c r="N52" i="233" s="1"/>
  <c r="S51" i="233"/>
  <c r="T51" i="233" s="1"/>
  <c r="O51" i="233"/>
  <c r="K51" i="233"/>
  <c r="N51" i="233" s="1"/>
  <c r="S50" i="233"/>
  <c r="T50" i="233" s="1"/>
  <c r="O50" i="233"/>
  <c r="K50" i="233"/>
  <c r="N50" i="233" s="1"/>
  <c r="X50" i="233" s="1"/>
  <c r="AA50" i="233" s="1"/>
  <c r="AD50" i="233" s="1"/>
  <c r="S49" i="233"/>
  <c r="T49" i="233" s="1"/>
  <c r="O49" i="233"/>
  <c r="K49" i="233"/>
  <c r="N49" i="233" s="1"/>
  <c r="S48" i="233"/>
  <c r="T48" i="233" s="1"/>
  <c r="O48" i="233"/>
  <c r="K48" i="233"/>
  <c r="N48" i="233" s="1"/>
  <c r="S47" i="233"/>
  <c r="M47" i="233"/>
  <c r="L47" i="233"/>
  <c r="S46" i="233"/>
  <c r="M46" i="233"/>
  <c r="L46" i="233"/>
  <c r="O46" i="233" s="1"/>
  <c r="S45" i="233"/>
  <c r="T45" i="233" s="1"/>
  <c r="O45" i="233"/>
  <c r="K45" i="233"/>
  <c r="N45" i="233" s="1"/>
  <c r="X45" i="233" s="1"/>
  <c r="S44" i="233"/>
  <c r="T44" i="233" s="1"/>
  <c r="O44" i="233"/>
  <c r="K44" i="233"/>
  <c r="N44" i="233" s="1"/>
  <c r="S43" i="233"/>
  <c r="T43" i="233" s="1"/>
  <c r="O43" i="233"/>
  <c r="K43" i="233"/>
  <c r="N43" i="233" s="1"/>
  <c r="S42" i="233"/>
  <c r="T42" i="233" s="1"/>
  <c r="O42" i="233"/>
  <c r="K42" i="233"/>
  <c r="N42" i="233" s="1"/>
  <c r="S41" i="233"/>
  <c r="T41" i="233" s="1"/>
  <c r="O41" i="233"/>
  <c r="K41" i="233"/>
  <c r="N41" i="233" s="1"/>
  <c r="P41" i="233" s="1"/>
  <c r="S40" i="233"/>
  <c r="T40" i="233" s="1"/>
  <c r="O40" i="233"/>
  <c r="K40" i="233"/>
  <c r="N40" i="233" s="1"/>
  <c r="S39" i="233"/>
  <c r="T39" i="233" s="1"/>
  <c r="O39" i="233"/>
  <c r="K39" i="233"/>
  <c r="N39" i="233" s="1"/>
  <c r="S38" i="233"/>
  <c r="T38" i="233" s="1"/>
  <c r="O38" i="233"/>
  <c r="K38" i="233"/>
  <c r="N38" i="233" s="1"/>
  <c r="S110" i="233"/>
  <c r="T110" i="233" s="1"/>
  <c r="O110" i="233"/>
  <c r="K110" i="233"/>
  <c r="N110" i="233" s="1"/>
  <c r="S28" i="233"/>
  <c r="T28" i="233" s="1"/>
  <c r="O28" i="233"/>
  <c r="K28" i="233"/>
  <c r="N28" i="233" s="1"/>
  <c r="S27" i="233"/>
  <c r="T27" i="233" s="1"/>
  <c r="O27" i="233"/>
  <c r="K27" i="233"/>
  <c r="N27" i="233" s="1"/>
  <c r="S26" i="233"/>
  <c r="T26" i="233" s="1"/>
  <c r="O26" i="233"/>
  <c r="K26" i="233"/>
  <c r="N26" i="233" s="1"/>
  <c r="S25" i="233"/>
  <c r="T25" i="233" s="1"/>
  <c r="O25" i="233"/>
  <c r="K25" i="233"/>
  <c r="N25" i="233" s="1"/>
  <c r="S24" i="233"/>
  <c r="T24" i="233" s="1"/>
  <c r="O24" i="233"/>
  <c r="K24" i="233"/>
  <c r="N24" i="233" s="1"/>
  <c r="S23" i="233"/>
  <c r="T23" i="233" s="1"/>
  <c r="O23" i="233"/>
  <c r="K23" i="233"/>
  <c r="N23" i="233" s="1"/>
  <c r="S22" i="233"/>
  <c r="T22" i="233" s="1"/>
  <c r="O22" i="233"/>
  <c r="K22" i="233"/>
  <c r="N22" i="233" s="1"/>
  <c r="S21" i="233"/>
  <c r="T21" i="233" s="1"/>
  <c r="O21" i="233"/>
  <c r="K21" i="233"/>
  <c r="N21" i="233" s="1"/>
  <c r="S20" i="233"/>
  <c r="T20" i="233" s="1"/>
  <c r="O20" i="233"/>
  <c r="K20" i="233"/>
  <c r="N20" i="233" s="1"/>
  <c r="S19" i="233"/>
  <c r="T19" i="233" s="1"/>
  <c r="O19" i="233"/>
  <c r="K19" i="233"/>
  <c r="N19" i="233" s="1"/>
  <c r="S18" i="233"/>
  <c r="T18" i="233" s="1"/>
  <c r="O18" i="233"/>
  <c r="K18" i="233"/>
  <c r="N18" i="233" s="1"/>
  <c r="S17" i="233"/>
  <c r="T17" i="233" s="1"/>
  <c r="O17" i="233"/>
  <c r="K17" i="233"/>
  <c r="N17" i="233" s="1"/>
  <c r="S16" i="233"/>
  <c r="T16" i="233" s="1"/>
  <c r="O16" i="233"/>
  <c r="K16" i="233"/>
  <c r="N16" i="233" s="1"/>
  <c r="S15" i="233"/>
  <c r="T15" i="233" s="1"/>
  <c r="O15" i="233"/>
  <c r="K15" i="233"/>
  <c r="N15" i="233" s="1"/>
  <c r="S14" i="233"/>
  <c r="O14" i="233"/>
  <c r="K14" i="233"/>
  <c r="N14" i="233" s="1"/>
  <c r="BN91" i="233"/>
  <c r="Y87" i="233"/>
  <c r="Z89" i="233"/>
  <c r="AC87" i="233"/>
  <c r="AC89" i="233"/>
  <c r="AB89" i="233"/>
  <c r="AB87" i="233"/>
  <c r="Z87" i="233"/>
  <c r="Y89" i="233"/>
  <c r="X48" i="233" l="1"/>
  <c r="AA48" i="233" s="1"/>
  <c r="AD48" i="233" s="1"/>
  <c r="X52" i="233"/>
  <c r="AA52" i="233" s="1"/>
  <c r="AD52" i="233" s="1"/>
  <c r="T47" i="233"/>
  <c r="T131" i="233"/>
  <c r="P43" i="233"/>
  <c r="X60" i="233"/>
  <c r="AA60" i="233" s="1"/>
  <c r="T91" i="233"/>
  <c r="P93" i="233"/>
  <c r="U93" i="233" s="1"/>
  <c r="T14" i="233"/>
  <c r="S30" i="233"/>
  <c r="S31" i="233"/>
  <c r="S32" i="233"/>
  <c r="S35" i="233"/>
  <c r="S33" i="233"/>
  <c r="S34" i="233"/>
  <c r="U41" i="233"/>
  <c r="X59" i="233"/>
  <c r="AA59" i="233" s="1"/>
  <c r="P66" i="233"/>
  <c r="X56" i="233"/>
  <c r="AA56" i="233" s="1"/>
  <c r="P95" i="233"/>
  <c r="U95" i="233" s="1"/>
  <c r="P124" i="233"/>
  <c r="P134" i="233"/>
  <c r="P55" i="233"/>
  <c r="P92" i="233"/>
  <c r="U92" i="233" s="1"/>
  <c r="P107" i="233"/>
  <c r="P123" i="233"/>
  <c r="U123" i="233" s="1"/>
  <c r="U129" i="233"/>
  <c r="N35" i="233"/>
  <c r="N31" i="233"/>
  <c r="N34" i="233"/>
  <c r="N30" i="233"/>
  <c r="N33" i="233"/>
  <c r="N32" i="233"/>
  <c r="S144" i="233"/>
  <c r="X63" i="233"/>
  <c r="AA63" i="233" s="1"/>
  <c r="P39" i="233"/>
  <c r="U39" i="233" s="1"/>
  <c r="X41" i="233"/>
  <c r="K47" i="233"/>
  <c r="N47" i="233" s="1"/>
  <c r="X51" i="233"/>
  <c r="AA51" i="233" s="1"/>
  <c r="AD51" i="233" s="1"/>
  <c r="P58" i="233"/>
  <c r="U58" i="233" s="1"/>
  <c r="P62" i="233"/>
  <c r="X94" i="233"/>
  <c r="AA94" i="233" s="1"/>
  <c r="AD94" i="233" s="1"/>
  <c r="P99" i="233"/>
  <c r="P42" i="233"/>
  <c r="U42" i="233" s="1"/>
  <c r="X42" i="233"/>
  <c r="X98" i="233"/>
  <c r="AA98" i="233" s="1"/>
  <c r="AE98" i="233" s="1"/>
  <c r="P98" i="233"/>
  <c r="X109" i="233"/>
  <c r="AA109" i="233" s="1"/>
  <c r="P109" i="233"/>
  <c r="X97" i="233"/>
  <c r="AA97" i="233" s="1"/>
  <c r="P97" i="233"/>
  <c r="X102" i="233"/>
  <c r="AA102" i="233" s="1"/>
  <c r="AE102" i="233" s="1"/>
  <c r="P102" i="233"/>
  <c r="P133" i="233"/>
  <c r="X133" i="233"/>
  <c r="AA133" i="233" s="1"/>
  <c r="AE133" i="233" s="1"/>
  <c r="X101" i="233"/>
  <c r="AA101" i="233" s="1"/>
  <c r="P101" i="233"/>
  <c r="U101" i="233" s="1"/>
  <c r="X106" i="233"/>
  <c r="AA106" i="233" s="1"/>
  <c r="AE106" i="233" s="1"/>
  <c r="P106" i="233"/>
  <c r="X112" i="233"/>
  <c r="AA112" i="233" s="1"/>
  <c r="P112" i="233"/>
  <c r="U112" i="233" s="1"/>
  <c r="X132" i="233"/>
  <c r="AA132" i="233" s="1"/>
  <c r="P132" i="233"/>
  <c r="X137" i="233"/>
  <c r="P137" i="233"/>
  <c r="U137" i="233" s="1"/>
  <c r="P38" i="233"/>
  <c r="U38" i="233" s="1"/>
  <c r="X38" i="233"/>
  <c r="P40" i="233"/>
  <c r="U40" i="233" s="1"/>
  <c r="X40" i="233"/>
  <c r="X105" i="233"/>
  <c r="AA105" i="233" s="1"/>
  <c r="P105" i="233"/>
  <c r="X111" i="233"/>
  <c r="P111" i="233"/>
  <c r="U111" i="233" s="1"/>
  <c r="X136" i="233"/>
  <c r="AA136" i="233" s="1"/>
  <c r="AE136" i="233" s="1"/>
  <c r="P136" i="233"/>
  <c r="S115" i="233"/>
  <c r="X134" i="233"/>
  <c r="AA134" i="233" s="1"/>
  <c r="X39" i="233"/>
  <c r="X43" i="233"/>
  <c r="AF43" i="233" s="1"/>
  <c r="K46" i="233"/>
  <c r="N46" i="233" s="1"/>
  <c r="P46" i="233" s="1"/>
  <c r="X55" i="233"/>
  <c r="AA55" i="233" s="1"/>
  <c r="AD55" i="233" s="1"/>
  <c r="P56" i="233"/>
  <c r="AF56" i="233" s="1"/>
  <c r="X58" i="233"/>
  <c r="AA58" i="233" s="1"/>
  <c r="P60" i="233"/>
  <c r="U60" i="233" s="1"/>
  <c r="T87" i="233"/>
  <c r="O47" i="233"/>
  <c r="X47" i="233" s="1"/>
  <c r="AA47" i="233" s="1"/>
  <c r="U62" i="233"/>
  <c r="U66" i="233"/>
  <c r="X92" i="233"/>
  <c r="X93" i="233"/>
  <c r="AA93" i="233" s="1"/>
  <c r="AE93" i="233" s="1"/>
  <c r="P59" i="233"/>
  <c r="AF59" i="233" s="1"/>
  <c r="X62" i="233"/>
  <c r="AA62" i="233" s="1"/>
  <c r="AD62" i="233" s="1"/>
  <c r="P63" i="233"/>
  <c r="AF63" i="233" s="1"/>
  <c r="X64" i="233"/>
  <c r="AA64" i="233" s="1"/>
  <c r="AE64" i="233" s="1"/>
  <c r="X65" i="233"/>
  <c r="AA65" i="233" s="1"/>
  <c r="X66" i="233"/>
  <c r="AA66" i="233" s="1"/>
  <c r="P67" i="233"/>
  <c r="K91" i="233"/>
  <c r="N91" i="233" s="1"/>
  <c r="X91" i="233" s="1"/>
  <c r="AA91" i="233" s="1"/>
  <c r="AE91" i="233" s="1"/>
  <c r="T122" i="233"/>
  <c r="BP91" i="233"/>
  <c r="X21" i="233"/>
  <c r="AA21" i="233" s="1"/>
  <c r="P21" i="233"/>
  <c r="X14" i="233"/>
  <c r="AA14" i="233" s="1"/>
  <c r="P14" i="233"/>
  <c r="X20" i="233"/>
  <c r="AA20" i="233" s="1"/>
  <c r="P20" i="233"/>
  <c r="AD59" i="233"/>
  <c r="AE59" i="233"/>
  <c r="AD60" i="233"/>
  <c r="AE60" i="233"/>
  <c r="X16" i="233"/>
  <c r="AA16" i="233" s="1"/>
  <c r="P16" i="233"/>
  <c r="U16" i="233" s="1"/>
  <c r="X18" i="233"/>
  <c r="AA18" i="233" s="1"/>
  <c r="P18" i="233"/>
  <c r="U18" i="233" s="1"/>
  <c r="X17" i="233"/>
  <c r="AA17" i="233" s="1"/>
  <c r="P17" i="233"/>
  <c r="X15" i="233"/>
  <c r="AA15" i="233" s="1"/>
  <c r="P15" i="233"/>
  <c r="X19" i="233"/>
  <c r="AA19" i="233" s="1"/>
  <c r="P19" i="233"/>
  <c r="U19" i="233" s="1"/>
  <c r="X22" i="233"/>
  <c r="AA22" i="233" s="1"/>
  <c r="P22" i="233"/>
  <c r="X26" i="233"/>
  <c r="AA26" i="233" s="1"/>
  <c r="P26" i="233"/>
  <c r="X46" i="233"/>
  <c r="AA46" i="233" s="1"/>
  <c r="P61" i="233"/>
  <c r="X61" i="233"/>
  <c r="AA61" i="233" s="1"/>
  <c r="AE63" i="233"/>
  <c r="AD63" i="233"/>
  <c r="S71" i="233"/>
  <c r="T46" i="233"/>
  <c r="S72" i="233"/>
  <c r="AE48" i="233"/>
  <c r="AE52" i="233"/>
  <c r="P57" i="233"/>
  <c r="X57" i="233"/>
  <c r="AA57" i="233" s="1"/>
  <c r="AE62" i="233"/>
  <c r="AE65" i="233"/>
  <c r="AD65" i="233"/>
  <c r="AE94" i="233"/>
  <c r="X24" i="233"/>
  <c r="AA24" i="233" s="1"/>
  <c r="P24" i="233"/>
  <c r="U24" i="233" s="1"/>
  <c r="X28" i="233"/>
  <c r="AA28" i="233" s="1"/>
  <c r="P28" i="233"/>
  <c r="AD56" i="233"/>
  <c r="AE56" i="233"/>
  <c r="AF60" i="233"/>
  <c r="X27" i="233"/>
  <c r="AA27" i="233" s="1"/>
  <c r="P27" i="233"/>
  <c r="U27" i="233" s="1"/>
  <c r="U43" i="233"/>
  <c r="AE51" i="233"/>
  <c r="AF55" i="233"/>
  <c r="U55" i="233"/>
  <c r="AE66" i="233"/>
  <c r="AD66" i="233"/>
  <c r="AA92" i="233"/>
  <c r="AD93" i="233"/>
  <c r="X23" i="233"/>
  <c r="AA23" i="233" s="1"/>
  <c r="P23" i="233"/>
  <c r="X25" i="233"/>
  <c r="AA25" i="233" s="1"/>
  <c r="P25" i="233"/>
  <c r="U25" i="233" s="1"/>
  <c r="X110" i="233"/>
  <c r="AA110" i="233" s="1"/>
  <c r="P110" i="233"/>
  <c r="U26" i="233"/>
  <c r="X44" i="233"/>
  <c r="AA44" i="233" s="1"/>
  <c r="X49" i="233"/>
  <c r="AA49" i="233" s="1"/>
  <c r="AE50" i="233"/>
  <c r="X53" i="233"/>
  <c r="AA53" i="233" s="1"/>
  <c r="AE54" i="233"/>
  <c r="X89" i="233"/>
  <c r="AA89" i="233" s="1"/>
  <c r="P89" i="233"/>
  <c r="U89" i="233" s="1"/>
  <c r="X67" i="233"/>
  <c r="AA67" i="233" s="1"/>
  <c r="X88" i="233"/>
  <c r="P88" i="233"/>
  <c r="N119" i="233"/>
  <c r="O131" i="233"/>
  <c r="K131" i="233"/>
  <c r="N131" i="233" s="1"/>
  <c r="N145" i="233" s="1"/>
  <c r="X139" i="233"/>
  <c r="AA139" i="233" s="1"/>
  <c r="P139" i="233"/>
  <c r="S73" i="233"/>
  <c r="S69" i="233"/>
  <c r="S74" i="233"/>
  <c r="S70" i="233"/>
  <c r="P44" i="233"/>
  <c r="P45" i="233"/>
  <c r="U45" i="233" s="1"/>
  <c r="P48" i="233"/>
  <c r="P49" i="233"/>
  <c r="P50" i="233"/>
  <c r="P51" i="233"/>
  <c r="P52" i="233"/>
  <c r="P53" i="233"/>
  <c r="P54" i="233"/>
  <c r="P64" i="233"/>
  <c r="U65" i="233"/>
  <c r="N118" i="233"/>
  <c r="N117" i="233"/>
  <c r="X77" i="233"/>
  <c r="P77" i="233"/>
  <c r="U77" i="233" s="1"/>
  <c r="X79" i="233"/>
  <c r="P79" i="233"/>
  <c r="U79" i="233" s="1"/>
  <c r="X81" i="233"/>
  <c r="P81" i="233"/>
  <c r="U81" i="233" s="1"/>
  <c r="X83" i="233"/>
  <c r="P83" i="233"/>
  <c r="U83" i="233" s="1"/>
  <c r="X85" i="233"/>
  <c r="P85" i="233"/>
  <c r="U85" i="233" s="1"/>
  <c r="X86" i="233"/>
  <c r="P86" i="233"/>
  <c r="P96" i="233"/>
  <c r="X96" i="233"/>
  <c r="AA96" i="233" s="1"/>
  <c r="AD98" i="233"/>
  <c r="P100" i="233"/>
  <c r="X100" i="233"/>
  <c r="AA100" i="233" s="1"/>
  <c r="P104" i="233"/>
  <c r="X104" i="233"/>
  <c r="AA104" i="233" s="1"/>
  <c r="AD106" i="233"/>
  <c r="P108" i="233"/>
  <c r="X108" i="233"/>
  <c r="AA108" i="233" s="1"/>
  <c r="X129" i="233"/>
  <c r="AA129" i="233" s="1"/>
  <c r="AD133" i="233"/>
  <c r="P135" i="233"/>
  <c r="X135" i="233"/>
  <c r="AA135" i="233" s="1"/>
  <c r="U64" i="233"/>
  <c r="N74" i="233"/>
  <c r="X90" i="233"/>
  <c r="AA90" i="233" s="1"/>
  <c r="P90" i="233"/>
  <c r="P94" i="233"/>
  <c r="U94" i="233" s="1"/>
  <c r="U99" i="233"/>
  <c r="U103" i="233"/>
  <c r="U107" i="233"/>
  <c r="N143" i="233"/>
  <c r="P122" i="233"/>
  <c r="T125" i="233"/>
  <c r="S146" i="233"/>
  <c r="U127" i="233"/>
  <c r="U67" i="233"/>
  <c r="S119" i="233"/>
  <c r="X78" i="233"/>
  <c r="P78" i="233"/>
  <c r="U78" i="233" s="1"/>
  <c r="X80" i="233"/>
  <c r="P80" i="233"/>
  <c r="U80" i="233" s="1"/>
  <c r="X82" i="233"/>
  <c r="P82" i="233"/>
  <c r="U82" i="233" s="1"/>
  <c r="X84" i="233"/>
  <c r="P84" i="233"/>
  <c r="U84" i="233" s="1"/>
  <c r="X87" i="233"/>
  <c r="AA87" i="233" s="1"/>
  <c r="P87" i="233"/>
  <c r="AF87" i="233" s="1"/>
  <c r="U88" i="233"/>
  <c r="X95" i="233"/>
  <c r="AA95" i="233" s="1"/>
  <c r="X99" i="233"/>
  <c r="AA99" i="233" s="1"/>
  <c r="X103" i="233"/>
  <c r="AA103" i="233" s="1"/>
  <c r="X107" i="233"/>
  <c r="AA107" i="233" s="1"/>
  <c r="X127" i="233"/>
  <c r="AF127" i="233" s="1"/>
  <c r="P130" i="233"/>
  <c r="U130" i="233" s="1"/>
  <c r="X130" i="233"/>
  <c r="AA130" i="233" s="1"/>
  <c r="AE134" i="233"/>
  <c r="AD134" i="233"/>
  <c r="N142" i="233"/>
  <c r="U97" i="233"/>
  <c r="U105" i="233"/>
  <c r="U109" i="233"/>
  <c r="U124" i="233"/>
  <c r="X128" i="233"/>
  <c r="P128" i="233"/>
  <c r="U132" i="233"/>
  <c r="U136" i="233"/>
  <c r="S142" i="233"/>
  <c r="S116" i="233"/>
  <c r="S118" i="233"/>
  <c r="S114" i="233"/>
  <c r="U98" i="233"/>
  <c r="U102" i="233"/>
  <c r="U106" i="233"/>
  <c r="S117" i="233"/>
  <c r="S147" i="233"/>
  <c r="X125" i="233"/>
  <c r="P125" i="233"/>
  <c r="P126" i="233"/>
  <c r="U126" i="233" s="1"/>
  <c r="U133" i="233"/>
  <c r="X138" i="233"/>
  <c r="AA138" i="233" s="1"/>
  <c r="P138" i="233"/>
  <c r="X140" i="233"/>
  <c r="AA140" i="233" s="1"/>
  <c r="P140" i="233"/>
  <c r="U140" i="233" s="1"/>
  <c r="U134" i="233"/>
  <c r="S145" i="233"/>
  <c r="S143" i="233"/>
  <c r="O41" i="57"/>
  <c r="N41" i="57"/>
  <c r="M41" i="57"/>
  <c r="O40" i="57"/>
  <c r="N40" i="57"/>
  <c r="M40" i="57"/>
  <c r="O39" i="57"/>
  <c r="N39" i="57"/>
  <c r="M39" i="57"/>
  <c r="O38" i="57"/>
  <c r="N38" i="57"/>
  <c r="M38" i="57"/>
  <c r="O37" i="57"/>
  <c r="N37" i="57"/>
  <c r="M37" i="57"/>
  <c r="O36" i="57"/>
  <c r="N36" i="57"/>
  <c r="M36" i="57"/>
  <c r="O35" i="57"/>
  <c r="N35" i="57"/>
  <c r="M35" i="57"/>
  <c r="O34" i="57"/>
  <c r="N34" i="57"/>
  <c r="M34" i="57"/>
  <c r="O33" i="57"/>
  <c r="N33" i="57"/>
  <c r="M33" i="57"/>
  <c r="O32" i="57"/>
  <c r="N32" i="57"/>
  <c r="M32" i="57"/>
  <c r="O31" i="57"/>
  <c r="N31" i="57"/>
  <c r="M31" i="57"/>
  <c r="O30" i="57"/>
  <c r="N30" i="57"/>
  <c r="M30" i="57"/>
  <c r="O29" i="57"/>
  <c r="N29" i="57"/>
  <c r="M29" i="57"/>
  <c r="O28" i="57"/>
  <c r="N28" i="57"/>
  <c r="M28" i="57"/>
  <c r="O27" i="57"/>
  <c r="N27" i="57"/>
  <c r="M27" i="57"/>
  <c r="O26" i="57"/>
  <c r="N26" i="57"/>
  <c r="M26" i="57"/>
  <c r="O25" i="57"/>
  <c r="N25" i="57"/>
  <c r="M25" i="57"/>
  <c r="O24" i="57"/>
  <c r="N24" i="57"/>
  <c r="M24" i="57"/>
  <c r="O23" i="57"/>
  <c r="N23" i="57"/>
  <c r="M23" i="57"/>
  <c r="O22" i="57"/>
  <c r="N22" i="57"/>
  <c r="M22" i="57"/>
  <c r="O21" i="57"/>
  <c r="N21" i="57"/>
  <c r="M21" i="57"/>
  <c r="O20" i="57"/>
  <c r="N20" i="57"/>
  <c r="M20" i="57"/>
  <c r="O19" i="57"/>
  <c r="N19" i="57"/>
  <c r="M19" i="57"/>
  <c r="O18" i="57"/>
  <c r="N18" i="57"/>
  <c r="M18" i="57"/>
  <c r="O17" i="57"/>
  <c r="N17" i="57"/>
  <c r="M17" i="57"/>
  <c r="O16" i="57"/>
  <c r="N16" i="57"/>
  <c r="M16" i="57"/>
  <c r="O15" i="57"/>
  <c r="N15" i="57"/>
  <c r="M15" i="57"/>
  <c r="O14" i="57"/>
  <c r="N14" i="57"/>
  <c r="M14" i="57"/>
  <c r="O13" i="57"/>
  <c r="N13" i="57"/>
  <c r="M13" i="57"/>
  <c r="O12" i="57"/>
  <c r="N12" i="57"/>
  <c r="M12" i="57"/>
  <c r="O11" i="57"/>
  <c r="N11" i="57"/>
  <c r="M11" i="57"/>
  <c r="O10" i="57"/>
  <c r="N10" i="57"/>
  <c r="M10" i="57"/>
  <c r="O9" i="57"/>
  <c r="N9" i="57"/>
  <c r="M9" i="57"/>
  <c r="U63" i="233" l="1"/>
  <c r="AD102" i="233"/>
  <c r="AF102" i="233"/>
  <c r="AF92" i="233"/>
  <c r="U59" i="233"/>
  <c r="AE55" i="233"/>
  <c r="M46" i="57"/>
  <c r="AF133" i="233"/>
  <c r="U14" i="233"/>
  <c r="P32" i="233"/>
  <c r="P34" i="233"/>
  <c r="P35" i="233"/>
  <c r="P30" i="233"/>
  <c r="P31" i="233"/>
  <c r="P33" i="233"/>
  <c r="P47" i="233"/>
  <c r="P69" i="233" s="1"/>
  <c r="AF90" i="233"/>
  <c r="AF65" i="233"/>
  <c r="AF22" i="233"/>
  <c r="AF15" i="233"/>
  <c r="AF20" i="233"/>
  <c r="AF21" i="233"/>
  <c r="AF62" i="233"/>
  <c r="O43" i="57"/>
  <c r="M45" i="57"/>
  <c r="O48" i="57"/>
  <c r="N47" i="57"/>
  <c r="AF135" i="233"/>
  <c r="AF106" i="233"/>
  <c r="N115" i="233"/>
  <c r="P91" i="233"/>
  <c r="P115" i="233" s="1"/>
  <c r="AD64" i="233"/>
  <c r="AD136" i="233"/>
  <c r="N72" i="233"/>
  <c r="N116" i="233"/>
  <c r="AF64" i="233"/>
  <c r="AF93" i="233"/>
  <c r="U56" i="233"/>
  <c r="AF94" i="233"/>
  <c r="AF129" i="233"/>
  <c r="AF98" i="233"/>
  <c r="N73" i="233"/>
  <c r="N69" i="233"/>
  <c r="N71" i="233"/>
  <c r="N114" i="233"/>
  <c r="AD91" i="233"/>
  <c r="N70" i="233"/>
  <c r="AF134" i="233"/>
  <c r="AF136" i="233"/>
  <c r="AF105" i="233"/>
  <c r="AF132" i="233"/>
  <c r="AF97" i="233"/>
  <c r="U125" i="233"/>
  <c r="AF138" i="233"/>
  <c r="AF108" i="233"/>
  <c r="AF104" i="233"/>
  <c r="AF100" i="233"/>
  <c r="AF96" i="233"/>
  <c r="U22" i="233"/>
  <c r="AF28" i="233"/>
  <c r="U46" i="233"/>
  <c r="AF17" i="233"/>
  <c r="AF58" i="233"/>
  <c r="AE132" i="233"/>
  <c r="AD132" i="233"/>
  <c r="AE97" i="233"/>
  <c r="AD97" i="233"/>
  <c r="AF86" i="233"/>
  <c r="AF110" i="233"/>
  <c r="AF23" i="233"/>
  <c r="AF46" i="233"/>
  <c r="AF137" i="233"/>
  <c r="AF112" i="233"/>
  <c r="AF101" i="233"/>
  <c r="AF109" i="233"/>
  <c r="AF66" i="233"/>
  <c r="U86" i="233"/>
  <c r="AE112" i="233"/>
  <c r="AD112" i="233"/>
  <c r="AE101" i="233"/>
  <c r="AD101" i="233"/>
  <c r="AE109" i="233"/>
  <c r="AD109" i="233"/>
  <c r="AD58" i="233"/>
  <c r="AE58" i="233"/>
  <c r="AE105" i="233"/>
  <c r="AD105" i="233"/>
  <c r="AF128" i="233"/>
  <c r="U128" i="233"/>
  <c r="AE130" i="233"/>
  <c r="AD130" i="233"/>
  <c r="AE99" i="233"/>
  <c r="AD99" i="233"/>
  <c r="AF54" i="233"/>
  <c r="U54" i="233"/>
  <c r="AF50" i="233"/>
  <c r="U50" i="233"/>
  <c r="AF44" i="233"/>
  <c r="U44" i="233"/>
  <c r="AF107" i="233"/>
  <c r="AE90" i="233"/>
  <c r="AD90" i="233"/>
  <c r="AF139" i="233"/>
  <c r="U139" i="233"/>
  <c r="U100" i="233"/>
  <c r="AD49" i="233"/>
  <c r="AE49" i="233"/>
  <c r="P70" i="233"/>
  <c r="U28" i="233"/>
  <c r="AE28" i="233"/>
  <c r="AD28" i="233"/>
  <c r="AD57" i="233"/>
  <c r="AE57" i="233"/>
  <c r="U61" i="233"/>
  <c r="AF61" i="233"/>
  <c r="AE46" i="233"/>
  <c r="AD46" i="233"/>
  <c r="AE17" i="233"/>
  <c r="AD17" i="233"/>
  <c r="AE20" i="233"/>
  <c r="AD20" i="233"/>
  <c r="AE21" i="233"/>
  <c r="AD21" i="233"/>
  <c r="U138" i="233"/>
  <c r="AF99" i="233"/>
  <c r="AF49" i="233"/>
  <c r="U49" i="233"/>
  <c r="AD138" i="233"/>
  <c r="AE138" i="233"/>
  <c r="AE103" i="233"/>
  <c r="AD103" i="233"/>
  <c r="AE95" i="233"/>
  <c r="AD95" i="233"/>
  <c r="N146" i="233"/>
  <c r="U87" i="233"/>
  <c r="U122" i="233"/>
  <c r="AF52" i="233"/>
  <c r="U52" i="233"/>
  <c r="AF48" i="233"/>
  <c r="U48" i="233"/>
  <c r="AD139" i="233"/>
  <c r="AE139" i="233"/>
  <c r="U96" i="233"/>
  <c r="P73" i="233"/>
  <c r="AE110" i="233"/>
  <c r="AD110" i="233"/>
  <c r="AE23" i="233"/>
  <c r="AD23" i="233"/>
  <c r="AD92" i="233"/>
  <c r="AE92" i="233"/>
  <c r="AF24" i="233"/>
  <c r="AF57" i="233"/>
  <c r="U57" i="233"/>
  <c r="U23" i="233"/>
  <c r="AE22" i="233"/>
  <c r="AD22" i="233"/>
  <c r="AE15" i="233"/>
  <c r="AD15" i="233"/>
  <c r="U15" i="233"/>
  <c r="AF16" i="233"/>
  <c r="AF14" i="233"/>
  <c r="U20" i="233"/>
  <c r="AD140" i="233"/>
  <c r="AE140" i="233"/>
  <c r="AE107" i="233"/>
  <c r="AD107" i="233"/>
  <c r="X131" i="233"/>
  <c r="AA131" i="233" s="1"/>
  <c r="P131" i="233"/>
  <c r="P143" i="233" s="1"/>
  <c r="U104" i="233"/>
  <c r="AE89" i="233"/>
  <c r="AD89" i="233"/>
  <c r="AD44" i="233"/>
  <c r="AE44" i="233"/>
  <c r="AE25" i="233"/>
  <c r="AD25" i="233"/>
  <c r="AE27" i="233"/>
  <c r="AD27" i="233"/>
  <c r="AD61" i="233"/>
  <c r="AE61" i="233"/>
  <c r="AE26" i="233"/>
  <c r="AD26" i="233"/>
  <c r="AE19" i="233"/>
  <c r="AD19" i="233"/>
  <c r="AE18" i="233"/>
  <c r="AD18" i="233"/>
  <c r="AF130" i="233"/>
  <c r="N147" i="233"/>
  <c r="AF53" i="233"/>
  <c r="U53" i="233"/>
  <c r="AF140" i="233"/>
  <c r="AF103" i="233"/>
  <c r="AF95" i="233"/>
  <c r="AE87" i="233"/>
  <c r="AD87" i="233"/>
  <c r="N144" i="233"/>
  <c r="AE135" i="233"/>
  <c r="AD135" i="233"/>
  <c r="AE129" i="233"/>
  <c r="AD129" i="233"/>
  <c r="AE108" i="233"/>
  <c r="AD108" i="233"/>
  <c r="AE104" i="233"/>
  <c r="AD104" i="233"/>
  <c r="AE100" i="233"/>
  <c r="AD100" i="233"/>
  <c r="AE96" i="233"/>
  <c r="AD96" i="233"/>
  <c r="P118" i="233"/>
  <c r="AF51" i="233"/>
  <c r="U51" i="233"/>
  <c r="U135" i="233"/>
  <c r="U108" i="233"/>
  <c r="BU91" i="233"/>
  <c r="AE67" i="233"/>
  <c r="AD67" i="233"/>
  <c r="AF89" i="233"/>
  <c r="AD53" i="233"/>
  <c r="AE53" i="233"/>
  <c r="AD47" i="233"/>
  <c r="AE47" i="233"/>
  <c r="AF25" i="233"/>
  <c r="U90" i="233"/>
  <c r="AF67" i="233"/>
  <c r="AF27" i="233"/>
  <c r="AE24" i="233"/>
  <c r="AD24" i="233"/>
  <c r="U110" i="233"/>
  <c r="AF26" i="233"/>
  <c r="AF19" i="233"/>
  <c r="U21" i="233"/>
  <c r="AF18" i="233"/>
  <c r="AE16" i="233"/>
  <c r="AD16" i="233"/>
  <c r="AE14" i="233"/>
  <c r="AD14" i="233"/>
  <c r="U17" i="233"/>
  <c r="O47" i="57"/>
  <c r="M44" i="57"/>
  <c r="N45" i="57"/>
  <c r="O46" i="57"/>
  <c r="M48" i="57"/>
  <c r="M43" i="57"/>
  <c r="N44" i="57"/>
  <c r="O45" i="57"/>
  <c r="M47" i="57"/>
  <c r="N48" i="57"/>
  <c r="N46" i="57"/>
  <c r="N43" i="57"/>
  <c r="O44" i="57"/>
  <c r="P71" i="233" l="1"/>
  <c r="P74" i="233"/>
  <c r="U47" i="233"/>
  <c r="P72" i="233"/>
  <c r="AF47" i="233"/>
  <c r="N151" i="233" a="1"/>
  <c r="N151" i="233" s="1"/>
  <c r="N150" i="233" a="1"/>
  <c r="N150" i="233" s="1"/>
  <c r="N155" i="233" a="1"/>
  <c r="N155" i="233" s="1"/>
  <c r="P119" i="233"/>
  <c r="N154" i="233" a="1"/>
  <c r="N154" i="233" s="1"/>
  <c r="N153" i="233" a="1"/>
  <c r="N153" i="233" s="1"/>
  <c r="N152" i="233" a="1"/>
  <c r="N152" i="233" s="1"/>
  <c r="AF91" i="233"/>
  <c r="P117" i="233"/>
  <c r="P114" i="233"/>
  <c r="U91" i="233"/>
  <c r="P116" i="233"/>
  <c r="P144" i="233"/>
  <c r="P147" i="233"/>
  <c r="P142" i="233"/>
  <c r="AD131" i="233"/>
  <c r="AE131" i="233"/>
  <c r="P145" i="233"/>
  <c r="P146" i="233"/>
  <c r="E57" i="133"/>
  <c r="B2" i="235" l="1"/>
  <c r="P4" i="235"/>
  <c r="K11" i="235"/>
  <c r="N11" i="235" s="1"/>
  <c r="P11" i="235" s="1"/>
  <c r="R11" i="235"/>
  <c r="K12" i="235"/>
  <c r="N12" i="235" s="1"/>
  <c r="R12" i="235"/>
  <c r="K13" i="235"/>
  <c r="N13" i="235" s="1"/>
  <c r="W13" i="235" s="1"/>
  <c r="Z13" i="235" s="1"/>
  <c r="R13" i="235"/>
  <c r="R134" i="235" s="1"/>
  <c r="K14" i="235"/>
  <c r="N14" i="235" s="1"/>
  <c r="W14" i="235" s="1"/>
  <c r="Z14" i="235" s="1"/>
  <c r="R14" i="235"/>
  <c r="K15" i="235"/>
  <c r="N15" i="235" s="1"/>
  <c r="P15" i="235" s="1"/>
  <c r="R15" i="235"/>
  <c r="K16" i="235"/>
  <c r="N16" i="235" s="1"/>
  <c r="R16" i="235"/>
  <c r="K17" i="235"/>
  <c r="N17" i="235" s="1"/>
  <c r="W17" i="235" s="1"/>
  <c r="Z17" i="235" s="1"/>
  <c r="R17" i="235"/>
  <c r="K18" i="235"/>
  <c r="N18" i="235" s="1"/>
  <c r="W18" i="235" s="1"/>
  <c r="Z18" i="235" s="1"/>
  <c r="R18" i="235"/>
  <c r="K19" i="235"/>
  <c r="N19" i="235" s="1"/>
  <c r="P19" i="235" s="1"/>
  <c r="R19" i="235"/>
  <c r="K23" i="235"/>
  <c r="N23" i="235" s="1"/>
  <c r="O23" i="235"/>
  <c r="S23" i="235"/>
  <c r="K24" i="235"/>
  <c r="N24" i="235" s="1"/>
  <c r="O24" i="235"/>
  <c r="S24" i="235"/>
  <c r="K25" i="235"/>
  <c r="N25" i="235" s="1"/>
  <c r="O25" i="235"/>
  <c r="S25" i="235"/>
  <c r="K26" i="235"/>
  <c r="N26" i="235" s="1"/>
  <c r="O26" i="235"/>
  <c r="S26" i="235"/>
  <c r="K27" i="235"/>
  <c r="N27" i="235" s="1"/>
  <c r="O27" i="235"/>
  <c r="S27" i="235"/>
  <c r="K28" i="235"/>
  <c r="N28" i="235" s="1"/>
  <c r="O28" i="235"/>
  <c r="S28" i="235"/>
  <c r="K29" i="235"/>
  <c r="N29" i="235" s="1"/>
  <c r="O29" i="235"/>
  <c r="S29" i="235"/>
  <c r="K30" i="235"/>
  <c r="N30" i="235" s="1"/>
  <c r="O30" i="235"/>
  <c r="S30" i="235"/>
  <c r="K31" i="235"/>
  <c r="N31" i="235" s="1"/>
  <c r="O31" i="235"/>
  <c r="S31" i="235"/>
  <c r="K32" i="235"/>
  <c r="N32" i="235" s="1"/>
  <c r="O32" i="235"/>
  <c r="S32" i="235"/>
  <c r="K33" i="235"/>
  <c r="N33" i="235" s="1"/>
  <c r="O33" i="235"/>
  <c r="S33" i="235"/>
  <c r="K34" i="235"/>
  <c r="N34" i="235" s="1"/>
  <c r="O34" i="235"/>
  <c r="S34" i="235"/>
  <c r="K35" i="235"/>
  <c r="N35" i="235" s="1"/>
  <c r="O35" i="235"/>
  <c r="S35" i="235"/>
  <c r="K36" i="235"/>
  <c r="N36" i="235" s="1"/>
  <c r="O36" i="235"/>
  <c r="S36" i="235"/>
  <c r="K37" i="235"/>
  <c r="N37" i="235" s="1"/>
  <c r="O37" i="235"/>
  <c r="S37" i="235"/>
  <c r="K38" i="235"/>
  <c r="N38" i="235" s="1"/>
  <c r="O38" i="235"/>
  <c r="S38" i="235"/>
  <c r="K39" i="235"/>
  <c r="N39" i="235" s="1"/>
  <c r="O39" i="235"/>
  <c r="S39" i="235"/>
  <c r="R41" i="235"/>
  <c r="R42" i="235"/>
  <c r="R43" i="235"/>
  <c r="R44" i="235"/>
  <c r="R45" i="235"/>
  <c r="R46" i="235"/>
  <c r="L49" i="235"/>
  <c r="M49" i="235"/>
  <c r="S49" i="235"/>
  <c r="L50" i="235"/>
  <c r="O50" i="235" s="1"/>
  <c r="M50" i="235"/>
  <c r="S50" i="235"/>
  <c r="K51" i="235"/>
  <c r="N51" i="235" s="1"/>
  <c r="O51" i="235"/>
  <c r="S51" i="235"/>
  <c r="K52" i="235"/>
  <c r="N52" i="235" s="1"/>
  <c r="O52" i="235"/>
  <c r="S52" i="235"/>
  <c r="K53" i="235"/>
  <c r="N53" i="235" s="1"/>
  <c r="O53" i="235"/>
  <c r="S53" i="235"/>
  <c r="K54" i="235"/>
  <c r="N54" i="235" s="1"/>
  <c r="O54" i="235"/>
  <c r="S54" i="235"/>
  <c r="K55" i="235"/>
  <c r="N55" i="235" s="1"/>
  <c r="O55" i="235"/>
  <c r="S55" i="235"/>
  <c r="K56" i="235"/>
  <c r="N56" i="235" s="1"/>
  <c r="O56" i="235"/>
  <c r="S56" i="235"/>
  <c r="K57" i="235"/>
  <c r="N57" i="235" s="1"/>
  <c r="O57" i="235"/>
  <c r="S57" i="235"/>
  <c r="K58" i="235"/>
  <c r="N58" i="235" s="1"/>
  <c r="O58" i="235"/>
  <c r="S58" i="235"/>
  <c r="K59" i="235"/>
  <c r="N59" i="235" s="1"/>
  <c r="O59" i="235"/>
  <c r="S59" i="235"/>
  <c r="K60" i="235"/>
  <c r="N60" i="235" s="1"/>
  <c r="O60" i="235"/>
  <c r="S60" i="235"/>
  <c r="K61" i="235"/>
  <c r="N61" i="235" s="1"/>
  <c r="O61" i="235"/>
  <c r="S61" i="235"/>
  <c r="K62" i="235"/>
  <c r="N62" i="235" s="1"/>
  <c r="O62" i="235"/>
  <c r="S62" i="235"/>
  <c r="K63" i="235"/>
  <c r="N63" i="235" s="1"/>
  <c r="O63" i="235"/>
  <c r="S63" i="235"/>
  <c r="K64" i="235"/>
  <c r="N64" i="235" s="1"/>
  <c r="O64" i="235"/>
  <c r="S64" i="235"/>
  <c r="K65" i="235"/>
  <c r="N65" i="235" s="1"/>
  <c r="O65" i="235"/>
  <c r="S65" i="235"/>
  <c r="K66" i="235"/>
  <c r="N66" i="235" s="1"/>
  <c r="O66" i="235"/>
  <c r="S66" i="235"/>
  <c r="K67" i="235"/>
  <c r="N67" i="235" s="1"/>
  <c r="O67" i="235"/>
  <c r="S67" i="235"/>
  <c r="O68" i="235"/>
  <c r="P68" i="235" s="1"/>
  <c r="S68" i="235"/>
  <c r="K69" i="235"/>
  <c r="N69" i="235" s="1"/>
  <c r="O69" i="235"/>
  <c r="S69" i="235"/>
  <c r="K70" i="235"/>
  <c r="N70" i="235" s="1"/>
  <c r="O70" i="235"/>
  <c r="S70" i="235"/>
  <c r="R72" i="235"/>
  <c r="R73" i="235"/>
  <c r="R74" i="235"/>
  <c r="R75" i="235"/>
  <c r="R76" i="235"/>
  <c r="R77" i="235"/>
  <c r="L80" i="235"/>
  <c r="M80" i="235"/>
  <c r="O80" i="235"/>
  <c r="S80" i="235"/>
  <c r="AM80" i="235"/>
  <c r="AN80" i="235"/>
  <c r="AP80" i="235"/>
  <c r="AR80" i="235"/>
  <c r="AT80" i="235"/>
  <c r="AV80" i="235"/>
  <c r="AX80" i="235"/>
  <c r="AY80" i="235"/>
  <c r="BB80" i="235"/>
  <c r="K81" i="235"/>
  <c r="N81" i="235" s="1"/>
  <c r="O81" i="235"/>
  <c r="S81" i="235"/>
  <c r="K82" i="235"/>
  <c r="N82" i="235" s="1"/>
  <c r="O82" i="235"/>
  <c r="S82" i="235"/>
  <c r="K83" i="235"/>
  <c r="N83" i="235" s="1"/>
  <c r="O83" i="235"/>
  <c r="S83" i="235"/>
  <c r="K84" i="235"/>
  <c r="N84" i="235" s="1"/>
  <c r="O84" i="235"/>
  <c r="S84" i="235"/>
  <c r="K85" i="235"/>
  <c r="N85" i="235" s="1"/>
  <c r="O85" i="235"/>
  <c r="S85" i="235"/>
  <c r="K86" i="235"/>
  <c r="N86" i="235" s="1"/>
  <c r="O86" i="235"/>
  <c r="S86" i="235"/>
  <c r="K87" i="235"/>
  <c r="N87" i="235" s="1"/>
  <c r="O87" i="235"/>
  <c r="S87" i="235"/>
  <c r="K88" i="235"/>
  <c r="N88" i="235" s="1"/>
  <c r="O88" i="235"/>
  <c r="S88" i="235"/>
  <c r="K89" i="235"/>
  <c r="N89" i="235" s="1"/>
  <c r="O89" i="235"/>
  <c r="S89" i="235"/>
  <c r="K90" i="235"/>
  <c r="N90" i="235"/>
  <c r="O90" i="235"/>
  <c r="S90" i="235"/>
  <c r="K91" i="235"/>
  <c r="N91" i="235" s="1"/>
  <c r="O91" i="235"/>
  <c r="S91" i="235"/>
  <c r="K92" i="235"/>
  <c r="N92" i="235" s="1"/>
  <c r="O92" i="235"/>
  <c r="S92" i="235"/>
  <c r="K93" i="235"/>
  <c r="N93" i="235" s="1"/>
  <c r="O93" i="235"/>
  <c r="S93" i="235"/>
  <c r="K94" i="235"/>
  <c r="N94" i="235" s="1"/>
  <c r="O94" i="235"/>
  <c r="S94" i="235"/>
  <c r="K95" i="235"/>
  <c r="N95" i="235" s="1"/>
  <c r="O95" i="235"/>
  <c r="S95" i="235"/>
  <c r="K96" i="235"/>
  <c r="N96" i="235" s="1"/>
  <c r="O96" i="235"/>
  <c r="S96" i="235"/>
  <c r="K97" i="235"/>
  <c r="N97" i="235" s="1"/>
  <c r="O97" i="235"/>
  <c r="S97" i="235"/>
  <c r="K98" i="235"/>
  <c r="N98" i="235" s="1"/>
  <c r="O98" i="235"/>
  <c r="S98" i="235"/>
  <c r="O99" i="235"/>
  <c r="P99" i="235" s="1"/>
  <c r="S99" i="235"/>
  <c r="R101" i="235"/>
  <c r="R102" i="235"/>
  <c r="R103" i="235"/>
  <c r="R104" i="235"/>
  <c r="R105" i="235"/>
  <c r="R106" i="235"/>
  <c r="K109" i="235"/>
  <c r="N109" i="235"/>
  <c r="O109" i="235"/>
  <c r="K110" i="235"/>
  <c r="N110" i="235" s="1"/>
  <c r="O110" i="235"/>
  <c r="S110" i="235"/>
  <c r="L111" i="235"/>
  <c r="O111" i="235" s="1"/>
  <c r="M111" i="235"/>
  <c r="K112" i="235"/>
  <c r="N112" i="235"/>
  <c r="O112" i="235"/>
  <c r="S112" i="235"/>
  <c r="K113" i="235"/>
  <c r="N113" i="235"/>
  <c r="O113" i="235"/>
  <c r="S113" i="235"/>
  <c r="K114" i="235"/>
  <c r="N114" i="235"/>
  <c r="O114" i="235"/>
  <c r="S114" i="235"/>
  <c r="K115" i="235"/>
  <c r="N115" i="235"/>
  <c r="O115" i="235"/>
  <c r="S115" i="235"/>
  <c r="K116" i="235"/>
  <c r="N116" i="235"/>
  <c r="O116" i="235"/>
  <c r="S116" i="235"/>
  <c r="K117" i="235"/>
  <c r="N117" i="235"/>
  <c r="O117" i="235"/>
  <c r="S117" i="235"/>
  <c r="K118" i="235"/>
  <c r="N118" i="235"/>
  <c r="O118" i="235"/>
  <c r="S118" i="235"/>
  <c r="K119" i="235"/>
  <c r="N119" i="235"/>
  <c r="O119" i="235"/>
  <c r="S119" i="235"/>
  <c r="K120" i="235"/>
  <c r="N120" i="235"/>
  <c r="O120" i="235"/>
  <c r="S120" i="235"/>
  <c r="R122" i="235"/>
  <c r="R123" i="235"/>
  <c r="R124" i="235"/>
  <c r="R125" i="235"/>
  <c r="R126" i="235"/>
  <c r="R127" i="235"/>
  <c r="AH40" i="234"/>
  <c r="AL40" i="234" s="1"/>
  <c r="AH39" i="234"/>
  <c r="AL39" i="234" s="1"/>
  <c r="AH38" i="234"/>
  <c r="AL38" i="234" s="1"/>
  <c r="AH37" i="234"/>
  <c r="AL37" i="234" s="1"/>
  <c r="AH36" i="234"/>
  <c r="AL36" i="234" s="1"/>
  <c r="AH35" i="234"/>
  <c r="AL35" i="234" s="1"/>
  <c r="AH34" i="234"/>
  <c r="AL34" i="234" s="1"/>
  <c r="AH33" i="234"/>
  <c r="AL33" i="234" s="1"/>
  <c r="AH32" i="234"/>
  <c r="AL32" i="234" s="1"/>
  <c r="AH31" i="234"/>
  <c r="AL31" i="234" s="1"/>
  <c r="AH30" i="234"/>
  <c r="AL30" i="234" s="1"/>
  <c r="AH29" i="234"/>
  <c r="AL29" i="234" s="1"/>
  <c r="AH28" i="234"/>
  <c r="AL28" i="234" s="1"/>
  <c r="AH27" i="234"/>
  <c r="AL27" i="234" s="1"/>
  <c r="AH26" i="234"/>
  <c r="AL26" i="234" s="1"/>
  <c r="AH25" i="234"/>
  <c r="AL25" i="234" s="1"/>
  <c r="AH24" i="234"/>
  <c r="AL24" i="234" s="1"/>
  <c r="AH23" i="234"/>
  <c r="AL23" i="234" s="1"/>
  <c r="AH22" i="234"/>
  <c r="AL22" i="234" s="1"/>
  <c r="AH21" i="234"/>
  <c r="AL21" i="234" s="1"/>
  <c r="AH20" i="234"/>
  <c r="AL20" i="234" s="1"/>
  <c r="AH19" i="234"/>
  <c r="AL19" i="234" s="1"/>
  <c r="AH18" i="234"/>
  <c r="AL18" i="234" s="1"/>
  <c r="AH17" i="234"/>
  <c r="AL17" i="234" s="1"/>
  <c r="AH16" i="234"/>
  <c r="AL16" i="234" s="1"/>
  <c r="AH15" i="234"/>
  <c r="AL15" i="234" s="1"/>
  <c r="AH14" i="234"/>
  <c r="AL14" i="234" s="1"/>
  <c r="AH13" i="234"/>
  <c r="AL13" i="234" s="1"/>
  <c r="AH12" i="234"/>
  <c r="AL12" i="234" s="1"/>
  <c r="BF80" i="235"/>
  <c r="R131" i="235" l="1"/>
  <c r="W69" i="235"/>
  <c r="W68" i="235"/>
  <c r="R130" i="235"/>
  <c r="P97" i="235"/>
  <c r="R133" i="235"/>
  <c r="P90" i="235"/>
  <c r="W89" i="235"/>
  <c r="P84" i="235"/>
  <c r="T84" i="235" s="1"/>
  <c r="R132" i="235"/>
  <c r="T97" i="235"/>
  <c r="W15" i="235"/>
  <c r="Z15" i="235" s="1"/>
  <c r="AD15" i="235" s="1"/>
  <c r="R135" i="235"/>
  <c r="AK14" i="234"/>
  <c r="AK22" i="234"/>
  <c r="AK30" i="234"/>
  <c r="AK38" i="234"/>
  <c r="P13" i="235"/>
  <c r="AE13" i="235" s="1"/>
  <c r="AK16" i="234"/>
  <c r="AK24" i="234"/>
  <c r="AK32" i="234"/>
  <c r="AK40" i="234"/>
  <c r="P95" i="235"/>
  <c r="P91" i="235"/>
  <c r="P86" i="235"/>
  <c r="W85" i="235"/>
  <c r="AK18" i="234"/>
  <c r="AK26" i="234"/>
  <c r="AK34" i="234"/>
  <c r="P82" i="235"/>
  <c r="W81" i="235"/>
  <c r="AK12" i="234"/>
  <c r="AK20" i="234"/>
  <c r="AK28" i="234"/>
  <c r="AK36" i="234"/>
  <c r="P93" i="235"/>
  <c r="T93" i="235" s="1"/>
  <c r="P88" i="235"/>
  <c r="K50" i="235"/>
  <c r="N50" i="235" s="1"/>
  <c r="BH80" i="235"/>
  <c r="N44" i="235"/>
  <c r="N131" i="235"/>
  <c r="N135" i="235"/>
  <c r="AK13" i="234"/>
  <c r="AK17" i="234"/>
  <c r="AK21" i="234"/>
  <c r="AK25" i="234"/>
  <c r="AK29" i="234"/>
  <c r="AK33" i="234"/>
  <c r="AK37" i="234"/>
  <c r="P98" i="235"/>
  <c r="P94" i="235"/>
  <c r="T94" i="235" s="1"/>
  <c r="W86" i="235"/>
  <c r="K80" i="235"/>
  <c r="N80" i="235" s="1"/>
  <c r="P80" i="235" s="1"/>
  <c r="W88" i="235"/>
  <c r="W87" i="235"/>
  <c r="AK15" i="234"/>
  <c r="AK19" i="234"/>
  <c r="AK23" i="234"/>
  <c r="AK27" i="234"/>
  <c r="AK31" i="234"/>
  <c r="AK35" i="234"/>
  <c r="AK39" i="234"/>
  <c r="K111" i="235"/>
  <c r="N111" i="235" s="1"/>
  <c r="T98" i="235"/>
  <c r="P96" i="235"/>
  <c r="T96" i="235" s="1"/>
  <c r="P92" i="235"/>
  <c r="T92" i="235" s="1"/>
  <c r="W90" i="235"/>
  <c r="X90" i="235" s="1"/>
  <c r="W82" i="235"/>
  <c r="X82" i="235" s="1"/>
  <c r="P17" i="235"/>
  <c r="AE17" i="235" s="1"/>
  <c r="W99" i="235"/>
  <c r="X99" i="235" s="1"/>
  <c r="T95" i="235"/>
  <c r="T91" i="235"/>
  <c r="T90" i="235"/>
  <c r="W84" i="235"/>
  <c r="W83" i="235"/>
  <c r="K49" i="235"/>
  <c r="N49" i="235" s="1"/>
  <c r="N76" i="235" s="1"/>
  <c r="AD18" i="235"/>
  <c r="AC18" i="235"/>
  <c r="AD17" i="235"/>
  <c r="AC17" i="235"/>
  <c r="AC14" i="235"/>
  <c r="AD14" i="235"/>
  <c r="AD13" i="235"/>
  <c r="AC13" i="235"/>
  <c r="W114" i="235"/>
  <c r="P114" i="235"/>
  <c r="T88" i="235"/>
  <c r="W117" i="235"/>
  <c r="P117" i="235"/>
  <c r="W113" i="235"/>
  <c r="P113" i="235"/>
  <c r="T99" i="235"/>
  <c r="P87" i="235"/>
  <c r="X87" i="235" s="1"/>
  <c r="P83" i="235"/>
  <c r="N103" i="235"/>
  <c r="N124" i="235"/>
  <c r="W110" i="235"/>
  <c r="N123" i="235"/>
  <c r="N127" i="235"/>
  <c r="P110" i="235"/>
  <c r="N122" i="235"/>
  <c r="N126" i="235"/>
  <c r="T86" i="235"/>
  <c r="T82" i="235"/>
  <c r="W118" i="235"/>
  <c r="P118" i="235"/>
  <c r="N125" i="235"/>
  <c r="W120" i="235"/>
  <c r="P120" i="235"/>
  <c r="W116" i="235"/>
  <c r="P116" i="235"/>
  <c r="W112" i="235"/>
  <c r="P112" i="235"/>
  <c r="W119" i="235"/>
  <c r="P119" i="235"/>
  <c r="W115" i="235"/>
  <c r="P115" i="235"/>
  <c r="P111" i="235"/>
  <c r="W111" i="235"/>
  <c r="P109" i="235"/>
  <c r="W109" i="235"/>
  <c r="N101" i="235"/>
  <c r="W98" i="235"/>
  <c r="X98" i="235" s="1"/>
  <c r="W97" i="235"/>
  <c r="X97" i="235" s="1"/>
  <c r="W96" i="235"/>
  <c r="W95" i="235"/>
  <c r="X95" i="235" s="1"/>
  <c r="W94" i="235"/>
  <c r="X94" i="235" s="1"/>
  <c r="W93" i="235"/>
  <c r="W92" i="235"/>
  <c r="X92" i="235" s="1"/>
  <c r="W91" i="235"/>
  <c r="P89" i="235"/>
  <c r="P85" i="235"/>
  <c r="P81" i="235"/>
  <c r="W70" i="235"/>
  <c r="P70" i="235"/>
  <c r="T68" i="235"/>
  <c r="X68" i="235"/>
  <c r="N75" i="235"/>
  <c r="W64" i="235"/>
  <c r="P64" i="235"/>
  <c r="W39" i="235"/>
  <c r="P39" i="235"/>
  <c r="W35" i="235"/>
  <c r="P35" i="235"/>
  <c r="N132" i="235"/>
  <c r="P69" i="235"/>
  <c r="W67" i="235"/>
  <c r="P67" i="235"/>
  <c r="W63" i="235"/>
  <c r="P63" i="235"/>
  <c r="W59" i="235"/>
  <c r="P59" i="235"/>
  <c r="W55" i="235"/>
  <c r="P55" i="235"/>
  <c r="W51" i="235"/>
  <c r="P51" i="235"/>
  <c r="W50" i="235"/>
  <c r="P50" i="235"/>
  <c r="W38" i="235"/>
  <c r="P38" i="235"/>
  <c r="W34" i="235"/>
  <c r="P34" i="235"/>
  <c r="W30" i="235"/>
  <c r="P30" i="235"/>
  <c r="W26" i="235"/>
  <c r="P26" i="235"/>
  <c r="W31" i="235"/>
  <c r="P31" i="235"/>
  <c r="P12" i="235"/>
  <c r="W12" i="235"/>
  <c r="Z12" i="235" s="1"/>
  <c r="N133" i="235"/>
  <c r="W66" i="235"/>
  <c r="P66" i="235"/>
  <c r="W62" i="235"/>
  <c r="P62" i="235"/>
  <c r="W58" i="235"/>
  <c r="P58" i="235"/>
  <c r="W54" i="235"/>
  <c r="P54" i="235"/>
  <c r="W37" i="235"/>
  <c r="P37" i="235"/>
  <c r="W33" i="235"/>
  <c r="P33" i="235"/>
  <c r="W29" i="235"/>
  <c r="P29" i="235"/>
  <c r="W25" i="235"/>
  <c r="P25" i="235"/>
  <c r="W19" i="235"/>
  <c r="Z19" i="235" s="1"/>
  <c r="P16" i="235"/>
  <c r="W16" i="235"/>
  <c r="Z16" i="235" s="1"/>
  <c r="W11" i="235"/>
  <c r="Z11" i="235" s="1"/>
  <c r="W60" i="235"/>
  <c r="P60" i="235"/>
  <c r="W56" i="235"/>
  <c r="P56" i="235"/>
  <c r="W52" i="235"/>
  <c r="P52" i="235"/>
  <c r="W27" i="235"/>
  <c r="P27" i="235"/>
  <c r="W23" i="235"/>
  <c r="N43" i="235"/>
  <c r="P23" i="235"/>
  <c r="N42" i="235"/>
  <c r="N46" i="235"/>
  <c r="N41" i="235"/>
  <c r="N45" i="235"/>
  <c r="N134" i="235"/>
  <c r="N130" i="235"/>
  <c r="W65" i="235"/>
  <c r="P65" i="235"/>
  <c r="W61" i="235"/>
  <c r="P61" i="235"/>
  <c r="W57" i="235"/>
  <c r="P57" i="235"/>
  <c r="W53" i="235"/>
  <c r="P53" i="235"/>
  <c r="W36" i="235"/>
  <c r="P36" i="235"/>
  <c r="W32" i="235"/>
  <c r="P32" i="235"/>
  <c r="W28" i="235"/>
  <c r="P28" i="235"/>
  <c r="W24" i="235"/>
  <c r="P24" i="235"/>
  <c r="P18" i="235"/>
  <c r="AE18" i="235" s="1"/>
  <c r="P14" i="235"/>
  <c r="AE14" i="235" s="1"/>
  <c r="O49" i="235"/>
  <c r="N72" i="235" l="1"/>
  <c r="X93" i="235"/>
  <c r="W49" i="235"/>
  <c r="N73" i="235"/>
  <c r="AC15" i="235"/>
  <c r="AE15" i="235"/>
  <c r="N77" i="235"/>
  <c r="N74" i="235"/>
  <c r="X91" i="235"/>
  <c r="X86" i="235"/>
  <c r="X96" i="235"/>
  <c r="N106" i="235"/>
  <c r="N104" i="235"/>
  <c r="T87" i="235"/>
  <c r="N102" i="235"/>
  <c r="W80" i="235"/>
  <c r="X80" i="235" s="1"/>
  <c r="N105" i="235"/>
  <c r="X84" i="235"/>
  <c r="X88" i="235"/>
  <c r="X110" i="235"/>
  <c r="X50" i="235"/>
  <c r="AD16" i="235"/>
  <c r="AC16" i="235"/>
  <c r="AD12" i="235"/>
  <c r="AC12" i="235"/>
  <c r="AC19" i="235"/>
  <c r="AD19" i="235"/>
  <c r="AD11" i="235"/>
  <c r="AC11" i="235"/>
  <c r="X70" i="235"/>
  <c r="T70" i="235"/>
  <c r="P125" i="235"/>
  <c r="T109" i="235"/>
  <c r="P124" i="235"/>
  <c r="P123" i="235"/>
  <c r="P127" i="235"/>
  <c r="P126" i="235"/>
  <c r="P122" i="235"/>
  <c r="X112" i="235"/>
  <c r="T112" i="235"/>
  <c r="X120" i="235"/>
  <c r="T120" i="235"/>
  <c r="X24" i="235"/>
  <c r="T24" i="235"/>
  <c r="X32" i="235"/>
  <c r="T32" i="235"/>
  <c r="X53" i="235"/>
  <c r="T53" i="235"/>
  <c r="X61" i="235"/>
  <c r="T61" i="235"/>
  <c r="P44" i="235"/>
  <c r="X23" i="235"/>
  <c r="P43" i="235"/>
  <c r="P42" i="235"/>
  <c r="P46" i="235"/>
  <c r="P41" i="235"/>
  <c r="P45" i="235"/>
  <c r="T23" i="235"/>
  <c r="X25" i="235"/>
  <c r="T25" i="235"/>
  <c r="X33" i="235"/>
  <c r="T33" i="235"/>
  <c r="X54" i="235"/>
  <c r="T54" i="235"/>
  <c r="X62" i="235"/>
  <c r="T62" i="235"/>
  <c r="P130" i="235"/>
  <c r="AE12" i="235"/>
  <c r="P132" i="235"/>
  <c r="X35" i="235"/>
  <c r="T35" i="235"/>
  <c r="X64" i="235"/>
  <c r="T64" i="235"/>
  <c r="P49" i="235"/>
  <c r="X89" i="235"/>
  <c r="T89" i="235"/>
  <c r="X119" i="235"/>
  <c r="T119" i="235"/>
  <c r="BM80" i="235"/>
  <c r="P101" i="235"/>
  <c r="P105" i="235"/>
  <c r="P104" i="235"/>
  <c r="P103" i="235"/>
  <c r="P106" i="235"/>
  <c r="P102" i="235"/>
  <c r="X83" i="235"/>
  <c r="T83" i="235"/>
  <c r="X113" i="235"/>
  <c r="T113" i="235"/>
  <c r="T110" i="235"/>
  <c r="X27" i="235"/>
  <c r="T27" i="235"/>
  <c r="X56" i="235"/>
  <c r="T56" i="235"/>
  <c r="X26" i="235"/>
  <c r="T26" i="235"/>
  <c r="X34" i="235"/>
  <c r="T34" i="235"/>
  <c r="X55" i="235"/>
  <c r="T55" i="235"/>
  <c r="AE19" i="235"/>
  <c r="P131" i="235"/>
  <c r="X52" i="235"/>
  <c r="T52" i="235"/>
  <c r="X60" i="235"/>
  <c r="T60" i="235"/>
  <c r="X31" i="235"/>
  <c r="T31" i="235"/>
  <c r="X30" i="235"/>
  <c r="T30" i="235"/>
  <c r="X38" i="235"/>
  <c r="T38" i="235"/>
  <c r="X51" i="235"/>
  <c r="T51" i="235"/>
  <c r="X59" i="235"/>
  <c r="T59" i="235"/>
  <c r="X67" i="235"/>
  <c r="T67" i="235"/>
  <c r="P133" i="235"/>
  <c r="X81" i="235"/>
  <c r="T81" i="235"/>
  <c r="X116" i="235"/>
  <c r="T116" i="235"/>
  <c r="X114" i="235"/>
  <c r="T114" i="235"/>
  <c r="P135" i="235"/>
  <c r="X63" i="235"/>
  <c r="T63" i="235"/>
  <c r="T69" i="235"/>
  <c r="X69" i="235"/>
  <c r="X28" i="235"/>
  <c r="T28" i="235"/>
  <c r="X36" i="235"/>
  <c r="T36" i="235"/>
  <c r="X57" i="235"/>
  <c r="T57" i="235"/>
  <c r="X65" i="235"/>
  <c r="T65" i="235"/>
  <c r="AE16" i="235"/>
  <c r="X29" i="235"/>
  <c r="T29" i="235"/>
  <c r="X37" i="235"/>
  <c r="T37" i="235"/>
  <c r="X58" i="235"/>
  <c r="T58" i="235"/>
  <c r="X66" i="235"/>
  <c r="T66" i="235"/>
  <c r="P134" i="235"/>
  <c r="AE11" i="235"/>
  <c r="X39" i="235"/>
  <c r="T39" i="235"/>
  <c r="X85" i="235"/>
  <c r="T85" i="235"/>
  <c r="X115" i="235"/>
  <c r="T115" i="235"/>
  <c r="X118" i="235"/>
  <c r="T118" i="235"/>
  <c r="X117" i="235"/>
  <c r="T117" i="235"/>
  <c r="E59" i="213"/>
  <c r="E65" i="213"/>
  <c r="E60" i="213"/>
  <c r="E66" i="213"/>
  <c r="E64" i="213"/>
  <c r="E63" i="213"/>
  <c r="E61" i="213"/>
  <c r="E67" i="213"/>
  <c r="E57" i="213"/>
  <c r="E62" i="213"/>
  <c r="E58" i="213"/>
  <c r="X49" i="235" l="1"/>
  <c r="P75" i="235"/>
  <c r="P76" i="235"/>
  <c r="P73" i="235"/>
  <c r="P72" i="235"/>
  <c r="P74" i="235"/>
  <c r="P77" i="235"/>
  <c r="B8" i="88"/>
  <c r="B9" i="88" s="1"/>
  <c r="B10" i="88" s="1"/>
  <c r="B11" i="88" s="1"/>
  <c r="B12" i="88" s="1"/>
  <c r="B13" i="88" s="1"/>
  <c r="B14" i="88" s="1"/>
  <c r="B15" i="88" s="1"/>
  <c r="B16" i="88" s="1"/>
  <c r="B17" i="88" s="1"/>
  <c r="B18" i="88" s="1"/>
  <c r="B19" i="88" s="1"/>
  <c r="B20" i="88" s="1"/>
  <c r="B21" i="88" s="1"/>
  <c r="B22" i="88" s="1"/>
  <c r="B1" i="213"/>
  <c r="B2" i="213"/>
  <c r="AX10" i="213" s="1"/>
  <c r="BC10" i="213" s="1"/>
  <c r="L2" i="213"/>
  <c r="B3" i="213"/>
  <c r="AY10" i="213" s="1"/>
  <c r="BD10" i="213" s="1"/>
  <c r="L3" i="213"/>
  <c r="B4" i="213"/>
  <c r="T11" i="213" s="1"/>
  <c r="L4" i="213"/>
  <c r="B5" i="213"/>
  <c r="U11" i="213" s="1"/>
  <c r="L5" i="213"/>
  <c r="B6" i="213"/>
  <c r="V11" i="213" s="1"/>
  <c r="L6" i="213"/>
  <c r="B7" i="213"/>
  <c r="W11" i="213" s="1"/>
  <c r="B8" i="213"/>
  <c r="A10" i="213"/>
  <c r="BS11" i="213"/>
  <c r="BT11" i="213"/>
  <c r="BU11" i="213"/>
  <c r="BV11" i="213"/>
  <c r="BW11" i="213"/>
  <c r="BX11" i="213"/>
  <c r="BY11" i="213"/>
  <c r="BZ11" i="213"/>
  <c r="B13" i="213"/>
  <c r="BG13" i="213"/>
  <c r="AE13" i="213"/>
  <c r="AY13" i="213"/>
  <c r="AV13" i="213"/>
  <c r="D63" i="213"/>
  <c r="AQ13" i="213"/>
  <c r="D59" i="213"/>
  <c r="AO13" i="213"/>
  <c r="Z13" i="213"/>
  <c r="AG13" i="213"/>
  <c r="BO13" i="213"/>
  <c r="BL13" i="213"/>
  <c r="S13" i="213"/>
  <c r="D65" i="213"/>
  <c r="T13" i="213"/>
  <c r="AP13" i="213"/>
  <c r="AU13" i="213"/>
  <c r="BN13" i="213"/>
  <c r="AW13" i="213"/>
  <c r="G13" i="213"/>
  <c r="O13" i="213"/>
  <c r="X13" i="213"/>
  <c r="BQ13" i="213"/>
  <c r="C71" i="213"/>
  <c r="P13" i="213"/>
  <c r="A13" i="213"/>
  <c r="D60" i="213"/>
  <c r="F13" i="213"/>
  <c r="J13" i="213"/>
  <c r="BK13" i="213"/>
  <c r="BB13" i="213"/>
  <c r="AK13" i="213"/>
  <c r="R13" i="213"/>
  <c r="M13" i="213"/>
  <c r="AM13" i="213"/>
  <c r="D66" i="213"/>
  <c r="AT13" i="213"/>
  <c r="D13" i="213"/>
  <c r="BF13" i="213"/>
  <c r="W13" i="213"/>
  <c r="AL13" i="213"/>
  <c r="Q13" i="213"/>
  <c r="H13" i="213"/>
  <c r="D57" i="213"/>
  <c r="BP13" i="213"/>
  <c r="D58" i="213"/>
  <c r="E13" i="213"/>
  <c r="C74" i="213"/>
  <c r="AB13" i="213"/>
  <c r="BI13" i="213"/>
  <c r="N13" i="213"/>
  <c r="D64" i="213"/>
  <c r="D62" i="213"/>
  <c r="BD13" i="213"/>
  <c r="BM13" i="213"/>
  <c r="L13" i="213"/>
  <c r="I13" i="213"/>
  <c r="V13" i="213"/>
  <c r="D61" i="213"/>
  <c r="AR13" i="213"/>
  <c r="AD13" i="213"/>
  <c r="BC13" i="213"/>
  <c r="K13" i="213"/>
  <c r="C13" i="213"/>
  <c r="AN13" i="213"/>
  <c r="AH13" i="213"/>
  <c r="BA13" i="213"/>
  <c r="U13" i="213"/>
  <c r="AZ13" i="213"/>
  <c r="D67" i="213"/>
  <c r="AS13" i="213"/>
  <c r="AX13" i="213"/>
  <c r="AA13" i="213"/>
  <c r="AC13" i="213"/>
  <c r="BJ13" i="213"/>
  <c r="AJ13" i="213"/>
  <c r="BE13" i="213"/>
  <c r="BH13" i="213"/>
  <c r="AI13" i="213"/>
  <c r="Y13" i="213"/>
  <c r="AF13" i="213"/>
  <c r="S11" i="213" l="1"/>
  <c r="R11" i="213"/>
  <c r="BS13" i="213"/>
  <c r="BT13" i="213"/>
  <c r="BU13" i="213"/>
  <c r="BV13" i="213"/>
  <c r="BW13" i="213"/>
  <c r="BX13" i="213"/>
  <c r="BY13" i="213"/>
  <c r="BZ13" i="213"/>
  <c r="CE13" i="213"/>
  <c r="B14" i="213"/>
  <c r="BR13" i="213"/>
  <c r="AC14" i="213"/>
  <c r="F14" i="213"/>
  <c r="AY14" i="213"/>
  <c r="BO14" i="213"/>
  <c r="AS14" i="213"/>
  <c r="AB14" i="213"/>
  <c r="AI14" i="213"/>
  <c r="AO14" i="213"/>
  <c r="AQ14" i="213"/>
  <c r="AL14" i="213"/>
  <c r="P14" i="213"/>
  <c r="AA14" i="213"/>
  <c r="BI14" i="213"/>
  <c r="U14" i="213"/>
  <c r="BD14" i="213"/>
  <c r="T14" i="213"/>
  <c r="BP14" i="213"/>
  <c r="E14" i="213"/>
  <c r="BB14" i="213"/>
  <c r="BG14" i="213"/>
  <c r="AM14" i="213"/>
  <c r="AX14" i="213"/>
  <c r="AF14" i="213"/>
  <c r="D14" i="213"/>
  <c r="AR14" i="213"/>
  <c r="J14" i="213"/>
  <c r="BK14" i="213"/>
  <c r="AN14" i="213"/>
  <c r="M14" i="213"/>
  <c r="A14" i="213"/>
  <c r="BQ14" i="213"/>
  <c r="AD14" i="213"/>
  <c r="AP14" i="213"/>
  <c r="H14" i="213"/>
  <c r="G14" i="213"/>
  <c r="AE14" i="213"/>
  <c r="BC14" i="213"/>
  <c r="W14" i="213"/>
  <c r="BF14" i="213"/>
  <c r="V14" i="213"/>
  <c r="BL14" i="213"/>
  <c r="BH14" i="213"/>
  <c r="X14" i="213"/>
  <c r="AJ14" i="213"/>
  <c r="AW14" i="213"/>
  <c r="L14" i="213"/>
  <c r="BA14" i="213"/>
  <c r="BM14" i="213"/>
  <c r="Q14" i="213"/>
  <c r="S14" i="213"/>
  <c r="K14" i="213"/>
  <c r="AV14" i="213"/>
  <c r="AT14" i="213"/>
  <c r="BN14" i="213"/>
  <c r="BJ14" i="213"/>
  <c r="N14" i="213"/>
  <c r="AH14" i="213"/>
  <c r="R14" i="213"/>
  <c r="AU14" i="213"/>
  <c r="AG14" i="213"/>
  <c r="AK14" i="213"/>
  <c r="AZ14" i="213"/>
  <c r="I14" i="213"/>
  <c r="C14" i="213"/>
  <c r="Z14" i="213"/>
  <c r="BE14" i="213"/>
  <c r="Y14" i="213"/>
  <c r="O14" i="213"/>
  <c r="BS14" i="213" l="1"/>
  <c r="BT14" i="213"/>
  <c r="BU14" i="213"/>
  <c r="BV14" i="213"/>
  <c r="BW14" i="213"/>
  <c r="BX14" i="213"/>
  <c r="BY14" i="213"/>
  <c r="BZ14" i="213"/>
  <c r="CE14" i="213"/>
  <c r="B15" i="213"/>
  <c r="BS15" i="213"/>
  <c r="BT15" i="213"/>
  <c r="BU15" i="213"/>
  <c r="BV15" i="213"/>
  <c r="BW15" i="213"/>
  <c r="BX15" i="213"/>
  <c r="BY15" i="213"/>
  <c r="BZ15" i="213"/>
  <c r="CE15" i="213"/>
  <c r="B16" i="213"/>
  <c r="BS16" i="213"/>
  <c r="BT16" i="213"/>
  <c r="BU16" i="213"/>
  <c r="BV16" i="213"/>
  <c r="BW16" i="213"/>
  <c r="BX16" i="213"/>
  <c r="BY16" i="213"/>
  <c r="BZ16" i="213"/>
  <c r="CE16" i="213"/>
  <c r="B17" i="213"/>
  <c r="BS17" i="213"/>
  <c r="BT17" i="213"/>
  <c r="BU17" i="213"/>
  <c r="BV17" i="213"/>
  <c r="BW17" i="213"/>
  <c r="BX17" i="213"/>
  <c r="BY17" i="213"/>
  <c r="BZ17" i="213"/>
  <c r="CE17" i="213"/>
  <c r="B18" i="213"/>
  <c r="BS18" i="213"/>
  <c r="BT18" i="213"/>
  <c r="BU18" i="213"/>
  <c r="BV18" i="213"/>
  <c r="BW18" i="213"/>
  <c r="BX18" i="213"/>
  <c r="BY18" i="213"/>
  <c r="BZ18" i="213"/>
  <c r="CE18" i="213"/>
  <c r="B19" i="213"/>
  <c r="BS19" i="213"/>
  <c r="BT19" i="213"/>
  <c r="BU19" i="213"/>
  <c r="BV19" i="213"/>
  <c r="BW19" i="213"/>
  <c r="BX19" i="213"/>
  <c r="BY19" i="213"/>
  <c r="BZ19" i="213"/>
  <c r="CE19" i="213"/>
  <c r="B20" i="213"/>
  <c r="BS20" i="213"/>
  <c r="BT20" i="213"/>
  <c r="BU20" i="213"/>
  <c r="BV20" i="213"/>
  <c r="BW20" i="213"/>
  <c r="BX20" i="213"/>
  <c r="BY20" i="213"/>
  <c r="BZ20" i="213"/>
  <c r="CE20" i="213"/>
  <c r="B21" i="213"/>
  <c r="BS21" i="213"/>
  <c r="BT21" i="213"/>
  <c r="BU21" i="213"/>
  <c r="BV21" i="213"/>
  <c r="BW21" i="213"/>
  <c r="BX21" i="213"/>
  <c r="BY21" i="213"/>
  <c r="BZ21" i="213"/>
  <c r="CE21" i="213"/>
  <c r="B22" i="213"/>
  <c r="BS22" i="213"/>
  <c r="BT22" i="213"/>
  <c r="BU22" i="213"/>
  <c r="BV22" i="213"/>
  <c r="BW22" i="213"/>
  <c r="BX22" i="213"/>
  <c r="BY22" i="213"/>
  <c r="BZ22" i="213"/>
  <c r="CE22" i="213"/>
  <c r="B23" i="213"/>
  <c r="BS23" i="213"/>
  <c r="BT23" i="213"/>
  <c r="BU23" i="213"/>
  <c r="BV23" i="213"/>
  <c r="BW23" i="213"/>
  <c r="BX23" i="213"/>
  <c r="BY23" i="213"/>
  <c r="BZ23" i="213"/>
  <c r="CE23" i="213"/>
  <c r="B24" i="213"/>
  <c r="BS24" i="213"/>
  <c r="BT24" i="213"/>
  <c r="BU24" i="213"/>
  <c r="BV24" i="213"/>
  <c r="BW24" i="213"/>
  <c r="BX24" i="213"/>
  <c r="BY24" i="213"/>
  <c r="BZ24" i="213"/>
  <c r="CE24" i="213"/>
  <c r="B25" i="213"/>
  <c r="BS25" i="213"/>
  <c r="BT25" i="213"/>
  <c r="BU25" i="213"/>
  <c r="BV25" i="213"/>
  <c r="BW25" i="213"/>
  <c r="BX25" i="213"/>
  <c r="BY25" i="213"/>
  <c r="BZ25" i="213"/>
  <c r="CE25" i="213"/>
  <c r="B26" i="213"/>
  <c r="BS26" i="213"/>
  <c r="BT26" i="213"/>
  <c r="BU26" i="213"/>
  <c r="BV26" i="213"/>
  <c r="BW26" i="213"/>
  <c r="BX26" i="213"/>
  <c r="BY26" i="213"/>
  <c r="BZ26" i="213"/>
  <c r="CE26" i="213"/>
  <c r="B27" i="213"/>
  <c r="BS27" i="213"/>
  <c r="BT27" i="213"/>
  <c r="BU27" i="213"/>
  <c r="BV27" i="213"/>
  <c r="BW27" i="213"/>
  <c r="BX27" i="213"/>
  <c r="BY27" i="213"/>
  <c r="BZ27" i="213"/>
  <c r="CE27" i="213"/>
  <c r="B28" i="213"/>
  <c r="BS28" i="213"/>
  <c r="BT28" i="213"/>
  <c r="BU28" i="213"/>
  <c r="BV28" i="213"/>
  <c r="BW28" i="213"/>
  <c r="BX28" i="213"/>
  <c r="BY28" i="213"/>
  <c r="BZ28" i="213"/>
  <c r="CE28" i="213"/>
  <c r="B29" i="213"/>
  <c r="BS29" i="213"/>
  <c r="BT29" i="213"/>
  <c r="BU29" i="213"/>
  <c r="BV29" i="213"/>
  <c r="BW29" i="213"/>
  <c r="BX29" i="213"/>
  <c r="BY29" i="213"/>
  <c r="BZ29" i="213"/>
  <c r="CE29" i="213"/>
  <c r="B30" i="213"/>
  <c r="BS30" i="213"/>
  <c r="BT30" i="213"/>
  <c r="BU30" i="213"/>
  <c r="BV30" i="213"/>
  <c r="BW30" i="213"/>
  <c r="BX30" i="213"/>
  <c r="BY30" i="213"/>
  <c r="BZ30" i="213"/>
  <c r="CE30" i="213"/>
  <c r="B31" i="213"/>
  <c r="BS31" i="213"/>
  <c r="BT31" i="213"/>
  <c r="BU31" i="213"/>
  <c r="BV31" i="213"/>
  <c r="BW31" i="213"/>
  <c r="BX31" i="213"/>
  <c r="BY31" i="213"/>
  <c r="BZ31" i="213"/>
  <c r="CE31" i="213"/>
  <c r="B32" i="213"/>
  <c r="BS32" i="213"/>
  <c r="BT32" i="213"/>
  <c r="BU32" i="213"/>
  <c r="BV32" i="213"/>
  <c r="BW32" i="213"/>
  <c r="BX32" i="213"/>
  <c r="BY32" i="213"/>
  <c r="BZ32" i="213"/>
  <c r="CE32" i="213"/>
  <c r="B33" i="213"/>
  <c r="BS33" i="213"/>
  <c r="BT33" i="213"/>
  <c r="BU33" i="213"/>
  <c r="BV33" i="213"/>
  <c r="BW33" i="213"/>
  <c r="BX33" i="213"/>
  <c r="BY33" i="213"/>
  <c r="BZ33" i="213"/>
  <c r="CE33" i="213"/>
  <c r="B34" i="213"/>
  <c r="BS34" i="213"/>
  <c r="BT34" i="213"/>
  <c r="BU34" i="213"/>
  <c r="BV34" i="213"/>
  <c r="BW34" i="213"/>
  <c r="BX34" i="213"/>
  <c r="BY34" i="213"/>
  <c r="BZ34" i="213"/>
  <c r="CE34" i="213"/>
  <c r="B35" i="213"/>
  <c r="BS35" i="213"/>
  <c r="BT35" i="213"/>
  <c r="BU35" i="213"/>
  <c r="BV35" i="213"/>
  <c r="BW35" i="213"/>
  <c r="BX35" i="213"/>
  <c r="BY35" i="213"/>
  <c r="BZ35" i="213"/>
  <c r="CE35" i="213"/>
  <c r="B36" i="213"/>
  <c r="BS36" i="213"/>
  <c r="BT36" i="213"/>
  <c r="BU36" i="213"/>
  <c r="BV36" i="213"/>
  <c r="BW36" i="213"/>
  <c r="BX36" i="213"/>
  <c r="BY36" i="213"/>
  <c r="BZ36" i="213"/>
  <c r="CE36" i="213"/>
  <c r="B37" i="213"/>
  <c r="BS37" i="213"/>
  <c r="BT37" i="213"/>
  <c r="BU37" i="213"/>
  <c r="BV37" i="213"/>
  <c r="BW37" i="213"/>
  <c r="BX37" i="213"/>
  <c r="BY37" i="213"/>
  <c r="BZ37" i="213"/>
  <c r="CE37" i="213"/>
  <c r="B38" i="213"/>
  <c r="BS38" i="213"/>
  <c r="BT38" i="213"/>
  <c r="BU38" i="213"/>
  <c r="BV38" i="213"/>
  <c r="BW38" i="213"/>
  <c r="BX38" i="213"/>
  <c r="BY38" i="213"/>
  <c r="BZ38" i="213"/>
  <c r="CE38" i="213"/>
  <c r="B39" i="213"/>
  <c r="BS39" i="213"/>
  <c r="BT39" i="213"/>
  <c r="BU39" i="213"/>
  <c r="BV39" i="213"/>
  <c r="BW39" i="213"/>
  <c r="BX39" i="213"/>
  <c r="BY39" i="213"/>
  <c r="BZ39" i="213"/>
  <c r="CE39" i="213"/>
  <c r="B40" i="213"/>
  <c r="BS40" i="213"/>
  <c r="BT40" i="213"/>
  <c r="BU40" i="213"/>
  <c r="BV40" i="213"/>
  <c r="BW40" i="213"/>
  <c r="BX40" i="213"/>
  <c r="BY40" i="213"/>
  <c r="BZ40" i="213"/>
  <c r="CE40" i="213"/>
  <c r="B41" i="213"/>
  <c r="BS41" i="213"/>
  <c r="BT41" i="213"/>
  <c r="BU41" i="213"/>
  <c r="BV41" i="213"/>
  <c r="BW41" i="213"/>
  <c r="BX41" i="213"/>
  <c r="BY41" i="213"/>
  <c r="BZ41" i="213"/>
  <c r="CE41" i="213"/>
  <c r="B42" i="213"/>
  <c r="BS42" i="213"/>
  <c r="BT42" i="213"/>
  <c r="BU42" i="213"/>
  <c r="BV42" i="213"/>
  <c r="BW42" i="213"/>
  <c r="BX42" i="213"/>
  <c r="BY42" i="213"/>
  <c r="BZ42" i="213"/>
  <c r="CE42" i="213"/>
  <c r="A43" i="213"/>
  <c r="B44" i="213"/>
  <c r="BS44" i="213"/>
  <c r="BT44" i="213"/>
  <c r="BU44" i="213"/>
  <c r="BV44" i="213"/>
  <c r="BW44" i="213"/>
  <c r="BX44" i="213"/>
  <c r="BY44" i="213"/>
  <c r="BZ44" i="213"/>
  <c r="B45" i="213"/>
  <c r="BS45" i="213"/>
  <c r="BT45" i="213"/>
  <c r="BU45" i="213"/>
  <c r="BV45" i="213"/>
  <c r="BW45" i="213"/>
  <c r="BX45" i="213"/>
  <c r="BY45" i="213"/>
  <c r="BZ45" i="213"/>
  <c r="B46" i="213"/>
  <c r="BS46" i="213"/>
  <c r="BT46" i="213"/>
  <c r="BU46" i="213"/>
  <c r="BV46" i="213"/>
  <c r="BW46" i="213"/>
  <c r="BX46" i="213"/>
  <c r="BY46" i="213"/>
  <c r="BZ46" i="213"/>
  <c r="B47" i="213"/>
  <c r="BS47" i="213"/>
  <c r="BT47" i="213"/>
  <c r="BU47" i="213"/>
  <c r="BV47" i="213"/>
  <c r="BW47" i="213"/>
  <c r="BX47" i="213"/>
  <c r="BY47" i="213"/>
  <c r="BZ47" i="213"/>
  <c r="B48" i="213"/>
  <c r="BS48" i="213"/>
  <c r="BT48" i="213"/>
  <c r="BU48" i="213"/>
  <c r="BV48" i="213"/>
  <c r="BW48" i="213"/>
  <c r="BX48" i="213"/>
  <c r="BY48" i="213"/>
  <c r="BZ48" i="213"/>
  <c r="B49" i="213"/>
  <c r="BS49" i="213"/>
  <c r="BT49" i="213"/>
  <c r="BU49" i="213"/>
  <c r="BV49" i="213"/>
  <c r="BW49" i="213"/>
  <c r="BX49" i="213"/>
  <c r="BY49" i="213"/>
  <c r="BZ49" i="213"/>
  <c r="B50" i="213"/>
  <c r="BS50" i="213"/>
  <c r="BT50" i="213"/>
  <c r="BU50" i="213"/>
  <c r="BV50" i="213"/>
  <c r="BW50" i="213"/>
  <c r="BX50" i="213"/>
  <c r="BY50" i="213"/>
  <c r="BZ50" i="213"/>
  <c r="B51" i="213"/>
  <c r="BS51" i="213"/>
  <c r="BT51" i="213"/>
  <c r="BU51" i="213"/>
  <c r="BV51" i="213"/>
  <c r="BW51" i="213"/>
  <c r="BX51" i="213"/>
  <c r="BY51" i="213"/>
  <c r="BZ51" i="213"/>
  <c r="B52" i="213"/>
  <c r="BS52" i="213"/>
  <c r="BT52" i="213"/>
  <c r="BU52" i="213"/>
  <c r="BV52" i="213"/>
  <c r="BW52" i="213"/>
  <c r="BX52" i="213"/>
  <c r="BY52" i="213"/>
  <c r="BZ52" i="213"/>
  <c r="B53" i="213"/>
  <c r="BS53" i="213"/>
  <c r="BT53" i="213"/>
  <c r="BU53" i="213"/>
  <c r="BV53" i="213"/>
  <c r="BW53" i="213"/>
  <c r="BX53" i="213"/>
  <c r="BY53" i="213"/>
  <c r="BZ53" i="213"/>
  <c r="C57" i="213"/>
  <c r="C58" i="213"/>
  <c r="C59" i="213"/>
  <c r="AJ2" i="214"/>
  <c r="AI10" i="214"/>
  <c r="AI11" i="214"/>
  <c r="AI12" i="214"/>
  <c r="AI13" i="214"/>
  <c r="AI14" i="214"/>
  <c r="AI15" i="214"/>
  <c r="AI16" i="214"/>
  <c r="AI17" i="214"/>
  <c r="AI18" i="214"/>
  <c r="AI19" i="214"/>
  <c r="AI20" i="214"/>
  <c r="AI21" i="214"/>
  <c r="AI22" i="214"/>
  <c r="AI23" i="214"/>
  <c r="AI24" i="214"/>
  <c r="AI25" i="214"/>
  <c r="AI26" i="214"/>
  <c r="AI27" i="214"/>
  <c r="AI28" i="214"/>
  <c r="AI29" i="214"/>
  <c r="AI30" i="214"/>
  <c r="AI31" i="214"/>
  <c r="AI32" i="214"/>
  <c r="AI33" i="214"/>
  <c r="AI34" i="214"/>
  <c r="AI35" i="214"/>
  <c r="AI36" i="214"/>
  <c r="AI37" i="214"/>
  <c r="AI38" i="214"/>
  <c r="AI39" i="214"/>
  <c r="AI40" i="214"/>
  <c r="B2" i="2"/>
  <c r="F21" i="2"/>
  <c r="F22" i="2"/>
  <c r="F24" i="2"/>
  <c r="F25" i="2"/>
  <c r="F43" i="2"/>
  <c r="F44" i="2"/>
  <c r="B2" i="5"/>
  <c r="B2" i="173"/>
  <c r="AP2" i="173"/>
  <c r="J9" i="173" s="1"/>
  <c r="Q4" i="173"/>
  <c r="L9" i="173"/>
  <c r="Z12" i="173" s="1"/>
  <c r="M9" i="173"/>
  <c r="AA12" i="173" s="1"/>
  <c r="N9" i="173"/>
  <c r="AB12" i="173" s="1"/>
  <c r="S12" i="173"/>
  <c r="T12" i="173"/>
  <c r="U12" i="173"/>
  <c r="S13" i="173"/>
  <c r="T13" i="173"/>
  <c r="U13" i="173"/>
  <c r="W13" i="173"/>
  <c r="X13" i="173"/>
  <c r="Z13" i="173"/>
  <c r="AA13" i="173"/>
  <c r="AB13" i="173"/>
  <c r="AD13" i="173"/>
  <c r="AE13" i="173"/>
  <c r="S14" i="173"/>
  <c r="T14" i="173"/>
  <c r="U14" i="173"/>
  <c r="W14" i="173"/>
  <c r="X14" i="173"/>
  <c r="Z14" i="173"/>
  <c r="AA14" i="173"/>
  <c r="AB14" i="173"/>
  <c r="AD14" i="173"/>
  <c r="AE14" i="173"/>
  <c r="S15" i="173"/>
  <c r="T15" i="173"/>
  <c r="U15" i="173"/>
  <c r="W15" i="173"/>
  <c r="X15" i="173"/>
  <c r="Z15" i="173"/>
  <c r="AA15" i="173"/>
  <c r="AB15" i="173"/>
  <c r="AD15" i="173"/>
  <c r="AE15" i="173"/>
  <c r="S16" i="173"/>
  <c r="T16" i="173"/>
  <c r="U16" i="173"/>
  <c r="W16" i="173"/>
  <c r="X16" i="173"/>
  <c r="Z16" i="173"/>
  <c r="AA16" i="173"/>
  <c r="AB16" i="173"/>
  <c r="AD16" i="173"/>
  <c r="AE16" i="173"/>
  <c r="S17" i="173"/>
  <c r="T17" i="173"/>
  <c r="U17" i="173"/>
  <c r="W17" i="173"/>
  <c r="X17" i="173"/>
  <c r="Z17" i="173"/>
  <c r="AA17" i="173"/>
  <c r="AB17" i="173"/>
  <c r="AD17" i="173"/>
  <c r="AE17" i="173"/>
  <c r="S18" i="173"/>
  <c r="T18" i="173"/>
  <c r="U18" i="173"/>
  <c r="W18" i="173"/>
  <c r="X18" i="173"/>
  <c r="Z18" i="173"/>
  <c r="AA18" i="173"/>
  <c r="AB18" i="173"/>
  <c r="AD18" i="173"/>
  <c r="AE18" i="173"/>
  <c r="S19" i="173"/>
  <c r="T19" i="173"/>
  <c r="U19" i="173"/>
  <c r="W19" i="173"/>
  <c r="X19" i="173"/>
  <c r="Z19" i="173"/>
  <c r="AA19" i="173"/>
  <c r="AB19" i="173"/>
  <c r="AD19" i="173"/>
  <c r="AE19" i="173"/>
  <c r="S20" i="173"/>
  <c r="T20" i="173"/>
  <c r="U20" i="173"/>
  <c r="W20" i="173"/>
  <c r="X20" i="173"/>
  <c r="Z20" i="173"/>
  <c r="AA20" i="173"/>
  <c r="AB20" i="173"/>
  <c r="AD20" i="173"/>
  <c r="AE20" i="173"/>
  <c r="S21" i="173"/>
  <c r="T21" i="173"/>
  <c r="U21" i="173"/>
  <c r="W21" i="173"/>
  <c r="X21" i="173"/>
  <c r="Z21" i="173"/>
  <c r="AA21" i="173"/>
  <c r="AB21" i="173"/>
  <c r="AD21" i="173"/>
  <c r="AE21" i="173"/>
  <c r="S22" i="173"/>
  <c r="T22" i="173"/>
  <c r="U22" i="173"/>
  <c r="W22" i="173"/>
  <c r="X22" i="173"/>
  <c r="Z22" i="173"/>
  <c r="AA22" i="173"/>
  <c r="AB22" i="173"/>
  <c r="AD22" i="173"/>
  <c r="AE22" i="173"/>
  <c r="S23" i="173"/>
  <c r="T23" i="173"/>
  <c r="U23" i="173"/>
  <c r="W23" i="173"/>
  <c r="X23" i="173"/>
  <c r="Z23" i="173"/>
  <c r="AA23" i="173"/>
  <c r="AB23" i="173"/>
  <c r="AD23" i="173"/>
  <c r="AE23" i="173"/>
  <c r="S24" i="173"/>
  <c r="T24" i="173"/>
  <c r="U24" i="173"/>
  <c r="W24" i="173"/>
  <c r="X24" i="173"/>
  <c r="Z24" i="173"/>
  <c r="AA24" i="173"/>
  <c r="AB24" i="173"/>
  <c r="AD24" i="173"/>
  <c r="AE24" i="173"/>
  <c r="S25" i="173"/>
  <c r="T25" i="173"/>
  <c r="U25" i="173"/>
  <c r="W25" i="173"/>
  <c r="X25" i="173"/>
  <c r="Z25" i="173"/>
  <c r="AA25" i="173"/>
  <c r="AB25" i="173"/>
  <c r="AD25" i="173"/>
  <c r="AE25" i="173"/>
  <c r="S26" i="173"/>
  <c r="T26" i="173"/>
  <c r="U26" i="173"/>
  <c r="W26" i="173"/>
  <c r="X26" i="173"/>
  <c r="Z26" i="173"/>
  <c r="AA26" i="173"/>
  <c r="AB26" i="173"/>
  <c r="AD26" i="173"/>
  <c r="AE26" i="173"/>
  <c r="S27" i="173"/>
  <c r="T27" i="173"/>
  <c r="U27" i="173"/>
  <c r="W27" i="173"/>
  <c r="X27" i="173"/>
  <c r="Z27" i="173"/>
  <c r="AA27" i="173"/>
  <c r="AB27" i="173"/>
  <c r="AD27" i="173"/>
  <c r="AE27" i="173"/>
  <c r="S28" i="173"/>
  <c r="T28" i="173"/>
  <c r="U28" i="173"/>
  <c r="W28" i="173"/>
  <c r="X28" i="173"/>
  <c r="Z28" i="173"/>
  <c r="AA28" i="173"/>
  <c r="AB28" i="173"/>
  <c r="AD28" i="173"/>
  <c r="AE28" i="173"/>
  <c r="S29" i="173"/>
  <c r="T29" i="173"/>
  <c r="U29" i="173"/>
  <c r="W29" i="173"/>
  <c r="X29" i="173"/>
  <c r="Z29" i="173"/>
  <c r="AA29" i="173"/>
  <c r="AB29" i="173"/>
  <c r="AD29" i="173"/>
  <c r="AE29" i="173"/>
  <c r="S30" i="173"/>
  <c r="T30" i="173"/>
  <c r="U30" i="173"/>
  <c r="W30" i="173"/>
  <c r="X30" i="173"/>
  <c r="Z30" i="173"/>
  <c r="AA30" i="173"/>
  <c r="AB30" i="173"/>
  <c r="AD30" i="173"/>
  <c r="AE30" i="173"/>
  <c r="S31" i="173"/>
  <c r="T31" i="173"/>
  <c r="U31" i="173"/>
  <c r="W31" i="173"/>
  <c r="X31" i="173"/>
  <c r="Z31" i="173"/>
  <c r="AA31" i="173"/>
  <c r="AB31" i="173"/>
  <c r="AD31" i="173"/>
  <c r="AE31" i="173"/>
  <c r="S32" i="173"/>
  <c r="T32" i="173"/>
  <c r="U32" i="173"/>
  <c r="W32" i="173"/>
  <c r="X32" i="173"/>
  <c r="Z32" i="173"/>
  <c r="AA32" i="173"/>
  <c r="AB32" i="173"/>
  <c r="AD32" i="173"/>
  <c r="AE32" i="173"/>
  <c r="S33" i="173"/>
  <c r="T33" i="173"/>
  <c r="U33" i="173"/>
  <c r="W33" i="173"/>
  <c r="X33" i="173"/>
  <c r="Z33" i="173"/>
  <c r="AA33" i="173"/>
  <c r="AB33" i="173"/>
  <c r="AD33" i="173"/>
  <c r="AE33" i="173"/>
  <c r="S34" i="173"/>
  <c r="T34" i="173"/>
  <c r="U34" i="173"/>
  <c r="W34" i="173"/>
  <c r="X34" i="173"/>
  <c r="Z34" i="173"/>
  <c r="AA34" i="173"/>
  <c r="AB34" i="173"/>
  <c r="AD34" i="173"/>
  <c r="AE34" i="173"/>
  <c r="S35" i="173"/>
  <c r="T35" i="173"/>
  <c r="U35" i="173"/>
  <c r="W35" i="173"/>
  <c r="X35" i="173"/>
  <c r="Z35" i="173"/>
  <c r="AA35" i="173"/>
  <c r="AB35" i="173"/>
  <c r="AD35" i="173"/>
  <c r="AE35" i="173"/>
  <c r="S36" i="173"/>
  <c r="T36" i="173"/>
  <c r="U36" i="173"/>
  <c r="W36" i="173"/>
  <c r="X36" i="173"/>
  <c r="Z36" i="173"/>
  <c r="AA36" i="173"/>
  <c r="AB36" i="173"/>
  <c r="AD36" i="173"/>
  <c r="AE36" i="173"/>
  <c r="S37" i="173"/>
  <c r="T37" i="173"/>
  <c r="U37" i="173"/>
  <c r="W37" i="173"/>
  <c r="X37" i="173"/>
  <c r="Z37" i="173"/>
  <c r="AA37" i="173"/>
  <c r="AB37" i="173"/>
  <c r="AD37" i="173"/>
  <c r="AE37" i="173"/>
  <c r="S38" i="173"/>
  <c r="T38" i="173"/>
  <c r="U38" i="173"/>
  <c r="W38" i="173"/>
  <c r="X38" i="173"/>
  <c r="Z38" i="173"/>
  <c r="AA38" i="173"/>
  <c r="AB38" i="173"/>
  <c r="AD38" i="173"/>
  <c r="AE38" i="173"/>
  <c r="S39" i="173"/>
  <c r="T39" i="173"/>
  <c r="U39" i="173"/>
  <c r="W39" i="173"/>
  <c r="X39" i="173"/>
  <c r="Z39" i="173"/>
  <c r="AA39" i="173"/>
  <c r="AB39" i="173"/>
  <c r="AD39" i="173"/>
  <c r="AE39" i="173"/>
  <c r="S40" i="173"/>
  <c r="T40" i="173"/>
  <c r="U40" i="173"/>
  <c r="W40" i="173"/>
  <c r="X40" i="173"/>
  <c r="Z40" i="173"/>
  <c r="AA40" i="173"/>
  <c r="AB40" i="173"/>
  <c r="AD40" i="173"/>
  <c r="AE40" i="173"/>
  <c r="S41" i="173"/>
  <c r="T41" i="173"/>
  <c r="U41" i="173"/>
  <c r="W41" i="173"/>
  <c r="X41" i="173"/>
  <c r="Z41" i="173"/>
  <c r="AA41" i="173"/>
  <c r="AB41" i="173"/>
  <c r="AD41" i="173"/>
  <c r="AE41" i="173"/>
  <c r="S42" i="173"/>
  <c r="T42" i="173"/>
  <c r="U42" i="173"/>
  <c r="W42" i="173"/>
  <c r="X42" i="173"/>
  <c r="Z42" i="173"/>
  <c r="AA42" i="173"/>
  <c r="AB42" i="173"/>
  <c r="AD42" i="173"/>
  <c r="AE42" i="173"/>
  <c r="B2" i="156"/>
  <c r="G4" i="156"/>
  <c r="C7" i="156"/>
  <c r="C23" i="156"/>
  <c r="G23" i="156" s="1"/>
  <c r="C24" i="156"/>
  <c r="G24" i="156" s="1"/>
  <c r="C29" i="156"/>
  <c r="F29" i="156" s="1"/>
  <c r="G33" i="156"/>
  <c r="F36" i="156"/>
  <c r="G36" i="156"/>
  <c r="F37" i="156"/>
  <c r="G37" i="156"/>
  <c r="F38" i="156"/>
  <c r="G38" i="156"/>
  <c r="F39" i="156"/>
  <c r="G39" i="156"/>
  <c r="F40" i="156"/>
  <c r="G40" i="156"/>
  <c r="F41" i="156"/>
  <c r="G41" i="156"/>
  <c r="F42" i="156"/>
  <c r="G42" i="156"/>
  <c r="F45" i="156"/>
  <c r="G45" i="156"/>
  <c r="F46" i="156"/>
  <c r="G46" i="156"/>
  <c r="F47" i="156"/>
  <c r="G47" i="156"/>
  <c r="F48" i="156"/>
  <c r="G48" i="156"/>
  <c r="F49" i="156"/>
  <c r="G49" i="156"/>
  <c r="F50" i="156"/>
  <c r="G50" i="156"/>
  <c r="F51" i="156"/>
  <c r="G51" i="156"/>
  <c r="F54" i="156"/>
  <c r="G54" i="156"/>
  <c r="F55" i="156"/>
  <c r="G55" i="156"/>
  <c r="F56" i="156"/>
  <c r="G56" i="156"/>
  <c r="F57" i="156"/>
  <c r="G57" i="156"/>
  <c r="F58" i="156"/>
  <c r="G58" i="156"/>
  <c r="F59" i="156"/>
  <c r="G59" i="156"/>
  <c r="F60" i="156"/>
  <c r="G60" i="156"/>
  <c r="F65" i="156"/>
  <c r="G65" i="156"/>
  <c r="F66" i="156"/>
  <c r="G66" i="156"/>
  <c r="F67" i="156"/>
  <c r="G67" i="156"/>
  <c r="F68" i="156"/>
  <c r="G68" i="156"/>
  <c r="F69" i="156"/>
  <c r="G69" i="156"/>
  <c r="F70" i="156"/>
  <c r="G70" i="156"/>
  <c r="F71" i="156"/>
  <c r="G71" i="156"/>
  <c r="C74" i="156"/>
  <c r="F74" i="156" s="1"/>
  <c r="C75" i="156"/>
  <c r="G75" i="156" s="1"/>
  <c r="F76" i="156"/>
  <c r="G76" i="156"/>
  <c r="F77" i="156"/>
  <c r="G77" i="156"/>
  <c r="F78" i="156"/>
  <c r="G78" i="156"/>
  <c r="F79" i="156"/>
  <c r="G79" i="156"/>
  <c r="F80" i="156"/>
  <c r="G80" i="156"/>
  <c r="C83" i="156"/>
  <c r="F83" i="156" s="1"/>
  <c r="C84" i="156"/>
  <c r="G84" i="156" s="1"/>
  <c r="C85" i="156"/>
  <c r="F85" i="156" s="1"/>
  <c r="C86" i="156"/>
  <c r="F86" i="156" s="1"/>
  <c r="F87" i="156"/>
  <c r="G87" i="156"/>
  <c r="F88" i="156"/>
  <c r="G88" i="156"/>
  <c r="F89" i="156"/>
  <c r="G89" i="156"/>
  <c r="G92" i="156"/>
  <c r="C98" i="156"/>
  <c r="F98" i="156" s="1"/>
  <c r="G101" i="156"/>
  <c r="C102" i="156"/>
  <c r="F102" i="156" s="1"/>
  <c r="C105" i="156"/>
  <c r="G105" i="156" s="1"/>
  <c r="C106" i="156"/>
  <c r="G106" i="156" s="1"/>
  <c r="C107" i="156"/>
  <c r="G107" i="156" s="1"/>
  <c r="C108" i="156"/>
  <c r="G108" i="156" s="1"/>
  <c r="F119" i="156"/>
  <c r="G119" i="156"/>
  <c r="F120" i="156"/>
  <c r="G120" i="156"/>
  <c r="F121" i="156"/>
  <c r="G121" i="156"/>
  <c r="F122" i="156"/>
  <c r="G122" i="156"/>
  <c r="F123" i="156"/>
  <c r="G123" i="156"/>
  <c r="F126" i="156"/>
  <c r="G126" i="156"/>
  <c r="F127" i="156"/>
  <c r="G127" i="156"/>
  <c r="F128" i="156"/>
  <c r="G128" i="156"/>
  <c r="F129" i="156"/>
  <c r="G129" i="156"/>
  <c r="F130" i="156"/>
  <c r="G130" i="156"/>
  <c r="F131" i="156"/>
  <c r="G131" i="156"/>
  <c r="F132" i="156"/>
  <c r="G132" i="156"/>
  <c r="F133" i="156"/>
  <c r="G133" i="156"/>
  <c r="F134" i="156"/>
  <c r="G134" i="156"/>
  <c r="F135" i="156"/>
  <c r="G135" i="156"/>
  <c r="F136" i="156"/>
  <c r="G136" i="156"/>
  <c r="F137" i="156"/>
  <c r="G137" i="156"/>
  <c r="F138" i="156"/>
  <c r="G138" i="156"/>
  <c r="F139" i="156"/>
  <c r="G139" i="156"/>
  <c r="F142" i="156"/>
  <c r="G142" i="156"/>
  <c r="F143" i="156"/>
  <c r="G143" i="156"/>
  <c r="F144" i="156"/>
  <c r="G144" i="156"/>
  <c r="F145" i="156"/>
  <c r="G145" i="156"/>
  <c r="F146" i="156"/>
  <c r="G146" i="156"/>
  <c r="F147" i="156"/>
  <c r="G147" i="156"/>
  <c r="F148" i="156"/>
  <c r="G148" i="156"/>
  <c r="F149" i="156"/>
  <c r="G149" i="156"/>
  <c r="F150" i="156"/>
  <c r="G150" i="156"/>
  <c r="F151" i="156"/>
  <c r="G151" i="156"/>
  <c r="F152" i="156"/>
  <c r="G152" i="156"/>
  <c r="F153" i="156"/>
  <c r="G153" i="156"/>
  <c r="F154" i="156"/>
  <c r="G154" i="156"/>
  <c r="F155" i="156"/>
  <c r="G155" i="156"/>
  <c r="F160" i="156"/>
  <c r="G160" i="156"/>
  <c r="F161" i="156"/>
  <c r="G161" i="156"/>
  <c r="F162" i="156"/>
  <c r="G162" i="156"/>
  <c r="F163" i="156"/>
  <c r="G163" i="156"/>
  <c r="F164" i="156"/>
  <c r="G164" i="156"/>
  <c r="F165" i="156"/>
  <c r="G165" i="156"/>
  <c r="B2" i="189"/>
  <c r="G28" i="189"/>
  <c r="B2" i="185"/>
  <c r="AD2" i="185"/>
  <c r="D7" i="156" s="1"/>
  <c r="AG2" i="185"/>
  <c r="N7" i="185" s="1"/>
  <c r="AD3" i="185"/>
  <c r="AG3" i="185" s="1"/>
  <c r="Z4" i="185"/>
  <c r="AD4" i="185"/>
  <c r="AG4" i="185" s="1"/>
  <c r="AD5" i="185"/>
  <c r="AG5" i="185" s="1"/>
  <c r="B11" i="185"/>
  <c r="D11" i="185"/>
  <c r="E11" i="185"/>
  <c r="F11" i="185"/>
  <c r="G11" i="185"/>
  <c r="H11" i="185"/>
  <c r="K11" i="185"/>
  <c r="N11" i="185"/>
  <c r="X11" i="185" s="1"/>
  <c r="O11" i="185"/>
  <c r="P11" i="185"/>
  <c r="Q11" i="185"/>
  <c r="R11" i="185"/>
  <c r="U11" i="185"/>
  <c r="AD11" i="185"/>
  <c r="B12" i="185"/>
  <c r="D12" i="185"/>
  <c r="E12" i="185"/>
  <c r="F12" i="185"/>
  <c r="G12" i="185"/>
  <c r="H12" i="185"/>
  <c r="K12" i="185"/>
  <c r="N12" i="185"/>
  <c r="O12" i="185"/>
  <c r="Y12" i="185" s="1"/>
  <c r="P12" i="185"/>
  <c r="Q12" i="185"/>
  <c r="R12" i="185"/>
  <c r="U12" i="185"/>
  <c r="AD12" i="185"/>
  <c r="B13" i="185"/>
  <c r="D13" i="185"/>
  <c r="E13" i="185"/>
  <c r="F13" i="185"/>
  <c r="G13" i="185"/>
  <c r="H13" i="185"/>
  <c r="K13" i="185"/>
  <c r="N13" i="185"/>
  <c r="O13" i="185"/>
  <c r="P13" i="185"/>
  <c r="Q13" i="185"/>
  <c r="R13" i="185"/>
  <c r="U13" i="185"/>
  <c r="AD13" i="185"/>
  <c r="B14" i="185"/>
  <c r="D14" i="185"/>
  <c r="E14" i="185"/>
  <c r="F14" i="185"/>
  <c r="G14" i="185"/>
  <c r="H14" i="185"/>
  <c r="K14" i="185"/>
  <c r="N14" i="185"/>
  <c r="O14" i="185"/>
  <c r="P14" i="185"/>
  <c r="Q14" i="185"/>
  <c r="R14" i="185"/>
  <c r="U14" i="185"/>
  <c r="AD14" i="185"/>
  <c r="B15" i="185"/>
  <c r="D15" i="185"/>
  <c r="E15" i="185"/>
  <c r="F15" i="185"/>
  <c r="G15" i="185"/>
  <c r="H15" i="185"/>
  <c r="K15" i="185"/>
  <c r="N15" i="185"/>
  <c r="O15" i="185"/>
  <c r="P15" i="185"/>
  <c r="Q15" i="185"/>
  <c r="R15" i="185"/>
  <c r="U15" i="185"/>
  <c r="AD15" i="185"/>
  <c r="B16" i="185"/>
  <c r="D16" i="185"/>
  <c r="E16" i="185"/>
  <c r="F16" i="185"/>
  <c r="G16" i="185"/>
  <c r="H16" i="185"/>
  <c r="K16" i="185"/>
  <c r="N16" i="185"/>
  <c r="O16" i="185"/>
  <c r="Y16" i="185" s="1"/>
  <c r="P16" i="185"/>
  <c r="Q16" i="185"/>
  <c r="R16" i="185"/>
  <c r="U16" i="185"/>
  <c r="AD16" i="185"/>
  <c r="B17" i="185"/>
  <c r="D17" i="185"/>
  <c r="E17" i="185"/>
  <c r="F17" i="185"/>
  <c r="G17" i="185"/>
  <c r="H17" i="185"/>
  <c r="K17" i="185"/>
  <c r="N17" i="185"/>
  <c r="O17" i="185"/>
  <c r="P17" i="185"/>
  <c r="Q17" i="185"/>
  <c r="R17" i="185"/>
  <c r="U17" i="185"/>
  <c r="AD17" i="185"/>
  <c r="B18" i="185"/>
  <c r="D18" i="185"/>
  <c r="E18" i="185"/>
  <c r="F18" i="185"/>
  <c r="G18" i="185"/>
  <c r="H18" i="185"/>
  <c r="K18" i="185"/>
  <c r="N18" i="185"/>
  <c r="O18" i="185"/>
  <c r="P18" i="185"/>
  <c r="Q18" i="185"/>
  <c r="R18" i="185"/>
  <c r="U18" i="185"/>
  <c r="AD18" i="185"/>
  <c r="B19" i="185"/>
  <c r="D19" i="185"/>
  <c r="E19" i="185"/>
  <c r="F19" i="185"/>
  <c r="G19" i="185"/>
  <c r="H19" i="185"/>
  <c r="K19" i="185"/>
  <c r="N19" i="185"/>
  <c r="O19" i="185"/>
  <c r="P19" i="185"/>
  <c r="Q19" i="185"/>
  <c r="R19" i="185"/>
  <c r="U19" i="185"/>
  <c r="AD19" i="185"/>
  <c r="B20" i="185"/>
  <c r="D20" i="185"/>
  <c r="E20" i="185"/>
  <c r="F20" i="185"/>
  <c r="G20" i="185"/>
  <c r="H20" i="185"/>
  <c r="K20" i="185"/>
  <c r="N20" i="185"/>
  <c r="O20" i="185"/>
  <c r="P20" i="185"/>
  <c r="Q20" i="185"/>
  <c r="R20" i="185"/>
  <c r="U20" i="185"/>
  <c r="AD20" i="185"/>
  <c r="B21" i="185"/>
  <c r="D21" i="185"/>
  <c r="E21" i="185"/>
  <c r="F21" i="185"/>
  <c r="G21" i="185"/>
  <c r="H21" i="185"/>
  <c r="K21" i="185"/>
  <c r="N21" i="185"/>
  <c r="O21" i="185"/>
  <c r="P21" i="185"/>
  <c r="Q21" i="185"/>
  <c r="R21" i="185"/>
  <c r="U21" i="185"/>
  <c r="AD21" i="185"/>
  <c r="B22" i="185"/>
  <c r="D22" i="185"/>
  <c r="E22" i="185"/>
  <c r="F22" i="185"/>
  <c r="G22" i="185"/>
  <c r="G46" i="185" s="1"/>
  <c r="H22" i="185"/>
  <c r="K22" i="185"/>
  <c r="N22" i="185"/>
  <c r="O22" i="185"/>
  <c r="P22" i="185"/>
  <c r="Q22" i="185"/>
  <c r="R22" i="185"/>
  <c r="U22" i="185"/>
  <c r="AD22" i="185"/>
  <c r="B23" i="185"/>
  <c r="D23" i="185"/>
  <c r="E23" i="185"/>
  <c r="E43" i="185" s="1"/>
  <c r="F23" i="185"/>
  <c r="G23" i="185"/>
  <c r="H23" i="185"/>
  <c r="K23" i="185"/>
  <c r="N23" i="185"/>
  <c r="X23" i="185" s="1"/>
  <c r="O23" i="185"/>
  <c r="P23" i="185"/>
  <c r="Q23" i="185"/>
  <c r="R23" i="185"/>
  <c r="U23" i="185"/>
  <c r="AD23" i="185"/>
  <c r="B24" i="185"/>
  <c r="D24" i="185"/>
  <c r="E24" i="185"/>
  <c r="F24" i="185"/>
  <c r="G24" i="185"/>
  <c r="H24" i="185"/>
  <c r="K24" i="185"/>
  <c r="N24" i="185"/>
  <c r="O24" i="185"/>
  <c r="P24" i="185"/>
  <c r="Q24" i="185"/>
  <c r="R24" i="185"/>
  <c r="U24" i="185"/>
  <c r="AD24" i="185"/>
  <c r="B25" i="185"/>
  <c r="D25" i="185"/>
  <c r="E25" i="185"/>
  <c r="F25" i="185"/>
  <c r="G25" i="185"/>
  <c r="H25" i="185"/>
  <c r="K25" i="185"/>
  <c r="N25" i="185"/>
  <c r="O25" i="185"/>
  <c r="P25" i="185"/>
  <c r="Q25" i="185"/>
  <c r="R25" i="185"/>
  <c r="U25" i="185"/>
  <c r="AD25" i="185"/>
  <c r="B26" i="185"/>
  <c r="D26" i="185"/>
  <c r="E26" i="185"/>
  <c r="F26" i="185"/>
  <c r="G26" i="185"/>
  <c r="H26" i="185"/>
  <c r="K26" i="185"/>
  <c r="N26" i="185"/>
  <c r="X26" i="185" s="1"/>
  <c r="O26" i="185"/>
  <c r="P26" i="185"/>
  <c r="Q26" i="185"/>
  <c r="R26" i="185"/>
  <c r="U26" i="185"/>
  <c r="AD26" i="185"/>
  <c r="B27" i="185"/>
  <c r="D27" i="185"/>
  <c r="E27" i="185"/>
  <c r="F27" i="185"/>
  <c r="G27" i="185"/>
  <c r="H27" i="185"/>
  <c r="K27" i="185"/>
  <c r="N27" i="185"/>
  <c r="O27" i="185"/>
  <c r="P27" i="185"/>
  <c r="Q27" i="185"/>
  <c r="R27" i="185"/>
  <c r="U27" i="185"/>
  <c r="AD27" i="185"/>
  <c r="B28" i="185"/>
  <c r="D28" i="185"/>
  <c r="E28" i="185"/>
  <c r="F28" i="185"/>
  <c r="G28" i="185"/>
  <c r="H28" i="185"/>
  <c r="K28" i="185"/>
  <c r="N28" i="185"/>
  <c r="X28" i="185" s="1"/>
  <c r="O28" i="185"/>
  <c r="P28" i="185"/>
  <c r="Q28" i="185"/>
  <c r="R28" i="185"/>
  <c r="U28" i="185"/>
  <c r="AD28" i="185"/>
  <c r="B29" i="185"/>
  <c r="D29" i="185"/>
  <c r="E29" i="185"/>
  <c r="F29" i="185"/>
  <c r="G29" i="185"/>
  <c r="H29" i="185"/>
  <c r="J29" i="185" s="1"/>
  <c r="L29" i="185" s="1"/>
  <c r="K29" i="185"/>
  <c r="N29" i="185"/>
  <c r="O29" i="185"/>
  <c r="P29" i="185"/>
  <c r="S29" i="185" s="1"/>
  <c r="Q29" i="185"/>
  <c r="R29" i="185"/>
  <c r="U29" i="185"/>
  <c r="AD29" i="185"/>
  <c r="B30" i="185"/>
  <c r="D30" i="185"/>
  <c r="E30" i="185"/>
  <c r="F30" i="185"/>
  <c r="I30" i="185" s="1"/>
  <c r="G30" i="185"/>
  <c r="H30" i="185"/>
  <c r="K30" i="185"/>
  <c r="N30" i="185"/>
  <c r="O30" i="185"/>
  <c r="P30" i="185"/>
  <c r="Q30" i="185"/>
  <c r="R30" i="185"/>
  <c r="U30" i="185"/>
  <c r="AD30" i="185"/>
  <c r="B31" i="185"/>
  <c r="D31" i="185"/>
  <c r="E31" i="185"/>
  <c r="F31" i="185"/>
  <c r="G31" i="185"/>
  <c r="H31" i="185"/>
  <c r="K31" i="185"/>
  <c r="N31" i="185"/>
  <c r="X31" i="185" s="1"/>
  <c r="O31" i="185"/>
  <c r="P31" i="185"/>
  <c r="Q31" i="185"/>
  <c r="R31" i="185"/>
  <c r="U31" i="185"/>
  <c r="AD31" i="185"/>
  <c r="B32" i="185"/>
  <c r="D32" i="185"/>
  <c r="E32" i="185"/>
  <c r="F32" i="185"/>
  <c r="G32" i="185"/>
  <c r="H32" i="185"/>
  <c r="K32" i="185"/>
  <c r="N32" i="185"/>
  <c r="O32" i="185"/>
  <c r="P32" i="185"/>
  <c r="Q32" i="185"/>
  <c r="R32" i="185"/>
  <c r="U32" i="185"/>
  <c r="AD32" i="185"/>
  <c r="B33" i="185"/>
  <c r="D33" i="185"/>
  <c r="E33" i="185"/>
  <c r="F33" i="185"/>
  <c r="G33" i="185"/>
  <c r="H33" i="185"/>
  <c r="K33" i="185"/>
  <c r="N33" i="185"/>
  <c r="O33" i="185"/>
  <c r="P33" i="185"/>
  <c r="Q33" i="185"/>
  <c r="R33" i="185"/>
  <c r="U33" i="185"/>
  <c r="AD33" i="185"/>
  <c r="B34" i="185"/>
  <c r="D34" i="185"/>
  <c r="E34" i="185"/>
  <c r="F34" i="185"/>
  <c r="G34" i="185"/>
  <c r="H34" i="185"/>
  <c r="J34" i="185"/>
  <c r="L34" i="185" s="1"/>
  <c r="K34" i="185"/>
  <c r="N34" i="185"/>
  <c r="O34" i="185"/>
  <c r="P34" i="185"/>
  <c r="S34" i="185" s="1"/>
  <c r="Q34" i="185"/>
  <c r="R34" i="185"/>
  <c r="U34" i="185"/>
  <c r="AD34" i="185"/>
  <c r="B35" i="185"/>
  <c r="D35" i="185"/>
  <c r="E35" i="185"/>
  <c r="F35" i="185"/>
  <c r="I35" i="185" s="1"/>
  <c r="G35" i="185"/>
  <c r="H35" i="185"/>
  <c r="K35" i="185"/>
  <c r="N35" i="185"/>
  <c r="X35" i="185" s="1"/>
  <c r="O35" i="185"/>
  <c r="P35" i="185"/>
  <c r="Q35" i="185"/>
  <c r="R35" i="185"/>
  <c r="U35" i="185"/>
  <c r="AD35" i="185"/>
  <c r="B36" i="185"/>
  <c r="D36" i="185"/>
  <c r="E36" i="185"/>
  <c r="F36" i="185"/>
  <c r="G36" i="185"/>
  <c r="H36" i="185"/>
  <c r="K36" i="185"/>
  <c r="N36" i="185"/>
  <c r="O36" i="185"/>
  <c r="P36" i="185"/>
  <c r="Q36" i="185"/>
  <c r="R36" i="185"/>
  <c r="U36" i="185"/>
  <c r="AD36" i="185"/>
  <c r="B37" i="185"/>
  <c r="D37" i="185"/>
  <c r="E37" i="185"/>
  <c r="F37" i="185"/>
  <c r="G37" i="185"/>
  <c r="H37" i="185"/>
  <c r="K37" i="185"/>
  <c r="N37" i="185"/>
  <c r="O37" i="185"/>
  <c r="P37" i="185"/>
  <c r="Q37" i="185"/>
  <c r="R37" i="185"/>
  <c r="U37" i="185"/>
  <c r="AD37" i="185"/>
  <c r="B38" i="185"/>
  <c r="D38" i="185"/>
  <c r="E38" i="185"/>
  <c r="F38" i="185"/>
  <c r="G38" i="185"/>
  <c r="H38" i="185"/>
  <c r="K38" i="185"/>
  <c r="N38" i="185"/>
  <c r="O38" i="185"/>
  <c r="P38" i="185"/>
  <c r="Q38" i="185"/>
  <c r="R38" i="185"/>
  <c r="U38" i="185"/>
  <c r="AD38" i="185"/>
  <c r="B39" i="185"/>
  <c r="D39" i="185"/>
  <c r="E39" i="185"/>
  <c r="F39" i="185"/>
  <c r="G39" i="185"/>
  <c r="H39" i="185"/>
  <c r="K39" i="185"/>
  <c r="N39" i="185"/>
  <c r="O39" i="185"/>
  <c r="P39" i="185"/>
  <c r="Q39" i="185"/>
  <c r="R39" i="185"/>
  <c r="U39" i="185"/>
  <c r="AD39" i="185"/>
  <c r="B40" i="185"/>
  <c r="D40" i="185"/>
  <c r="E40" i="185"/>
  <c r="F40" i="185"/>
  <c r="G40" i="185"/>
  <c r="H40" i="185"/>
  <c r="K40" i="185"/>
  <c r="N40" i="185"/>
  <c r="O40" i="185"/>
  <c r="P40" i="185"/>
  <c r="Q40" i="185"/>
  <c r="R40" i="185"/>
  <c r="U40" i="185"/>
  <c r="AD40" i="185"/>
  <c r="U44" i="185"/>
  <c r="H47" i="185"/>
  <c r="B2" i="245"/>
  <c r="B2" i="244"/>
  <c r="B48" i="244" s="1"/>
  <c r="B50" i="244" s="1"/>
  <c r="Y50" i="244" s="1"/>
  <c r="AB42" i="244" s="1"/>
  <c r="AB3" i="244"/>
  <c r="Y4" i="244"/>
  <c r="AB4" i="244"/>
  <c r="AB5" i="244"/>
  <c r="N6" i="244"/>
  <c r="Q6" i="244" s="1"/>
  <c r="M10" i="244"/>
  <c r="M11" i="244"/>
  <c r="M12" i="244"/>
  <c r="M13" i="244"/>
  <c r="M14" i="244"/>
  <c r="M15" i="244"/>
  <c r="M16" i="244"/>
  <c r="M17" i="244"/>
  <c r="M18" i="244"/>
  <c r="M19" i="244"/>
  <c r="M20" i="244"/>
  <c r="M21" i="244"/>
  <c r="M22" i="244"/>
  <c r="M23" i="244"/>
  <c r="M24" i="244"/>
  <c r="M25" i="244"/>
  <c r="M26" i="244"/>
  <c r="M27" i="244"/>
  <c r="M28" i="244"/>
  <c r="M29" i="244"/>
  <c r="M30" i="244"/>
  <c r="M31" i="244"/>
  <c r="M32" i="244"/>
  <c r="M33" i="244"/>
  <c r="M34" i="244"/>
  <c r="M35" i="244"/>
  <c r="M36" i="244"/>
  <c r="M37" i="244"/>
  <c r="M38" i="244"/>
  <c r="M39" i="244"/>
  <c r="M48" i="244"/>
  <c r="M50" i="244" s="1"/>
  <c r="S48" i="244"/>
  <c r="S50" i="244"/>
  <c r="B2" i="243"/>
  <c r="D9" i="243"/>
  <c r="D25" i="243" s="1"/>
  <c r="D36" i="243" s="1"/>
  <c r="E9" i="243"/>
  <c r="E25" i="243" s="1"/>
  <c r="E36" i="243" s="1"/>
  <c r="F9" i="243"/>
  <c r="F25" i="243" s="1"/>
  <c r="F36" i="243" s="1"/>
  <c r="G9" i="243"/>
  <c r="H9" i="243"/>
  <c r="H25" i="243" s="1"/>
  <c r="H36" i="243" s="1"/>
  <c r="I9" i="243"/>
  <c r="I25" i="243" s="1"/>
  <c r="I36" i="243" s="1"/>
  <c r="J9" i="243"/>
  <c r="J25" i="243" s="1"/>
  <c r="J36" i="243" s="1"/>
  <c r="K9" i="243"/>
  <c r="K25" i="243" s="1"/>
  <c r="K36" i="243" s="1"/>
  <c r="K21" i="243"/>
  <c r="G25" i="243"/>
  <c r="G36" i="243" s="1"/>
  <c r="K34" i="243"/>
  <c r="D37" i="243"/>
  <c r="E37" i="243"/>
  <c r="F37" i="243"/>
  <c r="G37" i="243"/>
  <c r="H37" i="243"/>
  <c r="I37" i="243"/>
  <c r="J37" i="243"/>
  <c r="K37" i="243"/>
  <c r="D38" i="243"/>
  <c r="E38" i="243"/>
  <c r="F38" i="243"/>
  <c r="G38" i="243"/>
  <c r="H38" i="243"/>
  <c r="I38" i="243"/>
  <c r="J38" i="243"/>
  <c r="K38" i="243"/>
  <c r="D39" i="243"/>
  <c r="E39" i="243"/>
  <c r="F39" i="243"/>
  <c r="G39" i="243"/>
  <c r="H39" i="243"/>
  <c r="I39" i="243"/>
  <c r="J39" i="243"/>
  <c r="K39" i="243"/>
  <c r="B2" i="242"/>
  <c r="L4" i="242"/>
  <c r="F23" i="242"/>
  <c r="B2" i="241"/>
  <c r="S4" i="241"/>
  <c r="D9" i="241"/>
  <c r="D21" i="236" s="1"/>
  <c r="D11" i="241"/>
  <c r="D7" i="245" s="1"/>
  <c r="E15" i="241"/>
  <c r="E92" i="241" s="1"/>
  <c r="W18" i="241"/>
  <c r="B19" i="241"/>
  <c r="B26" i="241" s="1"/>
  <c r="B20" i="241"/>
  <c r="B56" i="241" s="1"/>
  <c r="B21" i="241"/>
  <c r="B57" i="241" s="1"/>
  <c r="B22" i="241"/>
  <c r="B58" i="241" s="1"/>
  <c r="B23" i="241"/>
  <c r="B24" i="241"/>
  <c r="B60" i="241" s="1"/>
  <c r="B25" i="241"/>
  <c r="B61" i="241" s="1"/>
  <c r="B29" i="241"/>
  <c r="B31" i="241"/>
  <c r="I34" i="241"/>
  <c r="J34" i="241"/>
  <c r="K34" i="241"/>
  <c r="L34" i="241"/>
  <c r="M34" i="241"/>
  <c r="N34" i="241"/>
  <c r="O34" i="241"/>
  <c r="P34" i="241"/>
  <c r="Q34" i="241"/>
  <c r="R34" i="241"/>
  <c r="S34" i="241"/>
  <c r="W36" i="241"/>
  <c r="B37" i="241"/>
  <c r="B44" i="241" s="1"/>
  <c r="B38" i="241"/>
  <c r="B45" i="241" s="1"/>
  <c r="B39" i="241"/>
  <c r="B46" i="241" s="1"/>
  <c r="B40" i="241"/>
  <c r="B47" i="241" s="1"/>
  <c r="B41" i="241"/>
  <c r="B48" i="241" s="1"/>
  <c r="B42" i="241"/>
  <c r="B49" i="241" s="1"/>
  <c r="B43" i="241"/>
  <c r="B50" i="241" s="1"/>
  <c r="D52" i="241"/>
  <c r="E52" i="241"/>
  <c r="F52" i="241"/>
  <c r="G52" i="241"/>
  <c r="H52" i="241"/>
  <c r="I52" i="241"/>
  <c r="J52" i="241"/>
  <c r="K52" i="241"/>
  <c r="L52" i="241"/>
  <c r="M52" i="241"/>
  <c r="N52" i="241"/>
  <c r="O52" i="241"/>
  <c r="P52" i="241"/>
  <c r="Q52" i="241"/>
  <c r="R52" i="241"/>
  <c r="S52" i="241"/>
  <c r="W54" i="241"/>
  <c r="Y62" i="241"/>
  <c r="Y63" i="241"/>
  <c r="Y64" i="241"/>
  <c r="Y65" i="241"/>
  <c r="Y66" i="241"/>
  <c r="Y67" i="241"/>
  <c r="Y68" i="241"/>
  <c r="W69" i="241"/>
  <c r="Y69" i="241"/>
  <c r="W70" i="241"/>
  <c r="Y70" i="241"/>
  <c r="W71" i="241"/>
  <c r="Y71" i="241"/>
  <c r="W72" i="241"/>
  <c r="Y72" i="241"/>
  <c r="W73" i="241"/>
  <c r="Y73" i="241"/>
  <c r="W74" i="241"/>
  <c r="Y74" i="241"/>
  <c r="W75" i="241"/>
  <c r="Y75" i="241"/>
  <c r="W76" i="241"/>
  <c r="Y76" i="241"/>
  <c r="W77" i="241"/>
  <c r="Y77" i="241"/>
  <c r="B78" i="241"/>
  <c r="B38" i="245" s="1"/>
  <c r="W78" i="241"/>
  <c r="B79" i="241"/>
  <c r="B39" i="245" s="1"/>
  <c r="D81" i="241"/>
  <c r="E81" i="241"/>
  <c r="F81" i="241"/>
  <c r="G81" i="241"/>
  <c r="H81" i="241"/>
  <c r="I81" i="241"/>
  <c r="J81" i="241"/>
  <c r="K81" i="241"/>
  <c r="L81" i="241"/>
  <c r="M81" i="241"/>
  <c r="N81" i="241"/>
  <c r="O81" i="241"/>
  <c r="P81" i="241"/>
  <c r="Q81" i="241"/>
  <c r="R81" i="241"/>
  <c r="S81" i="241"/>
  <c r="D85" i="241"/>
  <c r="E85" i="241"/>
  <c r="F85" i="241"/>
  <c r="G85" i="241"/>
  <c r="H85" i="241"/>
  <c r="I85" i="241"/>
  <c r="J85" i="241"/>
  <c r="K85" i="241"/>
  <c r="L85" i="241"/>
  <c r="M85" i="241"/>
  <c r="N85" i="241"/>
  <c r="O85" i="241"/>
  <c r="P85" i="241"/>
  <c r="Q85" i="241"/>
  <c r="R85" i="241"/>
  <c r="S85" i="241"/>
  <c r="D92" i="241"/>
  <c r="S95" i="241"/>
  <c r="S101" i="241" s="1"/>
  <c r="D108" i="241"/>
  <c r="E108" i="241"/>
  <c r="D138" i="241"/>
  <c r="E138" i="241"/>
  <c r="F138" i="241"/>
  <c r="G138" i="241"/>
  <c r="H138" i="241"/>
  <c r="I138" i="241"/>
  <c r="J138" i="241"/>
  <c r="K138" i="241"/>
  <c r="L138" i="241"/>
  <c r="M138" i="241"/>
  <c r="N138" i="241"/>
  <c r="O138" i="241"/>
  <c r="P138" i="241"/>
  <c r="Q138" i="241"/>
  <c r="R138" i="241"/>
  <c r="S138" i="241"/>
  <c r="D170" i="241"/>
  <c r="D204" i="241" s="1"/>
  <c r="D233" i="241" s="1"/>
  <c r="E170" i="241"/>
  <c r="E204" i="241" s="1"/>
  <c r="E233" i="241" s="1"/>
  <c r="B26" i="242"/>
  <c r="B2" i="236"/>
  <c r="F4" i="236"/>
  <c r="D9" i="236"/>
  <c r="E16" i="236"/>
  <c r="E19" i="236" s="1"/>
  <c r="F16" i="236"/>
  <c r="F17" i="236"/>
  <c r="A33" i="236"/>
  <c r="A34" i="236"/>
  <c r="B2" i="232"/>
  <c r="D9" i="152"/>
  <c r="D13" i="152"/>
  <c r="D15" i="152"/>
  <c r="B2" i="234"/>
  <c r="O4" i="234"/>
  <c r="J12" i="234"/>
  <c r="M12" i="234" s="1"/>
  <c r="X12" i="234"/>
  <c r="Y12" i="234"/>
  <c r="AA12" i="234"/>
  <c r="AC12" i="234"/>
  <c r="J13" i="234"/>
  <c r="M13" i="234" s="1"/>
  <c r="O13" i="234" s="1"/>
  <c r="X13" i="234"/>
  <c r="Y13" i="234"/>
  <c r="AA13" i="234"/>
  <c r="AC13" i="234"/>
  <c r="J14" i="234"/>
  <c r="M14" i="234" s="1"/>
  <c r="O14" i="234" s="1"/>
  <c r="X14" i="234"/>
  <c r="Y14" i="234"/>
  <c r="AA14" i="234"/>
  <c r="AC14" i="234"/>
  <c r="J15" i="234"/>
  <c r="M15" i="234" s="1"/>
  <c r="O15" i="234" s="1"/>
  <c r="X15" i="234"/>
  <c r="Y15" i="234"/>
  <c r="AA15" i="234"/>
  <c r="AC15" i="234"/>
  <c r="K16" i="234"/>
  <c r="J16" i="234" s="1"/>
  <c r="M16" i="234" s="1"/>
  <c r="O16" i="234" s="1"/>
  <c r="X16" i="234"/>
  <c r="Y16" i="234"/>
  <c r="AA16" i="234"/>
  <c r="AC16" i="234"/>
  <c r="J17" i="234"/>
  <c r="M17" i="234" s="1"/>
  <c r="O17" i="234" s="1"/>
  <c r="X17" i="234"/>
  <c r="Y17" i="234"/>
  <c r="AA17" i="234"/>
  <c r="AC17" i="234"/>
  <c r="J18" i="234"/>
  <c r="M18" i="234" s="1"/>
  <c r="O18" i="234" s="1"/>
  <c r="X18" i="234"/>
  <c r="Y18" i="234"/>
  <c r="AA18" i="234"/>
  <c r="AC18" i="234"/>
  <c r="J19" i="234"/>
  <c r="AA19" i="234" s="1"/>
  <c r="X19" i="234"/>
  <c r="Y19" i="234"/>
  <c r="AC19" i="234"/>
  <c r="J20" i="234"/>
  <c r="AA20" i="234" s="1"/>
  <c r="X20" i="234"/>
  <c r="Y20" i="234"/>
  <c r="AC20" i="234"/>
  <c r="J21" i="234"/>
  <c r="AA21" i="234" s="1"/>
  <c r="X21" i="234"/>
  <c r="Y21" i="234"/>
  <c r="AC21" i="234"/>
  <c r="J22" i="234"/>
  <c r="M22" i="234" s="1"/>
  <c r="O22" i="234" s="1"/>
  <c r="U22" i="234"/>
  <c r="V22" i="234"/>
  <c r="X22" i="234"/>
  <c r="Y22" i="234"/>
  <c r="J23" i="234"/>
  <c r="M23" i="234" s="1"/>
  <c r="O23" i="234" s="1"/>
  <c r="X23" i="234"/>
  <c r="Y23" i="234"/>
  <c r="AC23" i="234"/>
  <c r="J24" i="234"/>
  <c r="AA24" i="234" s="1"/>
  <c r="X24" i="234"/>
  <c r="Y24" i="234"/>
  <c r="AC24" i="234"/>
  <c r="J25" i="234"/>
  <c r="AA25" i="234" s="1"/>
  <c r="X25" i="234"/>
  <c r="Y25" i="234"/>
  <c r="AC25" i="234"/>
  <c r="J26" i="234"/>
  <c r="M26" i="234" s="1"/>
  <c r="O26" i="234" s="1"/>
  <c r="X26" i="234"/>
  <c r="Y26" i="234"/>
  <c r="AC26" i="234"/>
  <c r="J27" i="234"/>
  <c r="M27" i="234" s="1"/>
  <c r="O27" i="234" s="1"/>
  <c r="X27" i="234"/>
  <c r="Y27" i="234"/>
  <c r="AC27" i="234"/>
  <c r="J28" i="234"/>
  <c r="M28" i="234" s="1"/>
  <c r="O28" i="234" s="1"/>
  <c r="X28" i="234"/>
  <c r="Y28" i="234"/>
  <c r="AC28" i="234"/>
  <c r="J29" i="234"/>
  <c r="M29" i="234" s="1"/>
  <c r="O29" i="234" s="1"/>
  <c r="U29" i="234"/>
  <c r="V29" i="234"/>
  <c r="X29" i="234"/>
  <c r="Y29" i="234"/>
  <c r="J30" i="234"/>
  <c r="M30" i="234" s="1"/>
  <c r="O30" i="234" s="1"/>
  <c r="X30" i="234"/>
  <c r="Y30" i="234"/>
  <c r="AC30" i="234"/>
  <c r="J31" i="234"/>
  <c r="M31" i="234" s="1"/>
  <c r="O31" i="234" s="1"/>
  <c r="X31" i="234"/>
  <c r="Y31" i="234"/>
  <c r="AC31" i="234"/>
  <c r="J32" i="234"/>
  <c r="M32" i="234" s="1"/>
  <c r="O32" i="234" s="1"/>
  <c r="X32" i="234"/>
  <c r="Y32" i="234"/>
  <c r="AC32" i="234"/>
  <c r="J33" i="234"/>
  <c r="M33" i="234" s="1"/>
  <c r="O33" i="234" s="1"/>
  <c r="X33" i="234"/>
  <c r="Y33" i="234"/>
  <c r="AC33" i="234"/>
  <c r="J34" i="234"/>
  <c r="M34" i="234" s="1"/>
  <c r="O34" i="234" s="1"/>
  <c r="X34" i="234"/>
  <c r="Y34" i="234"/>
  <c r="AC34" i="234"/>
  <c r="J35" i="234"/>
  <c r="M35" i="234" s="1"/>
  <c r="O35" i="234" s="1"/>
  <c r="U35" i="234"/>
  <c r="V35" i="234"/>
  <c r="X35" i="234"/>
  <c r="Y35" i="234"/>
  <c r="J36" i="234"/>
  <c r="M36" i="234" s="1"/>
  <c r="O36" i="234" s="1"/>
  <c r="U36" i="234"/>
  <c r="V36" i="234"/>
  <c r="X36" i="234"/>
  <c r="Y36" i="234"/>
  <c r="J37" i="234"/>
  <c r="M37" i="234" s="1"/>
  <c r="O37" i="234" s="1"/>
  <c r="X37" i="234"/>
  <c r="Y37" i="234"/>
  <c r="AC37" i="234"/>
  <c r="J38" i="234"/>
  <c r="M38" i="234" s="1"/>
  <c r="O38" i="234" s="1"/>
  <c r="X38" i="234"/>
  <c r="Y38" i="234"/>
  <c r="AC38" i="234"/>
  <c r="J39" i="234"/>
  <c r="M39" i="234" s="1"/>
  <c r="O39" i="234" s="1"/>
  <c r="X39" i="234"/>
  <c r="Y39" i="234"/>
  <c r="AC39" i="234"/>
  <c r="J40" i="234"/>
  <c r="M40" i="234" s="1"/>
  <c r="O40" i="234" s="1"/>
  <c r="X40" i="234"/>
  <c r="Y40" i="234"/>
  <c r="AC40" i="234"/>
  <c r="P42" i="234"/>
  <c r="Q42" i="234"/>
  <c r="W42" i="234"/>
  <c r="P43" i="234"/>
  <c r="Q43" i="234"/>
  <c r="W43" i="234"/>
  <c r="P44" i="234"/>
  <c r="Q44" i="234"/>
  <c r="W44" i="234"/>
  <c r="P45" i="234"/>
  <c r="Q45" i="234"/>
  <c r="W45" i="234"/>
  <c r="P46" i="234"/>
  <c r="Q46" i="234"/>
  <c r="W46" i="234"/>
  <c r="P47" i="234"/>
  <c r="Q47" i="234"/>
  <c r="W47" i="234"/>
  <c r="B2" i="233"/>
  <c r="P4" i="233"/>
  <c r="B2" i="217"/>
  <c r="K4" i="217"/>
  <c r="K9" i="217"/>
  <c r="K10" i="217"/>
  <c r="K11" i="217"/>
  <c r="K12" i="217"/>
  <c r="K13" i="217"/>
  <c r="K14" i="217"/>
  <c r="K15" i="217"/>
  <c r="K16" i="217"/>
  <c r="K17" i="217"/>
  <c r="K18" i="217"/>
  <c r="K19" i="217"/>
  <c r="K20" i="217"/>
  <c r="K21" i="217"/>
  <c r="K22" i="217"/>
  <c r="K23" i="217"/>
  <c r="K24" i="217"/>
  <c r="K25" i="217"/>
  <c r="K26" i="217"/>
  <c r="K27" i="217"/>
  <c r="K28" i="217"/>
  <c r="K29" i="217"/>
  <c r="K30" i="217"/>
  <c r="K31" i="217"/>
  <c r="K32" i="217"/>
  <c r="K33" i="217"/>
  <c r="K34" i="217"/>
  <c r="K35" i="217"/>
  <c r="K36" i="217"/>
  <c r="K37" i="217"/>
  <c r="K38" i="217"/>
  <c r="K39" i="217"/>
  <c r="K40" i="217"/>
  <c r="K41" i="217"/>
  <c r="K42" i="217"/>
  <c r="K43" i="217"/>
  <c r="K44" i="217"/>
  <c r="K45" i="217"/>
  <c r="K48" i="217"/>
  <c r="K49" i="217"/>
  <c r="K50" i="217"/>
  <c r="K51" i="217"/>
  <c r="K52" i="217"/>
  <c r="K53" i="217"/>
  <c r="K54" i="217"/>
  <c r="K55" i="217"/>
  <c r="K56" i="217"/>
  <c r="K57" i="217"/>
  <c r="K58" i="217"/>
  <c r="K59" i="217"/>
  <c r="K62" i="217"/>
  <c r="K63" i="217"/>
  <c r="K64" i="217"/>
  <c r="K65" i="217"/>
  <c r="K66" i="217"/>
  <c r="K67" i="217"/>
  <c r="K68" i="217"/>
  <c r="K69" i="217"/>
  <c r="K70" i="217"/>
  <c r="K71" i="217"/>
  <c r="K72" i="217"/>
  <c r="K73" i="217"/>
  <c r="K74" i="217"/>
  <c r="K75" i="217"/>
  <c r="K76" i="217"/>
  <c r="K77" i="217"/>
  <c r="K78" i="217"/>
  <c r="K79" i="217"/>
  <c r="K80" i="217"/>
  <c r="K81" i="217"/>
  <c r="K82" i="217"/>
  <c r="K83" i="217"/>
  <c r="K84" i="217"/>
  <c r="K85" i="217"/>
  <c r="K86" i="217"/>
  <c r="K87" i="217"/>
  <c r="K88" i="217"/>
  <c r="K89" i="217"/>
  <c r="K90" i="217"/>
  <c r="K93" i="217"/>
  <c r="K94" i="217"/>
  <c r="K95" i="217"/>
  <c r="K96" i="217"/>
  <c r="K97" i="217"/>
  <c r="K98" i="217"/>
  <c r="K99" i="217"/>
  <c r="K100" i="217"/>
  <c r="K101" i="217"/>
  <c r="K102" i="217"/>
  <c r="K103" i="217"/>
  <c r="K104" i="217"/>
  <c r="K105" i="217"/>
  <c r="K106" i="217"/>
  <c r="K107" i="217"/>
  <c r="K108" i="217"/>
  <c r="K109" i="217"/>
  <c r="K110" i="217"/>
  <c r="K111" i="217"/>
  <c r="H114" i="217"/>
  <c r="K114" i="217" s="1"/>
  <c r="K115" i="217"/>
  <c r="K116" i="217"/>
  <c r="K117" i="217"/>
  <c r="K118" i="217"/>
  <c r="K119" i="217"/>
  <c r="K120" i="217"/>
  <c r="K121" i="217"/>
  <c r="K124" i="217"/>
  <c r="K125" i="217"/>
  <c r="K126" i="217"/>
  <c r="K127" i="217"/>
  <c r="K128" i="217"/>
  <c r="K129" i="217"/>
  <c r="K130" i="217"/>
  <c r="K131" i="217"/>
  <c r="K132" i="217"/>
  <c r="K133" i="217"/>
  <c r="K134" i="217"/>
  <c r="K135" i="217"/>
  <c r="K136" i="217"/>
  <c r="K137" i="217"/>
  <c r="I139" i="217"/>
  <c r="I140" i="217"/>
  <c r="H141" i="217"/>
  <c r="I141" i="217"/>
  <c r="I142" i="217"/>
  <c r="I143" i="217"/>
  <c r="I144" i="217"/>
  <c r="B2" i="14"/>
  <c r="I4" i="14"/>
  <c r="D24" i="14" s="1"/>
  <c r="L4" i="14"/>
  <c r="D72" i="14" s="1"/>
  <c r="I5" i="14"/>
  <c r="L6" i="14"/>
  <c r="D80" i="14" s="1"/>
  <c r="B9" i="14"/>
  <c r="D9" i="14"/>
  <c r="I10" i="14" s="1"/>
  <c r="E9" i="14"/>
  <c r="G9" i="14"/>
  <c r="B10" i="14"/>
  <c r="D10" i="14"/>
  <c r="J9" i="14" s="1"/>
  <c r="E10" i="14"/>
  <c r="G10" i="14"/>
  <c r="J10" i="14"/>
  <c r="B11" i="14"/>
  <c r="D11" i="14"/>
  <c r="E11" i="14"/>
  <c r="G11" i="14"/>
  <c r="B12" i="14"/>
  <c r="D12" i="14"/>
  <c r="J11" i="14" s="1"/>
  <c r="E12" i="14"/>
  <c r="G12" i="14"/>
  <c r="I12" i="14"/>
  <c r="B13" i="14"/>
  <c r="D13" i="14"/>
  <c r="J12" i="14" s="1"/>
  <c r="E13" i="14"/>
  <c r="G13" i="14"/>
  <c r="B14" i="14"/>
  <c r="D14" i="14"/>
  <c r="J13" i="14" s="1"/>
  <c r="E14" i="14"/>
  <c r="G14" i="14"/>
  <c r="B15" i="14"/>
  <c r="D15" i="14"/>
  <c r="J14" i="14" s="1"/>
  <c r="E15" i="14"/>
  <c r="G15" i="14"/>
  <c r="I15" i="14"/>
  <c r="B16" i="14"/>
  <c r="D16" i="14"/>
  <c r="J15" i="14" s="1"/>
  <c r="E16" i="14"/>
  <c r="G16" i="14"/>
  <c r="I16" i="14"/>
  <c r="B17" i="14"/>
  <c r="D17" i="14"/>
  <c r="J16" i="14" s="1"/>
  <c r="E17" i="14"/>
  <c r="G17" i="14"/>
  <c r="B18" i="14"/>
  <c r="D18" i="14"/>
  <c r="J17" i="14" s="1"/>
  <c r="E18" i="14"/>
  <c r="G18" i="14"/>
  <c r="B19" i="14"/>
  <c r="D19" i="14"/>
  <c r="J18" i="14" s="1"/>
  <c r="E19" i="14"/>
  <c r="G19" i="14"/>
  <c r="B2" i="13"/>
  <c r="N6" i="13"/>
  <c r="D10" i="13"/>
  <c r="E10" i="13"/>
  <c r="F10" i="13"/>
  <c r="G10" i="13"/>
  <c r="G44" i="13" s="1"/>
  <c r="H10" i="13"/>
  <c r="I10" i="13"/>
  <c r="J10" i="13"/>
  <c r="K10" i="13"/>
  <c r="O10" i="13"/>
  <c r="D11" i="13"/>
  <c r="E11" i="13"/>
  <c r="F11" i="13"/>
  <c r="G11" i="13"/>
  <c r="H11" i="13"/>
  <c r="I11" i="13"/>
  <c r="J11" i="13"/>
  <c r="K11" i="13"/>
  <c r="O11" i="13"/>
  <c r="D12" i="13"/>
  <c r="E12" i="13"/>
  <c r="F12" i="13"/>
  <c r="G12" i="13"/>
  <c r="H12" i="13"/>
  <c r="H56" i="13" s="1"/>
  <c r="I12" i="13"/>
  <c r="J12" i="13"/>
  <c r="K12" i="13"/>
  <c r="O12" i="13"/>
  <c r="D13" i="13"/>
  <c r="E13" i="13"/>
  <c r="F13" i="13"/>
  <c r="G13" i="13"/>
  <c r="H13" i="13"/>
  <c r="I13" i="13"/>
  <c r="J13" i="13"/>
  <c r="K13" i="13"/>
  <c r="O13" i="13"/>
  <c r="D14" i="13"/>
  <c r="E14" i="13"/>
  <c r="F14" i="13"/>
  <c r="G14" i="13"/>
  <c r="H14" i="13"/>
  <c r="I14" i="13"/>
  <c r="J14" i="13"/>
  <c r="K14" i="13"/>
  <c r="O14" i="13"/>
  <c r="D15" i="13"/>
  <c r="E15" i="13"/>
  <c r="F15" i="13"/>
  <c r="G15" i="13"/>
  <c r="H15" i="13"/>
  <c r="I15" i="13"/>
  <c r="J15" i="13"/>
  <c r="K15" i="13"/>
  <c r="O15" i="13"/>
  <c r="D16" i="13"/>
  <c r="E16" i="13"/>
  <c r="F16" i="13"/>
  <c r="G16" i="13"/>
  <c r="H16" i="13"/>
  <c r="I16" i="13"/>
  <c r="J16" i="13"/>
  <c r="K16" i="13"/>
  <c r="O16" i="13"/>
  <c r="D17" i="13"/>
  <c r="E17" i="13"/>
  <c r="F17" i="13"/>
  <c r="G17" i="13"/>
  <c r="H17" i="13"/>
  <c r="I17" i="13"/>
  <c r="J17" i="13"/>
  <c r="K17" i="13"/>
  <c r="O17" i="13"/>
  <c r="D18" i="13"/>
  <c r="E18" i="13"/>
  <c r="F18" i="13"/>
  <c r="G18" i="13"/>
  <c r="H18" i="13"/>
  <c r="I18" i="13"/>
  <c r="J18" i="13"/>
  <c r="K18" i="13"/>
  <c r="O18" i="13"/>
  <c r="D19" i="13"/>
  <c r="E19" i="13"/>
  <c r="F19" i="13"/>
  <c r="G19" i="13"/>
  <c r="H19" i="13"/>
  <c r="I19" i="13"/>
  <c r="J19" i="13"/>
  <c r="K19" i="13"/>
  <c r="O19" i="13"/>
  <c r="D20" i="13"/>
  <c r="E20" i="13"/>
  <c r="F20" i="13"/>
  <c r="G20" i="13"/>
  <c r="H20" i="13"/>
  <c r="I20" i="13"/>
  <c r="J20" i="13"/>
  <c r="K20" i="13"/>
  <c r="O20" i="13"/>
  <c r="D21" i="13"/>
  <c r="E21" i="13"/>
  <c r="F21" i="13"/>
  <c r="G21" i="13"/>
  <c r="H21" i="13"/>
  <c r="I21" i="13"/>
  <c r="J21" i="13"/>
  <c r="K21" i="13"/>
  <c r="O21" i="13"/>
  <c r="D22" i="13"/>
  <c r="E22" i="13"/>
  <c r="F22" i="13"/>
  <c r="G22" i="13"/>
  <c r="H22" i="13"/>
  <c r="I22" i="13"/>
  <c r="J22" i="13"/>
  <c r="K22" i="13"/>
  <c r="O22" i="13"/>
  <c r="D23" i="13"/>
  <c r="E23" i="13"/>
  <c r="F23" i="13"/>
  <c r="G23" i="13"/>
  <c r="H23" i="13"/>
  <c r="I23" i="13"/>
  <c r="J23" i="13"/>
  <c r="K23" i="13"/>
  <c r="O23" i="13"/>
  <c r="D24" i="13"/>
  <c r="E24" i="13"/>
  <c r="F24" i="13"/>
  <c r="G24" i="13"/>
  <c r="H24" i="13"/>
  <c r="I24" i="13"/>
  <c r="J24" i="13"/>
  <c r="K24" i="13"/>
  <c r="O24" i="13"/>
  <c r="D25" i="13"/>
  <c r="E25" i="13"/>
  <c r="F25" i="13"/>
  <c r="G25" i="13"/>
  <c r="H25" i="13"/>
  <c r="I25" i="13"/>
  <c r="J25" i="13"/>
  <c r="K25" i="13"/>
  <c r="O25" i="13"/>
  <c r="D26" i="13"/>
  <c r="E26" i="13"/>
  <c r="F26" i="13"/>
  <c r="G26" i="13"/>
  <c r="H26" i="13"/>
  <c r="I26" i="13"/>
  <c r="J26" i="13"/>
  <c r="K26" i="13"/>
  <c r="O26" i="13"/>
  <c r="D27" i="13"/>
  <c r="E27" i="13"/>
  <c r="F27" i="13"/>
  <c r="G27" i="13"/>
  <c r="H27" i="13"/>
  <c r="I27" i="13"/>
  <c r="J27" i="13"/>
  <c r="K27" i="13"/>
  <c r="O27" i="13"/>
  <c r="D28" i="13"/>
  <c r="E28" i="13"/>
  <c r="F28" i="13"/>
  <c r="G28" i="13"/>
  <c r="H28" i="13"/>
  <c r="I28" i="13"/>
  <c r="J28" i="13"/>
  <c r="K28" i="13"/>
  <c r="O28" i="13"/>
  <c r="D29" i="13"/>
  <c r="E29" i="13"/>
  <c r="F29" i="13"/>
  <c r="G29" i="13"/>
  <c r="H29" i="13"/>
  <c r="I29" i="13"/>
  <c r="J29" i="13"/>
  <c r="K29" i="13"/>
  <c r="O29" i="13"/>
  <c r="D30" i="13"/>
  <c r="E30" i="13"/>
  <c r="F30" i="13"/>
  <c r="G30" i="13"/>
  <c r="H30" i="13"/>
  <c r="I30" i="13"/>
  <c r="J30" i="13"/>
  <c r="K30" i="13"/>
  <c r="O30" i="13"/>
  <c r="D31" i="13"/>
  <c r="E31" i="13"/>
  <c r="F31" i="13"/>
  <c r="G31" i="13"/>
  <c r="H31" i="13"/>
  <c r="I31" i="13"/>
  <c r="J31" i="13"/>
  <c r="K31" i="13"/>
  <c r="O31" i="13"/>
  <c r="D32" i="13"/>
  <c r="E32" i="13"/>
  <c r="F32" i="13"/>
  <c r="G32" i="13"/>
  <c r="H32" i="13"/>
  <c r="I32" i="13"/>
  <c r="J32" i="13"/>
  <c r="K32" i="13"/>
  <c r="O32" i="13"/>
  <c r="D33" i="13"/>
  <c r="E33" i="13"/>
  <c r="F33" i="13"/>
  <c r="G33" i="13"/>
  <c r="H33" i="13"/>
  <c r="I33" i="13"/>
  <c r="J33" i="13"/>
  <c r="K33" i="13"/>
  <c r="O33" i="13"/>
  <c r="D34" i="13"/>
  <c r="E34" i="13"/>
  <c r="F34" i="13"/>
  <c r="G34" i="13"/>
  <c r="H34" i="13"/>
  <c r="I34" i="13"/>
  <c r="J34" i="13"/>
  <c r="K34" i="13"/>
  <c r="O34" i="13"/>
  <c r="D35" i="13"/>
  <c r="E35" i="13"/>
  <c r="F35" i="13"/>
  <c r="G35" i="13"/>
  <c r="H35" i="13"/>
  <c r="I35" i="13"/>
  <c r="J35" i="13"/>
  <c r="K35" i="13"/>
  <c r="O35" i="13"/>
  <c r="D36" i="13"/>
  <c r="E36" i="13"/>
  <c r="F36" i="13"/>
  <c r="G36" i="13"/>
  <c r="H36" i="13"/>
  <c r="I36" i="13"/>
  <c r="J36" i="13"/>
  <c r="K36" i="13"/>
  <c r="O36" i="13"/>
  <c r="D37" i="13"/>
  <c r="E37" i="13"/>
  <c r="F37" i="13"/>
  <c r="G37" i="13"/>
  <c r="H37" i="13"/>
  <c r="I37" i="13"/>
  <c r="J37" i="13"/>
  <c r="K37" i="13"/>
  <c r="O37" i="13"/>
  <c r="D38" i="13"/>
  <c r="E38" i="13"/>
  <c r="F38" i="13"/>
  <c r="G38" i="13"/>
  <c r="H38" i="13"/>
  <c r="I38" i="13"/>
  <c r="J38" i="13"/>
  <c r="K38" i="13"/>
  <c r="O38" i="13"/>
  <c r="D39" i="13"/>
  <c r="E39" i="13"/>
  <c r="F39" i="13"/>
  <c r="G39" i="13"/>
  <c r="H39" i="13"/>
  <c r="I39" i="13"/>
  <c r="J39" i="13"/>
  <c r="K39" i="13"/>
  <c r="O39" i="13"/>
  <c r="G46" i="13"/>
  <c r="B2" i="251"/>
  <c r="AB3" i="251"/>
  <c r="B4" i="251"/>
  <c r="Y4" i="251"/>
  <c r="AB4" i="251"/>
  <c r="AB5" i="251"/>
  <c r="M10" i="251"/>
  <c r="M11" i="251"/>
  <c r="M12" i="251"/>
  <c r="M13" i="251"/>
  <c r="M14" i="251"/>
  <c r="M15" i="251"/>
  <c r="M16" i="251"/>
  <c r="M17" i="251"/>
  <c r="M18" i="251"/>
  <c r="M19" i="251"/>
  <c r="M20" i="251"/>
  <c r="M21" i="251"/>
  <c r="M22" i="251"/>
  <c r="M23" i="251"/>
  <c r="M24" i="251"/>
  <c r="M25" i="251"/>
  <c r="M26" i="251"/>
  <c r="M27" i="251"/>
  <c r="M28" i="251"/>
  <c r="M29" i="251"/>
  <c r="M30" i="251"/>
  <c r="M31" i="251"/>
  <c r="M32" i="251"/>
  <c r="M33" i="251"/>
  <c r="M34" i="251"/>
  <c r="M35" i="251"/>
  <c r="M36" i="251"/>
  <c r="M37" i="251"/>
  <c r="M38" i="251"/>
  <c r="M39" i="251"/>
  <c r="B48" i="251"/>
  <c r="B50" i="251" s="1"/>
  <c r="Y50" i="251" s="1"/>
  <c r="AB42" i="251" s="1"/>
  <c r="M48" i="251"/>
  <c r="M50" i="251" s="1"/>
  <c r="S48" i="251"/>
  <c r="S50" i="251"/>
  <c r="B2" i="250"/>
  <c r="B48" i="250" s="1"/>
  <c r="B50" i="250" s="1"/>
  <c r="Y50" i="250" s="1"/>
  <c r="AB42" i="250" s="1"/>
  <c r="AB3" i="250"/>
  <c r="B4" i="250"/>
  <c r="P41" i="4" s="1"/>
  <c r="Y4" i="250"/>
  <c r="AB4" i="250"/>
  <c r="AB5" i="250"/>
  <c r="M10" i="250"/>
  <c r="M45" i="250" s="1"/>
  <c r="M11" i="250"/>
  <c r="M12" i="250"/>
  <c r="M13" i="250"/>
  <c r="M14" i="250"/>
  <c r="M15" i="250"/>
  <c r="M16" i="250"/>
  <c r="M17" i="250"/>
  <c r="M18" i="250"/>
  <c r="M19" i="250"/>
  <c r="M20" i="250"/>
  <c r="M21" i="250"/>
  <c r="M22" i="250"/>
  <c r="M23" i="250"/>
  <c r="M24" i="250"/>
  <c r="M25" i="250"/>
  <c r="M26" i="250"/>
  <c r="M27" i="250"/>
  <c r="M28" i="250"/>
  <c r="M29" i="250"/>
  <c r="M30" i="250"/>
  <c r="M31" i="250"/>
  <c r="M32" i="250"/>
  <c r="M33" i="250"/>
  <c r="M34" i="250"/>
  <c r="M35" i="250"/>
  <c r="M36" i="250"/>
  <c r="M37" i="250"/>
  <c r="M38" i="250"/>
  <c r="M39" i="250"/>
  <c r="M48" i="250"/>
  <c r="M50" i="250" s="1"/>
  <c r="S48" i="250"/>
  <c r="S50" i="250"/>
  <c r="B2" i="249"/>
  <c r="AB3" i="249"/>
  <c r="B4" i="249"/>
  <c r="Y4" i="249"/>
  <c r="AB4" i="249"/>
  <c r="AB5" i="249"/>
  <c r="M10" i="249"/>
  <c r="M11" i="249"/>
  <c r="M12" i="249"/>
  <c r="M13" i="249"/>
  <c r="M14" i="249"/>
  <c r="M15" i="249"/>
  <c r="M16" i="249"/>
  <c r="M17" i="249"/>
  <c r="M18" i="249"/>
  <c r="M19" i="249"/>
  <c r="M20" i="249"/>
  <c r="M21" i="249"/>
  <c r="M22" i="249"/>
  <c r="M23" i="249"/>
  <c r="M24" i="249"/>
  <c r="M25" i="249"/>
  <c r="M26" i="249"/>
  <c r="M27" i="249"/>
  <c r="M28" i="249"/>
  <c r="M29" i="249"/>
  <c r="M30" i="249"/>
  <c r="M31" i="249"/>
  <c r="M32" i="249"/>
  <c r="M33" i="249"/>
  <c r="M34" i="249"/>
  <c r="M35" i="249"/>
  <c r="M36" i="249"/>
  <c r="M37" i="249"/>
  <c r="M38" i="249"/>
  <c r="M39" i="249"/>
  <c r="B48" i="249"/>
  <c r="B50" i="249" s="1"/>
  <c r="Y50" i="249" s="1"/>
  <c r="AB42" i="249" s="1"/>
  <c r="M48" i="249"/>
  <c r="M50" i="249" s="1"/>
  <c r="S48" i="249"/>
  <c r="S50" i="249"/>
  <c r="B2" i="256"/>
  <c r="B48" i="256" s="1"/>
  <c r="B50" i="256" s="1"/>
  <c r="Y50" i="256" s="1"/>
  <c r="AB42" i="256" s="1"/>
  <c r="AB3" i="256"/>
  <c r="B4" i="256"/>
  <c r="P39" i="4" s="1"/>
  <c r="Y4" i="256"/>
  <c r="AB4" i="256"/>
  <c r="AB5" i="256"/>
  <c r="M10" i="256"/>
  <c r="M11" i="256"/>
  <c r="M12" i="256"/>
  <c r="M13" i="256"/>
  <c r="M14" i="256"/>
  <c r="M15" i="256"/>
  <c r="M16" i="256"/>
  <c r="M17" i="256"/>
  <c r="M18" i="256"/>
  <c r="M19" i="256"/>
  <c r="M20" i="256"/>
  <c r="M21" i="256"/>
  <c r="M22" i="256"/>
  <c r="M23" i="256"/>
  <c r="M24" i="256"/>
  <c r="M25" i="256"/>
  <c r="M26" i="256"/>
  <c r="M27" i="256"/>
  <c r="M28" i="256"/>
  <c r="M29" i="256"/>
  <c r="M30" i="256"/>
  <c r="M31" i="256"/>
  <c r="M32" i="256"/>
  <c r="M33" i="256"/>
  <c r="M34" i="256"/>
  <c r="M35" i="256"/>
  <c r="M36" i="256"/>
  <c r="M37" i="256"/>
  <c r="M38" i="256"/>
  <c r="M39" i="256"/>
  <c r="M48" i="256"/>
  <c r="M50" i="256" s="1"/>
  <c r="S48" i="256"/>
  <c r="S50" i="256"/>
  <c r="B2" i="257"/>
  <c r="B48" i="257" s="1"/>
  <c r="B50" i="257" s="1"/>
  <c r="Y50" i="257" s="1"/>
  <c r="AB42" i="257" s="1"/>
  <c r="AB3" i="257"/>
  <c r="Y4" i="257"/>
  <c r="AB4" i="257"/>
  <c r="AB5" i="257"/>
  <c r="M10" i="257"/>
  <c r="M11" i="257"/>
  <c r="M12" i="257"/>
  <c r="M13" i="257"/>
  <c r="M14" i="257"/>
  <c r="M15" i="257"/>
  <c r="M16" i="257"/>
  <c r="M17" i="257"/>
  <c r="M18" i="257"/>
  <c r="M19" i="257"/>
  <c r="M20" i="257"/>
  <c r="M21" i="257"/>
  <c r="M22" i="257"/>
  <c r="M23" i="257"/>
  <c r="M24" i="257"/>
  <c r="M25" i="257"/>
  <c r="M26" i="257"/>
  <c r="M27" i="257"/>
  <c r="M28" i="257"/>
  <c r="M29" i="257"/>
  <c r="M30" i="257"/>
  <c r="M31" i="257"/>
  <c r="M32" i="257"/>
  <c r="M33" i="257"/>
  <c r="M34" i="257"/>
  <c r="M35" i="257"/>
  <c r="M36" i="257"/>
  <c r="M37" i="257"/>
  <c r="M38" i="257"/>
  <c r="M39" i="257"/>
  <c r="M48" i="257"/>
  <c r="M50" i="257" s="1"/>
  <c r="S48" i="257"/>
  <c r="S50" i="257"/>
  <c r="B2" i="12"/>
  <c r="AB3" i="12"/>
  <c r="Y4" i="12"/>
  <c r="AB4" i="12"/>
  <c r="AB5" i="12"/>
  <c r="N6" i="12"/>
  <c r="Q6" i="12" s="1"/>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B48" i="12"/>
  <c r="B50" i="12" s="1"/>
  <c r="Y50" i="12" s="1"/>
  <c r="AB42" i="12" s="1"/>
  <c r="M48" i="12"/>
  <c r="M50" i="12" s="1"/>
  <c r="S48" i="12"/>
  <c r="S50" i="12"/>
  <c r="B2" i="11"/>
  <c r="D8" i="11"/>
  <c r="D13" i="11"/>
  <c r="D40" i="11" s="1"/>
  <c r="E13" i="11"/>
  <c r="E27" i="11" s="1"/>
  <c r="F13" i="11"/>
  <c r="F40" i="11" s="1"/>
  <c r="G13" i="11"/>
  <c r="G27" i="11" s="1"/>
  <c r="H13" i="11"/>
  <c r="H40" i="11" s="1"/>
  <c r="D18" i="11"/>
  <c r="D33" i="11" s="1"/>
  <c r="E18" i="11"/>
  <c r="F18" i="11"/>
  <c r="F58" i="11" s="1"/>
  <c r="G18" i="11"/>
  <c r="G33" i="11" s="1"/>
  <c r="H18" i="11"/>
  <c r="D27" i="11"/>
  <c r="H27" i="11"/>
  <c r="H33" i="11"/>
  <c r="J33" i="11"/>
  <c r="D43" i="11"/>
  <c r="E43" i="11"/>
  <c r="F43" i="11"/>
  <c r="G43" i="11"/>
  <c r="H43" i="11"/>
  <c r="D44" i="11"/>
  <c r="E44" i="11"/>
  <c r="F44" i="11"/>
  <c r="G44" i="11"/>
  <c r="H44" i="11"/>
  <c r="D45" i="11"/>
  <c r="E45" i="11"/>
  <c r="F45" i="11"/>
  <c r="G45" i="11"/>
  <c r="H45" i="11"/>
  <c r="A71" i="11"/>
  <c r="B2" i="64"/>
  <c r="J4" i="64"/>
  <c r="D13" i="64"/>
  <c r="E13" i="64"/>
  <c r="E16" i="64" s="1"/>
  <c r="W20" i="241" s="1"/>
  <c r="G20" i="241" s="1"/>
  <c r="F13" i="64"/>
  <c r="F16" i="64" s="1"/>
  <c r="W21" i="241" s="1"/>
  <c r="F21" i="241" s="1"/>
  <c r="G13" i="64"/>
  <c r="G16" i="64" s="1"/>
  <c r="W22" i="241" s="1"/>
  <c r="E22" i="241" s="1"/>
  <c r="H13" i="64"/>
  <c r="I13" i="64"/>
  <c r="I16" i="64" s="1"/>
  <c r="W24" i="241" s="1"/>
  <c r="J13" i="64"/>
  <c r="D16" i="64"/>
  <c r="W19" i="241" s="1"/>
  <c r="H19" i="241" s="1"/>
  <c r="H16" i="64"/>
  <c r="W23" i="241" s="1"/>
  <c r="D23" i="241" s="1"/>
  <c r="J16" i="64"/>
  <c r="W25" i="241" s="1"/>
  <c r="D25" i="64"/>
  <c r="E25" i="64"/>
  <c r="E26" i="64" s="1"/>
  <c r="F25" i="64"/>
  <c r="G25" i="64"/>
  <c r="G26" i="64" s="1"/>
  <c r="H25" i="64"/>
  <c r="I25" i="64"/>
  <c r="I27" i="64" s="1"/>
  <c r="J25" i="64"/>
  <c r="J26" i="64" s="1"/>
  <c r="D26" i="64"/>
  <c r="F26" i="64"/>
  <c r="H26" i="64"/>
  <c r="I26" i="64"/>
  <c r="D27" i="64"/>
  <c r="D28" i="64" s="1"/>
  <c r="F27" i="64"/>
  <c r="H27" i="64"/>
  <c r="J27" i="64"/>
  <c r="J28" i="64" s="1"/>
  <c r="F28" i="64"/>
  <c r="H28" i="64"/>
  <c r="I28" i="64"/>
  <c r="B2" i="63"/>
  <c r="M4" i="63"/>
  <c r="E9" i="63"/>
  <c r="F9" i="63"/>
  <c r="F13" i="63" s="1"/>
  <c r="O77" i="73" s="1"/>
  <c r="R235" i="73" s="1"/>
  <c r="R236" i="73" s="1"/>
  <c r="G9" i="63"/>
  <c r="G13" i="63" s="1"/>
  <c r="H9" i="63"/>
  <c r="H13" i="63" s="1"/>
  <c r="I9" i="63"/>
  <c r="I13" i="63" s="1"/>
  <c r="J9" i="63"/>
  <c r="J13" i="63" s="1"/>
  <c r="O81" i="73" s="1"/>
  <c r="R247" i="73" s="1"/>
  <c r="R248" i="73" s="1"/>
  <c r="K9" i="63"/>
  <c r="K13" i="63" s="1"/>
  <c r="M10" i="63"/>
  <c r="M11" i="63"/>
  <c r="D13" i="63"/>
  <c r="O75" i="73" s="1"/>
  <c r="R229" i="73" s="1"/>
  <c r="R230" i="73" s="1"/>
  <c r="D15" i="63"/>
  <c r="O82" i="73" s="1"/>
  <c r="R249" i="73" s="1"/>
  <c r="E15" i="63"/>
  <c r="F15" i="63"/>
  <c r="O84" i="73" s="1"/>
  <c r="R251" i="73" s="1"/>
  <c r="G15" i="63"/>
  <c r="H15" i="63"/>
  <c r="I15" i="63"/>
  <c r="J15" i="63"/>
  <c r="M16" i="63"/>
  <c r="M17" i="63"/>
  <c r="B27" i="63"/>
  <c r="B69" i="241" s="1"/>
  <c r="B28" i="63"/>
  <c r="B70" i="241" s="1"/>
  <c r="B29" i="63"/>
  <c r="B71" i="241" s="1"/>
  <c r="B30" i="63"/>
  <c r="B72" i="241" s="1"/>
  <c r="B31" i="63"/>
  <c r="B73" i="241" s="1"/>
  <c r="B32" i="63"/>
  <c r="B74" i="241" s="1"/>
  <c r="B33" i="63"/>
  <c r="B75" i="241" s="1"/>
  <c r="B34" i="63"/>
  <c r="B76" i="241" s="1"/>
  <c r="B35" i="63"/>
  <c r="B77" i="241" s="1"/>
  <c r="E36" i="63"/>
  <c r="Y78" i="241" s="1"/>
  <c r="D38" i="63"/>
  <c r="D50" i="63"/>
  <c r="B2" i="59"/>
  <c r="D8" i="59"/>
  <c r="D9" i="59"/>
  <c r="D10" i="59"/>
  <c r="D11" i="59"/>
  <c r="D12" i="59"/>
  <c r="D13" i="59"/>
  <c r="D14" i="59"/>
  <c r="D15" i="59"/>
  <c r="D16" i="59"/>
  <c r="D17" i="59"/>
  <c r="D18" i="59"/>
  <c r="D19" i="59"/>
  <c r="D20" i="59"/>
  <c r="D21" i="59"/>
  <c r="D22" i="59"/>
  <c r="D23" i="59"/>
  <c r="D24" i="59"/>
  <c r="D25" i="59"/>
  <c r="D26" i="59"/>
  <c r="D27" i="59"/>
  <c r="B2" i="57"/>
  <c r="AM3" i="57"/>
  <c r="AO3" i="57"/>
  <c r="AQ3" i="57"/>
  <c r="AJ4" i="57"/>
  <c r="AM4" i="57"/>
  <c r="AO4" i="57"/>
  <c r="AQ4" i="57"/>
  <c r="AM5" i="57"/>
  <c r="AO5" i="57"/>
  <c r="AQ5" i="57"/>
  <c r="B9" i="57"/>
  <c r="C9" i="57"/>
  <c r="D9" i="57"/>
  <c r="B8" i="59" s="1"/>
  <c r="E9" i="57"/>
  <c r="F9" i="57"/>
  <c r="G9" i="57"/>
  <c r="L9" i="57"/>
  <c r="Q9" i="57"/>
  <c r="R9" i="57"/>
  <c r="S9" i="57"/>
  <c r="X9" i="57"/>
  <c r="Y9" i="57"/>
  <c r="AA9" i="57"/>
  <c r="AB9" i="57"/>
  <c r="AC9" i="57"/>
  <c r="AG9" i="57"/>
  <c r="AI9" i="57"/>
  <c r="AJ9" i="57"/>
  <c r="B10" i="57"/>
  <c r="C10" i="57"/>
  <c r="D10" i="57"/>
  <c r="B9" i="59" s="1"/>
  <c r="E10" i="57"/>
  <c r="F10" i="57"/>
  <c r="G10" i="57"/>
  <c r="L10" i="57"/>
  <c r="Q10" i="57"/>
  <c r="R10" i="57"/>
  <c r="S10" i="57"/>
  <c r="X10" i="57"/>
  <c r="Y10" i="57"/>
  <c r="AA10" i="57"/>
  <c r="AB10" i="57"/>
  <c r="AC10" i="57"/>
  <c r="AG10" i="57"/>
  <c r="AI10" i="57"/>
  <c r="AJ10" i="57"/>
  <c r="B11" i="57"/>
  <c r="C11" i="57"/>
  <c r="D11" i="57"/>
  <c r="B10" i="59" s="1"/>
  <c r="E11" i="57"/>
  <c r="F11" i="57"/>
  <c r="G11" i="57"/>
  <c r="L11" i="57"/>
  <c r="Q11" i="57"/>
  <c r="R11" i="57"/>
  <c r="S11" i="57"/>
  <c r="X11" i="57"/>
  <c r="Y11" i="57"/>
  <c r="AA11" i="57"/>
  <c r="AB11" i="57"/>
  <c r="AC11" i="57"/>
  <c r="AG11" i="57"/>
  <c r="AI11" i="57"/>
  <c r="AJ11" i="57"/>
  <c r="B12" i="57"/>
  <c r="C12" i="57"/>
  <c r="D12" i="57"/>
  <c r="B11" i="59" s="1"/>
  <c r="E12" i="57"/>
  <c r="F12" i="57"/>
  <c r="G12" i="57"/>
  <c r="L12" i="57"/>
  <c r="Q12" i="57"/>
  <c r="R12" i="57"/>
  <c r="S12" i="57"/>
  <c r="X12" i="57"/>
  <c r="Y12" i="57"/>
  <c r="AA12" i="57"/>
  <c r="AB12" i="57"/>
  <c r="AC12" i="57"/>
  <c r="AG12" i="57"/>
  <c r="AI12" i="57"/>
  <c r="AJ12" i="57"/>
  <c r="B13" i="57"/>
  <c r="C13" i="57"/>
  <c r="D13" i="57"/>
  <c r="B12" i="59" s="1"/>
  <c r="E13" i="57"/>
  <c r="F13" i="57"/>
  <c r="G13" i="57"/>
  <c r="L13" i="57"/>
  <c r="Q13" i="57"/>
  <c r="R13" i="57"/>
  <c r="S13" i="57"/>
  <c r="X13" i="57"/>
  <c r="Y13" i="57"/>
  <c r="AA13" i="57"/>
  <c r="AB13" i="57"/>
  <c r="AC13" i="57"/>
  <c r="AG13" i="57"/>
  <c r="AI13" i="57"/>
  <c r="AJ13" i="57"/>
  <c r="B14" i="57"/>
  <c r="C14" i="57"/>
  <c r="D14" i="57"/>
  <c r="B13" i="59" s="1"/>
  <c r="E14" i="57"/>
  <c r="F14" i="57"/>
  <c r="G14" i="57"/>
  <c r="L14" i="57"/>
  <c r="Q14" i="57"/>
  <c r="R14" i="57"/>
  <c r="S14" i="57"/>
  <c r="X14" i="57"/>
  <c r="Y14" i="57"/>
  <c r="AA14" i="57"/>
  <c r="AB14" i="57"/>
  <c r="AC14" i="57"/>
  <c r="AG14" i="57"/>
  <c r="AI14" i="57"/>
  <c r="AJ14" i="57"/>
  <c r="B15" i="57"/>
  <c r="C15" i="57"/>
  <c r="D15" i="57"/>
  <c r="B14" i="59" s="1"/>
  <c r="E15" i="57"/>
  <c r="F15" i="57"/>
  <c r="G15" i="57"/>
  <c r="L15" i="57"/>
  <c r="Q15" i="57"/>
  <c r="R15" i="57"/>
  <c r="S15" i="57"/>
  <c r="X15" i="57"/>
  <c r="Y15" i="57"/>
  <c r="AA15" i="57"/>
  <c r="AB15" i="57"/>
  <c r="AC15" i="57"/>
  <c r="AG15" i="57"/>
  <c r="AI15" i="57"/>
  <c r="AJ15" i="57"/>
  <c r="B16" i="57"/>
  <c r="C16" i="57"/>
  <c r="D16" i="57"/>
  <c r="B15" i="59" s="1"/>
  <c r="E16" i="57"/>
  <c r="F16" i="57"/>
  <c r="G16" i="57"/>
  <c r="L16" i="57"/>
  <c r="Q16" i="57"/>
  <c r="R16" i="57"/>
  <c r="S16" i="57"/>
  <c r="X16" i="57"/>
  <c r="Y16" i="57"/>
  <c r="AA16" i="57"/>
  <c r="AB16" i="57"/>
  <c r="AC16" i="57"/>
  <c r="AG16" i="57"/>
  <c r="AI16" i="57"/>
  <c r="AJ16" i="57"/>
  <c r="B17" i="57"/>
  <c r="C17" i="57"/>
  <c r="D17" i="57"/>
  <c r="B16" i="59" s="1"/>
  <c r="E17" i="57"/>
  <c r="F17" i="57"/>
  <c r="G17" i="57"/>
  <c r="L17" i="57"/>
  <c r="Q17" i="57"/>
  <c r="R17" i="57"/>
  <c r="S17" i="57"/>
  <c r="X17" i="57"/>
  <c r="Y17" i="57"/>
  <c r="AA17" i="57"/>
  <c r="AB17" i="57"/>
  <c r="AC17" i="57"/>
  <c r="AG17" i="57"/>
  <c r="AI17" i="57"/>
  <c r="AJ17" i="57"/>
  <c r="B18" i="57"/>
  <c r="C18" i="57"/>
  <c r="D18" i="57"/>
  <c r="B17" i="59" s="1"/>
  <c r="E18" i="57"/>
  <c r="F18" i="57"/>
  <c r="G18" i="57"/>
  <c r="L18" i="57"/>
  <c r="Q18" i="57"/>
  <c r="R18" i="57"/>
  <c r="S18" i="57"/>
  <c r="X18" i="57"/>
  <c r="Y18" i="57"/>
  <c r="AA18" i="57"/>
  <c r="AB18" i="57"/>
  <c r="AC18" i="57"/>
  <c r="AG18" i="57"/>
  <c r="AI18" i="57"/>
  <c r="AJ18" i="57"/>
  <c r="B19" i="57"/>
  <c r="C19" i="57"/>
  <c r="D19" i="57"/>
  <c r="B18" i="59" s="1"/>
  <c r="E19" i="57"/>
  <c r="F19" i="57"/>
  <c r="G19" i="57"/>
  <c r="L19" i="57"/>
  <c r="Q19" i="57"/>
  <c r="R19" i="57"/>
  <c r="S19" i="57"/>
  <c r="X19" i="57"/>
  <c r="Y19" i="57"/>
  <c r="AA19" i="57"/>
  <c r="AB19" i="57"/>
  <c r="AC19" i="57"/>
  <c r="AG19" i="57"/>
  <c r="AI19" i="57"/>
  <c r="AJ19" i="57"/>
  <c r="B20" i="57"/>
  <c r="C20" i="57"/>
  <c r="D20" i="57"/>
  <c r="B19" i="59" s="1"/>
  <c r="E20" i="57"/>
  <c r="F20" i="57"/>
  <c r="G20" i="57"/>
  <c r="L20" i="57"/>
  <c r="Q20" i="57"/>
  <c r="R20" i="57"/>
  <c r="S20" i="57"/>
  <c r="X20" i="57"/>
  <c r="Y20" i="57"/>
  <c r="AA20" i="57"/>
  <c r="AB20" i="57"/>
  <c r="AC20" i="57"/>
  <c r="AG20" i="57"/>
  <c r="AI20" i="57"/>
  <c r="AJ20" i="57"/>
  <c r="B21" i="57"/>
  <c r="C21" i="57"/>
  <c r="D21" i="57"/>
  <c r="B20" i="59" s="1"/>
  <c r="E21" i="57"/>
  <c r="F21" i="57"/>
  <c r="G21" i="57"/>
  <c r="L21" i="57"/>
  <c r="Q21" i="57"/>
  <c r="R21" i="57"/>
  <c r="S21" i="57"/>
  <c r="X21" i="57"/>
  <c r="Y21" i="57"/>
  <c r="AA21" i="57"/>
  <c r="AB21" i="57"/>
  <c r="AC21" i="57"/>
  <c r="AG21" i="57"/>
  <c r="AI21" i="57"/>
  <c r="AJ21" i="57"/>
  <c r="B22" i="57"/>
  <c r="C22" i="57"/>
  <c r="D22" i="57"/>
  <c r="B21" i="59" s="1"/>
  <c r="E22" i="57"/>
  <c r="F22" i="57"/>
  <c r="G22" i="57"/>
  <c r="L22" i="57"/>
  <c r="Q22" i="57"/>
  <c r="R22" i="57"/>
  <c r="S22" i="57"/>
  <c r="X22" i="57"/>
  <c r="Y22" i="57"/>
  <c r="AA22" i="57"/>
  <c r="AB22" i="57"/>
  <c r="AC22" i="57"/>
  <c r="AG22" i="57"/>
  <c r="AI22" i="57"/>
  <c r="AJ22" i="57"/>
  <c r="B23" i="57"/>
  <c r="C23" i="57"/>
  <c r="D23" i="57"/>
  <c r="B22" i="59" s="1"/>
  <c r="E23" i="57"/>
  <c r="F23" i="57"/>
  <c r="G23" i="57"/>
  <c r="L23" i="57"/>
  <c r="Q23" i="57"/>
  <c r="R23" i="57"/>
  <c r="S23" i="57"/>
  <c r="X23" i="57"/>
  <c r="Y23" i="57"/>
  <c r="AA23" i="57"/>
  <c r="AB23" i="57"/>
  <c r="AC23" i="57"/>
  <c r="AG23" i="57"/>
  <c r="AI23" i="57"/>
  <c r="AJ23" i="57"/>
  <c r="B24" i="57"/>
  <c r="C24" i="57"/>
  <c r="D24" i="57"/>
  <c r="B23" i="59" s="1"/>
  <c r="E24" i="57"/>
  <c r="F24" i="57"/>
  <c r="G24" i="57"/>
  <c r="L24" i="57"/>
  <c r="Q24" i="57"/>
  <c r="R24" i="57"/>
  <c r="S24" i="57"/>
  <c r="X24" i="57"/>
  <c r="Y24" i="57"/>
  <c r="AA24" i="57"/>
  <c r="AB24" i="57"/>
  <c r="AC24" i="57"/>
  <c r="AG24" i="57"/>
  <c r="AI24" i="57"/>
  <c r="AJ24" i="57"/>
  <c r="B25" i="57"/>
  <c r="C25" i="57"/>
  <c r="D25" i="57"/>
  <c r="B24" i="59" s="1"/>
  <c r="E25" i="57"/>
  <c r="F25" i="57"/>
  <c r="G25" i="57"/>
  <c r="L25" i="57"/>
  <c r="Q25" i="57"/>
  <c r="R25" i="57"/>
  <c r="S25" i="57"/>
  <c r="X25" i="57"/>
  <c r="Y25" i="57"/>
  <c r="AA25" i="57"/>
  <c r="AB25" i="57"/>
  <c r="AC25" i="57"/>
  <c r="AG25" i="57"/>
  <c r="AI25" i="57"/>
  <c r="AJ25" i="57"/>
  <c r="B26" i="57"/>
  <c r="C26" i="57"/>
  <c r="D26" i="57"/>
  <c r="B25" i="59" s="1"/>
  <c r="E26" i="57"/>
  <c r="F26" i="57"/>
  <c r="G26" i="57"/>
  <c r="L26" i="57"/>
  <c r="Q26" i="57"/>
  <c r="R26" i="57"/>
  <c r="S26" i="57"/>
  <c r="X26" i="57"/>
  <c r="Y26" i="57"/>
  <c r="AA26" i="57"/>
  <c r="AB26" i="57"/>
  <c r="AC26" i="57"/>
  <c r="AG26" i="57"/>
  <c r="AI26" i="57"/>
  <c r="AJ26" i="57"/>
  <c r="B27" i="57"/>
  <c r="C27" i="57"/>
  <c r="D27" i="57"/>
  <c r="B26" i="59" s="1"/>
  <c r="E27" i="57"/>
  <c r="F27" i="57"/>
  <c r="G27" i="57"/>
  <c r="L27" i="57"/>
  <c r="Q27" i="57"/>
  <c r="R27" i="57"/>
  <c r="S27" i="57"/>
  <c r="X27" i="57"/>
  <c r="Y27" i="57"/>
  <c r="AA27" i="57"/>
  <c r="AB27" i="57"/>
  <c r="AC27" i="57"/>
  <c r="AG27" i="57"/>
  <c r="AI27" i="57"/>
  <c r="AJ27" i="57"/>
  <c r="B28" i="57"/>
  <c r="C28" i="57"/>
  <c r="D28" i="57"/>
  <c r="B27" i="59" s="1"/>
  <c r="E28" i="57"/>
  <c r="F28" i="57"/>
  <c r="G28" i="57"/>
  <c r="L28" i="57"/>
  <c r="Q28" i="57"/>
  <c r="R28" i="57"/>
  <c r="S28" i="57"/>
  <c r="X28" i="57"/>
  <c r="Y28" i="57"/>
  <c r="AA28" i="57"/>
  <c r="AB28" i="57"/>
  <c r="AC28" i="57"/>
  <c r="AG28" i="57"/>
  <c r="AI28" i="57"/>
  <c r="AJ28" i="57"/>
  <c r="B29" i="57"/>
  <c r="C29" i="57"/>
  <c r="D29" i="57"/>
  <c r="E29" i="57"/>
  <c r="F29" i="57"/>
  <c r="G29" i="57"/>
  <c r="L29" i="57"/>
  <c r="Q29" i="57"/>
  <c r="R29" i="57"/>
  <c r="S29" i="57"/>
  <c r="X29" i="57"/>
  <c r="Y29" i="57"/>
  <c r="AA29" i="57"/>
  <c r="AB29" i="57"/>
  <c r="AC29" i="57"/>
  <c r="AG29" i="57"/>
  <c r="AI29" i="57"/>
  <c r="AJ29" i="57"/>
  <c r="B30" i="57"/>
  <c r="C30" i="57"/>
  <c r="D30" i="57"/>
  <c r="E30" i="57"/>
  <c r="F30" i="57"/>
  <c r="G30" i="57"/>
  <c r="L30" i="57"/>
  <c r="Q30" i="57"/>
  <c r="R30" i="57"/>
  <c r="S30" i="57"/>
  <c r="X30" i="57"/>
  <c r="Y30" i="57"/>
  <c r="AA30" i="57"/>
  <c r="AB30" i="57"/>
  <c r="AC30" i="57"/>
  <c r="AG30" i="57"/>
  <c r="AI30" i="57"/>
  <c r="AJ30" i="57"/>
  <c r="B31" i="57"/>
  <c r="C31" i="57"/>
  <c r="D31" i="57"/>
  <c r="E31" i="57"/>
  <c r="F31" i="57"/>
  <c r="G31" i="57"/>
  <c r="L31" i="57"/>
  <c r="Q31" i="57"/>
  <c r="R31" i="57"/>
  <c r="S31" i="57"/>
  <c r="X31" i="57"/>
  <c r="Y31" i="57"/>
  <c r="AA31" i="57"/>
  <c r="AB31" i="57"/>
  <c r="AC31" i="57"/>
  <c r="AG31" i="57"/>
  <c r="AI31" i="57"/>
  <c r="AJ31" i="57"/>
  <c r="B32" i="57"/>
  <c r="C32" i="57"/>
  <c r="D32" i="57"/>
  <c r="E32" i="57"/>
  <c r="F32" i="57"/>
  <c r="G32" i="57"/>
  <c r="L32" i="57"/>
  <c r="Q32" i="57"/>
  <c r="R32" i="57"/>
  <c r="S32" i="57"/>
  <c r="X32" i="57"/>
  <c r="Y32" i="57"/>
  <c r="AA32" i="57"/>
  <c r="AB32" i="57"/>
  <c r="AC32" i="57"/>
  <c r="AG32" i="57"/>
  <c r="AI32" i="57"/>
  <c r="AJ32" i="57"/>
  <c r="B33" i="57"/>
  <c r="C33" i="57"/>
  <c r="D33" i="57"/>
  <c r="E33" i="57"/>
  <c r="F33" i="57"/>
  <c r="G33" i="57"/>
  <c r="L33" i="57"/>
  <c r="Q33" i="57"/>
  <c r="R33" i="57"/>
  <c r="S33" i="57"/>
  <c r="X33" i="57"/>
  <c r="Y33" i="57"/>
  <c r="AA33" i="57"/>
  <c r="AB33" i="57"/>
  <c r="AC33" i="57"/>
  <c r="AG33" i="57"/>
  <c r="AI33" i="57"/>
  <c r="AJ33" i="57"/>
  <c r="B34" i="57"/>
  <c r="C34" i="57"/>
  <c r="D34" i="57"/>
  <c r="E34" i="57"/>
  <c r="F34" i="57"/>
  <c r="G34" i="57"/>
  <c r="L34" i="57"/>
  <c r="Q34" i="57"/>
  <c r="R34" i="57"/>
  <c r="S34" i="57"/>
  <c r="X34" i="57"/>
  <c r="Y34" i="57"/>
  <c r="AA34" i="57"/>
  <c r="AB34" i="57"/>
  <c r="AC34" i="57"/>
  <c r="AG34" i="57"/>
  <c r="AI34" i="57"/>
  <c r="AJ34" i="57"/>
  <c r="B35" i="57"/>
  <c r="C35" i="57"/>
  <c r="D35" i="57"/>
  <c r="E35" i="57"/>
  <c r="F35" i="57"/>
  <c r="G35" i="57"/>
  <c r="L35" i="57"/>
  <c r="Q35" i="57"/>
  <c r="R35" i="57"/>
  <c r="S35" i="57"/>
  <c r="X35" i="57"/>
  <c r="Y35" i="57"/>
  <c r="AA35" i="57"/>
  <c r="AB35" i="57"/>
  <c r="AC35" i="57"/>
  <c r="AG35" i="57"/>
  <c r="AI35" i="57"/>
  <c r="AJ35" i="57"/>
  <c r="B36" i="57"/>
  <c r="C36" i="57"/>
  <c r="D36" i="57"/>
  <c r="E36" i="57"/>
  <c r="F36" i="57"/>
  <c r="G36" i="57"/>
  <c r="L36" i="57"/>
  <c r="Q36" i="57"/>
  <c r="R36" i="57"/>
  <c r="S36" i="57"/>
  <c r="X36" i="57"/>
  <c r="Y36" i="57"/>
  <c r="AA36" i="57"/>
  <c r="AB36" i="57"/>
  <c r="AC36" i="57"/>
  <c r="AG36" i="57"/>
  <c r="AI36" i="57"/>
  <c r="AJ36" i="57"/>
  <c r="B37" i="57"/>
  <c r="C37" i="57"/>
  <c r="D37" i="57"/>
  <c r="E37" i="57"/>
  <c r="F37" i="57"/>
  <c r="G37" i="57"/>
  <c r="L37" i="57"/>
  <c r="Q37" i="57"/>
  <c r="R37" i="57"/>
  <c r="S37" i="57"/>
  <c r="X37" i="57"/>
  <c r="Y37" i="57"/>
  <c r="AA37" i="57"/>
  <c r="AB37" i="57"/>
  <c r="AC37" i="57"/>
  <c r="AG37" i="57"/>
  <c r="AI37" i="57"/>
  <c r="AJ37" i="57"/>
  <c r="B38" i="57"/>
  <c r="C38" i="57"/>
  <c r="D38" i="57"/>
  <c r="E38" i="57"/>
  <c r="F38" i="57"/>
  <c r="G38" i="57"/>
  <c r="L38" i="57"/>
  <c r="Q38" i="57"/>
  <c r="R38" i="57"/>
  <c r="S38" i="57"/>
  <c r="X38" i="57"/>
  <c r="Y38" i="57"/>
  <c r="AA38" i="57"/>
  <c r="AB38" i="57"/>
  <c r="AC38" i="57"/>
  <c r="AG38" i="57"/>
  <c r="AI38" i="57"/>
  <c r="AJ38" i="57"/>
  <c r="B39" i="57"/>
  <c r="C39" i="57"/>
  <c r="D39" i="57"/>
  <c r="E39" i="57"/>
  <c r="F39" i="57"/>
  <c r="G39" i="57"/>
  <c r="L39" i="57"/>
  <c r="Q39" i="57"/>
  <c r="R39" i="57"/>
  <c r="S39" i="57"/>
  <c r="X39" i="57"/>
  <c r="Y39" i="57"/>
  <c r="AA39" i="57"/>
  <c r="AB39" i="57"/>
  <c r="AC39" i="57"/>
  <c r="AG39" i="57"/>
  <c r="AI39" i="57"/>
  <c r="AJ39" i="57"/>
  <c r="B40" i="57"/>
  <c r="C40" i="57"/>
  <c r="D40" i="57"/>
  <c r="E40" i="57"/>
  <c r="F40" i="57"/>
  <c r="G40" i="57"/>
  <c r="L40" i="57"/>
  <c r="Q40" i="57"/>
  <c r="R40" i="57"/>
  <c r="S40" i="57"/>
  <c r="X40" i="57"/>
  <c r="Y40" i="57"/>
  <c r="AA40" i="57"/>
  <c r="AB40" i="57"/>
  <c r="AC40" i="57"/>
  <c r="AG40" i="57"/>
  <c r="AI40" i="57"/>
  <c r="AJ40" i="57"/>
  <c r="B41" i="57"/>
  <c r="C41" i="57"/>
  <c r="D41" i="57"/>
  <c r="E41" i="57"/>
  <c r="F41" i="57"/>
  <c r="G41" i="57"/>
  <c r="L41" i="57"/>
  <c r="Q41" i="57"/>
  <c r="R41" i="57"/>
  <c r="S41" i="57"/>
  <c r="X41" i="57"/>
  <c r="Y41" i="57"/>
  <c r="AA41" i="57"/>
  <c r="AB41" i="57"/>
  <c r="AC41" i="57"/>
  <c r="AG41" i="57"/>
  <c r="AI41" i="57"/>
  <c r="AJ41" i="57"/>
  <c r="B2" i="62"/>
  <c r="R4" i="62"/>
  <c r="D10" i="62"/>
  <c r="F10" i="62"/>
  <c r="H10" i="62"/>
  <c r="J10" i="62"/>
  <c r="L10" i="62"/>
  <c r="N10" i="62"/>
  <c r="P10" i="62"/>
  <c r="R10" i="62"/>
  <c r="B12" i="62"/>
  <c r="B13" i="62"/>
  <c r="B14" i="62"/>
  <c r="N14" i="62"/>
  <c r="B15" i="62"/>
  <c r="N15" i="62"/>
  <c r="B16" i="62"/>
  <c r="B17" i="62"/>
  <c r="B40" i="62"/>
  <c r="D44" i="62"/>
  <c r="D45" i="62" s="1"/>
  <c r="B2"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B2" i="53"/>
  <c r="AA3" i="53"/>
  <c r="K4" i="53"/>
  <c r="W4" i="53"/>
  <c r="AA4" i="53"/>
  <c r="AA5" i="53"/>
  <c r="D10" i="53"/>
  <c r="E10" i="53"/>
  <c r="E46" i="53" s="1"/>
  <c r="F10" i="53"/>
  <c r="G10" i="53"/>
  <c r="I10" i="53"/>
  <c r="J10" i="53"/>
  <c r="J46" i="53" s="1"/>
  <c r="K10" i="53"/>
  <c r="Q10" i="53"/>
  <c r="Q42" i="53" s="1"/>
  <c r="R10" i="53"/>
  <c r="S10" i="53"/>
  <c r="S46" i="53" s="1"/>
  <c r="D11" i="53"/>
  <c r="E11" i="53"/>
  <c r="F11" i="53"/>
  <c r="G11" i="53"/>
  <c r="I11" i="53"/>
  <c r="J11" i="53"/>
  <c r="K11" i="53"/>
  <c r="Q11" i="53"/>
  <c r="Q45" i="53" s="1"/>
  <c r="R11" i="53"/>
  <c r="S11" i="53"/>
  <c r="D12" i="53"/>
  <c r="E12" i="53"/>
  <c r="F12" i="53"/>
  <c r="G12" i="53"/>
  <c r="I12" i="53"/>
  <c r="J12" i="53"/>
  <c r="K12" i="53"/>
  <c r="Q12" i="53"/>
  <c r="R12" i="53"/>
  <c r="S12" i="53"/>
  <c r="D13" i="53"/>
  <c r="E13" i="53"/>
  <c r="F13" i="53"/>
  <c r="G13" i="53"/>
  <c r="I13" i="53"/>
  <c r="J13" i="53"/>
  <c r="K13" i="53"/>
  <c r="Q13" i="53"/>
  <c r="R13" i="53"/>
  <c r="S13" i="53"/>
  <c r="D14" i="53"/>
  <c r="E14" i="53"/>
  <c r="F14" i="53"/>
  <c r="G14" i="53"/>
  <c r="I14" i="53"/>
  <c r="J14" i="53"/>
  <c r="K14" i="53"/>
  <c r="Q14" i="53"/>
  <c r="R14" i="53"/>
  <c r="S14" i="53"/>
  <c r="D15" i="53"/>
  <c r="E15" i="53"/>
  <c r="F15" i="53"/>
  <c r="G15" i="53"/>
  <c r="I15" i="53"/>
  <c r="J15" i="53"/>
  <c r="K15" i="53"/>
  <c r="Q15" i="53"/>
  <c r="R15" i="53"/>
  <c r="S15" i="53"/>
  <c r="D16" i="53"/>
  <c r="E16" i="53"/>
  <c r="F16" i="53"/>
  <c r="G16" i="53"/>
  <c r="I16" i="53"/>
  <c r="J16" i="53"/>
  <c r="K16" i="53"/>
  <c r="Q16" i="53"/>
  <c r="R16" i="53"/>
  <c r="S16" i="53"/>
  <c r="D17" i="53"/>
  <c r="E17" i="53"/>
  <c r="F17" i="53"/>
  <c r="G17" i="53"/>
  <c r="I17" i="53"/>
  <c r="J17" i="53"/>
  <c r="K17" i="53"/>
  <c r="Q17" i="53"/>
  <c r="R17" i="53"/>
  <c r="S17" i="53"/>
  <c r="D18" i="53"/>
  <c r="E18" i="53"/>
  <c r="F18" i="53"/>
  <c r="G18" i="53"/>
  <c r="I18" i="53"/>
  <c r="J18" i="53"/>
  <c r="K18" i="53"/>
  <c r="Q18" i="53"/>
  <c r="R18" i="53"/>
  <c r="S18" i="53"/>
  <c r="D19" i="53"/>
  <c r="E19" i="53"/>
  <c r="F19" i="53"/>
  <c r="G19" i="53"/>
  <c r="I19" i="53"/>
  <c r="J19" i="53"/>
  <c r="K19" i="53"/>
  <c r="Q19" i="53"/>
  <c r="R19" i="53"/>
  <c r="S19" i="53"/>
  <c r="D20" i="53"/>
  <c r="E20" i="53"/>
  <c r="F20" i="53"/>
  <c r="G20" i="53"/>
  <c r="I20" i="53"/>
  <c r="J20" i="53"/>
  <c r="K20" i="53"/>
  <c r="Q20" i="53"/>
  <c r="R20" i="53"/>
  <c r="S20" i="53"/>
  <c r="D21" i="53"/>
  <c r="E21" i="53"/>
  <c r="F21" i="53"/>
  <c r="G21" i="53"/>
  <c r="I21" i="53"/>
  <c r="J21" i="53"/>
  <c r="K21" i="53"/>
  <c r="Q21" i="53"/>
  <c r="R21" i="53"/>
  <c r="S21" i="53"/>
  <c r="D22" i="53"/>
  <c r="E22" i="53"/>
  <c r="F22" i="53"/>
  <c r="G22" i="53"/>
  <c r="I22" i="53"/>
  <c r="J22" i="53"/>
  <c r="K22" i="53"/>
  <c r="Q22" i="53"/>
  <c r="R22" i="53"/>
  <c r="S22" i="53"/>
  <c r="D23" i="53"/>
  <c r="E23" i="53"/>
  <c r="F23" i="53"/>
  <c r="G23" i="53"/>
  <c r="I23" i="53"/>
  <c r="J23" i="53"/>
  <c r="K23" i="53"/>
  <c r="Q23" i="53"/>
  <c r="R23" i="53"/>
  <c r="S23" i="53"/>
  <c r="D24" i="53"/>
  <c r="E24" i="53"/>
  <c r="F24" i="53"/>
  <c r="F44" i="53" s="1"/>
  <c r="G24" i="53"/>
  <c r="I24" i="53"/>
  <c r="J24" i="53"/>
  <c r="K24" i="53"/>
  <c r="K42" i="53" s="1"/>
  <c r="Q24" i="53"/>
  <c r="R24" i="53"/>
  <c r="S24" i="53"/>
  <c r="D25" i="53"/>
  <c r="D44" i="53" s="1"/>
  <c r="E25" i="53"/>
  <c r="F25" i="53"/>
  <c r="G25" i="53"/>
  <c r="I25" i="53"/>
  <c r="I41" i="53" s="1"/>
  <c r="J25" i="53"/>
  <c r="K25" i="53"/>
  <c r="Q25" i="53"/>
  <c r="R25" i="53"/>
  <c r="R44" i="53" s="1"/>
  <c r="S25" i="53"/>
  <c r="D26" i="53"/>
  <c r="E26" i="53"/>
  <c r="F26" i="53"/>
  <c r="G26" i="53"/>
  <c r="I26" i="53"/>
  <c r="J26" i="53"/>
  <c r="K26" i="53"/>
  <c r="Q26" i="53"/>
  <c r="R26" i="53"/>
  <c r="S26" i="53"/>
  <c r="D27" i="53"/>
  <c r="E27" i="53"/>
  <c r="F27" i="53"/>
  <c r="G27" i="53"/>
  <c r="I27" i="53"/>
  <c r="J27" i="53"/>
  <c r="K27" i="53"/>
  <c r="Q27" i="53"/>
  <c r="R27" i="53"/>
  <c r="S27" i="53"/>
  <c r="D28" i="53"/>
  <c r="E28" i="53"/>
  <c r="F28" i="53"/>
  <c r="G28" i="53"/>
  <c r="I28" i="53"/>
  <c r="J28" i="53"/>
  <c r="K28" i="53"/>
  <c r="Q28" i="53"/>
  <c r="R28" i="53"/>
  <c r="S28" i="53"/>
  <c r="D29" i="53"/>
  <c r="E29" i="53"/>
  <c r="F29" i="53"/>
  <c r="G29" i="53"/>
  <c r="I29" i="53"/>
  <c r="J29" i="53"/>
  <c r="K29" i="53"/>
  <c r="Q29" i="53"/>
  <c r="R29" i="53"/>
  <c r="S29" i="53"/>
  <c r="D30" i="53"/>
  <c r="E30" i="53"/>
  <c r="F30" i="53"/>
  <c r="G30" i="53"/>
  <c r="I30" i="53"/>
  <c r="J30" i="53"/>
  <c r="K30" i="53"/>
  <c r="Q30" i="53"/>
  <c r="R30" i="53"/>
  <c r="S30" i="53"/>
  <c r="D31" i="53"/>
  <c r="E31" i="53"/>
  <c r="F31" i="53"/>
  <c r="G31" i="53"/>
  <c r="I31" i="53"/>
  <c r="J31" i="53"/>
  <c r="K31" i="53"/>
  <c r="Q31" i="53"/>
  <c r="R31" i="53"/>
  <c r="S31" i="53"/>
  <c r="D32" i="53"/>
  <c r="E32" i="53"/>
  <c r="F32" i="53"/>
  <c r="G32" i="53"/>
  <c r="I32" i="53"/>
  <c r="J32" i="53"/>
  <c r="K32" i="53"/>
  <c r="Q32" i="53"/>
  <c r="R32" i="53"/>
  <c r="S32" i="53"/>
  <c r="D33" i="53"/>
  <c r="E33" i="53"/>
  <c r="F33" i="53"/>
  <c r="G33" i="53"/>
  <c r="I33" i="53"/>
  <c r="J33" i="53"/>
  <c r="K33" i="53"/>
  <c r="Q33" i="53"/>
  <c r="R33" i="53"/>
  <c r="S33" i="53"/>
  <c r="D34" i="53"/>
  <c r="E34" i="53"/>
  <c r="F34" i="53"/>
  <c r="G34" i="53"/>
  <c r="I34" i="53"/>
  <c r="J34" i="53"/>
  <c r="K34" i="53"/>
  <c r="Q34" i="53"/>
  <c r="R34" i="53"/>
  <c r="S34" i="53"/>
  <c r="D35" i="53"/>
  <c r="E35" i="53"/>
  <c r="F35" i="53"/>
  <c r="G35" i="53"/>
  <c r="I35" i="53"/>
  <c r="J35" i="53"/>
  <c r="K35" i="53"/>
  <c r="Q35" i="53"/>
  <c r="R35" i="53"/>
  <c r="S35" i="53"/>
  <c r="D36" i="53"/>
  <c r="E36" i="53"/>
  <c r="F36" i="53"/>
  <c r="G36" i="53"/>
  <c r="I36" i="53"/>
  <c r="J36" i="53"/>
  <c r="K36" i="53"/>
  <c r="Q36" i="53"/>
  <c r="R36" i="53"/>
  <c r="S36" i="53"/>
  <c r="D37" i="53"/>
  <c r="E37" i="53"/>
  <c r="F37" i="53"/>
  <c r="G37" i="53"/>
  <c r="I37" i="53"/>
  <c r="J37" i="53"/>
  <c r="K37" i="53"/>
  <c r="Q37" i="53"/>
  <c r="R37" i="53"/>
  <c r="S37" i="53"/>
  <c r="D38" i="53"/>
  <c r="E38" i="53"/>
  <c r="E43" i="53" s="1"/>
  <c r="F38" i="53"/>
  <c r="F41" i="53" s="1"/>
  <c r="G38" i="53"/>
  <c r="I38" i="53"/>
  <c r="J38" i="53"/>
  <c r="J43" i="53" s="1"/>
  <c r="K38" i="53"/>
  <c r="Q38" i="53"/>
  <c r="R38" i="53"/>
  <c r="S38" i="53"/>
  <c r="S45" i="53" s="1"/>
  <c r="D39" i="53"/>
  <c r="D41" i="53" s="1"/>
  <c r="E39" i="53"/>
  <c r="F39" i="53"/>
  <c r="G39" i="53"/>
  <c r="G45" i="53" s="1"/>
  <c r="I39" i="53"/>
  <c r="J39" i="53"/>
  <c r="K39" i="53"/>
  <c r="Q39" i="53"/>
  <c r="R39" i="53"/>
  <c r="R43" i="53" s="1"/>
  <c r="S39" i="53"/>
  <c r="D42" i="53"/>
  <c r="F42" i="53"/>
  <c r="F43" i="53"/>
  <c r="K43" i="53"/>
  <c r="I44" i="53"/>
  <c r="K44" i="53"/>
  <c r="F45" i="53"/>
  <c r="I45" i="53"/>
  <c r="R45" i="53"/>
  <c r="D46" i="53"/>
  <c r="G46" i="53"/>
  <c r="I46" i="53"/>
  <c r="Q46" i="53"/>
  <c r="R46" i="53"/>
  <c r="B2" i="172"/>
  <c r="Y2" i="172"/>
  <c r="AA2" i="172"/>
  <c r="AI2" i="172"/>
  <c r="K8" i="172" s="1"/>
  <c r="Y3" i="172"/>
  <c r="AA3" i="172"/>
  <c r="W4" i="172"/>
  <c r="AA4" i="172"/>
  <c r="O8" i="172"/>
  <c r="P8" i="172"/>
  <c r="Q8" i="172"/>
  <c r="E12" i="172"/>
  <c r="F12" i="172"/>
  <c r="G12" i="172"/>
  <c r="I12" i="172"/>
  <c r="J12" i="172"/>
  <c r="J43" i="172" s="1"/>
  <c r="K12" i="172"/>
  <c r="L12" i="172"/>
  <c r="M12" i="172"/>
  <c r="E13" i="172"/>
  <c r="F13" i="172"/>
  <c r="G13" i="172"/>
  <c r="I13" i="172"/>
  <c r="J13" i="172"/>
  <c r="K13" i="172"/>
  <c r="L13" i="172"/>
  <c r="M13" i="172"/>
  <c r="E14" i="172"/>
  <c r="F14" i="172"/>
  <c r="G14" i="172"/>
  <c r="I14" i="172"/>
  <c r="J14" i="172"/>
  <c r="K14" i="172"/>
  <c r="L14" i="172"/>
  <c r="M14" i="172"/>
  <c r="E15" i="172"/>
  <c r="F15" i="172"/>
  <c r="G15" i="172"/>
  <c r="I15" i="172"/>
  <c r="J15" i="172"/>
  <c r="K15" i="172"/>
  <c r="L15" i="172"/>
  <c r="M15" i="172"/>
  <c r="E16" i="172"/>
  <c r="F16" i="172"/>
  <c r="G16" i="172"/>
  <c r="I16" i="172"/>
  <c r="J16" i="172"/>
  <c r="K16" i="172"/>
  <c r="L16" i="172"/>
  <c r="M16" i="172"/>
  <c r="E17" i="172"/>
  <c r="F17" i="172"/>
  <c r="G17" i="172"/>
  <c r="I17" i="172"/>
  <c r="J17" i="172"/>
  <c r="K17" i="172"/>
  <c r="L17" i="172"/>
  <c r="M17" i="172"/>
  <c r="E18" i="172"/>
  <c r="F18" i="172"/>
  <c r="G18" i="172"/>
  <c r="I18" i="172"/>
  <c r="J18" i="172"/>
  <c r="K18" i="172"/>
  <c r="L18" i="172"/>
  <c r="M18" i="172"/>
  <c r="E19" i="172"/>
  <c r="F19" i="172"/>
  <c r="G19" i="172"/>
  <c r="I19" i="172"/>
  <c r="J19" i="172"/>
  <c r="K19" i="172"/>
  <c r="L19" i="172"/>
  <c r="M19" i="172"/>
  <c r="E20" i="172"/>
  <c r="F20" i="172"/>
  <c r="G20" i="172"/>
  <c r="I20" i="172"/>
  <c r="J20" i="172"/>
  <c r="K20" i="172"/>
  <c r="L20" i="172"/>
  <c r="M20" i="172"/>
  <c r="E21" i="172"/>
  <c r="F21" i="172"/>
  <c r="G21" i="172"/>
  <c r="I21" i="172"/>
  <c r="J21" i="172"/>
  <c r="K21" i="172"/>
  <c r="L21" i="172"/>
  <c r="M21" i="172"/>
  <c r="E22" i="172"/>
  <c r="F22" i="172"/>
  <c r="G22" i="172"/>
  <c r="I22" i="172"/>
  <c r="J22" i="172"/>
  <c r="K22" i="172"/>
  <c r="L22" i="172"/>
  <c r="M22" i="172"/>
  <c r="E23" i="172"/>
  <c r="F23" i="172"/>
  <c r="G23" i="172"/>
  <c r="I23" i="172"/>
  <c r="J23" i="172"/>
  <c r="K23" i="172"/>
  <c r="L23" i="172"/>
  <c r="M23" i="172"/>
  <c r="E24" i="172"/>
  <c r="F24" i="172"/>
  <c r="G24" i="172"/>
  <c r="I24" i="172"/>
  <c r="J24" i="172"/>
  <c r="K24" i="172"/>
  <c r="L24" i="172"/>
  <c r="M24" i="172"/>
  <c r="E25" i="172"/>
  <c r="F25" i="172"/>
  <c r="G25" i="172"/>
  <c r="I25" i="172"/>
  <c r="J25" i="172"/>
  <c r="K25" i="172"/>
  <c r="L25" i="172"/>
  <c r="M25" i="172"/>
  <c r="E26" i="172"/>
  <c r="F26" i="172"/>
  <c r="G26" i="172"/>
  <c r="I26" i="172"/>
  <c r="J26" i="172"/>
  <c r="K26" i="172"/>
  <c r="L26" i="172"/>
  <c r="M26" i="172"/>
  <c r="E27" i="172"/>
  <c r="F27" i="172"/>
  <c r="G27" i="172"/>
  <c r="I27" i="172"/>
  <c r="J27" i="172"/>
  <c r="K27" i="172"/>
  <c r="L27" i="172"/>
  <c r="M27" i="172"/>
  <c r="E28" i="172"/>
  <c r="F28" i="172"/>
  <c r="G28" i="172"/>
  <c r="I28" i="172"/>
  <c r="J28" i="172"/>
  <c r="K28" i="172"/>
  <c r="L28" i="172"/>
  <c r="M28" i="172"/>
  <c r="E29" i="172"/>
  <c r="F29" i="172"/>
  <c r="G29" i="172"/>
  <c r="I29" i="172"/>
  <c r="J29" i="172"/>
  <c r="K29" i="172"/>
  <c r="L29" i="172"/>
  <c r="M29" i="172"/>
  <c r="E30" i="172"/>
  <c r="F30" i="172"/>
  <c r="G30" i="172"/>
  <c r="I30" i="172"/>
  <c r="J30" i="172"/>
  <c r="K30" i="172"/>
  <c r="L30" i="172"/>
  <c r="M30" i="172"/>
  <c r="E31" i="172"/>
  <c r="F31" i="172"/>
  <c r="G31" i="172"/>
  <c r="I31" i="172"/>
  <c r="J31" i="172"/>
  <c r="K31" i="172"/>
  <c r="L31" i="172"/>
  <c r="M31" i="172"/>
  <c r="E32" i="172"/>
  <c r="F32" i="172"/>
  <c r="G32" i="172"/>
  <c r="I32" i="172"/>
  <c r="J32" i="172"/>
  <c r="K32" i="172"/>
  <c r="L32" i="172"/>
  <c r="M32" i="172"/>
  <c r="E33" i="172"/>
  <c r="F33" i="172"/>
  <c r="G33" i="172"/>
  <c r="I33" i="172"/>
  <c r="J33" i="172"/>
  <c r="K33" i="172"/>
  <c r="L33" i="172"/>
  <c r="M33" i="172"/>
  <c r="E34" i="172"/>
  <c r="F34" i="172"/>
  <c r="G34" i="172"/>
  <c r="I34" i="172"/>
  <c r="J34" i="172"/>
  <c r="K34" i="172"/>
  <c r="L34" i="172"/>
  <c r="M34" i="172"/>
  <c r="E35" i="172"/>
  <c r="F35" i="172"/>
  <c r="G35" i="172"/>
  <c r="I35" i="172"/>
  <c r="J35" i="172"/>
  <c r="K35" i="172"/>
  <c r="L35" i="172"/>
  <c r="M35" i="172"/>
  <c r="E36" i="172"/>
  <c r="F36" i="172"/>
  <c r="G36" i="172"/>
  <c r="I36" i="172"/>
  <c r="J36" i="172"/>
  <c r="K36" i="172"/>
  <c r="L36" i="172"/>
  <c r="M36" i="172"/>
  <c r="E37" i="172"/>
  <c r="F37" i="172"/>
  <c r="G37" i="172"/>
  <c r="I37" i="172"/>
  <c r="J37" i="172"/>
  <c r="K37" i="172"/>
  <c r="L37" i="172"/>
  <c r="M37" i="172"/>
  <c r="E38" i="172"/>
  <c r="F38" i="172"/>
  <c r="G38" i="172"/>
  <c r="I38" i="172"/>
  <c r="J38" i="172"/>
  <c r="K38" i="172"/>
  <c r="L38" i="172"/>
  <c r="M38" i="172"/>
  <c r="E39" i="172"/>
  <c r="F39" i="172"/>
  <c r="G39" i="172"/>
  <c r="I39" i="172"/>
  <c r="J39" i="172"/>
  <c r="K39" i="172"/>
  <c r="L39" i="172"/>
  <c r="M39" i="172"/>
  <c r="E40" i="172"/>
  <c r="F40" i="172"/>
  <c r="G40" i="172"/>
  <c r="I40" i="172"/>
  <c r="J40" i="172"/>
  <c r="K40" i="172"/>
  <c r="L40" i="172"/>
  <c r="M40" i="172"/>
  <c r="E41" i="172"/>
  <c r="F41" i="172"/>
  <c r="G41" i="172"/>
  <c r="I41" i="172"/>
  <c r="I47" i="172" s="1"/>
  <c r="J41" i="172"/>
  <c r="K41" i="172"/>
  <c r="L41" i="172"/>
  <c r="M41" i="172"/>
  <c r="M47" i="172" s="1"/>
  <c r="E43" i="172"/>
  <c r="G43" i="172"/>
  <c r="L43" i="172"/>
  <c r="E44" i="172"/>
  <c r="F44" i="172"/>
  <c r="G44" i="172"/>
  <c r="I44" i="172"/>
  <c r="J44" i="172"/>
  <c r="K44" i="172"/>
  <c r="L44" i="172"/>
  <c r="M44" i="172"/>
  <c r="E45" i="172"/>
  <c r="G45" i="172"/>
  <c r="L45" i="172"/>
  <c r="E46" i="172"/>
  <c r="F46" i="172"/>
  <c r="G46" i="172"/>
  <c r="I46" i="172"/>
  <c r="J46" i="172"/>
  <c r="K46" i="172"/>
  <c r="L46" i="172"/>
  <c r="M46" i="172"/>
  <c r="E47" i="172"/>
  <c r="G47" i="172"/>
  <c r="L47" i="172"/>
  <c r="E48" i="172"/>
  <c r="F48" i="172"/>
  <c r="G48" i="172"/>
  <c r="I48" i="172"/>
  <c r="J48" i="172"/>
  <c r="K48" i="172"/>
  <c r="L48" i="172"/>
  <c r="M48" i="172"/>
  <c r="B2" i="47"/>
  <c r="AB2" i="47"/>
  <c r="AD2" i="47"/>
  <c r="AL2" i="47"/>
  <c r="N8" i="47" s="1"/>
  <c r="AB3" i="47"/>
  <c r="AD3" i="47"/>
  <c r="Z4" i="47"/>
  <c r="AD4" i="47"/>
  <c r="R8" i="47"/>
  <c r="S8" i="47"/>
  <c r="T8" i="47"/>
  <c r="B12" i="47"/>
  <c r="B10" i="53" s="1"/>
  <c r="H12" i="47"/>
  <c r="M10" i="53" s="1"/>
  <c r="I12" i="47"/>
  <c r="J12" i="47"/>
  <c r="L12" i="47"/>
  <c r="M12" i="47"/>
  <c r="N12" i="47"/>
  <c r="O12" i="47"/>
  <c r="P12" i="47"/>
  <c r="AL12" i="47"/>
  <c r="AQ13" i="173" s="1"/>
  <c r="B13" i="47"/>
  <c r="B13" i="172" s="1"/>
  <c r="H13" i="47"/>
  <c r="I13" i="47"/>
  <c r="N11" i="53" s="1"/>
  <c r="J13" i="47"/>
  <c r="O11" i="53" s="1"/>
  <c r="L13" i="47"/>
  <c r="M13" i="47"/>
  <c r="N13" i="47"/>
  <c r="O13" i="47"/>
  <c r="P13" i="47"/>
  <c r="AL13" i="47"/>
  <c r="AQ14" i="173" s="1"/>
  <c r="B14" i="47"/>
  <c r="B11" i="15" s="1"/>
  <c r="H14" i="47"/>
  <c r="U12" i="53" s="1"/>
  <c r="I14" i="47"/>
  <c r="V12" i="53" s="1"/>
  <c r="J14" i="47"/>
  <c r="O12" i="53" s="1"/>
  <c r="L14" i="47"/>
  <c r="M14" i="47"/>
  <c r="N14" i="47"/>
  <c r="O14" i="47"/>
  <c r="P14" i="47"/>
  <c r="AL14" i="47"/>
  <c r="AQ15" i="173" s="1"/>
  <c r="B15" i="47"/>
  <c r="B15" i="172" s="1"/>
  <c r="H15" i="47"/>
  <c r="M13" i="53" s="1"/>
  <c r="I15" i="47"/>
  <c r="V13" i="53" s="1"/>
  <c r="J15" i="47"/>
  <c r="W13" i="53" s="1"/>
  <c r="L15" i="47"/>
  <c r="M15" i="47"/>
  <c r="N15" i="47"/>
  <c r="O15" i="47"/>
  <c r="P15" i="47"/>
  <c r="AL15" i="47"/>
  <c r="AQ16" i="173" s="1"/>
  <c r="B16" i="47"/>
  <c r="B16" i="172" s="1"/>
  <c r="H16" i="47"/>
  <c r="M14" i="53" s="1"/>
  <c r="I16" i="47"/>
  <c r="J16" i="47"/>
  <c r="L16" i="47"/>
  <c r="M16" i="47"/>
  <c r="N16" i="47"/>
  <c r="O16" i="47"/>
  <c r="P16" i="47"/>
  <c r="AL16" i="47"/>
  <c r="AQ17" i="173" s="1"/>
  <c r="B17" i="47"/>
  <c r="B17" i="172" s="1"/>
  <c r="H17" i="47"/>
  <c r="I17" i="47"/>
  <c r="N15" i="53" s="1"/>
  <c r="J17" i="47"/>
  <c r="O15" i="53" s="1"/>
  <c r="L17" i="47"/>
  <c r="M17" i="47"/>
  <c r="N17" i="47"/>
  <c r="O17" i="47"/>
  <c r="P17" i="47"/>
  <c r="AL17" i="47"/>
  <c r="AQ18" i="173" s="1"/>
  <c r="B18" i="47"/>
  <c r="B18" i="172" s="1"/>
  <c r="H18" i="47"/>
  <c r="U16" i="53" s="1"/>
  <c r="I18" i="47"/>
  <c r="V16" i="53" s="1"/>
  <c r="J18" i="47"/>
  <c r="O16" i="53" s="1"/>
  <c r="L18" i="47"/>
  <c r="M18" i="47"/>
  <c r="N18" i="47"/>
  <c r="O18" i="47"/>
  <c r="P18" i="47"/>
  <c r="AL18" i="47"/>
  <c r="AQ19" i="173" s="1"/>
  <c r="B19" i="47"/>
  <c r="B19" i="172" s="1"/>
  <c r="H19" i="47"/>
  <c r="M17" i="53" s="1"/>
  <c r="I19" i="47"/>
  <c r="V17" i="53" s="1"/>
  <c r="J19" i="47"/>
  <c r="W17" i="53" s="1"/>
  <c r="L19" i="47"/>
  <c r="M19" i="47"/>
  <c r="N19" i="47"/>
  <c r="O19" i="47"/>
  <c r="P19" i="47"/>
  <c r="AL19" i="47"/>
  <c r="AQ20" i="173" s="1"/>
  <c r="B20" i="47"/>
  <c r="B20" i="172" s="1"/>
  <c r="H20" i="47"/>
  <c r="U18" i="53" s="1"/>
  <c r="I20" i="47"/>
  <c r="J20" i="47"/>
  <c r="L20" i="47"/>
  <c r="M20" i="47"/>
  <c r="N20" i="47"/>
  <c r="O20" i="47"/>
  <c r="P20" i="47"/>
  <c r="AL20" i="47"/>
  <c r="AQ21" i="173" s="1"/>
  <c r="B21" i="47"/>
  <c r="B21" i="172" s="1"/>
  <c r="H21" i="47"/>
  <c r="I21" i="47"/>
  <c r="V19" i="53" s="1"/>
  <c r="J21" i="47"/>
  <c r="O19" i="53" s="1"/>
  <c r="L21" i="47"/>
  <c r="M21" i="47"/>
  <c r="N21" i="47"/>
  <c r="O21" i="47"/>
  <c r="P21" i="47"/>
  <c r="AL21" i="47"/>
  <c r="AQ22" i="173" s="1"/>
  <c r="B22" i="47"/>
  <c r="B19" i="15" s="1"/>
  <c r="H22" i="47"/>
  <c r="M20" i="53" s="1"/>
  <c r="I22" i="47"/>
  <c r="V20" i="53" s="1"/>
  <c r="J22" i="47"/>
  <c r="L22" i="47"/>
  <c r="M22" i="47"/>
  <c r="N22" i="47"/>
  <c r="O22" i="47"/>
  <c r="P22" i="47"/>
  <c r="AL22" i="47"/>
  <c r="AQ23" i="173" s="1"/>
  <c r="B23" i="47"/>
  <c r="B23" i="172" s="1"/>
  <c r="H23" i="47"/>
  <c r="M21" i="53" s="1"/>
  <c r="I23" i="47"/>
  <c r="N21" i="53" s="1"/>
  <c r="J23" i="47"/>
  <c r="W21" i="53" s="1"/>
  <c r="L23" i="47"/>
  <c r="M23" i="47"/>
  <c r="N23" i="47"/>
  <c r="O23" i="47"/>
  <c r="P23" i="47"/>
  <c r="AL23" i="47"/>
  <c r="AQ24" i="173" s="1"/>
  <c r="B24" i="47"/>
  <c r="B24" i="172" s="1"/>
  <c r="H24" i="47"/>
  <c r="U22" i="53" s="1"/>
  <c r="I24" i="47"/>
  <c r="J24" i="47"/>
  <c r="O22" i="53" s="1"/>
  <c r="L24" i="47"/>
  <c r="M24" i="47"/>
  <c r="N24" i="47"/>
  <c r="O24" i="47"/>
  <c r="P24" i="47"/>
  <c r="AL24" i="47"/>
  <c r="AQ25" i="173" s="1"/>
  <c r="B25" i="47"/>
  <c r="B25" i="172" s="1"/>
  <c r="H25" i="47"/>
  <c r="I25" i="47"/>
  <c r="V23" i="53" s="1"/>
  <c r="J25" i="47"/>
  <c r="L25" i="47"/>
  <c r="M25" i="47"/>
  <c r="N25" i="47"/>
  <c r="O25" i="47"/>
  <c r="P25" i="47"/>
  <c r="AL25" i="47"/>
  <c r="AQ26" i="173" s="1"/>
  <c r="B26" i="47"/>
  <c r="B24" i="53" s="1"/>
  <c r="H26" i="47"/>
  <c r="U24" i="53" s="1"/>
  <c r="I26" i="47"/>
  <c r="J26" i="47"/>
  <c r="L26" i="47"/>
  <c r="M26" i="47"/>
  <c r="N26" i="47"/>
  <c r="O26" i="47"/>
  <c r="P26" i="47"/>
  <c r="AL26" i="47"/>
  <c r="AQ27" i="173" s="1"/>
  <c r="B27" i="47"/>
  <c r="B27" i="172" s="1"/>
  <c r="H27" i="47"/>
  <c r="I27" i="47"/>
  <c r="V25" i="53" s="1"/>
  <c r="J27" i="47"/>
  <c r="L27" i="47"/>
  <c r="M27" i="47"/>
  <c r="N27" i="47"/>
  <c r="O27" i="47"/>
  <c r="P27" i="47"/>
  <c r="AL27" i="47"/>
  <c r="AQ28" i="173" s="1"/>
  <c r="B28" i="47"/>
  <c r="B28" i="172" s="1"/>
  <c r="H28" i="47"/>
  <c r="M26" i="53" s="1"/>
  <c r="I28" i="47"/>
  <c r="J28" i="47"/>
  <c r="L28" i="47"/>
  <c r="M28" i="47"/>
  <c r="N28" i="47"/>
  <c r="O28" i="47"/>
  <c r="P28" i="47"/>
  <c r="AL28" i="47"/>
  <c r="AQ29" i="173" s="1"/>
  <c r="B29" i="47"/>
  <c r="B27" i="53" s="1"/>
  <c r="H29" i="47"/>
  <c r="I29" i="47"/>
  <c r="N27" i="53" s="1"/>
  <c r="J29" i="47"/>
  <c r="L29" i="47"/>
  <c r="M29" i="47"/>
  <c r="N29" i="47"/>
  <c r="O29" i="47"/>
  <c r="P29" i="47"/>
  <c r="AL29" i="47"/>
  <c r="AQ30" i="173" s="1"/>
  <c r="B30" i="47"/>
  <c r="B27" i="15" s="1"/>
  <c r="H30" i="47"/>
  <c r="U28" i="53" s="1"/>
  <c r="I30" i="47"/>
  <c r="J30" i="47"/>
  <c r="O28" i="53" s="1"/>
  <c r="L30" i="47"/>
  <c r="M30" i="47"/>
  <c r="N30" i="47"/>
  <c r="O30" i="47"/>
  <c r="P30" i="47"/>
  <c r="AL30" i="47"/>
  <c r="AQ31" i="173" s="1"/>
  <c r="B31" i="47"/>
  <c r="B31" i="172" s="1"/>
  <c r="H31" i="47"/>
  <c r="I31" i="47"/>
  <c r="V29" i="53" s="1"/>
  <c r="J31" i="47"/>
  <c r="L31" i="47"/>
  <c r="M31" i="47"/>
  <c r="N31" i="47"/>
  <c r="O31" i="47"/>
  <c r="P31" i="47"/>
  <c r="AL31" i="47"/>
  <c r="AQ32" i="173" s="1"/>
  <c r="B32" i="47"/>
  <c r="B32" i="172" s="1"/>
  <c r="H32" i="47"/>
  <c r="M30" i="53" s="1"/>
  <c r="I32" i="47"/>
  <c r="J32" i="47"/>
  <c r="L32" i="47"/>
  <c r="M32" i="47"/>
  <c r="N32" i="47"/>
  <c r="O32" i="47"/>
  <c r="P32" i="47"/>
  <c r="AL32" i="47"/>
  <c r="AQ33" i="173" s="1"/>
  <c r="B33" i="47"/>
  <c r="B31" i="53" s="1"/>
  <c r="H33" i="47"/>
  <c r="I33" i="47"/>
  <c r="N31" i="53" s="1"/>
  <c r="J33" i="47"/>
  <c r="L33" i="47"/>
  <c r="M33" i="47"/>
  <c r="N33" i="47"/>
  <c r="O33" i="47"/>
  <c r="P33" i="47"/>
  <c r="AL33" i="47"/>
  <c r="AQ34" i="173" s="1"/>
  <c r="B34" i="47"/>
  <c r="B34" i="172" s="1"/>
  <c r="H34" i="47"/>
  <c r="U32" i="53" s="1"/>
  <c r="I34" i="47"/>
  <c r="J34" i="47"/>
  <c r="O32" i="53" s="1"/>
  <c r="L34" i="47"/>
  <c r="M34" i="47"/>
  <c r="N34" i="47"/>
  <c r="O34" i="47"/>
  <c r="P34" i="47"/>
  <c r="AL34" i="47"/>
  <c r="AQ35" i="173" s="1"/>
  <c r="B35" i="47"/>
  <c r="B35" i="172" s="1"/>
  <c r="H35" i="47"/>
  <c r="I35" i="47"/>
  <c r="V33" i="53" s="1"/>
  <c r="J35" i="47"/>
  <c r="L35" i="47"/>
  <c r="M35" i="47"/>
  <c r="N35" i="47"/>
  <c r="O35" i="47"/>
  <c r="P35" i="47"/>
  <c r="AL35" i="47"/>
  <c r="AQ36" i="173" s="1"/>
  <c r="B36" i="47"/>
  <c r="B36" i="172" s="1"/>
  <c r="H36" i="47"/>
  <c r="M34" i="53" s="1"/>
  <c r="I36" i="47"/>
  <c r="J36" i="47"/>
  <c r="L36" i="47"/>
  <c r="M36" i="47"/>
  <c r="N36" i="47"/>
  <c r="O36" i="47"/>
  <c r="P36" i="47"/>
  <c r="AL36" i="47"/>
  <c r="AQ37" i="173" s="1"/>
  <c r="B37" i="47"/>
  <c r="B35" i="53" s="1"/>
  <c r="H37" i="47"/>
  <c r="I37" i="47"/>
  <c r="N35" i="53" s="1"/>
  <c r="J37" i="47"/>
  <c r="L37" i="47"/>
  <c r="M37" i="47"/>
  <c r="N37" i="47"/>
  <c r="O37" i="47"/>
  <c r="P37" i="47"/>
  <c r="AL37" i="47"/>
  <c r="AQ38" i="173" s="1"/>
  <c r="B38" i="47"/>
  <c r="B35" i="15" s="1"/>
  <c r="H38" i="47"/>
  <c r="U36" i="53" s="1"/>
  <c r="I38" i="47"/>
  <c r="J38" i="47"/>
  <c r="O36" i="53" s="1"/>
  <c r="L38" i="47"/>
  <c r="M38" i="47"/>
  <c r="N38" i="47"/>
  <c r="O38" i="47"/>
  <c r="P38" i="47"/>
  <c r="AL38" i="47"/>
  <c r="AQ39" i="173" s="1"/>
  <c r="B39" i="47"/>
  <c r="B39" i="172" s="1"/>
  <c r="H39" i="47"/>
  <c r="I39" i="47"/>
  <c r="V37" i="53" s="1"/>
  <c r="J39" i="47"/>
  <c r="L39" i="47"/>
  <c r="M39" i="47"/>
  <c r="N39" i="47"/>
  <c r="O39" i="47"/>
  <c r="P39" i="47"/>
  <c r="AL39" i="47"/>
  <c r="AQ40" i="173" s="1"/>
  <c r="B40" i="47"/>
  <c r="B40" i="172" s="1"/>
  <c r="H40" i="47"/>
  <c r="M38" i="53" s="1"/>
  <c r="I40" i="47"/>
  <c r="J40" i="47"/>
  <c r="L40" i="47"/>
  <c r="M40" i="47"/>
  <c r="N40" i="47"/>
  <c r="O40" i="47"/>
  <c r="P40" i="47"/>
  <c r="AL40" i="47"/>
  <c r="AQ41" i="173" s="1"/>
  <c r="B41" i="47"/>
  <c r="B39" i="53" s="1"/>
  <c r="H41" i="47"/>
  <c r="I41" i="47"/>
  <c r="N39" i="53" s="1"/>
  <c r="J41" i="47"/>
  <c r="L41" i="47"/>
  <c r="M41" i="47"/>
  <c r="N41" i="47"/>
  <c r="O41" i="47"/>
  <c r="P41" i="47"/>
  <c r="AL41" i="47"/>
  <c r="AQ42" i="173" s="1"/>
  <c r="B2" i="48"/>
  <c r="R4" i="48"/>
  <c r="H9" i="48"/>
  <c r="B10" i="48"/>
  <c r="B11" i="48"/>
  <c r="B19" i="48" s="1"/>
  <c r="B12" i="48"/>
  <c r="B20" i="48" s="1"/>
  <c r="B13" i="48"/>
  <c r="B21" i="48" s="1"/>
  <c r="B14" i="48"/>
  <c r="B15" i="48"/>
  <c r="B23" i="48" s="1"/>
  <c r="B16" i="48"/>
  <c r="B24" i="48" s="1"/>
  <c r="B18" i="48"/>
  <c r="B22" i="48"/>
  <c r="B2" i="38"/>
  <c r="B2" i="40"/>
  <c r="N4" i="40"/>
  <c r="F15" i="40"/>
  <c r="F17" i="40" s="1"/>
  <c r="J17" i="40"/>
  <c r="A26" i="40"/>
  <c r="A27" i="40"/>
  <c r="A28" i="40"/>
  <c r="A29" i="40"/>
  <c r="A30" i="40"/>
  <c r="A31" i="40"/>
  <c r="A32" i="40"/>
  <c r="A33" i="40"/>
  <c r="A34" i="40"/>
  <c r="B2" i="41"/>
  <c r="Z3" i="41"/>
  <c r="R4" i="41"/>
  <c r="Z4" i="41"/>
  <c r="Z5" i="41"/>
  <c r="B10" i="41"/>
  <c r="H10" i="41"/>
  <c r="K10" i="41"/>
  <c r="L10" i="41"/>
  <c r="AC12" i="47" s="1"/>
  <c r="M10" i="41"/>
  <c r="AD12" i="47" s="1"/>
  <c r="AA12" i="172" s="1"/>
  <c r="N10" i="41"/>
  <c r="AE12" i="47" s="1"/>
  <c r="AB12" i="172" s="1"/>
  <c r="Q10" i="41"/>
  <c r="AH12" i="47" s="1"/>
  <c r="AE12" i="172" s="1"/>
  <c r="Z10" i="41"/>
  <c r="H11" i="41"/>
  <c r="K11" i="41"/>
  <c r="L11" i="41"/>
  <c r="M11" i="41"/>
  <c r="N11" i="41"/>
  <c r="AE13" i="47" s="1"/>
  <c r="AB13" i="172" s="1"/>
  <c r="Q11" i="41"/>
  <c r="Z11" i="41"/>
  <c r="B12" i="41"/>
  <c r="H12" i="41"/>
  <c r="K12" i="41"/>
  <c r="L12" i="41"/>
  <c r="AC14" i="47" s="1"/>
  <c r="M12" i="41"/>
  <c r="AD14" i="47" s="1"/>
  <c r="AA14" i="172" s="1"/>
  <c r="N12" i="41"/>
  <c r="AE14" i="47" s="1"/>
  <c r="AB14" i="172" s="1"/>
  <c r="Q12" i="41"/>
  <c r="AH14" i="47" s="1"/>
  <c r="AE14" i="172" s="1"/>
  <c r="Z12" i="41"/>
  <c r="H13" i="41"/>
  <c r="K13" i="41"/>
  <c r="L13" i="41"/>
  <c r="M13" i="41"/>
  <c r="N13" i="41"/>
  <c r="AE15" i="47" s="1"/>
  <c r="AB15" i="172" s="1"/>
  <c r="Q13" i="41"/>
  <c r="Z13" i="41"/>
  <c r="B14" i="41"/>
  <c r="H14" i="41"/>
  <c r="K14" i="41"/>
  <c r="L14" i="41"/>
  <c r="AC16" i="47" s="1"/>
  <c r="M14" i="41"/>
  <c r="AD16" i="47" s="1"/>
  <c r="AA16" i="172" s="1"/>
  <c r="N14" i="41"/>
  <c r="AE16" i="47" s="1"/>
  <c r="AB16" i="172" s="1"/>
  <c r="Q14" i="41"/>
  <c r="AH16" i="47" s="1"/>
  <c r="AE16" i="172" s="1"/>
  <c r="Z14" i="41"/>
  <c r="H15" i="41"/>
  <c r="K15" i="41"/>
  <c r="L15" i="41"/>
  <c r="M15" i="41"/>
  <c r="N15" i="41"/>
  <c r="AE17" i="47" s="1"/>
  <c r="AB17" i="172" s="1"/>
  <c r="Q15" i="41"/>
  <c r="Z15" i="41"/>
  <c r="B16" i="41"/>
  <c r="H16" i="41"/>
  <c r="K16" i="41"/>
  <c r="L16" i="41"/>
  <c r="AC18" i="47" s="1"/>
  <c r="M16" i="41"/>
  <c r="AD18" i="47" s="1"/>
  <c r="AA18" i="172" s="1"/>
  <c r="N16" i="41"/>
  <c r="AE18" i="47" s="1"/>
  <c r="AB18" i="172" s="1"/>
  <c r="Q16" i="41"/>
  <c r="AH18" i="47" s="1"/>
  <c r="AE18" i="172" s="1"/>
  <c r="Z16" i="41"/>
  <c r="H17" i="41"/>
  <c r="K17" i="41"/>
  <c r="L17" i="41"/>
  <c r="M17" i="41"/>
  <c r="N17" i="41"/>
  <c r="AE19" i="47" s="1"/>
  <c r="AB19" i="172" s="1"/>
  <c r="Q17" i="41"/>
  <c r="Z17" i="41"/>
  <c r="B18" i="41"/>
  <c r="H18" i="41"/>
  <c r="K18" i="41"/>
  <c r="L18" i="41"/>
  <c r="AC20" i="47" s="1"/>
  <c r="M18" i="41"/>
  <c r="AD20" i="47" s="1"/>
  <c r="AA20" i="172" s="1"/>
  <c r="N18" i="41"/>
  <c r="AE20" i="47" s="1"/>
  <c r="AB20" i="172" s="1"/>
  <c r="Q18" i="41"/>
  <c r="AH20" i="47" s="1"/>
  <c r="AE20" i="172" s="1"/>
  <c r="Z18" i="41"/>
  <c r="H19" i="41"/>
  <c r="K19" i="41"/>
  <c r="L19" i="41"/>
  <c r="M19" i="41"/>
  <c r="N19" i="41"/>
  <c r="AE21" i="47" s="1"/>
  <c r="AB21" i="172" s="1"/>
  <c r="Q19" i="41"/>
  <c r="Z19" i="41"/>
  <c r="B20" i="41"/>
  <c r="H20" i="41"/>
  <c r="K20" i="41"/>
  <c r="L20" i="41"/>
  <c r="AC22" i="47" s="1"/>
  <c r="M20" i="41"/>
  <c r="AD22" i="47" s="1"/>
  <c r="AA22" i="172" s="1"/>
  <c r="N20" i="41"/>
  <c r="AE22" i="47" s="1"/>
  <c r="AB22" i="172" s="1"/>
  <c r="Q20" i="41"/>
  <c r="AH22" i="47" s="1"/>
  <c r="AE22" i="172" s="1"/>
  <c r="Z20" i="41"/>
  <c r="H21" i="41"/>
  <c r="K21" i="41"/>
  <c r="L21" i="41"/>
  <c r="M21" i="41"/>
  <c r="N21" i="41"/>
  <c r="AE23" i="47" s="1"/>
  <c r="AB23" i="172" s="1"/>
  <c r="Q21" i="41"/>
  <c r="Z21" i="41"/>
  <c r="B22" i="41"/>
  <c r="H22" i="41"/>
  <c r="K22" i="41"/>
  <c r="L22" i="41"/>
  <c r="AC24" i="47" s="1"/>
  <c r="M22" i="41"/>
  <c r="AD24" i="47" s="1"/>
  <c r="AA24" i="172" s="1"/>
  <c r="N22" i="41"/>
  <c r="AE24" i="47" s="1"/>
  <c r="AB24" i="172" s="1"/>
  <c r="Q22" i="41"/>
  <c r="AH24" i="47" s="1"/>
  <c r="AE24" i="172" s="1"/>
  <c r="Z22" i="41"/>
  <c r="H23" i="41"/>
  <c r="K23" i="41"/>
  <c r="L23" i="41"/>
  <c r="M23" i="41"/>
  <c r="N23" i="41"/>
  <c r="AE25" i="47" s="1"/>
  <c r="AB25" i="172" s="1"/>
  <c r="Q23" i="41"/>
  <c r="Z23" i="41"/>
  <c r="B24" i="41"/>
  <c r="H24" i="41"/>
  <c r="K24" i="41"/>
  <c r="L24" i="41"/>
  <c r="AC26" i="47" s="1"/>
  <c r="M24" i="41"/>
  <c r="AD26" i="47" s="1"/>
  <c r="AA26" i="172" s="1"/>
  <c r="N24" i="41"/>
  <c r="AE26" i="47" s="1"/>
  <c r="AB26" i="172" s="1"/>
  <c r="Q24" i="41"/>
  <c r="AH26" i="47" s="1"/>
  <c r="AE26" i="172" s="1"/>
  <c r="Z24" i="41"/>
  <c r="H25" i="41"/>
  <c r="K25" i="41"/>
  <c r="L25" i="41"/>
  <c r="M25" i="41"/>
  <c r="O25" i="41" s="1"/>
  <c r="N25" i="41"/>
  <c r="AE27" i="47" s="1"/>
  <c r="AB27" i="172" s="1"/>
  <c r="Q25" i="41"/>
  <c r="Z25" i="41"/>
  <c r="B26" i="41"/>
  <c r="H26" i="41"/>
  <c r="K26" i="41"/>
  <c r="L26" i="41"/>
  <c r="AC28" i="47" s="1"/>
  <c r="M26" i="41"/>
  <c r="AD28" i="47" s="1"/>
  <c r="AA28" i="172" s="1"/>
  <c r="N26" i="41"/>
  <c r="AE28" i="47" s="1"/>
  <c r="AB28" i="172" s="1"/>
  <c r="Q26" i="41"/>
  <c r="AH28" i="47" s="1"/>
  <c r="AE28" i="172" s="1"/>
  <c r="Z26" i="41"/>
  <c r="B27" i="41"/>
  <c r="H27" i="41"/>
  <c r="K27" i="41"/>
  <c r="L27" i="41"/>
  <c r="M27" i="41"/>
  <c r="N27" i="41"/>
  <c r="AE29" i="47" s="1"/>
  <c r="AB29" i="172" s="1"/>
  <c r="Q27" i="41"/>
  <c r="Z27" i="41"/>
  <c r="B28" i="41"/>
  <c r="H28" i="41"/>
  <c r="K28" i="41"/>
  <c r="L28" i="41"/>
  <c r="AC30" i="47" s="1"/>
  <c r="M28" i="41"/>
  <c r="AD30" i="47" s="1"/>
  <c r="AA30" i="172" s="1"/>
  <c r="N28" i="41"/>
  <c r="AE30" i="47" s="1"/>
  <c r="AB30" i="172" s="1"/>
  <c r="Q28" i="41"/>
  <c r="AH30" i="47" s="1"/>
  <c r="AE30" i="172" s="1"/>
  <c r="Z28" i="41"/>
  <c r="H29" i="41"/>
  <c r="K29" i="41"/>
  <c r="L29" i="41"/>
  <c r="M29" i="41"/>
  <c r="N29" i="41"/>
  <c r="AE31" i="47" s="1"/>
  <c r="AB31" i="172" s="1"/>
  <c r="Q29" i="41"/>
  <c r="Z29" i="41"/>
  <c r="B30" i="41"/>
  <c r="H30" i="41"/>
  <c r="K30" i="41"/>
  <c r="L30" i="41"/>
  <c r="AC32" i="47" s="1"/>
  <c r="M30" i="41"/>
  <c r="AD32" i="47" s="1"/>
  <c r="AA32" i="172" s="1"/>
  <c r="N30" i="41"/>
  <c r="AE32" i="47" s="1"/>
  <c r="AB32" i="172" s="1"/>
  <c r="Q30" i="41"/>
  <c r="AH32" i="47" s="1"/>
  <c r="AE32" i="172" s="1"/>
  <c r="Z30" i="41"/>
  <c r="H31" i="41"/>
  <c r="K31" i="41"/>
  <c r="L31" i="41"/>
  <c r="M31" i="41"/>
  <c r="N31" i="41"/>
  <c r="AE33" i="47" s="1"/>
  <c r="AB33" i="172" s="1"/>
  <c r="Q31" i="41"/>
  <c r="Z31" i="41"/>
  <c r="B32" i="41"/>
  <c r="H32" i="41"/>
  <c r="K32" i="41"/>
  <c r="L32" i="41"/>
  <c r="AC34" i="47" s="1"/>
  <c r="M32" i="41"/>
  <c r="AD34" i="47" s="1"/>
  <c r="AA34" i="172" s="1"/>
  <c r="N32" i="41"/>
  <c r="AE34" i="47" s="1"/>
  <c r="AB34" i="172" s="1"/>
  <c r="Q32" i="41"/>
  <c r="AH34" i="47" s="1"/>
  <c r="AE34" i="172" s="1"/>
  <c r="Z32" i="41"/>
  <c r="H33" i="41"/>
  <c r="K33" i="41"/>
  <c r="L33" i="41"/>
  <c r="M33" i="41"/>
  <c r="N33" i="41"/>
  <c r="AE35" i="47" s="1"/>
  <c r="AB35" i="172" s="1"/>
  <c r="Q33" i="41"/>
  <c r="Z33" i="41"/>
  <c r="B34" i="41"/>
  <c r="H34" i="41"/>
  <c r="K34" i="41"/>
  <c r="L34" i="41"/>
  <c r="AC36" i="47" s="1"/>
  <c r="M34" i="41"/>
  <c r="AD36" i="47" s="1"/>
  <c r="AA36" i="172" s="1"/>
  <c r="N34" i="41"/>
  <c r="AE36" i="47" s="1"/>
  <c r="AB36" i="172" s="1"/>
  <c r="Q34" i="41"/>
  <c r="AH36" i="47" s="1"/>
  <c r="AE36" i="172" s="1"/>
  <c r="Z34" i="41"/>
  <c r="B35" i="41"/>
  <c r="H35" i="41"/>
  <c r="K35" i="41"/>
  <c r="L35" i="41"/>
  <c r="M35" i="41"/>
  <c r="N35" i="41"/>
  <c r="AE37" i="47" s="1"/>
  <c r="AB37" i="172" s="1"/>
  <c r="Q35" i="41"/>
  <c r="Z35" i="41"/>
  <c r="B36" i="41"/>
  <c r="H36" i="41"/>
  <c r="K36" i="41"/>
  <c r="L36" i="41"/>
  <c r="AC38" i="47" s="1"/>
  <c r="M36" i="41"/>
  <c r="AD38" i="47" s="1"/>
  <c r="AA38" i="172" s="1"/>
  <c r="N36" i="41"/>
  <c r="AE38" i="47" s="1"/>
  <c r="AB38" i="172" s="1"/>
  <c r="Q36" i="41"/>
  <c r="AH38" i="47" s="1"/>
  <c r="AE38" i="172" s="1"/>
  <c r="Z36" i="41"/>
  <c r="H37" i="41"/>
  <c r="K37" i="41"/>
  <c r="L37" i="41"/>
  <c r="M37" i="41"/>
  <c r="N37" i="41"/>
  <c r="AE39" i="47" s="1"/>
  <c r="AB39" i="172" s="1"/>
  <c r="Q37" i="41"/>
  <c r="Z37" i="41"/>
  <c r="B38" i="41"/>
  <c r="H38" i="41"/>
  <c r="K38" i="41"/>
  <c r="L38" i="41"/>
  <c r="AC40" i="47" s="1"/>
  <c r="M38" i="41"/>
  <c r="AD40" i="47" s="1"/>
  <c r="AA40" i="172" s="1"/>
  <c r="N38" i="41"/>
  <c r="AE40" i="47" s="1"/>
  <c r="AB40" i="172" s="1"/>
  <c r="Q38" i="41"/>
  <c r="AH40" i="47" s="1"/>
  <c r="AE40" i="172" s="1"/>
  <c r="Z38" i="41"/>
  <c r="H39" i="41"/>
  <c r="K39" i="41"/>
  <c r="L39" i="41"/>
  <c r="M39" i="41"/>
  <c r="N39" i="41"/>
  <c r="AE41" i="47" s="1"/>
  <c r="AB41" i="172" s="1"/>
  <c r="Q39" i="41"/>
  <c r="Z39" i="41"/>
  <c r="E58" i="41"/>
  <c r="B2" i="39"/>
  <c r="M7" i="39"/>
  <c r="M18" i="39"/>
  <c r="H18" i="39" s="1"/>
  <c r="H19" i="39"/>
  <c r="H27" i="39"/>
  <c r="C94" i="156" s="1"/>
  <c r="H30" i="39"/>
  <c r="H31" i="39"/>
  <c r="C97" i="156" s="1"/>
  <c r="B2" i="8"/>
  <c r="L2" i="8"/>
  <c r="I4" i="8"/>
  <c r="I8" i="8"/>
  <c r="S8" i="8" s="1"/>
  <c r="L12" i="8"/>
  <c r="D13" i="8"/>
  <c r="E13" i="8"/>
  <c r="F13" i="8"/>
  <c r="G13" i="8"/>
  <c r="I13" i="8"/>
  <c r="C14" i="156" s="1"/>
  <c r="L13" i="8"/>
  <c r="D14" i="8"/>
  <c r="E14" i="8"/>
  <c r="F14" i="8"/>
  <c r="G14" i="8"/>
  <c r="I14" i="8"/>
  <c r="L14" i="8"/>
  <c r="D15" i="8"/>
  <c r="E15" i="8"/>
  <c r="F15" i="8"/>
  <c r="G15" i="8"/>
  <c r="I15" i="8"/>
  <c r="L15" i="8"/>
  <c r="D16" i="8"/>
  <c r="E16" i="8"/>
  <c r="F16" i="8"/>
  <c r="G16" i="8"/>
  <c r="I16" i="8"/>
  <c r="L16" i="8"/>
  <c r="D17" i="8"/>
  <c r="E17" i="8"/>
  <c r="F17" i="8"/>
  <c r="G17" i="8"/>
  <c r="I17" i="8"/>
  <c r="L17" i="8"/>
  <c r="D18" i="8"/>
  <c r="E18" i="8"/>
  <c r="F18" i="8"/>
  <c r="G18" i="8"/>
  <c r="I18" i="8"/>
  <c r="L18" i="8"/>
  <c r="L20" i="8"/>
  <c r="D22" i="8"/>
  <c r="E22" i="8"/>
  <c r="F22" i="8"/>
  <c r="G22" i="8"/>
  <c r="I22" i="8"/>
  <c r="D18" i="229" s="1"/>
  <c r="L22" i="8"/>
  <c r="D23" i="8"/>
  <c r="E23" i="8"/>
  <c r="F23" i="8"/>
  <c r="G23" i="8"/>
  <c r="I23" i="8"/>
  <c r="L23" i="8"/>
  <c r="D24" i="8"/>
  <c r="E24" i="8"/>
  <c r="F24" i="8"/>
  <c r="G24" i="8"/>
  <c r="I24" i="8"/>
  <c r="L24" i="8"/>
  <c r="D25" i="8"/>
  <c r="E25" i="8"/>
  <c r="F25" i="8"/>
  <c r="G25" i="8"/>
  <c r="I25" i="8"/>
  <c r="L25" i="8"/>
  <c r="D26" i="8"/>
  <c r="E26" i="8"/>
  <c r="F26" i="8"/>
  <c r="G26" i="8"/>
  <c r="I26" i="8"/>
  <c r="L26" i="8"/>
  <c r="D27" i="8"/>
  <c r="E27" i="8"/>
  <c r="F27" i="8"/>
  <c r="G27" i="8"/>
  <c r="I27" i="8"/>
  <c r="L27" i="8"/>
  <c r="L29" i="8"/>
  <c r="L33" i="8"/>
  <c r="D34" i="8"/>
  <c r="E34" i="8"/>
  <c r="F34" i="8"/>
  <c r="G34" i="8"/>
  <c r="I34" i="8"/>
  <c r="L34" i="8"/>
  <c r="D35" i="8"/>
  <c r="E35" i="8"/>
  <c r="F35" i="8"/>
  <c r="G35" i="8"/>
  <c r="I35" i="8"/>
  <c r="L35" i="8"/>
  <c r="D36" i="8"/>
  <c r="E36" i="8"/>
  <c r="F36" i="8"/>
  <c r="G36" i="8"/>
  <c r="I36" i="8"/>
  <c r="L36" i="8"/>
  <c r="D37" i="8"/>
  <c r="E37" i="8"/>
  <c r="F37" i="8"/>
  <c r="G37" i="8"/>
  <c r="I37" i="8"/>
  <c r="L37" i="8"/>
  <c r="L39" i="8"/>
  <c r="D41" i="8"/>
  <c r="E41" i="8"/>
  <c r="F41" i="8"/>
  <c r="G41" i="8"/>
  <c r="I41" i="8"/>
  <c r="L41" i="8"/>
  <c r="D42" i="8"/>
  <c r="E42" i="8"/>
  <c r="F42" i="8"/>
  <c r="G42" i="8"/>
  <c r="I42" i="8"/>
  <c r="L42" i="8"/>
  <c r="D43" i="8"/>
  <c r="E43" i="8"/>
  <c r="F43" i="8"/>
  <c r="G43" i="8"/>
  <c r="I43" i="8"/>
  <c r="L43" i="8"/>
  <c r="L45" i="8"/>
  <c r="L47" i="8"/>
  <c r="D48" i="8"/>
  <c r="E48" i="8"/>
  <c r="F48" i="8"/>
  <c r="G48" i="8"/>
  <c r="I48" i="8"/>
  <c r="L48" i="8"/>
  <c r="D49" i="8"/>
  <c r="E49" i="8"/>
  <c r="F49" i="8"/>
  <c r="G49" i="8"/>
  <c r="I49" i="8"/>
  <c r="L49" i="8"/>
  <c r="D50" i="8"/>
  <c r="E50" i="8"/>
  <c r="F50" i="8"/>
  <c r="G50" i="8"/>
  <c r="I50" i="8"/>
  <c r="L50" i="8"/>
  <c r="D51" i="8"/>
  <c r="E51" i="8"/>
  <c r="F51" i="8"/>
  <c r="G51" i="8"/>
  <c r="I51" i="8"/>
  <c r="L51" i="8"/>
  <c r="D52" i="8"/>
  <c r="E52" i="8"/>
  <c r="F52" i="8"/>
  <c r="G52" i="8"/>
  <c r="I52" i="8"/>
  <c r="L52" i="8"/>
  <c r="L54" i="8"/>
  <c r="L56" i="8"/>
  <c r="D63" i="8"/>
  <c r="E63" i="8"/>
  <c r="F63" i="8"/>
  <c r="G63" i="8"/>
  <c r="I63" i="8"/>
  <c r="B2" i="10"/>
  <c r="M2" i="10"/>
  <c r="J4" i="10"/>
  <c r="G9" i="10"/>
  <c r="G8" i="8" s="1"/>
  <c r="Q8" i="8" s="1"/>
  <c r="H9" i="10"/>
  <c r="J9" i="10"/>
  <c r="U9" i="10" s="1"/>
  <c r="S9" i="10"/>
  <c r="M11" i="10"/>
  <c r="O11" i="10"/>
  <c r="P11" i="10"/>
  <c r="Q11" i="10"/>
  <c r="R11" i="10"/>
  <c r="S11" i="10"/>
  <c r="U11" i="10"/>
  <c r="D13" i="10"/>
  <c r="O13" i="10" s="1"/>
  <c r="E13" i="10"/>
  <c r="P13" i="10" s="1"/>
  <c r="F13" i="10"/>
  <c r="Q13" i="10" s="1"/>
  <c r="G13" i="10"/>
  <c r="H13" i="10"/>
  <c r="S13" i="10" s="1"/>
  <c r="J13" i="10"/>
  <c r="M13" i="10"/>
  <c r="D15" i="10"/>
  <c r="E15" i="10"/>
  <c r="F15" i="10"/>
  <c r="G15" i="10"/>
  <c r="H15" i="10"/>
  <c r="J15" i="10"/>
  <c r="M15" i="10"/>
  <c r="M17" i="10"/>
  <c r="M19" i="10"/>
  <c r="D20" i="10"/>
  <c r="E20" i="10"/>
  <c r="F20" i="10"/>
  <c r="G20" i="10"/>
  <c r="H20" i="10"/>
  <c r="J20" i="10"/>
  <c r="M20" i="10"/>
  <c r="D21" i="10"/>
  <c r="E21" i="10"/>
  <c r="F21" i="10"/>
  <c r="G21" i="10"/>
  <c r="H21" i="10"/>
  <c r="J21" i="10"/>
  <c r="M21" i="10"/>
  <c r="D22" i="10"/>
  <c r="E22" i="10"/>
  <c r="F22" i="10"/>
  <c r="G22" i="10"/>
  <c r="H22" i="10"/>
  <c r="J22" i="10"/>
  <c r="M22" i="10"/>
  <c r="D23" i="10"/>
  <c r="E23" i="10"/>
  <c r="F23" i="10"/>
  <c r="G23" i="10"/>
  <c r="H23" i="10"/>
  <c r="J23" i="10"/>
  <c r="M23" i="10"/>
  <c r="D24" i="10"/>
  <c r="E24" i="10"/>
  <c r="F24" i="10"/>
  <c r="G24" i="10"/>
  <c r="H24" i="10"/>
  <c r="J24" i="10"/>
  <c r="M24" i="10"/>
  <c r="M26" i="10"/>
  <c r="M28" i="10"/>
  <c r="D30" i="10"/>
  <c r="E30" i="10"/>
  <c r="F30" i="10"/>
  <c r="G30" i="10"/>
  <c r="H30" i="10"/>
  <c r="J30" i="10"/>
  <c r="M30" i="10"/>
  <c r="D31" i="10"/>
  <c r="E31" i="10"/>
  <c r="F31" i="10"/>
  <c r="G31" i="10"/>
  <c r="H31" i="10"/>
  <c r="J31" i="10"/>
  <c r="M31" i="10"/>
  <c r="D32" i="10"/>
  <c r="E32" i="10"/>
  <c r="F32" i="10"/>
  <c r="G32" i="10"/>
  <c r="H32" i="10"/>
  <c r="J32" i="10"/>
  <c r="M32" i="10"/>
  <c r="M34" i="10"/>
  <c r="D36" i="10"/>
  <c r="E36" i="10"/>
  <c r="F36" i="10"/>
  <c r="G36" i="10"/>
  <c r="H36" i="10"/>
  <c r="J36" i="10"/>
  <c r="M36" i="10"/>
  <c r="M38" i="10"/>
  <c r="M40" i="10"/>
  <c r="D41" i="10"/>
  <c r="E41" i="10"/>
  <c r="F41" i="10"/>
  <c r="G41" i="10"/>
  <c r="H41" i="10"/>
  <c r="J41" i="10"/>
  <c r="M41" i="10"/>
  <c r="M43" i="10"/>
  <c r="B2" i="229"/>
  <c r="O4" i="229"/>
  <c r="G10" i="229"/>
  <c r="H10" i="229" s="1"/>
  <c r="D11" i="229"/>
  <c r="F11" i="229"/>
  <c r="G11" i="229"/>
  <c r="H11" i="229"/>
  <c r="I11" i="229"/>
  <c r="J11" i="229"/>
  <c r="K11" i="229"/>
  <c r="L11" i="229"/>
  <c r="M11" i="229"/>
  <c r="N11" i="229"/>
  <c r="O11" i="229"/>
  <c r="P11" i="229"/>
  <c r="D12" i="229"/>
  <c r="F12" i="229"/>
  <c r="G12" i="229"/>
  <c r="H12" i="229"/>
  <c r="I12" i="229"/>
  <c r="J12" i="229"/>
  <c r="K12" i="229"/>
  <c r="L12" i="229"/>
  <c r="M12" i="229"/>
  <c r="N12" i="229"/>
  <c r="O12" i="229"/>
  <c r="P12" i="229"/>
  <c r="F17" i="229"/>
  <c r="G17" i="229" s="1"/>
  <c r="H17" i="229" s="1"/>
  <c r="I17" i="229" s="1"/>
  <c r="J17" i="229" s="1"/>
  <c r="K17" i="229" s="1"/>
  <c r="L17" i="229" s="1"/>
  <c r="M17" i="229" s="1"/>
  <c r="N17" i="229" s="1"/>
  <c r="O17" i="229" s="1"/>
  <c r="P17" i="229" s="1"/>
  <c r="G20" i="229"/>
  <c r="H20" i="229" s="1"/>
  <c r="I20" i="229" s="1"/>
  <c r="J20" i="229" s="1"/>
  <c r="K20" i="229" s="1"/>
  <c r="L20" i="229" s="1"/>
  <c r="M20" i="229" s="1"/>
  <c r="N20" i="229" s="1"/>
  <c r="O20" i="229" s="1"/>
  <c r="P20" i="229" s="1"/>
  <c r="F21" i="229"/>
  <c r="G21" i="229"/>
  <c r="H21" i="229"/>
  <c r="I21" i="229"/>
  <c r="J21" i="229"/>
  <c r="K21" i="229"/>
  <c r="L21" i="229"/>
  <c r="M21" i="229"/>
  <c r="N21" i="229"/>
  <c r="O21" i="229"/>
  <c r="P21" i="229"/>
  <c r="F22" i="229"/>
  <c r="G22" i="229"/>
  <c r="H22" i="229"/>
  <c r="I22" i="229"/>
  <c r="J22" i="229"/>
  <c r="K22" i="229"/>
  <c r="L22" i="229"/>
  <c r="M22" i="229"/>
  <c r="N22" i="229"/>
  <c r="O22" i="229"/>
  <c r="P22" i="229"/>
  <c r="F23" i="229"/>
  <c r="G23" i="229"/>
  <c r="H23" i="229"/>
  <c r="I23" i="229"/>
  <c r="J23" i="229"/>
  <c r="K23" i="229"/>
  <c r="L23" i="229"/>
  <c r="M23" i="229"/>
  <c r="N23" i="229"/>
  <c r="O23" i="229"/>
  <c r="P23" i="229"/>
  <c r="B45" i="229"/>
  <c r="F60" i="229"/>
  <c r="G60" i="229"/>
  <c r="H60" i="229"/>
  <c r="I60" i="229"/>
  <c r="J60" i="229"/>
  <c r="F61" i="229"/>
  <c r="G61" i="229"/>
  <c r="H61" i="229"/>
  <c r="I61" i="229"/>
  <c r="J61" i="229"/>
  <c r="K61" i="229"/>
  <c r="L61" i="229"/>
  <c r="F62" i="229"/>
  <c r="G62" i="229"/>
  <c r="H62" i="229"/>
  <c r="I62" i="229"/>
  <c r="J62" i="229"/>
  <c r="K62" i="229"/>
  <c r="L62" i="229"/>
  <c r="M62" i="229"/>
  <c r="N62" i="229"/>
  <c r="O62" i="229"/>
  <c r="P62" i="229"/>
  <c r="F63" i="229"/>
  <c r="G63" i="229"/>
  <c r="H63" i="229"/>
  <c r="I63" i="229"/>
  <c r="J63" i="229"/>
  <c r="K63" i="229"/>
  <c r="L63" i="229"/>
  <c r="M63" i="229"/>
  <c r="N63" i="229"/>
  <c r="O63" i="229"/>
  <c r="P63" i="229"/>
  <c r="Q63" i="229"/>
  <c r="R63" i="229"/>
  <c r="S63" i="229"/>
  <c r="T63" i="229"/>
  <c r="U63" i="229"/>
  <c r="F64" i="229"/>
  <c r="G64" i="229"/>
  <c r="H64" i="229"/>
  <c r="I64" i="229"/>
  <c r="J64" i="229"/>
  <c r="K64" i="229"/>
  <c r="L64" i="229"/>
  <c r="M64" i="229"/>
  <c r="N64" i="229"/>
  <c r="O64" i="229"/>
  <c r="P64" i="229"/>
  <c r="Q64" i="229"/>
  <c r="R64" i="229"/>
  <c r="S64" i="229"/>
  <c r="T64" i="229"/>
  <c r="U64" i="229"/>
  <c r="V64" i="229"/>
  <c r="W64" i="229"/>
  <c r="X64" i="229"/>
  <c r="Y64" i="229"/>
  <c r="Z64" i="229"/>
  <c r="B2" i="6"/>
  <c r="O4" i="6"/>
  <c r="J12" i="6"/>
  <c r="J14" i="6" s="1"/>
  <c r="F14" i="6"/>
  <c r="F19" i="6" s="1"/>
  <c r="G14" i="6"/>
  <c r="H14" i="6"/>
  <c r="I14" i="6"/>
  <c r="J17" i="6"/>
  <c r="K17" i="6" s="1"/>
  <c r="L17" i="6" s="1"/>
  <c r="M17" i="6" s="1"/>
  <c r="N17" i="6" s="1"/>
  <c r="O17" i="6" s="1"/>
  <c r="H19" i="6"/>
  <c r="H20" i="6" s="1"/>
  <c r="F28" i="6"/>
  <c r="G28" i="6"/>
  <c r="H28" i="6"/>
  <c r="I28" i="6"/>
  <c r="M31" i="6"/>
  <c r="N31" i="6" s="1"/>
  <c r="O31" i="6" s="1"/>
  <c r="D47" i="6"/>
  <c r="W7" i="41" s="1"/>
  <c r="L67" i="6"/>
  <c r="K67" i="6" s="1"/>
  <c r="N67" i="6"/>
  <c r="O67" i="6" s="1"/>
  <c r="Q67" i="6"/>
  <c r="D17" i="248" s="1"/>
  <c r="G68" i="6"/>
  <c r="J69" i="6"/>
  <c r="J68" i="6" s="1"/>
  <c r="J71" i="6"/>
  <c r="J72" i="6" s="1"/>
  <c r="K75" i="6"/>
  <c r="D10" i="4" s="1"/>
  <c r="M75" i="6"/>
  <c r="F10" i="4" s="1"/>
  <c r="F116" i="6"/>
  <c r="G116" i="6"/>
  <c r="H116" i="6"/>
  <c r="I116" i="6"/>
  <c r="J116" i="6"/>
  <c r="K117" i="6" s="1"/>
  <c r="K116" i="6"/>
  <c r="I117" i="6"/>
  <c r="B2" i="66"/>
  <c r="O3" i="66"/>
  <c r="L4" i="66"/>
  <c r="P4" i="66"/>
  <c r="F9" i="66"/>
  <c r="F23" i="66"/>
  <c r="B2" i="52"/>
  <c r="S4" i="52"/>
  <c r="D9" i="52"/>
  <c r="D28" i="4" s="1"/>
  <c r="D11" i="52"/>
  <c r="C31" i="156" s="1"/>
  <c r="E15" i="52"/>
  <c r="E140" i="52" s="1"/>
  <c r="W18" i="52"/>
  <c r="B19" i="52"/>
  <c r="B26" i="52" s="1"/>
  <c r="W19" i="52"/>
  <c r="H19" i="52" s="1"/>
  <c r="B20" i="52"/>
  <c r="B27" i="52" s="1"/>
  <c r="W20" i="52"/>
  <c r="G20" i="52" s="1"/>
  <c r="H20" i="52" s="1"/>
  <c r="B21" i="52"/>
  <c r="B57" i="52" s="1"/>
  <c r="W21" i="52"/>
  <c r="F21" i="52" s="1"/>
  <c r="B22" i="52"/>
  <c r="B29" i="52" s="1"/>
  <c r="W22" i="52"/>
  <c r="E22" i="52" s="1"/>
  <c r="B23" i="52"/>
  <c r="B30" i="52" s="1"/>
  <c r="W23" i="52"/>
  <c r="D23" i="52" s="1"/>
  <c r="E23" i="52" s="1"/>
  <c r="F23" i="52" s="1"/>
  <c r="G23" i="52" s="1"/>
  <c r="H23" i="52" s="1"/>
  <c r="B24" i="52"/>
  <c r="B31" i="52" s="1"/>
  <c r="W24" i="52"/>
  <c r="B25" i="52"/>
  <c r="B61" i="52" s="1"/>
  <c r="W25" i="52"/>
  <c r="I34" i="52"/>
  <c r="J34" i="52"/>
  <c r="K34" i="52"/>
  <c r="L34" i="52"/>
  <c r="M34" i="52"/>
  <c r="N34" i="52"/>
  <c r="O34" i="52"/>
  <c r="P34" i="52"/>
  <c r="Q34" i="52"/>
  <c r="R34" i="52"/>
  <c r="S34" i="52"/>
  <c r="W36" i="52"/>
  <c r="B37" i="52"/>
  <c r="B44" i="52" s="1"/>
  <c r="B38" i="52"/>
  <c r="B45" i="52" s="1"/>
  <c r="B39" i="52"/>
  <c r="B46" i="52" s="1"/>
  <c r="B40" i="52"/>
  <c r="B47" i="52" s="1"/>
  <c r="B41" i="52"/>
  <c r="B48" i="52" s="1"/>
  <c r="B42" i="52"/>
  <c r="B49" i="52" s="1"/>
  <c r="B43" i="52"/>
  <c r="B50" i="52" s="1"/>
  <c r="D52" i="52"/>
  <c r="E52" i="52"/>
  <c r="F52" i="52"/>
  <c r="G52" i="52"/>
  <c r="H52" i="52"/>
  <c r="I52" i="52"/>
  <c r="J52" i="52"/>
  <c r="K52" i="52"/>
  <c r="L52" i="52"/>
  <c r="M52" i="52"/>
  <c r="N52" i="52"/>
  <c r="O52" i="52"/>
  <c r="P52" i="52"/>
  <c r="Q52" i="52"/>
  <c r="R52" i="52"/>
  <c r="S52" i="52"/>
  <c r="W54" i="52"/>
  <c r="W55" i="52"/>
  <c r="Y62" i="52"/>
  <c r="Y63" i="52"/>
  <c r="Y64" i="52"/>
  <c r="Y65" i="52"/>
  <c r="Y66" i="52"/>
  <c r="Y67" i="52"/>
  <c r="Y68" i="52"/>
  <c r="W69" i="52"/>
  <c r="Y69" i="52"/>
  <c r="B70" i="52"/>
  <c r="B127" i="52" s="1"/>
  <c r="W70" i="52"/>
  <c r="Y70" i="52"/>
  <c r="B71" i="52"/>
  <c r="B128" i="52" s="1"/>
  <c r="W71" i="52"/>
  <c r="Y71" i="52"/>
  <c r="B72" i="52"/>
  <c r="B129" i="52" s="1"/>
  <c r="W72" i="52"/>
  <c r="Y72" i="52"/>
  <c r="W73" i="52"/>
  <c r="Y73" i="52"/>
  <c r="B74" i="52"/>
  <c r="B131" i="52" s="1"/>
  <c r="B161" i="52" s="1"/>
  <c r="W74" i="52"/>
  <c r="Y74" i="52"/>
  <c r="B75" i="52"/>
  <c r="B132" i="52" s="1"/>
  <c r="W75" i="52"/>
  <c r="Y75" i="52"/>
  <c r="B76" i="52"/>
  <c r="B133" i="52" s="1"/>
  <c r="W76" i="52"/>
  <c r="Y76" i="52"/>
  <c r="W77" i="52"/>
  <c r="Y77" i="52"/>
  <c r="B78" i="52"/>
  <c r="B135" i="52" s="1"/>
  <c r="W78" i="52"/>
  <c r="B79" i="52"/>
  <c r="B136" i="52" s="1"/>
  <c r="D81" i="52"/>
  <c r="E81" i="52"/>
  <c r="F81" i="52"/>
  <c r="G81" i="52"/>
  <c r="H81" i="52"/>
  <c r="I81" i="52"/>
  <c r="J81" i="52"/>
  <c r="K81" i="52"/>
  <c r="L81" i="52"/>
  <c r="M81" i="52"/>
  <c r="N81" i="52"/>
  <c r="O81" i="52"/>
  <c r="P81" i="52"/>
  <c r="Q81" i="52"/>
  <c r="R81" i="52"/>
  <c r="S81" i="52"/>
  <c r="D85" i="52"/>
  <c r="E85" i="52"/>
  <c r="F85" i="52"/>
  <c r="G85" i="52"/>
  <c r="H85" i="52"/>
  <c r="I85" i="52"/>
  <c r="J85" i="52"/>
  <c r="K85" i="52"/>
  <c r="L85" i="52"/>
  <c r="M85" i="52"/>
  <c r="N85" i="52"/>
  <c r="O85" i="52"/>
  <c r="P85" i="52"/>
  <c r="Q85" i="52"/>
  <c r="R85" i="52"/>
  <c r="S85" i="52"/>
  <c r="D92" i="52"/>
  <c r="E92" i="52"/>
  <c r="S95" i="52"/>
  <c r="S100" i="52" s="1"/>
  <c r="D108" i="52"/>
  <c r="E108" i="52"/>
  <c r="D138" i="52"/>
  <c r="E138" i="52"/>
  <c r="F138" i="52"/>
  <c r="G138" i="52"/>
  <c r="H138" i="52"/>
  <c r="I138" i="52"/>
  <c r="J138" i="52"/>
  <c r="K138" i="52"/>
  <c r="L138" i="52"/>
  <c r="M138" i="52"/>
  <c r="N138" i="52"/>
  <c r="O138" i="52"/>
  <c r="P138" i="52"/>
  <c r="Q138" i="52"/>
  <c r="R138" i="52"/>
  <c r="S138" i="52"/>
  <c r="D170" i="52"/>
  <c r="D204" i="52" s="1"/>
  <c r="D232" i="52" s="1"/>
  <c r="E170" i="52"/>
  <c r="E204" i="52" s="1"/>
  <c r="E232" i="52" s="1"/>
  <c r="B26" i="66"/>
  <c r="B2" i="132"/>
  <c r="F8" i="132"/>
  <c r="E31" i="132"/>
  <c r="F35" i="132"/>
  <c r="E39" i="132"/>
  <c r="F43" i="132"/>
  <c r="F47" i="132"/>
  <c r="F51" i="132"/>
  <c r="F55" i="132"/>
  <c r="F59" i="132"/>
  <c r="F63" i="132"/>
  <c r="F67" i="132"/>
  <c r="E73" i="132"/>
  <c r="E77" i="132"/>
  <c r="E81" i="132"/>
  <c r="F91" i="132"/>
  <c r="F95" i="132"/>
  <c r="F99" i="132"/>
  <c r="F103" i="132"/>
  <c r="B2" i="126"/>
  <c r="G4" i="126"/>
  <c r="F11" i="126"/>
  <c r="J11" i="126" s="1"/>
  <c r="K11" i="126"/>
  <c r="F12" i="126"/>
  <c r="J12" i="126" s="1"/>
  <c r="G12" i="126"/>
  <c r="D51" i="126" s="1"/>
  <c r="D52" i="126" s="1"/>
  <c r="K12" i="126"/>
  <c r="F13" i="126"/>
  <c r="J13" i="126" s="1"/>
  <c r="K13" i="126"/>
  <c r="B15" i="126"/>
  <c r="C18" i="126"/>
  <c r="C19" i="126" s="1"/>
  <c r="D19" i="126" s="1"/>
  <c r="D18" i="126"/>
  <c r="E18" i="126"/>
  <c r="B22" i="126"/>
  <c r="C25" i="126"/>
  <c r="E25" i="126"/>
  <c r="B29" i="126"/>
  <c r="C32" i="126"/>
  <c r="E32" i="126"/>
  <c r="F39" i="126"/>
  <c r="G39" i="126"/>
  <c r="C40" i="126"/>
  <c r="E40" i="126"/>
  <c r="G40" i="126"/>
  <c r="C45" i="126"/>
  <c r="J45" i="126"/>
  <c r="B46" i="126"/>
  <c r="D46" i="126"/>
  <c r="J46" i="126"/>
  <c r="C47" i="126"/>
  <c r="C48" i="126" s="1"/>
  <c r="D47" i="126"/>
  <c r="E47" i="126"/>
  <c r="E49" i="126" s="1"/>
  <c r="E51" i="126" s="1"/>
  <c r="E53" i="126" s="1"/>
  <c r="J47" i="126"/>
  <c r="B48" i="126"/>
  <c r="J48" i="126" s="1"/>
  <c r="D48" i="126"/>
  <c r="E48" i="126"/>
  <c r="E50" i="126" s="1"/>
  <c r="E52" i="126" s="1"/>
  <c r="E54" i="126" s="1"/>
  <c r="C49" i="126"/>
  <c r="C55" i="126" s="1"/>
  <c r="J49" i="126"/>
  <c r="B50" i="126"/>
  <c r="D50" i="126"/>
  <c r="J50" i="126"/>
  <c r="J51" i="126"/>
  <c r="B52" i="126"/>
  <c r="J52" i="126" s="1"/>
  <c r="C53" i="126"/>
  <c r="C54" i="126" s="1"/>
  <c r="C57" i="126" s="1"/>
  <c r="D53" i="126"/>
  <c r="D54" i="126" s="1"/>
  <c r="J53" i="126"/>
  <c r="B54" i="126"/>
  <c r="J54" i="126" s="1"/>
  <c r="D55" i="126"/>
  <c r="J55" i="126"/>
  <c r="D56" i="126"/>
  <c r="J56" i="126"/>
  <c r="B57" i="126"/>
  <c r="D57" i="126"/>
  <c r="J57" i="126"/>
  <c r="D70" i="126"/>
  <c r="G70" i="126" s="1"/>
  <c r="D71" i="126"/>
  <c r="E71" i="126"/>
  <c r="E72" i="126" s="1"/>
  <c r="F72" i="126" s="1"/>
  <c r="F77" i="126" s="1"/>
  <c r="F82" i="126" s="1"/>
  <c r="F71" i="126"/>
  <c r="D72" i="126"/>
  <c r="B75" i="126"/>
  <c r="B80" i="126" s="1"/>
  <c r="E75" i="126"/>
  <c r="E80" i="126" s="1"/>
  <c r="B76" i="126"/>
  <c r="B81" i="126" s="1"/>
  <c r="F76" i="126"/>
  <c r="B77" i="126"/>
  <c r="B82" i="126" s="1"/>
  <c r="F81" i="126"/>
  <c r="E91" i="126"/>
  <c r="H91" i="126" s="1"/>
  <c r="E92" i="126"/>
  <c r="F92" i="126"/>
  <c r="G92" i="126"/>
  <c r="E93" i="126"/>
  <c r="F93" i="126"/>
  <c r="G93" i="126"/>
  <c r="E94" i="126"/>
  <c r="F94" i="126"/>
  <c r="G94" i="126"/>
  <c r="G100" i="126" s="1"/>
  <c r="D96" i="126"/>
  <c r="B97" i="126"/>
  <c r="F97" i="126"/>
  <c r="B98" i="126"/>
  <c r="G98" i="126"/>
  <c r="B99" i="126"/>
  <c r="G99" i="126"/>
  <c r="B100" i="126"/>
  <c r="D102" i="126"/>
  <c r="B103" i="126"/>
  <c r="F103" i="126"/>
  <c r="B104" i="126"/>
  <c r="G104" i="126"/>
  <c r="B105" i="126"/>
  <c r="G105" i="126"/>
  <c r="B106" i="126"/>
  <c r="F115" i="126"/>
  <c r="D120" i="126"/>
  <c r="C151" i="126" s="1"/>
  <c r="D121" i="126"/>
  <c r="C122" i="126"/>
  <c r="C150" i="126" s="1"/>
  <c r="B124" i="126"/>
  <c r="C127" i="126"/>
  <c r="D127" i="126" s="1"/>
  <c r="F128" i="126"/>
  <c r="F129" i="126" s="1"/>
  <c r="B131" i="126"/>
  <c r="C134" i="126"/>
  <c r="C135" i="126" s="1"/>
  <c r="D135" i="126" s="1"/>
  <c r="F135" i="126" s="1"/>
  <c r="E134" i="126"/>
  <c r="C142" i="126"/>
  <c r="C149" i="126"/>
  <c r="G159" i="126" s="1"/>
  <c r="B2" i="73"/>
  <c r="M4" i="73"/>
  <c r="D11" i="73"/>
  <c r="D13" i="73" s="1"/>
  <c r="E8" i="11" s="1"/>
  <c r="E11" i="73"/>
  <c r="E13" i="73" s="1"/>
  <c r="F11" i="73"/>
  <c r="F13" i="73" s="1"/>
  <c r="F8" i="11" s="1"/>
  <c r="G11" i="73"/>
  <c r="G13" i="73" s="1"/>
  <c r="H11" i="73"/>
  <c r="I11" i="73"/>
  <c r="I13" i="73" s="1"/>
  <c r="J11" i="73"/>
  <c r="J13" i="73" s="1"/>
  <c r="K11" i="73"/>
  <c r="K13" i="73" s="1"/>
  <c r="H8" i="11" s="1"/>
  <c r="L11" i="73"/>
  <c r="L13" i="73" s="1"/>
  <c r="M11" i="73"/>
  <c r="M13" i="73" s="1"/>
  <c r="H13" i="73"/>
  <c r="G8" i="11" s="1"/>
  <c r="D28" i="73"/>
  <c r="D29" i="73" s="1"/>
  <c r="E28" i="73"/>
  <c r="E29" i="73" s="1"/>
  <c r="F28" i="73"/>
  <c r="F29" i="73" s="1"/>
  <c r="G28" i="73"/>
  <c r="G29" i="73" s="1"/>
  <c r="H28" i="73"/>
  <c r="H29" i="73" s="1"/>
  <c r="I28" i="73"/>
  <c r="I29" i="73" s="1"/>
  <c r="J28" i="73"/>
  <c r="J29" i="73" s="1"/>
  <c r="K28" i="73"/>
  <c r="L28" i="73"/>
  <c r="L29" i="73" s="1"/>
  <c r="M28" i="73"/>
  <c r="M29" i="73" s="1"/>
  <c r="K29" i="73"/>
  <c r="Q30" i="73"/>
  <c r="D35" i="73"/>
  <c r="D36" i="73" s="1"/>
  <c r="E35" i="73"/>
  <c r="E36" i="73" s="1"/>
  <c r="F35" i="73"/>
  <c r="F36" i="73" s="1"/>
  <c r="G35" i="73"/>
  <c r="H35" i="73"/>
  <c r="I35" i="73"/>
  <c r="I36" i="73" s="1"/>
  <c r="J35" i="73"/>
  <c r="J36" i="73" s="1"/>
  <c r="K35" i="73"/>
  <c r="L35" i="73"/>
  <c r="L36" i="73" s="1"/>
  <c r="M35" i="73"/>
  <c r="M36" i="73" s="1"/>
  <c r="G36" i="73"/>
  <c r="H36" i="73"/>
  <c r="K36" i="73"/>
  <c r="D42" i="73"/>
  <c r="D43" i="73" s="1"/>
  <c r="E42" i="73"/>
  <c r="E43" i="73" s="1"/>
  <c r="F42" i="73"/>
  <c r="G42" i="73"/>
  <c r="H42" i="73"/>
  <c r="H43" i="73" s="1"/>
  <c r="I42" i="73"/>
  <c r="I44" i="73" s="1"/>
  <c r="J42" i="73"/>
  <c r="J43" i="73" s="1"/>
  <c r="K42" i="73"/>
  <c r="K43" i="73" s="1"/>
  <c r="L42" i="73"/>
  <c r="L43" i="73" s="1"/>
  <c r="M42" i="73"/>
  <c r="M43" i="73" s="1"/>
  <c r="F43" i="73"/>
  <c r="G43" i="73"/>
  <c r="D44" i="73"/>
  <c r="L44" i="73"/>
  <c r="D52" i="73"/>
  <c r="E52" i="73"/>
  <c r="F52" i="73"/>
  <c r="G52" i="73"/>
  <c r="H52" i="73"/>
  <c r="I52" i="73"/>
  <c r="J52" i="73"/>
  <c r="K52" i="73"/>
  <c r="L52" i="73"/>
  <c r="M52" i="73"/>
  <c r="B62" i="73"/>
  <c r="B75" i="73" s="1"/>
  <c r="O62" i="73"/>
  <c r="B63" i="73"/>
  <c r="O63" i="73"/>
  <c r="B64" i="73"/>
  <c r="B77" i="73" s="1"/>
  <c r="O64" i="73"/>
  <c r="B65" i="73"/>
  <c r="B78" i="73" s="1"/>
  <c r="B110" i="73" s="1"/>
  <c r="B237" i="73" s="1"/>
  <c r="B282" i="73" s="1"/>
  <c r="O65" i="73"/>
  <c r="B66" i="73"/>
  <c r="B79" i="73" s="1"/>
  <c r="O66" i="73"/>
  <c r="B67" i="73"/>
  <c r="B80" i="73" s="1"/>
  <c r="B87" i="73" s="1"/>
  <c r="B119" i="73" s="1"/>
  <c r="B254" i="73" s="1"/>
  <c r="B299" i="73" s="1"/>
  <c r="O67" i="73"/>
  <c r="B68" i="73"/>
  <c r="B81" i="73" s="1"/>
  <c r="O68" i="73"/>
  <c r="B76" i="73"/>
  <c r="B83" i="73" s="1"/>
  <c r="B115" i="73" s="1"/>
  <c r="B250" i="73" s="1"/>
  <c r="B295" i="73" s="1"/>
  <c r="B90" i="73"/>
  <c r="B122" i="73" s="1"/>
  <c r="B257" i="73" s="1"/>
  <c r="B302" i="73" s="1"/>
  <c r="B91" i="73"/>
  <c r="B123" i="73" s="1"/>
  <c r="B258" i="73" s="1"/>
  <c r="B303" i="73" s="1"/>
  <c r="B92" i="73"/>
  <c r="B124" i="73" s="1"/>
  <c r="B259" i="73" s="1"/>
  <c r="B304" i="73" s="1"/>
  <c r="B94" i="73"/>
  <c r="B126" i="73" s="1"/>
  <c r="B261" i="73" s="1"/>
  <c r="B306" i="73" s="1"/>
  <c r="B95" i="73"/>
  <c r="B127" i="73" s="1"/>
  <c r="B262" i="73" s="1"/>
  <c r="B307" i="73" s="1"/>
  <c r="B96" i="73"/>
  <c r="B128" i="73" s="1"/>
  <c r="B263" i="73" s="1"/>
  <c r="B308" i="73" s="1"/>
  <c r="B98" i="73"/>
  <c r="B130" i="73" s="1"/>
  <c r="B265" i="73" s="1"/>
  <c r="B310" i="73" s="1"/>
  <c r="B99" i="73"/>
  <c r="B131" i="73" s="1"/>
  <c r="B266" i="73" s="1"/>
  <c r="B311" i="73" s="1"/>
  <c r="C146" i="73"/>
  <c r="C150" i="73"/>
  <c r="C151" i="73"/>
  <c r="C161" i="73"/>
  <c r="C184" i="73" s="1"/>
  <c r="C172" i="73"/>
  <c r="C195" i="73" s="1"/>
  <c r="C209" i="73"/>
  <c r="B2" i="4"/>
  <c r="L4" i="4"/>
  <c r="J17" i="4"/>
  <c r="B2" i="133"/>
  <c r="E8" i="133"/>
  <c r="K8" i="133"/>
  <c r="B8" i="133" s="1"/>
  <c r="G8" i="133" s="1"/>
  <c r="G9" i="133"/>
  <c r="E10" i="133"/>
  <c r="G10" i="133"/>
  <c r="E11" i="133"/>
  <c r="J11" i="133"/>
  <c r="K11" i="133" s="1"/>
  <c r="L11" i="133"/>
  <c r="L12" i="133" s="1"/>
  <c r="L13" i="133" s="1"/>
  <c r="L14" i="133" s="1"/>
  <c r="L15" i="133" s="1"/>
  <c r="E12" i="133"/>
  <c r="E13" i="133"/>
  <c r="E14" i="133"/>
  <c r="E15" i="133"/>
  <c r="G16" i="133"/>
  <c r="E17" i="133"/>
  <c r="G17" i="133"/>
  <c r="E18" i="133"/>
  <c r="L18" i="133"/>
  <c r="L19" i="133" s="1"/>
  <c r="L20" i="133" s="1"/>
  <c r="L21" i="133" s="1"/>
  <c r="E19" i="133"/>
  <c r="E20" i="133"/>
  <c r="E21" i="133"/>
  <c r="G22" i="133"/>
  <c r="E23" i="133"/>
  <c r="G23" i="133"/>
  <c r="E24" i="133"/>
  <c r="L24" i="133"/>
  <c r="L25" i="133" s="1"/>
  <c r="L26" i="133" s="1"/>
  <c r="L27" i="133" s="1"/>
  <c r="E25" i="133"/>
  <c r="E26" i="133"/>
  <c r="E27" i="133"/>
  <c r="G28" i="133"/>
  <c r="E29" i="133"/>
  <c r="G29" i="133"/>
  <c r="E30" i="133"/>
  <c r="L30" i="133"/>
  <c r="L31" i="133" s="1"/>
  <c r="L32" i="133" s="1"/>
  <c r="L33" i="133" s="1"/>
  <c r="L34" i="133" s="1"/>
  <c r="E31" i="133"/>
  <c r="E32" i="133"/>
  <c r="E33" i="133"/>
  <c r="E34" i="133"/>
  <c r="G35" i="133"/>
  <c r="E36" i="133"/>
  <c r="G36" i="133"/>
  <c r="E37" i="133"/>
  <c r="L37" i="133"/>
  <c r="L38" i="133" s="1"/>
  <c r="L39" i="133" s="1"/>
  <c r="E38" i="133"/>
  <c r="E39" i="133"/>
  <c r="G40" i="133"/>
  <c r="E41" i="133"/>
  <c r="G41" i="133"/>
  <c r="E42" i="133"/>
  <c r="L42" i="133"/>
  <c r="L43" i="133" s="1"/>
  <c r="E43" i="133"/>
  <c r="G44" i="133"/>
  <c r="E45" i="133"/>
  <c r="G45" i="133"/>
  <c r="E46" i="133"/>
  <c r="E47" i="133"/>
  <c r="L47" i="133"/>
  <c r="L48" i="133" s="1"/>
  <c r="L49" i="133" s="1"/>
  <c r="L50" i="133" s="1"/>
  <c r="L51" i="133" s="1"/>
  <c r="L52" i="133" s="1"/>
  <c r="L53" i="133" s="1"/>
  <c r="L54" i="133" s="1"/>
  <c r="L55" i="133" s="1"/>
  <c r="L56" i="133" s="1"/>
  <c r="L57" i="133" s="1"/>
  <c r="E48" i="133"/>
  <c r="E49" i="133"/>
  <c r="E51" i="133"/>
  <c r="E53" i="133"/>
  <c r="E54" i="133"/>
  <c r="E55" i="133"/>
  <c r="E56" i="133"/>
  <c r="B59" i="133"/>
  <c r="B8" i="232" s="1"/>
  <c r="E59" i="133"/>
  <c r="E8" i="232" s="1"/>
  <c r="E60" i="133"/>
  <c r="E9" i="232" s="1"/>
  <c r="K60" i="133"/>
  <c r="L60" i="133"/>
  <c r="L61" i="133" s="1"/>
  <c r="L62" i="133" s="1"/>
  <c r="L63" i="133" s="1"/>
  <c r="L64" i="133" s="1"/>
  <c r="E61" i="133"/>
  <c r="E10" i="232" s="1"/>
  <c r="E62" i="133"/>
  <c r="E11" i="232" s="1"/>
  <c r="E63" i="133"/>
  <c r="E12" i="232" s="1"/>
  <c r="E64" i="133"/>
  <c r="E13" i="232" s="1"/>
  <c r="E65" i="133"/>
  <c r="E14" i="232" s="1"/>
  <c r="E66" i="133"/>
  <c r="E15" i="232" s="1"/>
  <c r="K66" i="133"/>
  <c r="E67" i="133"/>
  <c r="E16" i="232" s="1"/>
  <c r="E68" i="133"/>
  <c r="E17" i="232" s="1"/>
  <c r="E69" i="133"/>
  <c r="E18" i="232" s="1"/>
  <c r="E70" i="133"/>
  <c r="E19" i="232" s="1"/>
  <c r="D9" i="1"/>
  <c r="D13" i="1"/>
  <c r="D15" i="1"/>
  <c r="J20" i="1"/>
  <c r="J20" i="152" s="1"/>
  <c r="D20" i="152" s="1"/>
  <c r="B2" i="248"/>
  <c r="B2" i="142"/>
  <c r="B9" i="142"/>
  <c r="B10" i="142" s="1"/>
  <c r="B11" i="142" s="1"/>
  <c r="B12" i="142" s="1"/>
  <c r="B13" i="142" s="1"/>
  <c r="B14" i="142" s="1"/>
  <c r="B15" i="142" s="1"/>
  <c r="B16" i="142" s="1"/>
  <c r="B17" i="142" s="1"/>
  <c r="B22" i="142"/>
  <c r="B23" i="142" s="1"/>
  <c r="B24" i="142" s="1"/>
  <c r="B25" i="142" s="1"/>
  <c r="B26" i="142" s="1"/>
  <c r="B27" i="142" s="1"/>
  <c r="B28" i="142" s="1"/>
  <c r="B29" i="142" s="1"/>
  <c r="B30" i="142" s="1"/>
  <c r="B28" i="79"/>
  <c r="C28" i="79"/>
  <c r="A29" i="79"/>
  <c r="A30" i="79" s="1"/>
  <c r="A31" i="79" s="1"/>
  <c r="A32" i="79" s="1"/>
  <c r="A33" i="79" s="1"/>
  <c r="A34" i="79" s="1"/>
  <c r="A35" i="79" s="1"/>
  <c r="A36" i="79" s="1"/>
  <c r="A37" i="79" s="1"/>
  <c r="A38" i="79" s="1"/>
  <c r="A39" i="79" s="1"/>
  <c r="A40" i="79" s="1"/>
  <c r="A41" i="79" s="1"/>
  <c r="A42" i="79" s="1"/>
  <c r="A43" i="79" s="1"/>
  <c r="A44" i="79" s="1"/>
  <c r="A45" i="79" s="1"/>
  <c r="A46" i="79" s="1"/>
  <c r="A47" i="79" s="1"/>
  <c r="A48" i="79" s="1"/>
  <c r="A49" i="79" s="1"/>
  <c r="A50" i="79" s="1"/>
  <c r="A51" i="79" s="1"/>
  <c r="A52" i="79" s="1"/>
  <c r="A53" i="79" s="1"/>
  <c r="A54" i="79" s="1"/>
  <c r="A55" i="79" s="1"/>
  <c r="A56" i="79" s="1"/>
  <c r="A57" i="79" s="1"/>
  <c r="B29" i="79"/>
  <c r="C29" i="79"/>
  <c r="B30" i="79"/>
  <c r="C30" i="79"/>
  <c r="B31" i="79"/>
  <c r="C31" i="79"/>
  <c r="B32" i="79"/>
  <c r="C32" i="79"/>
  <c r="B33" i="79"/>
  <c r="C33" i="79"/>
  <c r="B34" i="79"/>
  <c r="C34" i="79"/>
  <c r="B35" i="79"/>
  <c r="C35" i="79"/>
  <c r="B36" i="79"/>
  <c r="C36" i="79"/>
  <c r="B37" i="79"/>
  <c r="C37" i="79"/>
  <c r="B38" i="79"/>
  <c r="C38" i="79"/>
  <c r="B39" i="79"/>
  <c r="C39" i="79"/>
  <c r="B40" i="79"/>
  <c r="C40" i="79"/>
  <c r="B41" i="79"/>
  <c r="C41" i="79"/>
  <c r="B42" i="79"/>
  <c r="C42" i="79"/>
  <c r="B43" i="79"/>
  <c r="C43" i="79"/>
  <c r="B44" i="79"/>
  <c r="C44" i="79"/>
  <c r="B45" i="79"/>
  <c r="C45" i="79"/>
  <c r="B46" i="79"/>
  <c r="C46" i="79"/>
  <c r="B47" i="79"/>
  <c r="C47" i="79"/>
  <c r="B48" i="79"/>
  <c r="C48" i="79"/>
  <c r="B49" i="79"/>
  <c r="C49" i="79"/>
  <c r="B50" i="79"/>
  <c r="C50" i="79"/>
  <c r="B51" i="79"/>
  <c r="C51" i="79"/>
  <c r="B52" i="79"/>
  <c r="C52" i="79"/>
  <c r="B53" i="79"/>
  <c r="C53" i="79"/>
  <c r="B54" i="79"/>
  <c r="C54" i="79"/>
  <c r="B55" i="79"/>
  <c r="C55" i="79"/>
  <c r="B56" i="79"/>
  <c r="C56" i="79"/>
  <c r="B57" i="79"/>
  <c r="C57" i="79"/>
  <c r="A5" i="123"/>
  <c r="A6" i="123" s="1"/>
  <c r="A7" i="123" s="1"/>
  <c r="A8" i="123" s="1"/>
  <c r="K22" i="214"/>
  <c r="AT47" i="213"/>
  <c r="K24" i="214"/>
  <c r="J22" i="214"/>
  <c r="J11" i="214"/>
  <c r="AT50" i="213"/>
  <c r="J14" i="214"/>
  <c r="J27" i="214"/>
  <c r="J18" i="214"/>
  <c r="K21" i="214"/>
  <c r="K19" i="214"/>
  <c r="AT44" i="213"/>
  <c r="J23" i="214"/>
  <c r="J21" i="214"/>
  <c r="K13" i="214"/>
  <c r="AT48" i="213"/>
  <c r="AT52" i="213"/>
  <c r="J12" i="214"/>
  <c r="J17" i="214"/>
  <c r="AT51" i="213"/>
  <c r="K10" i="214"/>
  <c r="K16" i="214"/>
  <c r="K12" i="214"/>
  <c r="AT45" i="213"/>
  <c r="K25" i="214"/>
  <c r="K23" i="214"/>
  <c r="K27" i="214"/>
  <c r="K26" i="214"/>
  <c r="K14" i="214"/>
  <c r="K20" i="214"/>
  <c r="K17" i="214"/>
  <c r="K28" i="214"/>
  <c r="K29" i="214"/>
  <c r="AT49" i="213"/>
  <c r="AT53" i="213"/>
  <c r="J24" i="214"/>
  <c r="J13" i="214"/>
  <c r="K11" i="214"/>
  <c r="J16" i="214"/>
  <c r="AT46" i="213"/>
  <c r="J25" i="214"/>
  <c r="J10" i="214"/>
  <c r="J19" i="214"/>
  <c r="J28" i="214"/>
  <c r="J15" i="214"/>
  <c r="J20" i="214"/>
  <c r="K15" i="214"/>
  <c r="BR14" i="213"/>
  <c r="J29" i="214"/>
  <c r="J26" i="214"/>
  <c r="K18" i="214"/>
  <c r="AA38" i="234" l="1"/>
  <c r="M21" i="234"/>
  <c r="O21" i="234" s="1"/>
  <c r="M24" i="234"/>
  <c r="O24" i="234" s="1"/>
  <c r="E52" i="133"/>
  <c r="P42" i="4"/>
  <c r="E50" i="133"/>
  <c r="P40" i="4"/>
  <c r="H15" i="6"/>
  <c r="K44" i="13"/>
  <c r="H45" i="13"/>
  <c r="E44" i="13"/>
  <c r="I42" i="13"/>
  <c r="E46" i="13"/>
  <c r="G56" i="13"/>
  <c r="D45" i="13"/>
  <c r="F24" i="66"/>
  <c r="O99" i="73"/>
  <c r="R266" i="73" s="1"/>
  <c r="W68" i="52"/>
  <c r="O88" i="73"/>
  <c r="R255" i="73" s="1"/>
  <c r="W67" i="52"/>
  <c r="O87" i="73"/>
  <c r="R254" i="73" s="1"/>
  <c r="F20" i="66"/>
  <c r="O86" i="73"/>
  <c r="R253" i="73" s="1"/>
  <c r="F19" i="66"/>
  <c r="O85" i="73"/>
  <c r="R252" i="73" s="1"/>
  <c r="F17" i="66"/>
  <c r="O83" i="73"/>
  <c r="R250" i="73" s="1"/>
  <c r="W60" i="52"/>
  <c r="O80" i="73"/>
  <c r="R244" i="73" s="1"/>
  <c r="R245" i="73" s="1"/>
  <c r="F13" i="66"/>
  <c r="O79" i="73"/>
  <c r="R241" i="73" s="1"/>
  <c r="R242" i="73" s="1"/>
  <c r="F12" i="66"/>
  <c r="O78" i="73"/>
  <c r="R238" i="73" s="1"/>
  <c r="R239" i="73" s="1"/>
  <c r="F18" i="66"/>
  <c r="W62" i="52"/>
  <c r="E161" i="126"/>
  <c r="E173" i="126"/>
  <c r="F20" i="6"/>
  <c r="F30" i="6"/>
  <c r="F31" i="6" s="1"/>
  <c r="L8" i="172"/>
  <c r="U8" i="172"/>
  <c r="M42" i="12"/>
  <c r="G42" i="13"/>
  <c r="H46" i="13"/>
  <c r="E45" i="13"/>
  <c r="K42" i="13"/>
  <c r="H44" i="13"/>
  <c r="D46" i="13"/>
  <c r="I44" i="13"/>
  <c r="F41" i="13"/>
  <c r="G45" i="13"/>
  <c r="D44" i="13"/>
  <c r="E43" i="13"/>
  <c r="U46" i="185"/>
  <c r="D42" i="185"/>
  <c r="Q42" i="185"/>
  <c r="K43" i="185"/>
  <c r="E165" i="126"/>
  <c r="C50" i="126"/>
  <c r="B77" i="52"/>
  <c r="B134" i="52" s="1"/>
  <c r="B73" i="52"/>
  <c r="B130" i="52" s="1"/>
  <c r="B69" i="52"/>
  <c r="B126" i="52" s="1"/>
  <c r="F9" i="6"/>
  <c r="F8" i="229" s="1"/>
  <c r="H21" i="39"/>
  <c r="D9" i="39" s="1"/>
  <c r="N44" i="41"/>
  <c r="O39" i="41"/>
  <c r="O27" i="41"/>
  <c r="O19" i="41"/>
  <c r="B19" i="41"/>
  <c r="K46" i="53"/>
  <c r="F46" i="53"/>
  <c r="D45" i="53"/>
  <c r="E27" i="64"/>
  <c r="E28" i="64" s="1"/>
  <c r="I43" i="13"/>
  <c r="AA37" i="234"/>
  <c r="AA28" i="234"/>
  <c r="AA23" i="234"/>
  <c r="Q46" i="185"/>
  <c r="E44" i="185"/>
  <c r="X38" i="185"/>
  <c r="J36" i="185"/>
  <c r="L36" i="185" s="1"/>
  <c r="I31" i="185"/>
  <c r="S30" i="185"/>
  <c r="J30" i="185"/>
  <c r="L30" i="185" s="1"/>
  <c r="I26" i="185"/>
  <c r="S25" i="185"/>
  <c r="J25" i="185"/>
  <c r="L25" i="185" s="1"/>
  <c r="D47" i="185"/>
  <c r="R43" i="185"/>
  <c r="X24" i="185"/>
  <c r="T11" i="185"/>
  <c r="V11" i="185" s="1"/>
  <c r="J11" i="185"/>
  <c r="E171" i="126"/>
  <c r="E159" i="126"/>
  <c r="G106" i="126"/>
  <c r="H30" i="6"/>
  <c r="H31" i="6" s="1"/>
  <c r="O21" i="41"/>
  <c r="B11" i="41"/>
  <c r="W38" i="53"/>
  <c r="W34" i="53"/>
  <c r="W30" i="53"/>
  <c r="W26" i="53"/>
  <c r="W24" i="53"/>
  <c r="W20" i="53"/>
  <c r="U19" i="53"/>
  <c r="W18" i="53"/>
  <c r="U15" i="53"/>
  <c r="W14" i="53"/>
  <c r="U11" i="53"/>
  <c r="W10" i="53"/>
  <c r="J47" i="172"/>
  <c r="J45" i="172"/>
  <c r="K45" i="53"/>
  <c r="E56" i="13"/>
  <c r="I45" i="13"/>
  <c r="I14" i="14"/>
  <c r="AA27" i="234"/>
  <c r="I38" i="185"/>
  <c r="S37" i="185"/>
  <c r="J37" i="185"/>
  <c r="L37" i="185" s="1"/>
  <c r="X36" i="185"/>
  <c r="X34" i="185"/>
  <c r="K47" i="185"/>
  <c r="X27" i="185"/>
  <c r="I27" i="185"/>
  <c r="S26" i="185"/>
  <c r="J26" i="185"/>
  <c r="L26" i="185" s="1"/>
  <c r="E46" i="185"/>
  <c r="U45" i="185"/>
  <c r="S21" i="185"/>
  <c r="X20" i="185"/>
  <c r="I20" i="185"/>
  <c r="S17" i="185"/>
  <c r="T16" i="185"/>
  <c r="V16" i="185" s="1"/>
  <c r="X16" i="185"/>
  <c r="I16" i="185"/>
  <c r="B97" i="73"/>
  <c r="B129" i="73" s="1"/>
  <c r="B264" i="73" s="1"/>
  <c r="B309" i="73" s="1"/>
  <c r="B93" i="73"/>
  <c r="B125" i="73" s="1"/>
  <c r="B260" i="73" s="1"/>
  <c r="B305" i="73" s="1"/>
  <c r="B89" i="73"/>
  <c r="B121" i="73" s="1"/>
  <c r="B256" i="73" s="1"/>
  <c r="B301" i="73" s="1"/>
  <c r="C128" i="126"/>
  <c r="D128" i="126" s="1"/>
  <c r="H93" i="126"/>
  <c r="I15" i="6"/>
  <c r="K12" i="6"/>
  <c r="L12" i="6" s="1"/>
  <c r="M12" i="6" s="1"/>
  <c r="O35" i="41"/>
  <c r="O23" i="41"/>
  <c r="L46" i="47"/>
  <c r="N22" i="53"/>
  <c r="N18" i="53"/>
  <c r="N14" i="53"/>
  <c r="N10" i="53"/>
  <c r="D56" i="13"/>
  <c r="K142" i="217"/>
  <c r="AA26" i="234"/>
  <c r="F19" i="236"/>
  <c r="Q47" i="185"/>
  <c r="Q45" i="185"/>
  <c r="X39" i="185"/>
  <c r="I39" i="185"/>
  <c r="J38" i="185"/>
  <c r="L38" i="185" s="1"/>
  <c r="U43" i="185"/>
  <c r="I34" i="185"/>
  <c r="J33" i="185"/>
  <c r="L33" i="185" s="1"/>
  <c r="R45" i="185"/>
  <c r="X32" i="185"/>
  <c r="J32" i="185"/>
  <c r="L32" i="185" s="1"/>
  <c r="X30" i="185"/>
  <c r="G43" i="185"/>
  <c r="I23" i="185"/>
  <c r="S22" i="185"/>
  <c r="H42" i="185"/>
  <c r="T21" i="185"/>
  <c r="V21" i="185" s="1"/>
  <c r="Y21" i="185"/>
  <c r="J21" i="185"/>
  <c r="L21" i="185" s="1"/>
  <c r="K139" i="217"/>
  <c r="Q9" i="173"/>
  <c r="AE12" i="173" s="1"/>
  <c r="X12" i="173"/>
  <c r="O31" i="41"/>
  <c r="P25" i="41"/>
  <c r="P23" i="41"/>
  <c r="P21" i="41"/>
  <c r="P19" i="41"/>
  <c r="S44" i="53"/>
  <c r="J44" i="53"/>
  <c r="E44" i="53"/>
  <c r="I43" i="53"/>
  <c r="D43" i="53"/>
  <c r="I42" i="53"/>
  <c r="M42" i="256"/>
  <c r="F56" i="13"/>
  <c r="C27" i="236"/>
  <c r="J29" i="236" s="1"/>
  <c r="J30" i="236" s="1"/>
  <c r="D44" i="248" s="1"/>
  <c r="P44" i="185"/>
  <c r="U42" i="185"/>
  <c r="H92" i="126"/>
  <c r="F100" i="126" s="1"/>
  <c r="F93" i="6"/>
  <c r="O37" i="41"/>
  <c r="O33" i="41"/>
  <c r="Q43" i="53"/>
  <c r="G43" i="53"/>
  <c r="S42" i="53"/>
  <c r="S41" i="53"/>
  <c r="Q41" i="53"/>
  <c r="G27" i="64"/>
  <c r="G28" i="64" s="1"/>
  <c r="M45" i="256"/>
  <c r="M44" i="249"/>
  <c r="K46" i="13"/>
  <c r="G43" i="13"/>
  <c r="J41" i="13"/>
  <c r="K41" i="13"/>
  <c r="G41" i="13"/>
  <c r="H42" i="13"/>
  <c r="D43" i="13"/>
  <c r="I41" i="13"/>
  <c r="J45" i="13"/>
  <c r="F45" i="13"/>
  <c r="E41" i="13"/>
  <c r="J42" i="13"/>
  <c r="F43" i="13"/>
  <c r="I18" i="14"/>
  <c r="H144" i="217"/>
  <c r="H139" i="217"/>
  <c r="AA40" i="234"/>
  <c r="M19" i="234"/>
  <c r="O19" i="234" s="1"/>
  <c r="C9" i="236"/>
  <c r="P47" i="185"/>
  <c r="E47" i="185"/>
  <c r="P46" i="185"/>
  <c r="K45" i="185"/>
  <c r="N44" i="185"/>
  <c r="Y40" i="185"/>
  <c r="S39" i="185"/>
  <c r="K42" i="185"/>
  <c r="X37" i="185"/>
  <c r="S35" i="185"/>
  <c r="J35" i="185"/>
  <c r="L35" i="185" s="1"/>
  <c r="X33" i="185"/>
  <c r="S31" i="185"/>
  <c r="J31" i="185"/>
  <c r="L31" i="185" s="1"/>
  <c r="X29" i="185"/>
  <c r="I28" i="185"/>
  <c r="S27" i="185"/>
  <c r="J27" i="185"/>
  <c r="L27" i="185" s="1"/>
  <c r="X25" i="185"/>
  <c r="I24" i="185"/>
  <c r="S23" i="185"/>
  <c r="J23" i="185"/>
  <c r="L23" i="185" s="1"/>
  <c r="X19" i="185"/>
  <c r="I19" i="185"/>
  <c r="S18" i="185"/>
  <c r="H43" i="185"/>
  <c r="D43" i="185"/>
  <c r="T17" i="185"/>
  <c r="V17" i="185" s="1"/>
  <c r="Z17" i="185" s="1"/>
  <c r="Y17" i="185"/>
  <c r="J17" i="185"/>
  <c r="L17" i="185" s="1"/>
  <c r="S13" i="185"/>
  <c r="T12" i="185"/>
  <c r="V12" i="185" s="1"/>
  <c r="X12" i="185"/>
  <c r="I12" i="185"/>
  <c r="F99" i="126"/>
  <c r="M45" i="47"/>
  <c r="J45" i="53"/>
  <c r="E45" i="53"/>
  <c r="Q44" i="53"/>
  <c r="G44" i="53"/>
  <c r="S43" i="53"/>
  <c r="M46" i="12"/>
  <c r="N33" i="12"/>
  <c r="M41" i="256"/>
  <c r="M43" i="256"/>
  <c r="M44" i="250"/>
  <c r="I46" i="13"/>
  <c r="H142" i="217"/>
  <c r="H140" i="217"/>
  <c r="Y46" i="234"/>
  <c r="X47" i="234"/>
  <c r="M46" i="244"/>
  <c r="U47" i="185"/>
  <c r="N47" i="185"/>
  <c r="N46" i="185"/>
  <c r="H45" i="185"/>
  <c r="H44" i="185"/>
  <c r="S40" i="185"/>
  <c r="X40" i="185"/>
  <c r="I40" i="185"/>
  <c r="I37" i="185"/>
  <c r="S36" i="185"/>
  <c r="I33" i="185"/>
  <c r="S32" i="185"/>
  <c r="I29" i="185"/>
  <c r="S28" i="185"/>
  <c r="J28" i="185"/>
  <c r="L28" i="185" s="1"/>
  <c r="I25" i="185"/>
  <c r="S24" i="185"/>
  <c r="J24" i="185"/>
  <c r="L24" i="185" s="1"/>
  <c r="Y20" i="185"/>
  <c r="T19" i="185"/>
  <c r="V19" i="185" s="1"/>
  <c r="K44" i="185"/>
  <c r="X15" i="185"/>
  <c r="I15" i="185"/>
  <c r="S14" i="185"/>
  <c r="T13" i="185"/>
  <c r="V13" i="185" s="1"/>
  <c r="Y13" i="185"/>
  <c r="J13" i="185"/>
  <c r="L13" i="185" s="1"/>
  <c r="I11" i="185"/>
  <c r="B11" i="133"/>
  <c r="G11" i="133" s="1"/>
  <c r="F18" i="126"/>
  <c r="G117" i="6"/>
  <c r="G119" i="6" s="1"/>
  <c r="F57" i="6"/>
  <c r="F61" i="6" s="1"/>
  <c r="G61" i="6" s="1"/>
  <c r="H61" i="6" s="1"/>
  <c r="I61" i="6" s="1"/>
  <c r="J61" i="6" s="1"/>
  <c r="K61" i="6" s="1"/>
  <c r="L61" i="6" s="1"/>
  <c r="M61" i="6" s="1"/>
  <c r="N61" i="6" s="1"/>
  <c r="O61" i="6" s="1"/>
  <c r="O29" i="41"/>
  <c r="F33" i="11"/>
  <c r="N25" i="12"/>
  <c r="M43" i="12"/>
  <c r="M43" i="249"/>
  <c r="M46" i="250"/>
  <c r="K45" i="13"/>
  <c r="K43" i="13"/>
  <c r="I19" i="14"/>
  <c r="I11" i="14"/>
  <c r="K144" i="217"/>
  <c r="H143" i="217"/>
  <c r="K141" i="217"/>
  <c r="C29" i="236"/>
  <c r="R47" i="185"/>
  <c r="H46" i="185"/>
  <c r="D45" i="185"/>
  <c r="G44" i="185"/>
  <c r="E45" i="185"/>
  <c r="P43" i="185"/>
  <c r="E42" i="185"/>
  <c r="T20" i="185"/>
  <c r="V20" i="185" s="1"/>
  <c r="T15" i="185"/>
  <c r="V15" i="185" s="1"/>
  <c r="E99" i="126"/>
  <c r="H99" i="126" s="1"/>
  <c r="F105" i="126" s="1"/>
  <c r="E100" i="126"/>
  <c r="L45" i="41"/>
  <c r="L44" i="41"/>
  <c r="L42" i="41"/>
  <c r="L41" i="41"/>
  <c r="R42" i="53"/>
  <c r="R41" i="53"/>
  <c r="K41" i="53"/>
  <c r="M209" i="73"/>
  <c r="I209" i="73"/>
  <c r="E209" i="73"/>
  <c r="K209" i="73"/>
  <c r="F209" i="73"/>
  <c r="L209" i="73"/>
  <c r="H209" i="73"/>
  <c r="D209" i="73"/>
  <c r="G209" i="73"/>
  <c r="J209" i="73"/>
  <c r="K172" i="73"/>
  <c r="K195" i="73" s="1"/>
  <c r="G172" i="73"/>
  <c r="G195" i="73" s="1"/>
  <c r="M172" i="73"/>
  <c r="M195" i="73" s="1"/>
  <c r="I172" i="73"/>
  <c r="H172" i="73"/>
  <c r="H195" i="73" s="1"/>
  <c r="J172" i="73"/>
  <c r="J195" i="73" s="1"/>
  <c r="F172" i="73"/>
  <c r="E172" i="73"/>
  <c r="L172" i="73"/>
  <c r="L195" i="73" s="1"/>
  <c r="D172" i="73"/>
  <c r="D195" i="73" s="1"/>
  <c r="K146" i="73"/>
  <c r="G146" i="73"/>
  <c r="M146" i="73"/>
  <c r="E146" i="73"/>
  <c r="H146" i="73"/>
  <c r="J146" i="73"/>
  <c r="F146" i="73"/>
  <c r="I146" i="73"/>
  <c r="L146" i="73"/>
  <c r="D146" i="73"/>
  <c r="I43" i="73"/>
  <c r="I46" i="73" s="1"/>
  <c r="E167" i="126"/>
  <c r="C136" i="126"/>
  <c r="C20" i="126"/>
  <c r="I119" i="6"/>
  <c r="N43" i="41"/>
  <c r="O17" i="41"/>
  <c r="P17" i="41"/>
  <c r="O15" i="41"/>
  <c r="P15" i="41"/>
  <c r="O13" i="41"/>
  <c r="P13" i="41"/>
  <c r="O11" i="41"/>
  <c r="P11" i="41"/>
  <c r="K47" i="172"/>
  <c r="F47" i="172"/>
  <c r="K45" i="172"/>
  <c r="F45" i="172"/>
  <c r="K43" i="172"/>
  <c r="F43" i="172"/>
  <c r="M161" i="73"/>
  <c r="M184" i="73" s="1"/>
  <c r="I161" i="73"/>
  <c r="I184" i="73" s="1"/>
  <c r="E161" i="73"/>
  <c r="E184" i="73" s="1"/>
  <c r="K161" i="73"/>
  <c r="J161" i="73"/>
  <c r="J184" i="73" s="1"/>
  <c r="F161" i="73"/>
  <c r="F184" i="73" s="1"/>
  <c r="L161" i="73"/>
  <c r="L184" i="73" s="1"/>
  <c r="H161" i="73"/>
  <c r="H184" i="73" s="1"/>
  <c r="D161" i="73"/>
  <c r="D184" i="73" s="1"/>
  <c r="G161" i="73"/>
  <c r="G184" i="73" s="1"/>
  <c r="E97" i="126"/>
  <c r="H97" i="126" s="1"/>
  <c r="G71" i="126"/>
  <c r="C33" i="126"/>
  <c r="C34" i="126" s="1"/>
  <c r="C26" i="126"/>
  <c r="C27" i="126" s="1"/>
  <c r="H117" i="6"/>
  <c r="H119" i="6" s="1"/>
  <c r="G15" i="6"/>
  <c r="G9" i="6"/>
  <c r="N46" i="41"/>
  <c r="N42" i="41"/>
  <c r="P39" i="41"/>
  <c r="P37" i="41"/>
  <c r="P35" i="41"/>
  <c r="H41" i="41"/>
  <c r="M48" i="47"/>
  <c r="O43" i="47"/>
  <c r="K14" i="6"/>
  <c r="K19" i="6" s="1"/>
  <c r="K20" i="6" s="1"/>
  <c r="R9" i="10"/>
  <c r="F9" i="10"/>
  <c r="N45" i="41"/>
  <c r="N41" i="41"/>
  <c r="P33" i="41"/>
  <c r="P31" i="41"/>
  <c r="P29" i="41"/>
  <c r="P27" i="41"/>
  <c r="H48" i="47"/>
  <c r="M45" i="172"/>
  <c r="I45" i="172"/>
  <c r="M43" i="172"/>
  <c r="I43" i="172"/>
  <c r="E42" i="53"/>
  <c r="E41" i="53"/>
  <c r="W39" i="53"/>
  <c r="W37" i="53"/>
  <c r="G42" i="53"/>
  <c r="W35" i="53"/>
  <c r="G41" i="53"/>
  <c r="W33" i="53"/>
  <c r="W31" i="53"/>
  <c r="W29" i="53"/>
  <c r="W27" i="53"/>
  <c r="W25" i="53"/>
  <c r="V39" i="57"/>
  <c r="V35" i="57"/>
  <c r="V31" i="57"/>
  <c r="V27" i="57"/>
  <c r="V23" i="57"/>
  <c r="V11" i="57"/>
  <c r="F46" i="11"/>
  <c r="G40" i="11"/>
  <c r="G46" i="11"/>
  <c r="G58" i="11"/>
  <c r="M45" i="12"/>
  <c r="M41" i="12"/>
  <c r="M46" i="257"/>
  <c r="M44" i="257"/>
  <c r="M42" i="257"/>
  <c r="M41" i="257"/>
  <c r="M44" i="256"/>
  <c r="M46" i="249"/>
  <c r="M42" i="249"/>
  <c r="J46" i="13"/>
  <c r="F46" i="13"/>
  <c r="J44" i="13"/>
  <c r="F44" i="13"/>
  <c r="J43" i="13"/>
  <c r="E42" i="13"/>
  <c r="I17" i="14"/>
  <c r="D79" i="14"/>
  <c r="E79" i="14" s="1"/>
  <c r="K143" i="217"/>
  <c r="AA39" i="234"/>
  <c r="M25" i="234"/>
  <c r="O25" i="234" s="1"/>
  <c r="M20" i="234"/>
  <c r="O20" i="234" s="1"/>
  <c r="B27" i="241"/>
  <c r="O47" i="185"/>
  <c r="G47" i="185"/>
  <c r="R46" i="185"/>
  <c r="K46" i="185"/>
  <c r="D46" i="185"/>
  <c r="P45" i="185"/>
  <c r="G45" i="185"/>
  <c r="R44" i="185"/>
  <c r="D44" i="185"/>
  <c r="Q43" i="185"/>
  <c r="P42" i="185"/>
  <c r="G42" i="185"/>
  <c r="S38" i="185"/>
  <c r="T38" i="185"/>
  <c r="V38" i="185" s="1"/>
  <c r="Z38" i="185" s="1"/>
  <c r="Y38" i="185"/>
  <c r="T37" i="185"/>
  <c r="V37" i="185" s="1"/>
  <c r="Z37" i="185" s="1"/>
  <c r="Y37" i="185"/>
  <c r="T36" i="185"/>
  <c r="V36" i="185" s="1"/>
  <c r="Z36" i="185" s="1"/>
  <c r="Y36" i="185"/>
  <c r="T35" i="185"/>
  <c r="V35" i="185" s="1"/>
  <c r="Z35" i="185" s="1"/>
  <c r="Y35" i="185"/>
  <c r="T34" i="185"/>
  <c r="V34" i="185" s="1"/>
  <c r="Z34" i="185" s="1"/>
  <c r="Y34" i="185"/>
  <c r="S33" i="185"/>
  <c r="T33" i="185"/>
  <c r="V33" i="185" s="1"/>
  <c r="Z33" i="185" s="1"/>
  <c r="Y33" i="185"/>
  <c r="T32" i="185"/>
  <c r="V32" i="185" s="1"/>
  <c r="Z32" i="185" s="1"/>
  <c r="Y32" i="185"/>
  <c r="T31" i="185"/>
  <c r="V31" i="185" s="1"/>
  <c r="Z31" i="185" s="1"/>
  <c r="Y31" i="185"/>
  <c r="T30" i="185"/>
  <c r="V30" i="185" s="1"/>
  <c r="Z30" i="185" s="1"/>
  <c r="Y30" i="185"/>
  <c r="T29" i="185"/>
  <c r="V29" i="185" s="1"/>
  <c r="Z29" i="185" s="1"/>
  <c r="Y29" i="185"/>
  <c r="T28" i="185"/>
  <c r="V28" i="185" s="1"/>
  <c r="Z28" i="185" s="1"/>
  <c r="Y28" i="185"/>
  <c r="T27" i="185"/>
  <c r="V27" i="185" s="1"/>
  <c r="Z27" i="185" s="1"/>
  <c r="Y27" i="185"/>
  <c r="T26" i="185"/>
  <c r="V26" i="185" s="1"/>
  <c r="Z26" i="185" s="1"/>
  <c r="Y26" i="185"/>
  <c r="T25" i="185"/>
  <c r="V25" i="185" s="1"/>
  <c r="Z25" i="185" s="1"/>
  <c r="Y25" i="185"/>
  <c r="T24" i="185"/>
  <c r="V24" i="185" s="1"/>
  <c r="Z24" i="185" s="1"/>
  <c r="Y24" i="185"/>
  <c r="T23" i="185"/>
  <c r="Y23" i="185"/>
  <c r="T22" i="185"/>
  <c r="V22" i="185" s="1"/>
  <c r="Z22" i="185" s="1"/>
  <c r="Y22" i="185"/>
  <c r="J22" i="185"/>
  <c r="L22" i="185" s="1"/>
  <c r="X21" i="185"/>
  <c r="I21" i="185"/>
  <c r="S19" i="185"/>
  <c r="T18" i="185"/>
  <c r="V18" i="185" s="1"/>
  <c r="Y18" i="185"/>
  <c r="J18" i="185"/>
  <c r="L18" i="185" s="1"/>
  <c r="X17" i="185"/>
  <c r="I17" i="185"/>
  <c r="S15" i="185"/>
  <c r="T14" i="185"/>
  <c r="V14" i="185" s="1"/>
  <c r="Z14" i="185" s="1"/>
  <c r="Y14" i="185"/>
  <c r="J14" i="185"/>
  <c r="L14" i="185" s="1"/>
  <c r="X13" i="185"/>
  <c r="I13" i="185"/>
  <c r="S11" i="185"/>
  <c r="G86" i="156"/>
  <c r="E40" i="11"/>
  <c r="F27" i="11"/>
  <c r="M44" i="12"/>
  <c r="M45" i="249"/>
  <c r="M41" i="249"/>
  <c r="D42" i="13"/>
  <c r="H41" i="13"/>
  <c r="D41" i="13"/>
  <c r="AA22" i="234"/>
  <c r="Y42" i="234"/>
  <c r="X42" i="234"/>
  <c r="Y47" i="234"/>
  <c r="N45" i="185"/>
  <c r="Q44" i="185"/>
  <c r="N42" i="185"/>
  <c r="O43" i="185"/>
  <c r="Y39" i="185"/>
  <c r="X22" i="185"/>
  <c r="I22" i="185"/>
  <c r="S20" i="185"/>
  <c r="Y19" i="185"/>
  <c r="J19" i="185"/>
  <c r="L19" i="185" s="1"/>
  <c r="Z19" i="185" s="1"/>
  <c r="X18" i="185"/>
  <c r="I18" i="185"/>
  <c r="S16" i="185"/>
  <c r="Y15" i="185"/>
  <c r="J15" i="185"/>
  <c r="L15" i="185" s="1"/>
  <c r="Z15" i="185" s="1"/>
  <c r="X14" i="185"/>
  <c r="I14" i="185"/>
  <c r="S12" i="185"/>
  <c r="Y11" i="185"/>
  <c r="AF38" i="57"/>
  <c r="E46" i="11"/>
  <c r="E58" i="11"/>
  <c r="M46" i="256"/>
  <c r="H43" i="13"/>
  <c r="I13" i="14"/>
  <c r="N43" i="185"/>
  <c r="F43" i="185"/>
  <c r="R42" i="185"/>
  <c r="J20" i="185"/>
  <c r="L20" i="185" s="1"/>
  <c r="Z20" i="185" s="1"/>
  <c r="J16" i="185"/>
  <c r="L16" i="185" s="1"/>
  <c r="Z16" i="185" s="1"/>
  <c r="J12" i="185"/>
  <c r="L12" i="185" s="1"/>
  <c r="Z12" i="185" s="1"/>
  <c r="G102" i="156"/>
  <c r="G98" i="156"/>
  <c r="H46" i="11"/>
  <c r="H58" i="11"/>
  <c r="D46" i="11"/>
  <c r="D58" i="11"/>
  <c r="M41" i="251"/>
  <c r="K140" i="217"/>
  <c r="F75" i="156"/>
  <c r="S228" i="241"/>
  <c r="S224" i="241"/>
  <c r="S220" i="241"/>
  <c r="S216" i="241"/>
  <c r="S212" i="241"/>
  <c r="S208" i="241"/>
  <c r="S227" i="241"/>
  <c r="S223" i="241"/>
  <c r="S219" i="241"/>
  <c r="S215" i="241"/>
  <c r="S211" i="241"/>
  <c r="S207" i="241"/>
  <c r="S230" i="241"/>
  <c r="S226" i="241"/>
  <c r="S222" i="241"/>
  <c r="S218" i="241"/>
  <c r="S214" i="241"/>
  <c r="S210" i="241"/>
  <c r="S206" i="241"/>
  <c r="S231" i="241" s="1"/>
  <c r="S229" i="241"/>
  <c r="S225" i="241"/>
  <c r="S221" i="241"/>
  <c r="S217" i="241"/>
  <c r="S213" i="241"/>
  <c r="S209" i="241"/>
  <c r="B55" i="241"/>
  <c r="B15" i="245" s="1"/>
  <c r="Q166" i="241"/>
  <c r="Q165" i="241"/>
  <c r="Q164" i="241"/>
  <c r="Q163" i="241"/>
  <c r="Q162" i="241"/>
  <c r="Q161" i="241"/>
  <c r="Q160" i="241"/>
  <c r="Q159" i="241"/>
  <c r="Q158" i="241"/>
  <c r="Q157" i="241"/>
  <c r="Q156" i="241"/>
  <c r="Q155" i="241"/>
  <c r="Q154" i="241"/>
  <c r="Q153" i="241"/>
  <c r="Q152" i="241"/>
  <c r="Q151" i="241"/>
  <c r="Q150" i="241"/>
  <c r="Q149" i="241"/>
  <c r="Q148" i="241"/>
  <c r="Q147" i="241"/>
  <c r="Q146" i="241"/>
  <c r="Q145" i="241"/>
  <c r="Q142" i="241"/>
  <c r="Q168" i="241" s="1"/>
  <c r="Q144" i="241"/>
  <c r="Q143" i="241"/>
  <c r="E166" i="241"/>
  <c r="E165" i="241"/>
  <c r="E164" i="241"/>
  <c r="E163" i="241"/>
  <c r="E162" i="241"/>
  <c r="E161" i="241"/>
  <c r="E160" i="241"/>
  <c r="E159" i="241"/>
  <c r="E158" i="241"/>
  <c r="E157" i="241"/>
  <c r="E156" i="241"/>
  <c r="E155" i="241"/>
  <c r="E154" i="241"/>
  <c r="E153" i="241"/>
  <c r="E152" i="241"/>
  <c r="E151" i="241"/>
  <c r="E150" i="241"/>
  <c r="E149" i="241"/>
  <c r="E148" i="241"/>
  <c r="E147" i="241"/>
  <c r="E146" i="241"/>
  <c r="E145" i="241"/>
  <c r="E144" i="241"/>
  <c r="E143" i="241"/>
  <c r="E142" i="241"/>
  <c r="E168" i="241" s="1"/>
  <c r="P166" i="241"/>
  <c r="P165" i="241"/>
  <c r="P164" i="241"/>
  <c r="P163" i="241"/>
  <c r="P162" i="241"/>
  <c r="P161" i="241"/>
  <c r="P160" i="241"/>
  <c r="P159" i="241"/>
  <c r="P158" i="241"/>
  <c r="P157" i="241"/>
  <c r="P156" i="241"/>
  <c r="P155" i="241"/>
  <c r="P154" i="241"/>
  <c r="P153" i="241"/>
  <c r="P152" i="241"/>
  <c r="P151" i="241"/>
  <c r="P150" i="241"/>
  <c r="P149" i="241"/>
  <c r="P148" i="241"/>
  <c r="P147" i="241"/>
  <c r="P146" i="241"/>
  <c r="P145" i="241"/>
  <c r="P144" i="241"/>
  <c r="P143" i="241"/>
  <c r="P142" i="241"/>
  <c r="P168" i="241" s="1"/>
  <c r="L145" i="241"/>
  <c r="L144" i="241"/>
  <c r="L143" i="241"/>
  <c r="L142" i="241"/>
  <c r="L168" i="241" s="1"/>
  <c r="L166" i="241"/>
  <c r="L165" i="241"/>
  <c r="L164" i="241"/>
  <c r="L163" i="241"/>
  <c r="L162" i="241"/>
  <c r="L161" i="241"/>
  <c r="L160" i="241"/>
  <c r="L159" i="241"/>
  <c r="L158" i="241"/>
  <c r="L157" i="241"/>
  <c r="L156" i="241"/>
  <c r="L155" i="241"/>
  <c r="L154" i="241"/>
  <c r="L153" i="241"/>
  <c r="L152" i="241"/>
  <c r="L151" i="241"/>
  <c r="L150" i="241"/>
  <c r="L149" i="241"/>
  <c r="L148" i="241"/>
  <c r="L147" i="241"/>
  <c r="L146" i="241"/>
  <c r="H145" i="241"/>
  <c r="H144" i="241"/>
  <c r="H143" i="241"/>
  <c r="H142" i="241"/>
  <c r="H168" i="241" s="1"/>
  <c r="H166" i="241"/>
  <c r="H164" i="241"/>
  <c r="H162" i="241"/>
  <c r="H160" i="241"/>
  <c r="H158" i="241"/>
  <c r="H156" i="241"/>
  <c r="H153" i="241"/>
  <c r="H151" i="241"/>
  <c r="H149" i="241"/>
  <c r="H147" i="241"/>
  <c r="H146" i="241"/>
  <c r="H165" i="241"/>
  <c r="H163" i="241"/>
  <c r="H161" i="241"/>
  <c r="H159" i="241"/>
  <c r="H157" i="241"/>
  <c r="H155" i="241"/>
  <c r="H154" i="241"/>
  <c r="H152" i="241"/>
  <c r="H150" i="241"/>
  <c r="H148" i="241"/>
  <c r="D145" i="241"/>
  <c r="D144" i="241"/>
  <c r="D143" i="241"/>
  <c r="D142" i="241"/>
  <c r="D168" i="241" s="1"/>
  <c r="D166" i="241"/>
  <c r="D164" i="241"/>
  <c r="D162" i="241"/>
  <c r="D160" i="241"/>
  <c r="D158" i="241"/>
  <c r="D156" i="241"/>
  <c r="D154" i="241"/>
  <c r="D152" i="241"/>
  <c r="D150" i="241"/>
  <c r="D148" i="241"/>
  <c r="D146" i="241"/>
  <c r="D165" i="241"/>
  <c r="D163" i="241"/>
  <c r="D161" i="241"/>
  <c r="D159" i="241"/>
  <c r="D157" i="241"/>
  <c r="D155" i="241"/>
  <c r="D153" i="241"/>
  <c r="D151" i="241"/>
  <c r="D149" i="241"/>
  <c r="D147" i="241"/>
  <c r="M166" i="241"/>
  <c r="M165" i="241"/>
  <c r="M164" i="241"/>
  <c r="M163" i="241"/>
  <c r="M162" i="241"/>
  <c r="M161" i="241"/>
  <c r="M160" i="241"/>
  <c r="M159" i="241"/>
  <c r="M158" i="241"/>
  <c r="M157" i="241"/>
  <c r="M156" i="241"/>
  <c r="M155" i="241"/>
  <c r="M154" i="241"/>
  <c r="M153" i="241"/>
  <c r="M152" i="241"/>
  <c r="M151" i="241"/>
  <c r="M150" i="241"/>
  <c r="M149" i="241"/>
  <c r="M148" i="241"/>
  <c r="M147" i="241"/>
  <c r="M146" i="241"/>
  <c r="M145" i="241"/>
  <c r="M144" i="241"/>
  <c r="M143" i="241"/>
  <c r="M142" i="241"/>
  <c r="M168" i="241" s="1"/>
  <c r="I166" i="241"/>
  <c r="I165" i="241"/>
  <c r="I164" i="241"/>
  <c r="I163" i="241"/>
  <c r="I162" i="241"/>
  <c r="I161" i="241"/>
  <c r="I160" i="241"/>
  <c r="I159" i="241"/>
  <c r="I158" i="241"/>
  <c r="I157" i="241"/>
  <c r="I156" i="241"/>
  <c r="I155" i="241"/>
  <c r="I154" i="241"/>
  <c r="I153" i="241"/>
  <c r="I152" i="241"/>
  <c r="I151" i="241"/>
  <c r="I150" i="241"/>
  <c r="I149" i="241"/>
  <c r="I148" i="241"/>
  <c r="I147" i="241"/>
  <c r="I146" i="241"/>
  <c r="I145" i="241"/>
  <c r="I144" i="241"/>
  <c r="I143" i="241"/>
  <c r="I142" i="241"/>
  <c r="I168" i="241" s="1"/>
  <c r="B30" i="241"/>
  <c r="B59" i="241"/>
  <c r="B66" i="241" s="1"/>
  <c r="B26" i="245" s="1"/>
  <c r="B18" i="245"/>
  <c r="B115" i="241"/>
  <c r="B175" i="241" s="1"/>
  <c r="B209" i="241" s="1"/>
  <c r="B238" i="241" s="1"/>
  <c r="S166" i="241"/>
  <c r="S165" i="241"/>
  <c r="S164" i="241"/>
  <c r="S163" i="241"/>
  <c r="S162" i="241"/>
  <c r="S161" i="241"/>
  <c r="S160" i="241"/>
  <c r="S159" i="241"/>
  <c r="S158" i="241"/>
  <c r="S157" i="241"/>
  <c r="S156" i="241"/>
  <c r="S155" i="241"/>
  <c r="S154" i="241"/>
  <c r="S153" i="241"/>
  <c r="S152" i="241"/>
  <c r="S151" i="241"/>
  <c r="S150" i="241"/>
  <c r="S149" i="241"/>
  <c r="S148" i="241"/>
  <c r="S147" i="241"/>
  <c r="S146" i="241"/>
  <c r="S145" i="241"/>
  <c r="S144" i="241"/>
  <c r="S143" i="241"/>
  <c r="S142" i="241"/>
  <c r="S168" i="241" s="1"/>
  <c r="O166" i="241"/>
  <c r="O165" i="241"/>
  <c r="O164" i="241"/>
  <c r="O163" i="241"/>
  <c r="O162" i="241"/>
  <c r="O161" i="241"/>
  <c r="O160" i="241"/>
  <c r="O159" i="241"/>
  <c r="O158" i="241"/>
  <c r="O157" i="241"/>
  <c r="O156" i="241"/>
  <c r="O155" i="241"/>
  <c r="O154" i="241"/>
  <c r="O153" i="241"/>
  <c r="O152" i="241"/>
  <c r="O151" i="241"/>
  <c r="O150" i="241"/>
  <c r="O149" i="241"/>
  <c r="O148" i="241"/>
  <c r="O147" i="241"/>
  <c r="O146" i="241"/>
  <c r="O145" i="241"/>
  <c r="O144" i="241"/>
  <c r="O143" i="241"/>
  <c r="O142" i="241"/>
  <c r="O168" i="241" s="1"/>
  <c r="K166" i="241"/>
  <c r="K165" i="241"/>
  <c r="K164" i="241"/>
  <c r="K163" i="241"/>
  <c r="K162" i="241"/>
  <c r="K161" i="241"/>
  <c r="K160" i="241"/>
  <c r="K159" i="241"/>
  <c r="K158" i="241"/>
  <c r="K157" i="241"/>
  <c r="K156" i="241"/>
  <c r="K155" i="241"/>
  <c r="K154" i="241"/>
  <c r="K153" i="241"/>
  <c r="K152" i="241"/>
  <c r="K151" i="241"/>
  <c r="K150" i="241"/>
  <c r="K149" i="241"/>
  <c r="K148" i="241"/>
  <c r="K147" i="241"/>
  <c r="K146" i="241"/>
  <c r="K145" i="241"/>
  <c r="K144" i="241"/>
  <c r="K143" i="241"/>
  <c r="K142" i="241"/>
  <c r="K168" i="241" s="1"/>
  <c r="G166" i="241"/>
  <c r="G165" i="241"/>
  <c r="G164" i="241"/>
  <c r="G163" i="241"/>
  <c r="G162" i="241"/>
  <c r="G161" i="241"/>
  <c r="G160" i="241"/>
  <c r="G159" i="241"/>
  <c r="G158" i="241"/>
  <c r="G157" i="241"/>
  <c r="G156" i="241"/>
  <c r="G155" i="241"/>
  <c r="G154" i="241"/>
  <c r="G153" i="241"/>
  <c r="G152" i="241"/>
  <c r="G151" i="241"/>
  <c r="G150" i="241"/>
  <c r="G149" i="241"/>
  <c r="G148" i="241"/>
  <c r="G147" i="241"/>
  <c r="G146" i="241"/>
  <c r="G145" i="241"/>
  <c r="G144" i="241"/>
  <c r="G143" i="241"/>
  <c r="G142" i="241"/>
  <c r="G168" i="241" s="1"/>
  <c r="F15" i="241"/>
  <c r="E140" i="241"/>
  <c r="R166" i="241"/>
  <c r="R165" i="241"/>
  <c r="R164" i="241"/>
  <c r="R163" i="241"/>
  <c r="R162" i="241"/>
  <c r="R161" i="241"/>
  <c r="R160" i="241"/>
  <c r="R159" i="241"/>
  <c r="R158" i="241"/>
  <c r="R157" i="241"/>
  <c r="R156" i="241"/>
  <c r="R155" i="241"/>
  <c r="R154" i="241"/>
  <c r="R153" i="241"/>
  <c r="R152" i="241"/>
  <c r="R151" i="241"/>
  <c r="R150" i="241"/>
  <c r="R149" i="241"/>
  <c r="R148" i="241"/>
  <c r="R147" i="241"/>
  <c r="R146" i="241"/>
  <c r="R145" i="241"/>
  <c r="R144" i="241"/>
  <c r="R143" i="241"/>
  <c r="R142" i="241"/>
  <c r="R168" i="241" s="1"/>
  <c r="N166" i="241"/>
  <c r="N165" i="241"/>
  <c r="N164" i="241"/>
  <c r="N163" i="241"/>
  <c r="N162" i="241"/>
  <c r="N161" i="241"/>
  <c r="N160" i="241"/>
  <c r="N159" i="241"/>
  <c r="N158" i="241"/>
  <c r="N157" i="241"/>
  <c r="N156" i="241"/>
  <c r="N155" i="241"/>
  <c r="N154" i="241"/>
  <c r="N153" i="241"/>
  <c r="N152" i="241"/>
  <c r="N151" i="241"/>
  <c r="N150" i="241"/>
  <c r="N149" i="241"/>
  <c r="N148" i="241"/>
  <c r="N147" i="241"/>
  <c r="N146" i="241"/>
  <c r="N144" i="241"/>
  <c r="N143" i="241"/>
  <c r="N142" i="241"/>
  <c r="N168" i="241" s="1"/>
  <c r="N145" i="241"/>
  <c r="J166" i="241"/>
  <c r="J165" i="241"/>
  <c r="J164" i="241"/>
  <c r="J163" i="241"/>
  <c r="J162" i="241"/>
  <c r="J161" i="241"/>
  <c r="J160" i="241"/>
  <c r="J159" i="241"/>
  <c r="J158" i="241"/>
  <c r="J157" i="241"/>
  <c r="J156" i="241"/>
  <c r="J155" i="241"/>
  <c r="J154" i="241"/>
  <c r="J153" i="241"/>
  <c r="J152" i="241"/>
  <c r="J151" i="241"/>
  <c r="J150" i="241"/>
  <c r="J149" i="241"/>
  <c r="J148" i="241"/>
  <c r="J147" i="241"/>
  <c r="J146" i="241"/>
  <c r="J145" i="241"/>
  <c r="J144" i="241"/>
  <c r="J143" i="241"/>
  <c r="J142" i="241"/>
  <c r="J168" i="241" s="1"/>
  <c r="F166" i="241"/>
  <c r="F165" i="241"/>
  <c r="F164" i="241"/>
  <c r="F163" i="241"/>
  <c r="F162" i="241"/>
  <c r="F161" i="241"/>
  <c r="F160" i="241"/>
  <c r="F159" i="241"/>
  <c r="F158" i="241"/>
  <c r="F157" i="241"/>
  <c r="F156" i="241"/>
  <c r="F155" i="241"/>
  <c r="F154" i="241"/>
  <c r="F153" i="241"/>
  <c r="F152" i="241"/>
  <c r="F151" i="241"/>
  <c r="F150" i="241"/>
  <c r="F149" i="241"/>
  <c r="F148" i="241"/>
  <c r="F147" i="241"/>
  <c r="F146" i="241"/>
  <c r="F145" i="241"/>
  <c r="F144" i="241"/>
  <c r="F143" i="241"/>
  <c r="F142" i="241"/>
  <c r="F168" i="241" s="1"/>
  <c r="B21" i="245"/>
  <c r="B118" i="241"/>
  <c r="B148" i="241" s="1"/>
  <c r="B68" i="241"/>
  <c r="B28" i="245" s="1"/>
  <c r="B17" i="245"/>
  <c r="B64" i="241"/>
  <c r="B24" i="245" s="1"/>
  <c r="B114" i="241"/>
  <c r="B144" i="241" s="1"/>
  <c r="B20" i="245"/>
  <c r="B117" i="241"/>
  <c r="B147" i="241" s="1"/>
  <c r="B16" i="245"/>
  <c r="B113" i="241"/>
  <c r="B143" i="241" s="1"/>
  <c r="Q37" i="244"/>
  <c r="S37" i="244" s="1"/>
  <c r="Q33" i="244"/>
  <c r="S33" i="244" s="1"/>
  <c r="Q29" i="244"/>
  <c r="S29" i="244" s="1"/>
  <c r="Q25" i="244"/>
  <c r="S25" i="244" s="1"/>
  <c r="Q21" i="244"/>
  <c r="S21" i="244" s="1"/>
  <c r="Q17" i="244"/>
  <c r="S17" i="244" s="1"/>
  <c r="Q36" i="244"/>
  <c r="S36" i="244" s="1"/>
  <c r="Q32" i="244"/>
  <c r="S32" i="244" s="1"/>
  <c r="Q28" i="244"/>
  <c r="S28" i="244" s="1"/>
  <c r="Q24" i="244"/>
  <c r="S24" i="244" s="1"/>
  <c r="Q20" i="244"/>
  <c r="S20" i="244" s="1"/>
  <c r="Q16" i="244"/>
  <c r="S16" i="244" s="1"/>
  <c r="B136" i="241"/>
  <c r="B166" i="241" s="1"/>
  <c r="B62" i="241"/>
  <c r="B22" i="245" s="1"/>
  <c r="B32" i="241"/>
  <c r="B28" i="241"/>
  <c r="N50" i="244"/>
  <c r="N48" i="244"/>
  <c r="N38" i="244"/>
  <c r="N36" i="244"/>
  <c r="N34" i="244"/>
  <c r="N32" i="244"/>
  <c r="N30" i="244"/>
  <c r="N28" i="244"/>
  <c r="N26" i="244"/>
  <c r="N24" i="244"/>
  <c r="N22" i="244"/>
  <c r="N20" i="244"/>
  <c r="N18" i="244"/>
  <c r="N16" i="244"/>
  <c r="N14" i="244"/>
  <c r="N12" i="244"/>
  <c r="N10" i="244"/>
  <c r="Q39" i="244"/>
  <c r="S39" i="244" s="1"/>
  <c r="Q35" i="244"/>
  <c r="S35" i="244" s="1"/>
  <c r="Q31" i="244"/>
  <c r="S31" i="244" s="1"/>
  <c r="Q27" i="244"/>
  <c r="S27" i="244" s="1"/>
  <c r="Q23" i="244"/>
  <c r="S23" i="244" s="1"/>
  <c r="Q19" i="244"/>
  <c r="S19" i="244" s="1"/>
  <c r="Q15" i="244"/>
  <c r="S15" i="244" s="1"/>
  <c r="B135" i="241"/>
  <c r="B165" i="241" s="1"/>
  <c r="Q38" i="244"/>
  <c r="S38" i="244" s="1"/>
  <c r="Q34" i="244"/>
  <c r="S34" i="244" s="1"/>
  <c r="Q30" i="244"/>
  <c r="S30" i="244" s="1"/>
  <c r="Q26" i="244"/>
  <c r="S26" i="244" s="1"/>
  <c r="Q22" i="244"/>
  <c r="S22" i="244" s="1"/>
  <c r="Q18" i="244"/>
  <c r="S18" i="244" s="1"/>
  <c r="N39" i="244"/>
  <c r="N37" i="244"/>
  <c r="N35" i="244"/>
  <c r="N33" i="244"/>
  <c r="N31" i="244"/>
  <c r="N29" i="244"/>
  <c r="N27" i="244"/>
  <c r="N25" i="244"/>
  <c r="N23" i="244"/>
  <c r="N21" i="244"/>
  <c r="N19" i="244"/>
  <c r="N17" i="244"/>
  <c r="N15" i="244"/>
  <c r="N13" i="244"/>
  <c r="N11" i="244"/>
  <c r="F42" i="13"/>
  <c r="N37" i="12"/>
  <c r="N29" i="12"/>
  <c r="N21" i="12"/>
  <c r="N13" i="12"/>
  <c r="S229" i="52"/>
  <c r="S225" i="52"/>
  <c r="S221" i="52"/>
  <c r="S217" i="52"/>
  <c r="S213" i="52"/>
  <c r="S209" i="52"/>
  <c r="S224" i="52"/>
  <c r="S220" i="52"/>
  <c r="S212" i="52"/>
  <c r="S228" i="52"/>
  <c r="S216" i="52"/>
  <c r="S208" i="52"/>
  <c r="S226" i="52"/>
  <c r="S218" i="52"/>
  <c r="S210" i="52"/>
  <c r="S230" i="52"/>
  <c r="S214" i="52"/>
  <c r="S227" i="52"/>
  <c r="S211" i="52"/>
  <c r="S223" i="52"/>
  <c r="S215" i="52"/>
  <c r="S207" i="52"/>
  <c r="S222" i="52"/>
  <c r="S206" i="52"/>
  <c r="S219" i="52"/>
  <c r="N17" i="12"/>
  <c r="N35" i="12"/>
  <c r="N27" i="12"/>
  <c r="N19" i="12"/>
  <c r="N11" i="12"/>
  <c r="N48" i="12"/>
  <c r="N39" i="12"/>
  <c r="N31" i="12"/>
  <c r="N23" i="12"/>
  <c r="N15" i="12"/>
  <c r="N50" i="12"/>
  <c r="N38" i="12"/>
  <c r="N36" i="12"/>
  <c r="N34" i="12"/>
  <c r="N32" i="12"/>
  <c r="N30" i="12"/>
  <c r="N28" i="12"/>
  <c r="N26" i="12"/>
  <c r="N24" i="12"/>
  <c r="N22" i="12"/>
  <c r="N20" i="12"/>
  <c r="N18" i="12"/>
  <c r="N16" i="12"/>
  <c r="N14" i="12"/>
  <c r="N12" i="12"/>
  <c r="N10" i="12"/>
  <c r="C30" i="156"/>
  <c r="F30" i="156" s="1"/>
  <c r="P146" i="52"/>
  <c r="P145" i="52"/>
  <c r="P144" i="52"/>
  <c r="P143" i="52"/>
  <c r="P142" i="52"/>
  <c r="P168" i="52" s="1"/>
  <c r="P166" i="52"/>
  <c r="P165" i="52"/>
  <c r="P163" i="52"/>
  <c r="P161" i="52"/>
  <c r="P159" i="52"/>
  <c r="P157" i="52"/>
  <c r="P155" i="52"/>
  <c r="P153" i="52"/>
  <c r="P151" i="52"/>
  <c r="P149" i="52"/>
  <c r="P147" i="52"/>
  <c r="P164" i="52"/>
  <c r="P162" i="52"/>
  <c r="P160" i="52"/>
  <c r="P158" i="52"/>
  <c r="P156" i="52"/>
  <c r="P154" i="52"/>
  <c r="P152" i="52"/>
  <c r="P150" i="52"/>
  <c r="P148" i="52"/>
  <c r="L166" i="52"/>
  <c r="L165" i="52"/>
  <c r="L164" i="52"/>
  <c r="L163" i="52"/>
  <c r="L162" i="52"/>
  <c r="L161" i="52"/>
  <c r="L160" i="52"/>
  <c r="L159" i="52"/>
  <c r="L158" i="52"/>
  <c r="L157" i="52"/>
  <c r="L156" i="52"/>
  <c r="L155" i="52"/>
  <c r="L154" i="52"/>
  <c r="L153" i="52"/>
  <c r="L152" i="52"/>
  <c r="L151" i="52"/>
  <c r="L150" i="52"/>
  <c r="L149" i="52"/>
  <c r="L148" i="52"/>
  <c r="L147" i="52"/>
  <c r="L146" i="52"/>
  <c r="L145" i="52"/>
  <c r="L144" i="52"/>
  <c r="L143" i="52"/>
  <c r="L142" i="52"/>
  <c r="L168" i="52" s="1"/>
  <c r="H146" i="52"/>
  <c r="H145" i="52"/>
  <c r="H144" i="52"/>
  <c r="H143" i="52"/>
  <c r="H142" i="52"/>
  <c r="H168" i="52" s="1"/>
  <c r="H166" i="52"/>
  <c r="H165" i="52"/>
  <c r="H164" i="52"/>
  <c r="H163" i="52"/>
  <c r="H162" i="52"/>
  <c r="H161" i="52"/>
  <c r="H160" i="52"/>
  <c r="H159" i="52"/>
  <c r="H158" i="52"/>
  <c r="H157" i="52"/>
  <c r="H156" i="52"/>
  <c r="H155" i="52"/>
  <c r="H154" i="52"/>
  <c r="H153" i="52"/>
  <c r="H152" i="52"/>
  <c r="H151" i="52"/>
  <c r="H150" i="52"/>
  <c r="H149" i="52"/>
  <c r="H148" i="52"/>
  <c r="H147" i="52"/>
  <c r="D147" i="52"/>
  <c r="D146" i="52"/>
  <c r="D145" i="52"/>
  <c r="D144" i="52"/>
  <c r="D143" i="52"/>
  <c r="D142" i="52"/>
  <c r="D168" i="52" s="1"/>
  <c r="D166" i="52"/>
  <c r="D165" i="52"/>
  <c r="D164" i="52"/>
  <c r="D162" i="52"/>
  <c r="D161" i="52"/>
  <c r="D159" i="52"/>
  <c r="D157" i="52"/>
  <c r="D155" i="52"/>
  <c r="D153" i="52"/>
  <c r="D151" i="52"/>
  <c r="D149" i="52"/>
  <c r="D163" i="52"/>
  <c r="D160" i="52"/>
  <c r="D158" i="52"/>
  <c r="D156" i="52"/>
  <c r="D154" i="52"/>
  <c r="D152" i="52"/>
  <c r="D150" i="52"/>
  <c r="D148" i="52"/>
  <c r="F15" i="52"/>
  <c r="S166" i="52"/>
  <c r="S165" i="52"/>
  <c r="S164" i="52"/>
  <c r="S163" i="52"/>
  <c r="S162" i="52"/>
  <c r="S161" i="52"/>
  <c r="S160" i="52"/>
  <c r="S159" i="52"/>
  <c r="S158" i="52"/>
  <c r="S157" i="52"/>
  <c r="S156" i="52"/>
  <c r="S155" i="52"/>
  <c r="S154" i="52"/>
  <c r="S153" i="52"/>
  <c r="S152" i="52"/>
  <c r="S151" i="52"/>
  <c r="S150" i="52"/>
  <c r="S149" i="52"/>
  <c r="S148" i="52"/>
  <c r="S147" i="52"/>
  <c r="S146" i="52"/>
  <c r="S145" i="52"/>
  <c r="S144" i="52"/>
  <c r="S143" i="52"/>
  <c r="S142" i="52"/>
  <c r="S168" i="52" s="1"/>
  <c r="O166" i="52"/>
  <c r="O165" i="52"/>
  <c r="O164" i="52"/>
  <c r="O163" i="52"/>
  <c r="O162" i="52"/>
  <c r="O161" i="52"/>
  <c r="O160" i="52"/>
  <c r="O159" i="52"/>
  <c r="O158" i="52"/>
  <c r="O157" i="52"/>
  <c r="O156" i="52"/>
  <c r="O155" i="52"/>
  <c r="O154" i="52"/>
  <c r="O153" i="52"/>
  <c r="O152" i="52"/>
  <c r="O151" i="52"/>
  <c r="O150" i="52"/>
  <c r="O149" i="52"/>
  <c r="O148" i="52"/>
  <c r="O147" i="52"/>
  <c r="O146" i="52"/>
  <c r="O145" i="52"/>
  <c r="O144" i="52"/>
  <c r="O143" i="52"/>
  <c r="O142" i="52"/>
  <c r="O168" i="52" s="1"/>
  <c r="K166" i="52"/>
  <c r="K165" i="52"/>
  <c r="K164" i="52"/>
  <c r="K163" i="52"/>
  <c r="K162" i="52"/>
  <c r="K161" i="52"/>
  <c r="K160" i="52"/>
  <c r="K159" i="52"/>
  <c r="K158" i="52"/>
  <c r="K157" i="52"/>
  <c r="K156" i="52"/>
  <c r="K155" i="52"/>
  <c r="K154" i="52"/>
  <c r="K153" i="52"/>
  <c r="K152" i="52"/>
  <c r="K151" i="52"/>
  <c r="K150" i="52"/>
  <c r="K149" i="52"/>
  <c r="K148" i="52"/>
  <c r="K147" i="52"/>
  <c r="K146" i="52"/>
  <c r="K145" i="52"/>
  <c r="K144" i="52"/>
  <c r="K143" i="52"/>
  <c r="K142" i="52"/>
  <c r="K168" i="52" s="1"/>
  <c r="G166" i="52"/>
  <c r="G165" i="52"/>
  <c r="G164" i="52"/>
  <c r="G163" i="52"/>
  <c r="G162" i="52"/>
  <c r="G161" i="52"/>
  <c r="G160" i="52"/>
  <c r="G159" i="52"/>
  <c r="G158" i="52"/>
  <c r="G157" i="52"/>
  <c r="G156" i="52"/>
  <c r="G155" i="52"/>
  <c r="G154" i="52"/>
  <c r="G153" i="52"/>
  <c r="G152" i="52"/>
  <c r="G151" i="52"/>
  <c r="G150" i="52"/>
  <c r="G149" i="52"/>
  <c r="G148" i="52"/>
  <c r="G147" i="52"/>
  <c r="G146" i="52"/>
  <c r="G145" i="52"/>
  <c r="G144" i="52"/>
  <c r="G143" i="52"/>
  <c r="G142" i="52"/>
  <c r="G168" i="52" s="1"/>
  <c r="R166" i="52"/>
  <c r="R165" i="52"/>
  <c r="R164" i="52"/>
  <c r="R163" i="52"/>
  <c r="R162" i="52"/>
  <c r="R161" i="52"/>
  <c r="R160" i="52"/>
  <c r="R159" i="52"/>
  <c r="R158" i="52"/>
  <c r="R157" i="52"/>
  <c r="R156" i="52"/>
  <c r="R155" i="52"/>
  <c r="R154" i="52"/>
  <c r="R153" i="52"/>
  <c r="R152" i="52"/>
  <c r="R151" i="52"/>
  <c r="R150" i="52"/>
  <c r="R149" i="52"/>
  <c r="R148" i="52"/>
  <c r="R147" i="52"/>
  <c r="R146" i="52"/>
  <c r="R145" i="52"/>
  <c r="R144" i="52"/>
  <c r="R143" i="52"/>
  <c r="R142" i="52"/>
  <c r="R168" i="52" s="1"/>
  <c r="N166" i="52"/>
  <c r="N165" i="52"/>
  <c r="N164" i="52"/>
  <c r="N163" i="52"/>
  <c r="N162" i="52"/>
  <c r="N161" i="52"/>
  <c r="N160" i="52"/>
  <c r="N159" i="52"/>
  <c r="N158" i="52"/>
  <c r="N157" i="52"/>
  <c r="N156" i="52"/>
  <c r="N155" i="52"/>
  <c r="N154" i="52"/>
  <c r="N153" i="52"/>
  <c r="N152" i="52"/>
  <c r="N151" i="52"/>
  <c r="N150" i="52"/>
  <c r="N149" i="52"/>
  <c r="N148" i="52"/>
  <c r="N147" i="52"/>
  <c r="N146" i="52"/>
  <c r="N145" i="52"/>
  <c r="N144" i="52"/>
  <c r="N143" i="52"/>
  <c r="N142" i="52"/>
  <c r="N168" i="52" s="1"/>
  <c r="J166" i="52"/>
  <c r="J165" i="52"/>
  <c r="J164" i="52"/>
  <c r="J163" i="52"/>
  <c r="J162" i="52"/>
  <c r="J161" i="52"/>
  <c r="J160" i="52"/>
  <c r="J159" i="52"/>
  <c r="J158" i="52"/>
  <c r="J157" i="52"/>
  <c r="J156" i="52"/>
  <c r="J155" i="52"/>
  <c r="J154" i="52"/>
  <c r="J153" i="52"/>
  <c r="J152" i="52"/>
  <c r="J151" i="52"/>
  <c r="J150" i="52"/>
  <c r="J149" i="52"/>
  <c r="J148" i="52"/>
  <c r="J147" i="52"/>
  <c r="J146" i="52"/>
  <c r="J145" i="52"/>
  <c r="J144" i="52"/>
  <c r="J143" i="52"/>
  <c r="J142" i="52"/>
  <c r="J168" i="52" s="1"/>
  <c r="F166" i="52"/>
  <c r="F165" i="52"/>
  <c r="F164" i="52"/>
  <c r="F163" i="52"/>
  <c r="F162" i="52"/>
  <c r="F161" i="52"/>
  <c r="F160" i="52"/>
  <c r="F159" i="52"/>
  <c r="F158" i="52"/>
  <c r="F157" i="52"/>
  <c r="F156" i="52"/>
  <c r="F155" i="52"/>
  <c r="F154" i="52"/>
  <c r="F153" i="52"/>
  <c r="F152" i="52"/>
  <c r="F151" i="52"/>
  <c r="F150" i="52"/>
  <c r="F149" i="52"/>
  <c r="F148" i="52"/>
  <c r="F146" i="52"/>
  <c r="F145" i="52"/>
  <c r="F144" i="52"/>
  <c r="F143" i="52"/>
  <c r="F142" i="52"/>
  <c r="F168" i="52" s="1"/>
  <c r="F147" i="52"/>
  <c r="Q166" i="52"/>
  <c r="Q165" i="52"/>
  <c r="Q164" i="52"/>
  <c r="Q163" i="52"/>
  <c r="Q162" i="52"/>
  <c r="Q161" i="52"/>
  <c r="Q160" i="52"/>
  <c r="Q159" i="52"/>
  <c r="Q158" i="52"/>
  <c r="Q157" i="52"/>
  <c r="Q156" i="52"/>
  <c r="Q155" i="52"/>
  <c r="Q154" i="52"/>
  <c r="Q153" i="52"/>
  <c r="Q152" i="52"/>
  <c r="Q151" i="52"/>
  <c r="Q150" i="52"/>
  <c r="Q149" i="52"/>
  <c r="Q148" i="52"/>
  <c r="Q147" i="52"/>
  <c r="Q146" i="52"/>
  <c r="Q145" i="52"/>
  <c r="Q144" i="52"/>
  <c r="Q143" i="52"/>
  <c r="Q142" i="52"/>
  <c r="Q168" i="52" s="1"/>
  <c r="M166" i="52"/>
  <c r="M165" i="52"/>
  <c r="M164" i="52"/>
  <c r="M163" i="52"/>
  <c r="M162" i="52"/>
  <c r="M161" i="52"/>
  <c r="M160" i="52"/>
  <c r="M159" i="52"/>
  <c r="M158" i="52"/>
  <c r="M157" i="52"/>
  <c r="M156" i="52"/>
  <c r="M155" i="52"/>
  <c r="M154" i="52"/>
  <c r="M153" i="52"/>
  <c r="M152" i="52"/>
  <c r="M151" i="52"/>
  <c r="M150" i="52"/>
  <c r="M149" i="52"/>
  <c r="M148" i="52"/>
  <c r="M147" i="52"/>
  <c r="M146" i="52"/>
  <c r="M145" i="52"/>
  <c r="M144" i="52"/>
  <c r="M143" i="52"/>
  <c r="M142" i="52"/>
  <c r="M168" i="52" s="1"/>
  <c r="I166" i="52"/>
  <c r="I165" i="52"/>
  <c r="I164" i="52"/>
  <c r="I163" i="52"/>
  <c r="I162" i="52"/>
  <c r="I161" i="52"/>
  <c r="I160" i="52"/>
  <c r="I159" i="52"/>
  <c r="I158" i="52"/>
  <c r="I157" i="52"/>
  <c r="I156" i="52"/>
  <c r="I155" i="52"/>
  <c r="I154" i="52"/>
  <c r="I153" i="52"/>
  <c r="I152" i="52"/>
  <c r="I151" i="52"/>
  <c r="I150" i="52"/>
  <c r="I149" i="52"/>
  <c r="I148" i="52"/>
  <c r="I147" i="52"/>
  <c r="I146" i="52"/>
  <c r="I145" i="52"/>
  <c r="I144" i="52"/>
  <c r="I142" i="52"/>
  <c r="I168" i="52" s="1"/>
  <c r="I143" i="52"/>
  <c r="E166" i="52"/>
  <c r="E165" i="52"/>
  <c r="E164" i="52"/>
  <c r="E163" i="52"/>
  <c r="E162" i="52"/>
  <c r="E161" i="52"/>
  <c r="E160" i="52"/>
  <c r="E159" i="52"/>
  <c r="E158" i="52"/>
  <c r="E157" i="52"/>
  <c r="E156" i="52"/>
  <c r="E155" i="52"/>
  <c r="E154" i="52"/>
  <c r="E153" i="52"/>
  <c r="E152" i="52"/>
  <c r="E151" i="52"/>
  <c r="E150" i="52"/>
  <c r="E149" i="52"/>
  <c r="E148" i="52"/>
  <c r="E147" i="52"/>
  <c r="E146" i="52"/>
  <c r="E144" i="52"/>
  <c r="E142" i="52"/>
  <c r="E168" i="52" s="1"/>
  <c r="E145" i="52"/>
  <c r="E143" i="52"/>
  <c r="B59" i="52"/>
  <c r="B66" i="52" s="1"/>
  <c r="B55" i="52"/>
  <c r="B62" i="52" s="1"/>
  <c r="B159" i="52"/>
  <c r="B189" i="52"/>
  <c r="B223" i="52" s="1"/>
  <c r="B251" i="52" s="1"/>
  <c r="B163" i="52"/>
  <c r="B193" i="52"/>
  <c r="B227" i="52" s="1"/>
  <c r="B255" i="52" s="1"/>
  <c r="B58" i="52"/>
  <c r="B32" i="52"/>
  <c r="B28" i="52"/>
  <c r="B191" i="52"/>
  <c r="B225" i="52" s="1"/>
  <c r="B253" i="52" s="1"/>
  <c r="B195" i="52"/>
  <c r="B229" i="52" s="1"/>
  <c r="B257" i="52" s="1"/>
  <c r="B165" i="52"/>
  <c r="B187" i="52"/>
  <c r="B221" i="52" s="1"/>
  <c r="B249" i="52" s="1"/>
  <c r="B157" i="52"/>
  <c r="B192" i="52"/>
  <c r="B226" i="52" s="1"/>
  <c r="B254" i="52" s="1"/>
  <c r="B162" i="52"/>
  <c r="B188" i="52"/>
  <c r="B222" i="52" s="1"/>
  <c r="B250" i="52" s="1"/>
  <c r="B158" i="52"/>
  <c r="B196" i="52"/>
  <c r="B166" i="52"/>
  <c r="B194" i="52"/>
  <c r="B228" i="52" s="1"/>
  <c r="B256" i="52" s="1"/>
  <c r="B164" i="52"/>
  <c r="B190" i="52"/>
  <c r="B224" i="52" s="1"/>
  <c r="B252" i="52" s="1"/>
  <c r="B160" i="52"/>
  <c r="B186" i="52"/>
  <c r="B220" i="52" s="1"/>
  <c r="B248" i="52" s="1"/>
  <c r="B156" i="52"/>
  <c r="B82" i="73"/>
  <c r="B114" i="73" s="1"/>
  <c r="B249" i="73" s="1"/>
  <c r="B294" i="73" s="1"/>
  <c r="B107" i="73"/>
  <c r="B228" i="73" s="1"/>
  <c r="B273" i="73" s="1"/>
  <c r="D46" i="73"/>
  <c r="E11" i="11"/>
  <c r="L46" i="73"/>
  <c r="F195" i="73"/>
  <c r="H44" i="73"/>
  <c r="H46" i="73" s="1"/>
  <c r="G20" i="73"/>
  <c r="G21" i="73" s="1"/>
  <c r="O70" i="73"/>
  <c r="P63" i="73" s="1"/>
  <c r="E44" i="73"/>
  <c r="E46" i="73" s="1"/>
  <c r="K20" i="73"/>
  <c r="K21" i="73" s="1"/>
  <c r="D30" i="73"/>
  <c r="D32" i="73" s="1"/>
  <c r="Y78" i="52"/>
  <c r="F87" i="52" s="1"/>
  <c r="G85" i="156"/>
  <c r="S100" i="241"/>
  <c r="F84" i="156"/>
  <c r="I195" i="73"/>
  <c r="K184" i="73"/>
  <c r="O31" i="10"/>
  <c r="O24" i="10"/>
  <c r="P20" i="10"/>
  <c r="AF22" i="57"/>
  <c r="AF15" i="57"/>
  <c r="AF18" i="57"/>
  <c r="Y48" i="57"/>
  <c r="L17" i="62" s="1"/>
  <c r="H44" i="47"/>
  <c r="J47" i="47"/>
  <c r="O44" i="47"/>
  <c r="P43" i="47"/>
  <c r="L44" i="47"/>
  <c r="N48" i="47"/>
  <c r="M44" i="47"/>
  <c r="M46" i="47"/>
  <c r="J44" i="47"/>
  <c r="O47" i="47"/>
  <c r="O46" i="47"/>
  <c r="N47" i="47"/>
  <c r="I46" i="47"/>
  <c r="B37" i="41"/>
  <c r="B29" i="41"/>
  <c r="B21" i="41"/>
  <c r="B13" i="41"/>
  <c r="P48" i="47"/>
  <c r="L48" i="47"/>
  <c r="P47" i="47"/>
  <c r="P46" i="47"/>
  <c r="J46" i="47"/>
  <c r="L45" i="47"/>
  <c r="N44" i="47"/>
  <c r="I44" i="47"/>
  <c r="L43" i="47"/>
  <c r="O45" i="47"/>
  <c r="J45" i="47"/>
  <c r="M39" i="53"/>
  <c r="M37" i="53"/>
  <c r="M35" i="53"/>
  <c r="M33" i="53"/>
  <c r="M31" i="53"/>
  <c r="M29" i="53"/>
  <c r="M27" i="53"/>
  <c r="M25" i="53"/>
  <c r="O24" i="53"/>
  <c r="B39" i="41"/>
  <c r="B31" i="41"/>
  <c r="B23" i="41"/>
  <c r="B15" i="41"/>
  <c r="Z2" i="41"/>
  <c r="O48" i="47"/>
  <c r="J48" i="47"/>
  <c r="H46" i="47"/>
  <c r="H45" i="47"/>
  <c r="J43" i="47"/>
  <c r="N45" i="47"/>
  <c r="N43" i="47"/>
  <c r="N46" i="47"/>
  <c r="U39" i="53"/>
  <c r="N38" i="53"/>
  <c r="U37" i="53"/>
  <c r="N36" i="53"/>
  <c r="U35" i="53"/>
  <c r="N34" i="53"/>
  <c r="U33" i="53"/>
  <c r="N32" i="53"/>
  <c r="U31" i="53"/>
  <c r="N30" i="53"/>
  <c r="U29" i="53"/>
  <c r="N28" i="53"/>
  <c r="U27" i="53"/>
  <c r="N26" i="53"/>
  <c r="U25" i="53"/>
  <c r="I47" i="47"/>
  <c r="B33" i="41"/>
  <c r="B25" i="41"/>
  <c r="B17" i="41"/>
  <c r="I48" i="47"/>
  <c r="L47" i="47"/>
  <c r="P45" i="47"/>
  <c r="P44" i="47"/>
  <c r="M47" i="47"/>
  <c r="M43" i="47"/>
  <c r="O39" i="53"/>
  <c r="O37" i="53"/>
  <c r="V36" i="53"/>
  <c r="O35" i="53"/>
  <c r="O33" i="53"/>
  <c r="V32" i="53"/>
  <c r="O31" i="53"/>
  <c r="V30" i="53"/>
  <c r="O29" i="53"/>
  <c r="V28" i="53"/>
  <c r="O27" i="53"/>
  <c r="V26" i="53"/>
  <c r="O25" i="53"/>
  <c r="V24" i="53"/>
  <c r="S101" i="52"/>
  <c r="S104" i="52"/>
  <c r="S104" i="241"/>
  <c r="AF14" i="57"/>
  <c r="Y47" i="57"/>
  <c r="L16" i="62" s="1"/>
  <c r="V19" i="57"/>
  <c r="V15" i="57"/>
  <c r="AF30" i="57"/>
  <c r="X46" i="57"/>
  <c r="J15" i="62" s="1"/>
  <c r="AF27" i="57"/>
  <c r="V26" i="57"/>
  <c r="R43" i="57"/>
  <c r="AG43" i="57"/>
  <c r="Y44" i="57"/>
  <c r="L13" i="62" s="1"/>
  <c r="AJ47" i="57"/>
  <c r="R16" i="62" s="1"/>
  <c r="AJ45" i="57"/>
  <c r="H11" i="189" s="1"/>
  <c r="AB47" i="57"/>
  <c r="X44" i="57"/>
  <c r="J13" i="62" s="1"/>
  <c r="AF35" i="57"/>
  <c r="V34" i="57"/>
  <c r="AF19" i="57"/>
  <c r="V18" i="57"/>
  <c r="R48" i="57"/>
  <c r="AJ46" i="57"/>
  <c r="Y45" i="57"/>
  <c r="L14" i="62" s="1"/>
  <c r="AJ43" i="57"/>
  <c r="R12" i="62" s="1"/>
  <c r="V10" i="57"/>
  <c r="R45" i="57"/>
  <c r="AI45" i="57"/>
  <c r="AJ48" i="57"/>
  <c r="R17" i="62" s="1"/>
  <c r="AB46" i="57"/>
  <c r="AG44" i="57"/>
  <c r="AF39" i="57"/>
  <c r="AF31" i="57"/>
  <c r="AF23" i="57"/>
  <c r="AB48" i="57"/>
  <c r="V38" i="57"/>
  <c r="AC46" i="57"/>
  <c r="AF34" i="57"/>
  <c r="Q46" i="57"/>
  <c r="V30" i="57"/>
  <c r="AF26" i="57"/>
  <c r="V22" i="57"/>
  <c r="V14" i="57"/>
  <c r="AF10" i="57"/>
  <c r="U36" i="57"/>
  <c r="AF36" i="57"/>
  <c r="V36" i="57"/>
  <c r="U28" i="57"/>
  <c r="AF28" i="57"/>
  <c r="V28" i="57"/>
  <c r="AI43" i="57"/>
  <c r="P12" i="62" s="1"/>
  <c r="U20" i="57"/>
  <c r="AF20" i="57"/>
  <c r="V20" i="57"/>
  <c r="U12" i="57"/>
  <c r="AF12" i="57"/>
  <c r="V12" i="57"/>
  <c r="AI47" i="57"/>
  <c r="P16" i="62" s="1"/>
  <c r="AI44" i="57"/>
  <c r="P13" i="62" s="1"/>
  <c r="AI46" i="57"/>
  <c r="G12" i="189" s="1"/>
  <c r="AI48" i="57"/>
  <c r="P17" i="62" s="1"/>
  <c r="U37" i="57"/>
  <c r="V37" i="57"/>
  <c r="AF37" i="57"/>
  <c r="U29" i="57"/>
  <c r="V29" i="57"/>
  <c r="AF29" i="57"/>
  <c r="AA44" i="57"/>
  <c r="U21" i="57"/>
  <c r="V21" i="57"/>
  <c r="AF21" i="57"/>
  <c r="U13" i="57"/>
  <c r="V13" i="57"/>
  <c r="AF13" i="57"/>
  <c r="U41" i="57"/>
  <c r="V41" i="57"/>
  <c r="AF41" i="57"/>
  <c r="U33" i="57"/>
  <c r="V33" i="57"/>
  <c r="AF33" i="57"/>
  <c r="U25" i="57"/>
  <c r="V25" i="57"/>
  <c r="AF25" i="57"/>
  <c r="AA45" i="57"/>
  <c r="U17" i="57"/>
  <c r="V17" i="57"/>
  <c r="AF17" i="57"/>
  <c r="S48" i="57"/>
  <c r="S44" i="57"/>
  <c r="S46" i="57"/>
  <c r="U9" i="57"/>
  <c r="V9" i="57"/>
  <c r="L47" i="57"/>
  <c r="L45" i="57"/>
  <c r="AF9" i="57"/>
  <c r="L43" i="57"/>
  <c r="U40" i="57"/>
  <c r="AF40" i="57"/>
  <c r="V40" i="57"/>
  <c r="U32" i="57"/>
  <c r="AF32" i="57"/>
  <c r="V32" i="57"/>
  <c r="U24" i="57"/>
  <c r="AF24" i="57"/>
  <c r="V24" i="57"/>
  <c r="U16" i="57"/>
  <c r="AF16" i="57"/>
  <c r="V16" i="57"/>
  <c r="AA48" i="57"/>
  <c r="AA46" i="57"/>
  <c r="AC45" i="57"/>
  <c r="X45" i="57"/>
  <c r="J14" i="62" s="1"/>
  <c r="AC43" i="57"/>
  <c r="X43" i="57"/>
  <c r="J12" i="62" s="1"/>
  <c r="Q47" i="57"/>
  <c r="Q43" i="57"/>
  <c r="Y43" i="57"/>
  <c r="L12" i="62" s="1"/>
  <c r="Y46" i="57"/>
  <c r="L15" i="62" s="1"/>
  <c r="AG47" i="57"/>
  <c r="AG45" i="57"/>
  <c r="AG46" i="57"/>
  <c r="AG48" i="57"/>
  <c r="R44" i="57"/>
  <c r="R46" i="57"/>
  <c r="R47" i="57"/>
  <c r="AF11" i="57"/>
  <c r="AB44" i="57"/>
  <c r="AB45" i="57"/>
  <c r="AB43" i="57"/>
  <c r="AJ44" i="57"/>
  <c r="R13" i="62" s="1"/>
  <c r="AC48" i="57"/>
  <c r="AC44" i="57"/>
  <c r="X48" i="57"/>
  <c r="J17" i="62" s="1"/>
  <c r="AC47" i="57"/>
  <c r="S47" i="57"/>
  <c r="U39" i="57"/>
  <c r="Q48" i="57"/>
  <c r="U35" i="57"/>
  <c r="U31" i="57"/>
  <c r="S43" i="57"/>
  <c r="U27" i="57"/>
  <c r="U23" i="57"/>
  <c r="U19" i="57"/>
  <c r="U15" i="57"/>
  <c r="U11" i="57"/>
  <c r="X47" i="57"/>
  <c r="J16" i="62" s="1"/>
  <c r="U38" i="57"/>
  <c r="U34" i="57"/>
  <c r="S45" i="57"/>
  <c r="U30" i="57"/>
  <c r="Q44" i="57"/>
  <c r="AA47" i="57"/>
  <c r="U26" i="57"/>
  <c r="Q45" i="57"/>
  <c r="AA43" i="57"/>
  <c r="U22" i="57"/>
  <c r="U18" i="57"/>
  <c r="U14" i="57"/>
  <c r="U10" i="57"/>
  <c r="J14" i="229"/>
  <c r="B3" i="4"/>
  <c r="X46" i="234"/>
  <c r="Y45" i="234"/>
  <c r="X44" i="234"/>
  <c r="Y43" i="234"/>
  <c r="X45" i="234"/>
  <c r="X43" i="234"/>
  <c r="Y44" i="234"/>
  <c r="F14" i="229"/>
  <c r="D15" i="40"/>
  <c r="H15" i="40" s="1"/>
  <c r="U20" i="10"/>
  <c r="S31" i="10"/>
  <c r="S24" i="10"/>
  <c r="E20" i="8"/>
  <c r="E29" i="8" s="1"/>
  <c r="O37" i="8" s="1"/>
  <c r="R36" i="10"/>
  <c r="F65" i="8"/>
  <c r="R21" i="10"/>
  <c r="R15" i="10"/>
  <c r="W63" i="52"/>
  <c r="U36" i="10"/>
  <c r="S21" i="10"/>
  <c r="O21" i="10"/>
  <c r="M25" i="229"/>
  <c r="F22" i="66"/>
  <c r="N14" i="229"/>
  <c r="P23" i="10"/>
  <c r="S32" i="10"/>
  <c r="F21" i="66"/>
  <c r="W64" i="52"/>
  <c r="Q41" i="10"/>
  <c r="U30" i="10"/>
  <c r="W58" i="52"/>
  <c r="Q22" i="10"/>
  <c r="U31" i="10"/>
  <c r="P31" i="10"/>
  <c r="U24" i="10"/>
  <c r="P24" i="10"/>
  <c r="G65" i="8"/>
  <c r="H17" i="10"/>
  <c r="S17" i="10" s="1"/>
  <c r="S15" i="10"/>
  <c r="D17" i="10"/>
  <c r="O17" i="10" s="1"/>
  <c r="D20" i="1"/>
  <c r="W65" i="52"/>
  <c r="F14" i="66"/>
  <c r="D94" i="6"/>
  <c r="F94" i="6" s="1"/>
  <c r="O32" i="10"/>
  <c r="Q30" i="10"/>
  <c r="Q20" i="10"/>
  <c r="J17" i="10"/>
  <c r="U17" i="10" s="1"/>
  <c r="W79" i="52"/>
  <c r="W59" i="52"/>
  <c r="Q31" i="10"/>
  <c r="Q23" i="10"/>
  <c r="Q36" i="10"/>
  <c r="Q24" i="10"/>
  <c r="S41" i="10"/>
  <c r="O41" i="10"/>
  <c r="S20" i="10"/>
  <c r="O20" i="10"/>
  <c r="M15" i="63"/>
  <c r="F15" i="66"/>
  <c r="W61" i="52"/>
  <c r="F11" i="66"/>
  <c r="W57" i="52"/>
  <c r="E54" i="8"/>
  <c r="I39" i="8"/>
  <c r="I45" i="8" s="1"/>
  <c r="H10" i="4"/>
  <c r="H25" i="229"/>
  <c r="K25" i="229"/>
  <c r="P36" i="10"/>
  <c r="H19" i="4"/>
  <c r="W66" i="52"/>
  <c r="F16" i="66"/>
  <c r="S36" i="10"/>
  <c r="O36" i="10"/>
  <c r="Q32" i="10"/>
  <c r="S30" i="10"/>
  <c r="O30" i="10"/>
  <c r="U23" i="10"/>
  <c r="Q21" i="10"/>
  <c r="I65" i="8"/>
  <c r="H9" i="40" s="1"/>
  <c r="D65" i="8"/>
  <c r="D39" i="8"/>
  <c r="D45" i="8" s="1"/>
  <c r="O75" i="6"/>
  <c r="O25" i="229"/>
  <c r="G25" i="229"/>
  <c r="P30" i="10"/>
  <c r="I25" i="229"/>
  <c r="P25" i="229"/>
  <c r="M14" i="229"/>
  <c r="I14" i="229"/>
  <c r="U41" i="10"/>
  <c r="P41" i="10"/>
  <c r="U32" i="10"/>
  <c r="P32" i="10"/>
  <c r="S23" i="10"/>
  <c r="O23" i="10"/>
  <c r="S22" i="10"/>
  <c r="O22" i="10"/>
  <c r="U21" i="10"/>
  <c r="P21" i="10"/>
  <c r="E17" i="10"/>
  <c r="P17" i="10" s="1"/>
  <c r="O15" i="10"/>
  <c r="U13" i="10"/>
  <c r="D19" i="63"/>
  <c r="L25" i="229"/>
  <c r="I20" i="8"/>
  <c r="I29" i="8" s="1"/>
  <c r="D20" i="8"/>
  <c r="D29" i="8" s="1"/>
  <c r="M9" i="63"/>
  <c r="M13" i="63" s="1"/>
  <c r="U15" i="10"/>
  <c r="P15" i="10"/>
  <c r="H19" i="63"/>
  <c r="H23" i="63" s="1"/>
  <c r="G14" i="229"/>
  <c r="F20" i="8"/>
  <c r="F29" i="8" s="1"/>
  <c r="B64" i="133"/>
  <c r="L65" i="133"/>
  <c r="AP41" i="173"/>
  <c r="AC39" i="185"/>
  <c r="AK40" i="47"/>
  <c r="AH40" i="172"/>
  <c r="AP38" i="173"/>
  <c r="AC36" i="185"/>
  <c r="AK37" i="47"/>
  <c r="AH37" i="172"/>
  <c r="AP35" i="173"/>
  <c r="AC33" i="185"/>
  <c r="AK34" i="47"/>
  <c r="AH34" i="172"/>
  <c r="AP32" i="173"/>
  <c r="AC30" i="185"/>
  <c r="AK31" i="47"/>
  <c r="AH31" i="172"/>
  <c r="AP29" i="173"/>
  <c r="AC27" i="185"/>
  <c r="AK28" i="47"/>
  <c r="AH28" i="172"/>
  <c r="AP26" i="173"/>
  <c r="AC24" i="185"/>
  <c r="AK25" i="47"/>
  <c r="AH25" i="172"/>
  <c r="AP22" i="173"/>
  <c r="AC20" i="185"/>
  <c r="AK21" i="47"/>
  <c r="AH21" i="172"/>
  <c r="AA39" i="244"/>
  <c r="AA39" i="251"/>
  <c r="AA39" i="249"/>
  <c r="AA39" i="250"/>
  <c r="AA39" i="256"/>
  <c r="AA39" i="257"/>
  <c r="AA39" i="12"/>
  <c r="M39" i="13" s="1"/>
  <c r="Z39" i="53"/>
  <c r="Y39" i="41"/>
  <c r="AA37" i="244"/>
  <c r="AA37" i="251"/>
  <c r="AA37" i="250"/>
  <c r="AA37" i="249"/>
  <c r="AA37" i="257"/>
  <c r="AA37" i="12"/>
  <c r="M37" i="13" s="1"/>
  <c r="AA37" i="256"/>
  <c r="Y37" i="41"/>
  <c r="Z37" i="53"/>
  <c r="AA35" i="244"/>
  <c r="AA35" i="251"/>
  <c r="AA35" i="249"/>
  <c r="AA35" i="250"/>
  <c r="AA35" i="256"/>
  <c r="AA35" i="257"/>
  <c r="AA35" i="12"/>
  <c r="M35" i="13" s="1"/>
  <c r="Z35" i="53"/>
  <c r="Y35" i="41"/>
  <c r="AA33" i="244"/>
  <c r="AA33" i="251"/>
  <c r="AA33" i="256"/>
  <c r="AA33" i="250"/>
  <c r="AA33" i="249"/>
  <c r="AA33" i="257"/>
  <c r="AA33" i="12"/>
  <c r="M33" i="13" s="1"/>
  <c r="Y33" i="41"/>
  <c r="Z33" i="53"/>
  <c r="AA31" i="244"/>
  <c r="AA31" i="251"/>
  <c r="AA31" i="249"/>
  <c r="AA31" i="250"/>
  <c r="AA31" i="256"/>
  <c r="AA31" i="257"/>
  <c r="AA31" i="12"/>
  <c r="M31" i="13" s="1"/>
  <c r="Z31" i="53"/>
  <c r="Y31" i="41"/>
  <c r="AA29" i="244"/>
  <c r="AA29" i="251"/>
  <c r="AA29" i="256"/>
  <c r="AA29" i="250"/>
  <c r="AA29" i="249"/>
  <c r="AA29" i="257"/>
  <c r="AA29" i="12"/>
  <c r="M29" i="13" s="1"/>
  <c r="Y29" i="41"/>
  <c r="Z29" i="53"/>
  <c r="AA27" i="244"/>
  <c r="AA27" i="251"/>
  <c r="AA27" i="249"/>
  <c r="AA27" i="250"/>
  <c r="AA27" i="256"/>
  <c r="AA27" i="257"/>
  <c r="AA27" i="12"/>
  <c r="M27" i="13" s="1"/>
  <c r="Z27" i="53"/>
  <c r="Y27" i="41"/>
  <c r="AA26" i="244"/>
  <c r="AA26" i="251"/>
  <c r="AA26" i="250"/>
  <c r="AA26" i="249"/>
  <c r="AA26" i="12"/>
  <c r="M26" i="13" s="1"/>
  <c r="AA26" i="256"/>
  <c r="AA26" i="257"/>
  <c r="Z26" i="53"/>
  <c r="Y26" i="41"/>
  <c r="AA24" i="244"/>
  <c r="AA24" i="250"/>
  <c r="AA24" i="251"/>
  <c r="AA24" i="249"/>
  <c r="AA24" i="256"/>
  <c r="AA24" i="257"/>
  <c r="AA24" i="12"/>
  <c r="M24" i="13" s="1"/>
  <c r="Z24" i="53"/>
  <c r="Y24" i="41"/>
  <c r="AA23" i="244"/>
  <c r="AA23" i="251"/>
  <c r="AA23" i="249"/>
  <c r="AA23" i="250"/>
  <c r="AA23" i="256"/>
  <c r="AA23" i="257"/>
  <c r="AA23" i="12"/>
  <c r="M23" i="13" s="1"/>
  <c r="Y23" i="41"/>
  <c r="Z23" i="53"/>
  <c r="AA21" i="244"/>
  <c r="AA21" i="250"/>
  <c r="AA21" i="251"/>
  <c r="AA21" i="256"/>
  <c r="AA21" i="249"/>
  <c r="AA21" i="257"/>
  <c r="Z21" i="53"/>
  <c r="AA21" i="12"/>
  <c r="M21" i="13" s="1"/>
  <c r="Y21" i="41"/>
  <c r="AA20" i="244"/>
  <c r="AA20" i="251"/>
  <c r="AA20" i="250"/>
  <c r="AA20" i="249"/>
  <c r="AA20" i="256"/>
  <c r="AA20" i="257"/>
  <c r="Z20" i="53"/>
  <c r="AA20" i="12"/>
  <c r="M20" i="13" s="1"/>
  <c r="Y20" i="41"/>
  <c r="AA19" i="244"/>
  <c r="AA19" i="251"/>
  <c r="AA19" i="250"/>
  <c r="AA19" i="249"/>
  <c r="AA19" i="256"/>
  <c r="AA19" i="257"/>
  <c r="AA19" i="12"/>
  <c r="M19" i="13" s="1"/>
  <c r="Z19" i="53"/>
  <c r="Y19" i="41"/>
  <c r="AA18" i="244"/>
  <c r="AA18" i="251"/>
  <c r="AA18" i="250"/>
  <c r="AA18" i="256"/>
  <c r="AA18" i="249"/>
  <c r="AA18" i="12"/>
  <c r="M18" i="13" s="1"/>
  <c r="AA18" i="257"/>
  <c r="Z18" i="53"/>
  <c r="Y18" i="41"/>
  <c r="AA17" i="244"/>
  <c r="AA17" i="251"/>
  <c r="AA17" i="250"/>
  <c r="AA17" i="256"/>
  <c r="AA17" i="249"/>
  <c r="AA17" i="257"/>
  <c r="Z17" i="53"/>
  <c r="AA17" i="12"/>
  <c r="M17" i="13" s="1"/>
  <c r="Y17" i="41"/>
  <c r="AA16" i="244"/>
  <c r="AA16" i="251"/>
  <c r="AA16" i="250"/>
  <c r="AA16" i="249"/>
  <c r="AA16" i="256"/>
  <c r="AA16" i="257"/>
  <c r="Z16" i="53"/>
  <c r="AA16" i="12"/>
  <c r="M16" i="13" s="1"/>
  <c r="Y16" i="41"/>
  <c r="AA15" i="244"/>
  <c r="AA15" i="251"/>
  <c r="AA15" i="249"/>
  <c r="AA15" i="250"/>
  <c r="AA15" i="256"/>
  <c r="AA15" i="257"/>
  <c r="AA15" i="12"/>
  <c r="M15" i="13" s="1"/>
  <c r="Z15" i="53"/>
  <c r="Y15" i="41"/>
  <c r="AA14" i="244"/>
  <c r="AA14" i="251"/>
  <c r="AA14" i="250"/>
  <c r="AA14" i="256"/>
  <c r="AA14" i="249"/>
  <c r="AA14" i="12"/>
  <c r="M14" i="13" s="1"/>
  <c r="AA14" i="257"/>
  <c r="Z14" i="53"/>
  <c r="Y14" i="41"/>
  <c r="AA13" i="244"/>
  <c r="AA13" i="251"/>
  <c r="AA13" i="250"/>
  <c r="AA13" i="256"/>
  <c r="AA13" i="249"/>
  <c r="AA13" i="257"/>
  <c r="Z13" i="53"/>
  <c r="AA13" i="12"/>
  <c r="M13" i="13" s="1"/>
  <c r="Y13" i="41"/>
  <c r="AA12" i="244"/>
  <c r="AA12" i="251"/>
  <c r="AA12" i="250"/>
  <c r="AA12" i="249"/>
  <c r="AA12" i="256"/>
  <c r="AA12" i="257"/>
  <c r="Z12" i="53"/>
  <c r="AA12" i="12"/>
  <c r="M12" i="13" s="1"/>
  <c r="Y12" i="41"/>
  <c r="AA11" i="244"/>
  <c r="AA11" i="251"/>
  <c r="AA11" i="250"/>
  <c r="AA11" i="249"/>
  <c r="AA11" i="256"/>
  <c r="AA11" i="257"/>
  <c r="AA11" i="12"/>
  <c r="M11" i="13" s="1"/>
  <c r="Y11" i="41"/>
  <c r="Z11" i="53"/>
  <c r="AA10" i="244"/>
  <c r="AA10" i="251"/>
  <c r="AA10" i="250"/>
  <c r="AA10" i="256"/>
  <c r="AA10" i="249"/>
  <c r="AA10" i="12"/>
  <c r="M10" i="13" s="1"/>
  <c r="AA10" i="257"/>
  <c r="Z10" i="53"/>
  <c r="Y10" i="41"/>
  <c r="G59" i="133"/>
  <c r="D129" i="126"/>
  <c r="G129" i="126" s="1"/>
  <c r="E34" i="52"/>
  <c r="F22" i="52"/>
  <c r="G22" i="52" s="1"/>
  <c r="H22" i="52" s="1"/>
  <c r="G8" i="229"/>
  <c r="H8" i="229" s="1"/>
  <c r="I8" i="229" s="1"/>
  <c r="J8" i="229" s="1"/>
  <c r="K8" i="229" s="1"/>
  <c r="L8" i="229" s="1"/>
  <c r="M8" i="229" s="1"/>
  <c r="N8" i="229" s="1"/>
  <c r="O8" i="229" s="1"/>
  <c r="P8" i="229" s="1"/>
  <c r="F16" i="229"/>
  <c r="AP42" i="173"/>
  <c r="AC40" i="185"/>
  <c r="AK41" i="47"/>
  <c r="AH41" i="172"/>
  <c r="AP39" i="173"/>
  <c r="AC37" i="185"/>
  <c r="AK38" i="47"/>
  <c r="AH38" i="172"/>
  <c r="AP36" i="173"/>
  <c r="AC34" i="185"/>
  <c r="AK35" i="47"/>
  <c r="AH35" i="172"/>
  <c r="AP33" i="173"/>
  <c r="AC31" i="185"/>
  <c r="AK32" i="47"/>
  <c r="AH32" i="172"/>
  <c r="AP31" i="173"/>
  <c r="AC29" i="185"/>
  <c r="AK30" i="47"/>
  <c r="AH30" i="172"/>
  <c r="AP27" i="173"/>
  <c r="AC25" i="185"/>
  <c r="AK26" i="47"/>
  <c r="AH26" i="172"/>
  <c r="AP24" i="173"/>
  <c r="AC22" i="185"/>
  <c r="AK23" i="47"/>
  <c r="AH23" i="172"/>
  <c r="AP20" i="173"/>
  <c r="AC18" i="185"/>
  <c r="AK19" i="47"/>
  <c r="AH19" i="172"/>
  <c r="AA38" i="244"/>
  <c r="AA38" i="251"/>
  <c r="AA38" i="250"/>
  <c r="AA38" i="249"/>
  <c r="AA38" i="12"/>
  <c r="M38" i="13" s="1"/>
  <c r="AA38" i="256"/>
  <c r="AA38" i="257"/>
  <c r="Z38" i="53"/>
  <c r="Y38" i="41"/>
  <c r="AA36" i="244"/>
  <c r="AA36" i="250"/>
  <c r="AA36" i="251"/>
  <c r="AA36" i="249"/>
  <c r="AA36" i="256"/>
  <c r="AA36" i="257"/>
  <c r="AA36" i="12"/>
  <c r="M36" i="13" s="1"/>
  <c r="Z36" i="53"/>
  <c r="Y36" i="41"/>
  <c r="AA34" i="244"/>
  <c r="AA34" i="251"/>
  <c r="AA34" i="250"/>
  <c r="AA34" i="249"/>
  <c r="AA34" i="12"/>
  <c r="M34" i="13" s="1"/>
  <c r="AA34" i="256"/>
  <c r="AA34" i="257"/>
  <c r="Z34" i="53"/>
  <c r="Y34" i="41"/>
  <c r="AA32" i="244"/>
  <c r="AA32" i="250"/>
  <c r="AA32" i="251"/>
  <c r="AA32" i="249"/>
  <c r="AA32" i="257"/>
  <c r="AA32" i="256"/>
  <c r="AA32" i="12"/>
  <c r="M32" i="13" s="1"/>
  <c r="Z32" i="53"/>
  <c r="Y32" i="41"/>
  <c r="AA30" i="244"/>
  <c r="AA30" i="251"/>
  <c r="AA30" i="250"/>
  <c r="AA30" i="249"/>
  <c r="AA30" i="12"/>
  <c r="M30" i="13" s="1"/>
  <c r="AA30" i="256"/>
  <c r="AA30" i="257"/>
  <c r="Z30" i="53"/>
  <c r="Y30" i="41"/>
  <c r="AA28" i="244"/>
  <c r="AA28" i="250"/>
  <c r="AA28" i="251"/>
  <c r="AA28" i="249"/>
  <c r="AA28" i="257"/>
  <c r="AA28" i="256"/>
  <c r="AA28" i="12"/>
  <c r="M28" i="13" s="1"/>
  <c r="Z28" i="53"/>
  <c r="Y28" i="41"/>
  <c r="AA25" i="244"/>
  <c r="AA25" i="250"/>
  <c r="AA25" i="251"/>
  <c r="AA25" i="256"/>
  <c r="AA25" i="249"/>
  <c r="AA25" i="257"/>
  <c r="AA25" i="12"/>
  <c r="M25" i="13" s="1"/>
  <c r="Y25" i="41"/>
  <c r="Z25" i="53"/>
  <c r="AA22" i="244"/>
  <c r="AA22" i="251"/>
  <c r="AA22" i="250"/>
  <c r="AA22" i="249"/>
  <c r="AA22" i="12"/>
  <c r="M22" i="13" s="1"/>
  <c r="AA22" i="256"/>
  <c r="AA22" i="257"/>
  <c r="Z22" i="53"/>
  <c r="Y22" i="41"/>
  <c r="K67" i="133"/>
  <c r="D20" i="73"/>
  <c r="D21" i="73" s="1"/>
  <c r="J20" i="73"/>
  <c r="J21" i="73" s="1"/>
  <c r="F20" i="73"/>
  <c r="F21" i="73" s="1"/>
  <c r="E103" i="126"/>
  <c r="H103" i="126" s="1"/>
  <c r="E104" i="126"/>
  <c r="E105" i="126"/>
  <c r="H105" i="126" s="1"/>
  <c r="E106" i="126"/>
  <c r="E77" i="126"/>
  <c r="E76" i="126"/>
  <c r="F19" i="126"/>
  <c r="F55" i="126" s="1"/>
  <c r="D20" i="126"/>
  <c r="B60" i="133"/>
  <c r="K61" i="133"/>
  <c r="J12" i="133"/>
  <c r="H20" i="73"/>
  <c r="H21" i="73" s="1"/>
  <c r="E195" i="73"/>
  <c r="E160" i="126"/>
  <c r="E158" i="126" s="1"/>
  <c r="E166" i="126"/>
  <c r="E164" i="126" s="1"/>
  <c r="E172" i="126"/>
  <c r="E170" i="126" s="1"/>
  <c r="G160" i="126"/>
  <c r="G166" i="126"/>
  <c r="G172" i="126"/>
  <c r="D75" i="126"/>
  <c r="G75" i="126" s="1"/>
  <c r="D76" i="126"/>
  <c r="G76" i="126" s="1"/>
  <c r="D77" i="126"/>
  <c r="B68" i="52"/>
  <c r="B118" i="52"/>
  <c r="B148" i="52" s="1"/>
  <c r="G21" i="52"/>
  <c r="J19" i="6"/>
  <c r="J20" i="6" s="1"/>
  <c r="J30" i="6"/>
  <c r="AP40" i="173"/>
  <c r="AC38" i="185"/>
  <c r="AK39" i="47"/>
  <c r="AH39" i="172"/>
  <c r="AP37" i="173"/>
  <c r="AC35" i="185"/>
  <c r="AK36" i="47"/>
  <c r="AH36" i="172"/>
  <c r="AP34" i="173"/>
  <c r="AC32" i="185"/>
  <c r="AK33" i="47"/>
  <c r="AH33" i="172"/>
  <c r="AP30" i="173"/>
  <c r="AC28" i="185"/>
  <c r="AK29" i="47"/>
  <c r="AH29" i="172"/>
  <c r="AP28" i="173"/>
  <c r="AC26" i="185"/>
  <c r="AK27" i="47"/>
  <c r="AH27" i="172"/>
  <c r="AP25" i="173"/>
  <c r="AC23" i="185"/>
  <c r="AK24" i="47"/>
  <c r="AH24" i="172"/>
  <c r="AP23" i="173"/>
  <c r="AC21" i="185"/>
  <c r="AK22" i="47"/>
  <c r="AH22" i="172"/>
  <c r="AP21" i="173"/>
  <c r="AC19" i="185"/>
  <c r="AK20" i="47"/>
  <c r="AH20" i="172"/>
  <c r="AP19" i="173"/>
  <c r="AC17" i="185"/>
  <c r="AK18" i="47"/>
  <c r="AH18" i="172"/>
  <c r="AP18" i="173"/>
  <c r="AC16" i="185"/>
  <c r="AK17" i="47"/>
  <c r="AH17" i="172"/>
  <c r="AP17" i="173"/>
  <c r="AC15" i="185"/>
  <c r="AK16" i="47"/>
  <c r="AH16" i="172"/>
  <c r="AP16" i="173"/>
  <c r="AC14" i="185"/>
  <c r="AK15" i="47"/>
  <c r="AH15" i="172"/>
  <c r="AP15" i="173"/>
  <c r="AC13" i="185"/>
  <c r="AK14" i="47"/>
  <c r="AH14" i="172"/>
  <c r="AP14" i="173"/>
  <c r="AC12" i="185"/>
  <c r="AK13" i="47"/>
  <c r="AH13" i="172"/>
  <c r="AP13" i="173"/>
  <c r="AC11" i="185"/>
  <c r="AK12" i="47"/>
  <c r="AH12" i="172"/>
  <c r="B88" i="73"/>
  <c r="B120" i="73" s="1"/>
  <c r="B255" i="73" s="1"/>
  <c r="B300" i="73" s="1"/>
  <c r="B113" i="73"/>
  <c r="B246" i="73" s="1"/>
  <c r="B291" i="73" s="1"/>
  <c r="B111" i="73"/>
  <c r="B240" i="73" s="1"/>
  <c r="B285" i="73" s="1"/>
  <c r="B86" i="73"/>
  <c r="B118" i="73" s="1"/>
  <c r="B253" i="73" s="1"/>
  <c r="B298" i="73" s="1"/>
  <c r="B84" i="73"/>
  <c r="B116" i="73" s="1"/>
  <c r="B251" i="73" s="1"/>
  <c r="B296" i="73" s="1"/>
  <c r="B109" i="73"/>
  <c r="B234" i="73" s="1"/>
  <c r="B279" i="73" s="1"/>
  <c r="M20" i="73"/>
  <c r="M21" i="73" s="1"/>
  <c r="I20" i="73"/>
  <c r="I21" i="73" s="1"/>
  <c r="E20" i="73"/>
  <c r="E21" i="73" s="1"/>
  <c r="L20" i="73"/>
  <c r="L21" i="73" s="1"/>
  <c r="F50" i="126"/>
  <c r="F49" i="126"/>
  <c r="B64" i="52"/>
  <c r="B114" i="52"/>
  <c r="B144" i="52" s="1"/>
  <c r="B3" i="236"/>
  <c r="B112" i="73"/>
  <c r="B243" i="73" s="1"/>
  <c r="B288" i="73" s="1"/>
  <c r="B108" i="73"/>
  <c r="B231" i="73" s="1"/>
  <c r="B276" i="73" s="1"/>
  <c r="B85" i="73"/>
  <c r="B117" i="73" s="1"/>
  <c r="B252" i="73" s="1"/>
  <c r="B297" i="73" s="1"/>
  <c r="Q37" i="73"/>
  <c r="K30" i="73"/>
  <c r="K32" i="73" s="1"/>
  <c r="G30" i="73"/>
  <c r="G32" i="73" s="1"/>
  <c r="N6" i="256"/>
  <c r="B3" i="73"/>
  <c r="C155" i="126"/>
  <c r="E144" i="126" s="1"/>
  <c r="D134" i="126"/>
  <c r="F98" i="126"/>
  <c r="C51" i="126"/>
  <c r="C52" i="126" s="1"/>
  <c r="C56" i="126" s="1"/>
  <c r="C46" i="126"/>
  <c r="F108" i="52"/>
  <c r="E87" i="52"/>
  <c r="B60" i="52"/>
  <c r="B56" i="52"/>
  <c r="J117" i="6"/>
  <c r="J119" i="6" s="1"/>
  <c r="M65" i="6"/>
  <c r="K30" i="6"/>
  <c r="I19" i="6"/>
  <c r="D35" i="62"/>
  <c r="D43" i="48"/>
  <c r="P14" i="229"/>
  <c r="L14" i="229"/>
  <c r="H14" i="229"/>
  <c r="R30" i="10"/>
  <c r="R23" i="10"/>
  <c r="H26" i="10"/>
  <c r="D26" i="10"/>
  <c r="G54" i="8"/>
  <c r="R33" i="41"/>
  <c r="U33" i="41"/>
  <c r="V33" i="41" s="1"/>
  <c r="AF34" i="47"/>
  <c r="Z34" i="172"/>
  <c r="AC34" i="172" s="1"/>
  <c r="R25" i="41"/>
  <c r="U25" i="41"/>
  <c r="V25" i="41" s="1"/>
  <c r="AF26" i="47"/>
  <c r="Z26" i="172"/>
  <c r="AC26" i="172" s="1"/>
  <c r="R17" i="41"/>
  <c r="U17" i="41"/>
  <c r="V17" i="41" s="1"/>
  <c r="AF18" i="47"/>
  <c r="Z18" i="172"/>
  <c r="AC18" i="172" s="1"/>
  <c r="J30" i="73"/>
  <c r="J32" i="73" s="1"/>
  <c r="F30" i="73"/>
  <c r="F32" i="73" s="1"/>
  <c r="E98" i="126"/>
  <c r="H98" i="126" s="1"/>
  <c r="W11" i="41"/>
  <c r="W13" i="41"/>
  <c r="W15" i="41"/>
  <c r="W17" i="41"/>
  <c r="W19" i="41"/>
  <c r="W21" i="41"/>
  <c r="W23" i="41"/>
  <c r="W25" i="41"/>
  <c r="W27" i="41"/>
  <c r="W29" i="41"/>
  <c r="W31" i="41"/>
  <c r="W33" i="41"/>
  <c r="W35" i="41"/>
  <c r="W37" i="41"/>
  <c r="W39" i="41"/>
  <c r="W10" i="41"/>
  <c r="W12" i="41"/>
  <c r="W14" i="41"/>
  <c r="W16" i="41"/>
  <c r="W18" i="41"/>
  <c r="W20" i="41"/>
  <c r="W22" i="41"/>
  <c r="W24" i="41"/>
  <c r="W26" i="41"/>
  <c r="W28" i="41"/>
  <c r="W30" i="41"/>
  <c r="W32" i="41"/>
  <c r="W34" i="41"/>
  <c r="W36" i="41"/>
  <c r="W38" i="41"/>
  <c r="D31" i="62"/>
  <c r="D39" i="48"/>
  <c r="R20" i="10"/>
  <c r="G26" i="10"/>
  <c r="R26" i="10" s="1"/>
  <c r="R13" i="10"/>
  <c r="R22" i="10"/>
  <c r="R41" i="10"/>
  <c r="G17" i="10"/>
  <c r="E65" i="8"/>
  <c r="R35" i="41"/>
  <c r="U35" i="41"/>
  <c r="V35" i="41" s="1"/>
  <c r="AF36" i="47"/>
  <c r="Z36" i="172"/>
  <c r="AC36" i="172" s="1"/>
  <c r="R27" i="41"/>
  <c r="U27" i="41"/>
  <c r="V27" i="41" s="1"/>
  <c r="AF28" i="47"/>
  <c r="Z28" i="172"/>
  <c r="AC28" i="172" s="1"/>
  <c r="R19" i="41"/>
  <c r="U19" i="41"/>
  <c r="V19" i="41" s="1"/>
  <c r="AF20" i="47"/>
  <c r="Z20" i="172"/>
  <c r="AC20" i="172" s="1"/>
  <c r="R11" i="41"/>
  <c r="U11" i="41"/>
  <c r="V11" i="41" s="1"/>
  <c r="AF12" i="47"/>
  <c r="Z12" i="172"/>
  <c r="AC12" i="172" s="1"/>
  <c r="M30" i="73"/>
  <c r="M32" i="73" s="1"/>
  <c r="I30" i="73"/>
  <c r="I32" i="73" s="1"/>
  <c r="E30" i="73"/>
  <c r="E32" i="73" s="1"/>
  <c r="F11" i="11"/>
  <c r="F55" i="11" s="1"/>
  <c r="F60" i="11" s="1"/>
  <c r="F62" i="11" s="1"/>
  <c r="F64" i="11" s="1"/>
  <c r="G173" i="126"/>
  <c r="G171" i="126"/>
  <c r="G167" i="126"/>
  <c r="G165" i="126"/>
  <c r="G161" i="126"/>
  <c r="C129" i="126"/>
  <c r="S87" i="52"/>
  <c r="S89" i="52" s="1"/>
  <c r="D34" i="52"/>
  <c r="G31" i="156"/>
  <c r="F31" i="156"/>
  <c r="G19" i="6"/>
  <c r="D27" i="62"/>
  <c r="D35" i="48"/>
  <c r="I10" i="229"/>
  <c r="R32" i="10"/>
  <c r="R31" i="10"/>
  <c r="F26" i="10"/>
  <c r="Q26" i="10" s="1"/>
  <c r="R24" i="10"/>
  <c r="U22" i="10"/>
  <c r="J26" i="10"/>
  <c r="P22" i="10"/>
  <c r="E26" i="10"/>
  <c r="G39" i="8"/>
  <c r="F39" i="8"/>
  <c r="R37" i="41"/>
  <c r="U37" i="41"/>
  <c r="V37" i="41" s="1"/>
  <c r="AF38" i="47"/>
  <c r="Z38" i="172"/>
  <c r="AC38" i="172" s="1"/>
  <c r="R29" i="41"/>
  <c r="U29" i="41"/>
  <c r="V29" i="41" s="1"/>
  <c r="AF30" i="47"/>
  <c r="Z30" i="172"/>
  <c r="AC30" i="172" s="1"/>
  <c r="R21" i="41"/>
  <c r="U21" i="41"/>
  <c r="V21" i="41" s="1"/>
  <c r="AF22" i="47"/>
  <c r="Z22" i="172"/>
  <c r="AC22" i="172" s="1"/>
  <c r="R13" i="41"/>
  <c r="U13" i="41"/>
  <c r="V13" i="41" s="1"/>
  <c r="AF14" i="47"/>
  <c r="Z14" i="172"/>
  <c r="AC14" i="172" s="1"/>
  <c r="O8" i="47"/>
  <c r="AB4" i="47"/>
  <c r="M8" i="47"/>
  <c r="X8" i="47"/>
  <c r="J9" i="48" s="1"/>
  <c r="B34" i="48" s="1"/>
  <c r="L30" i="73"/>
  <c r="L32" i="73" s="1"/>
  <c r="H30" i="73"/>
  <c r="H32" i="73" s="1"/>
  <c r="D36" i="62"/>
  <c r="D44" i="48"/>
  <c r="N25" i="229"/>
  <c r="J25" i="229"/>
  <c r="F25" i="229"/>
  <c r="Q15" i="10"/>
  <c r="F17" i="10"/>
  <c r="E9" i="10"/>
  <c r="F8" i="8"/>
  <c r="P8" i="8" s="1"/>
  <c r="Q9" i="10"/>
  <c r="F54" i="8"/>
  <c r="I54" i="8"/>
  <c r="D54" i="8"/>
  <c r="E39" i="8"/>
  <c r="R39" i="41"/>
  <c r="U39" i="41"/>
  <c r="V39" i="41" s="1"/>
  <c r="AF40" i="47"/>
  <c r="Z40" i="172"/>
  <c r="AC40" i="172" s="1"/>
  <c r="R31" i="41"/>
  <c r="U31" i="41"/>
  <c r="V31" i="41" s="1"/>
  <c r="AF32" i="47"/>
  <c r="Z32" i="172"/>
  <c r="AC32" i="172" s="1"/>
  <c r="R23" i="41"/>
  <c r="U23" i="41"/>
  <c r="V23" i="41" s="1"/>
  <c r="AF24" i="47"/>
  <c r="Z24" i="172"/>
  <c r="AC24" i="172" s="1"/>
  <c r="R15" i="41"/>
  <c r="U15" i="41"/>
  <c r="V15" i="41" s="1"/>
  <c r="AF16" i="47"/>
  <c r="Z16" i="172"/>
  <c r="AC16" i="172" s="1"/>
  <c r="V8" i="172"/>
  <c r="M8" i="172"/>
  <c r="W8" i="172" s="1"/>
  <c r="O14" i="229"/>
  <c r="K14" i="229"/>
  <c r="C112" i="156"/>
  <c r="D23" i="62"/>
  <c r="G20" i="8"/>
  <c r="L46" i="41"/>
  <c r="L43" i="41"/>
  <c r="AM42" i="173"/>
  <c r="J39" i="244"/>
  <c r="J39" i="250"/>
  <c r="J39" i="251"/>
  <c r="J39" i="249"/>
  <c r="J39" i="256"/>
  <c r="J39" i="257"/>
  <c r="J39" i="12"/>
  <c r="AI42" i="173"/>
  <c r="F39" i="244"/>
  <c r="F39" i="250"/>
  <c r="F39" i="251"/>
  <c r="F39" i="249"/>
  <c r="F39" i="256"/>
  <c r="F39" i="257"/>
  <c r="F39" i="12"/>
  <c r="O38" i="41"/>
  <c r="AG41" i="173"/>
  <c r="D38" i="244"/>
  <c r="D38" i="251"/>
  <c r="D38" i="250"/>
  <c r="D38" i="249"/>
  <c r="D38" i="257"/>
  <c r="D38" i="12"/>
  <c r="D38" i="256"/>
  <c r="AM40" i="173"/>
  <c r="J37" i="244"/>
  <c r="J37" i="251"/>
  <c r="J37" i="250"/>
  <c r="J37" i="249"/>
  <c r="J37" i="12"/>
  <c r="J37" i="256"/>
  <c r="J37" i="257"/>
  <c r="AI40" i="173"/>
  <c r="F37" i="244"/>
  <c r="F37" i="251"/>
  <c r="F37" i="250"/>
  <c r="F37" i="249"/>
  <c r="F37" i="12"/>
  <c r="F37" i="256"/>
  <c r="F37" i="257"/>
  <c r="O36" i="41"/>
  <c r="AG39" i="173"/>
  <c r="D36" i="244"/>
  <c r="D36" i="251"/>
  <c r="D36" i="250"/>
  <c r="D36" i="249"/>
  <c r="D36" i="256"/>
  <c r="D36" i="257"/>
  <c r="D36" i="12"/>
  <c r="AM38" i="173"/>
  <c r="J35" i="244"/>
  <c r="J35" i="250"/>
  <c r="J35" i="251"/>
  <c r="J35" i="249"/>
  <c r="J35" i="257"/>
  <c r="J35" i="12"/>
  <c r="J35" i="256"/>
  <c r="AI38" i="173"/>
  <c r="F35" i="244"/>
  <c r="F35" i="250"/>
  <c r="F35" i="251"/>
  <c r="F35" i="249"/>
  <c r="F35" i="256"/>
  <c r="F35" i="257"/>
  <c r="F35" i="12"/>
  <c r="O34" i="41"/>
  <c r="AG37" i="173"/>
  <c r="D34" i="244"/>
  <c r="D34" i="251"/>
  <c r="D34" i="250"/>
  <c r="D34" i="256"/>
  <c r="D34" i="249"/>
  <c r="D34" i="257"/>
  <c r="D34" i="12"/>
  <c r="AM36" i="173"/>
  <c r="J33" i="244"/>
  <c r="J33" i="251"/>
  <c r="J33" i="250"/>
  <c r="J33" i="249"/>
  <c r="J33" i="12"/>
  <c r="J33" i="256"/>
  <c r="J33" i="257"/>
  <c r="AI36" i="173"/>
  <c r="F33" i="244"/>
  <c r="F33" i="251"/>
  <c r="F33" i="250"/>
  <c r="F33" i="249"/>
  <c r="F33" i="12"/>
  <c r="F33" i="256"/>
  <c r="F33" i="257"/>
  <c r="O32" i="41"/>
  <c r="AG35" i="173"/>
  <c r="D32" i="244"/>
  <c r="D32" i="251"/>
  <c r="D32" i="250"/>
  <c r="D32" i="249"/>
  <c r="D32" i="256"/>
  <c r="D32" i="257"/>
  <c r="D32" i="12"/>
  <c r="AM34" i="173"/>
  <c r="J31" i="244"/>
  <c r="J31" i="250"/>
  <c r="J31" i="251"/>
  <c r="J31" i="249"/>
  <c r="J31" i="257"/>
  <c r="J31" i="12"/>
  <c r="J31" i="256"/>
  <c r="AI34" i="173"/>
  <c r="F31" i="244"/>
  <c r="F31" i="250"/>
  <c r="F31" i="251"/>
  <c r="F31" i="249"/>
  <c r="F31" i="256"/>
  <c r="F31" i="257"/>
  <c r="F31" i="12"/>
  <c r="O30" i="41"/>
  <c r="AG33" i="173"/>
  <c r="D30" i="244"/>
  <c r="D30" i="251"/>
  <c r="D30" i="250"/>
  <c r="D30" i="256"/>
  <c r="D30" i="249"/>
  <c r="D30" i="257"/>
  <c r="D30" i="12"/>
  <c r="AM32" i="173"/>
  <c r="J29" i="244"/>
  <c r="J29" i="251"/>
  <c r="J29" i="250"/>
  <c r="J29" i="249"/>
  <c r="J29" i="12"/>
  <c r="J29" i="256"/>
  <c r="J29" i="257"/>
  <c r="AI32" i="173"/>
  <c r="F29" i="244"/>
  <c r="F29" i="251"/>
  <c r="F29" i="250"/>
  <c r="F29" i="249"/>
  <c r="F29" i="12"/>
  <c r="F29" i="256"/>
  <c r="F29" i="257"/>
  <c r="O28" i="41"/>
  <c r="AG31" i="173"/>
  <c r="D28" i="244"/>
  <c r="D28" i="251"/>
  <c r="D28" i="250"/>
  <c r="D28" i="249"/>
  <c r="D28" i="256"/>
  <c r="D28" i="257"/>
  <c r="D28" i="12"/>
  <c r="AM30" i="173"/>
  <c r="J27" i="244"/>
  <c r="J27" i="250"/>
  <c r="J27" i="251"/>
  <c r="J27" i="249"/>
  <c r="J27" i="257"/>
  <c r="J27" i="12"/>
  <c r="J27" i="256"/>
  <c r="AI30" i="173"/>
  <c r="F27" i="244"/>
  <c r="F27" i="250"/>
  <c r="F27" i="251"/>
  <c r="F27" i="249"/>
  <c r="F27" i="256"/>
  <c r="F27" i="257"/>
  <c r="F27" i="12"/>
  <c r="O26" i="41"/>
  <c r="AG29" i="173"/>
  <c r="D26" i="244"/>
  <c r="D26" i="250"/>
  <c r="D26" i="251"/>
  <c r="D26" i="256"/>
  <c r="D26" i="249"/>
  <c r="D26" i="257"/>
  <c r="D26" i="12"/>
  <c r="AM28" i="173"/>
  <c r="J25" i="244"/>
  <c r="J25" i="251"/>
  <c r="J25" i="250"/>
  <c r="J25" i="249"/>
  <c r="J25" i="256"/>
  <c r="J25" i="12"/>
  <c r="J25" i="257"/>
  <c r="AI28" i="173"/>
  <c r="F25" i="244"/>
  <c r="F25" i="251"/>
  <c r="F25" i="250"/>
  <c r="F25" i="249"/>
  <c r="F25" i="12"/>
  <c r="F25" i="256"/>
  <c r="F25" i="257"/>
  <c r="O24" i="41"/>
  <c r="AG27" i="173"/>
  <c r="D24" i="244"/>
  <c r="D24" i="251"/>
  <c r="D24" i="250"/>
  <c r="D24" i="249"/>
  <c r="D24" i="256"/>
  <c r="D24" i="257"/>
  <c r="D24" i="12"/>
  <c r="AM26" i="173"/>
  <c r="J23" i="244"/>
  <c r="J23" i="250"/>
  <c r="J23" i="251"/>
  <c r="J23" i="249"/>
  <c r="J23" i="256"/>
  <c r="J23" i="257"/>
  <c r="J23" i="12"/>
  <c r="AI26" i="173"/>
  <c r="F23" i="244"/>
  <c r="F23" i="250"/>
  <c r="F23" i="251"/>
  <c r="F23" i="249"/>
  <c r="F23" i="256"/>
  <c r="F23" i="257"/>
  <c r="F23" i="12"/>
  <c r="O22" i="41"/>
  <c r="AG25" i="173"/>
  <c r="D22" i="244"/>
  <c r="D22" i="251"/>
  <c r="D22" i="250"/>
  <c r="D22" i="256"/>
  <c r="D22" i="249"/>
  <c r="D22" i="257"/>
  <c r="D22" i="12"/>
  <c r="AM24" i="173"/>
  <c r="J21" i="244"/>
  <c r="J21" i="251"/>
  <c r="J21" i="250"/>
  <c r="J21" i="256"/>
  <c r="J21" i="249"/>
  <c r="J21" i="12"/>
  <c r="J21" i="257"/>
  <c r="AI24" i="173"/>
  <c r="F21" i="244"/>
  <c r="F21" i="251"/>
  <c r="F21" i="250"/>
  <c r="F21" i="256"/>
  <c r="F21" i="249"/>
  <c r="F21" i="12"/>
  <c r="F21" i="257"/>
  <c r="O20" i="41"/>
  <c r="AG23" i="173"/>
  <c r="D20" i="244"/>
  <c r="D20" i="251"/>
  <c r="D20" i="249"/>
  <c r="D20" i="250"/>
  <c r="D20" i="256"/>
  <c r="D20" i="257"/>
  <c r="D20" i="12"/>
  <c r="AM22" i="173"/>
  <c r="J19" i="244"/>
  <c r="J19" i="251"/>
  <c r="J19" i="250"/>
  <c r="J19" i="249"/>
  <c r="J19" i="256"/>
  <c r="J19" i="257"/>
  <c r="J19" i="12"/>
  <c r="AI22" i="173"/>
  <c r="F19" i="244"/>
  <c r="F19" i="251"/>
  <c r="F19" i="250"/>
  <c r="F19" i="249"/>
  <c r="F19" i="256"/>
  <c r="F19" i="257"/>
  <c r="F19" i="12"/>
  <c r="O18" i="41"/>
  <c r="AG21" i="173"/>
  <c r="D18" i="244"/>
  <c r="D18" i="251"/>
  <c r="D18" i="250"/>
  <c r="D18" i="256"/>
  <c r="D18" i="249"/>
  <c r="D18" i="257"/>
  <c r="D18" i="12"/>
  <c r="AM20" i="173"/>
  <c r="J17" i="244"/>
  <c r="J17" i="251"/>
  <c r="J17" i="250"/>
  <c r="J17" i="256"/>
  <c r="J17" i="249"/>
  <c r="J17" i="12"/>
  <c r="J17" i="257"/>
  <c r="AI20" i="173"/>
  <c r="F17" i="244"/>
  <c r="F17" i="251"/>
  <c r="F17" i="250"/>
  <c r="F17" i="256"/>
  <c r="F17" i="249"/>
  <c r="F17" i="12"/>
  <c r="F17" i="257"/>
  <c r="O16" i="41"/>
  <c r="AG19" i="173"/>
  <c r="D16" i="244"/>
  <c r="D16" i="251"/>
  <c r="D16" i="250"/>
  <c r="D16" i="249"/>
  <c r="D16" i="256"/>
  <c r="D16" i="257"/>
  <c r="D16" i="12"/>
  <c r="AM18" i="173"/>
  <c r="J15" i="244"/>
  <c r="J15" i="251"/>
  <c r="J15" i="250"/>
  <c r="J15" i="249"/>
  <c r="J15" i="256"/>
  <c r="J15" i="257"/>
  <c r="J15" i="12"/>
  <c r="AI18" i="173"/>
  <c r="F15" i="244"/>
  <c r="F15" i="251"/>
  <c r="F15" i="250"/>
  <c r="F15" i="249"/>
  <c r="F15" i="256"/>
  <c r="F15" i="257"/>
  <c r="F15" i="12"/>
  <c r="O14" i="41"/>
  <c r="AG17" i="173"/>
  <c r="D14" i="244"/>
  <c r="D14" i="251"/>
  <c r="D14" i="250"/>
  <c r="D14" i="256"/>
  <c r="D14" i="249"/>
  <c r="D14" i="257"/>
  <c r="D14" i="12"/>
  <c r="AM16" i="173"/>
  <c r="J13" i="244"/>
  <c r="J13" i="251"/>
  <c r="J13" i="250"/>
  <c r="J13" i="256"/>
  <c r="J13" i="249"/>
  <c r="J13" i="12"/>
  <c r="J13" i="257"/>
  <c r="AI16" i="173"/>
  <c r="F13" i="244"/>
  <c r="F13" i="251"/>
  <c r="F13" i="250"/>
  <c r="F13" i="256"/>
  <c r="F13" i="249"/>
  <c r="F13" i="12"/>
  <c r="F13" i="257"/>
  <c r="O12" i="41"/>
  <c r="AG15" i="173"/>
  <c r="D12" i="244"/>
  <c r="D12" i="251"/>
  <c r="D12" i="249"/>
  <c r="D12" i="250"/>
  <c r="D12" i="256"/>
  <c r="D12" i="257"/>
  <c r="D12" i="12"/>
  <c r="AM14" i="173"/>
  <c r="J11" i="244"/>
  <c r="J11" i="251"/>
  <c r="J11" i="250"/>
  <c r="J11" i="249"/>
  <c r="J11" i="256"/>
  <c r="J11" i="257"/>
  <c r="J11" i="12"/>
  <c r="AI14" i="173"/>
  <c r="F11" i="244"/>
  <c r="F11" i="251"/>
  <c r="F11" i="250"/>
  <c r="F11" i="249"/>
  <c r="F11" i="256"/>
  <c r="F11" i="257"/>
  <c r="F11" i="12"/>
  <c r="O10" i="41"/>
  <c r="AG13" i="173"/>
  <c r="D10" i="244"/>
  <c r="D10" i="251"/>
  <c r="D10" i="250"/>
  <c r="D10" i="256"/>
  <c r="D10" i="249"/>
  <c r="D10" i="257"/>
  <c r="D10" i="12"/>
  <c r="H47" i="47"/>
  <c r="H43" i="47"/>
  <c r="B41" i="172"/>
  <c r="B38" i="172"/>
  <c r="B37" i="172"/>
  <c r="B33" i="172"/>
  <c r="B30" i="172"/>
  <c r="B29" i="172"/>
  <c r="B26" i="172"/>
  <c r="B22" i="172"/>
  <c r="B14" i="172"/>
  <c r="B12" i="172"/>
  <c r="J8" i="172"/>
  <c r="J42" i="53"/>
  <c r="J41" i="53"/>
  <c r="V38" i="53"/>
  <c r="V34" i="53"/>
  <c r="M24" i="53"/>
  <c r="U23" i="53"/>
  <c r="M23" i="53"/>
  <c r="N20" i="53"/>
  <c r="V18" i="53"/>
  <c r="N17" i="53"/>
  <c r="W16" i="53"/>
  <c r="W15" i="53"/>
  <c r="O14" i="53"/>
  <c r="O13" i="53"/>
  <c r="G11" i="189"/>
  <c r="P14" i="62"/>
  <c r="F14" i="156"/>
  <c r="G14" i="156"/>
  <c r="K46" i="41"/>
  <c r="K45" i="41"/>
  <c r="K44" i="41"/>
  <c r="K43" i="41"/>
  <c r="K42" i="41"/>
  <c r="K41" i="41"/>
  <c r="AB39" i="244"/>
  <c r="AB39" i="251"/>
  <c r="AB39" i="250"/>
  <c r="AB39" i="249"/>
  <c r="AB39" i="12"/>
  <c r="AB39" i="256"/>
  <c r="AB39" i="257"/>
  <c r="AH42" i="173"/>
  <c r="E39" i="244"/>
  <c r="E39" i="251"/>
  <c r="E39" i="250"/>
  <c r="E39" i="249"/>
  <c r="E39" i="257"/>
  <c r="E39" i="12"/>
  <c r="E39" i="256"/>
  <c r="AJ41" i="173"/>
  <c r="G38" i="244"/>
  <c r="G38" i="251"/>
  <c r="G38" i="250"/>
  <c r="G38" i="249"/>
  <c r="G38" i="12"/>
  <c r="G38" i="256"/>
  <c r="G38" i="257"/>
  <c r="AB37" i="244"/>
  <c r="AB37" i="250"/>
  <c r="AB37" i="251"/>
  <c r="AB37" i="249"/>
  <c r="AB37" i="256"/>
  <c r="AB37" i="257"/>
  <c r="AB37" i="12"/>
  <c r="AH40" i="173"/>
  <c r="E37" i="244"/>
  <c r="E37" i="251"/>
  <c r="E37" i="250"/>
  <c r="E37" i="249"/>
  <c r="E37" i="256"/>
  <c r="E37" i="257"/>
  <c r="E37" i="12"/>
  <c r="AJ39" i="173"/>
  <c r="G36" i="244"/>
  <c r="G36" i="250"/>
  <c r="G36" i="251"/>
  <c r="G36" i="249"/>
  <c r="G36" i="256"/>
  <c r="G36" i="257"/>
  <c r="G36" i="12"/>
  <c r="AB35" i="244"/>
  <c r="AB35" i="251"/>
  <c r="AB35" i="250"/>
  <c r="AB35" i="249"/>
  <c r="AB35" i="12"/>
  <c r="AB35" i="256"/>
  <c r="AB35" i="257"/>
  <c r="AH38" i="173"/>
  <c r="E35" i="244"/>
  <c r="E35" i="251"/>
  <c r="E35" i="250"/>
  <c r="E35" i="256"/>
  <c r="E35" i="249"/>
  <c r="E35" i="257"/>
  <c r="E35" i="12"/>
  <c r="AJ37" i="173"/>
  <c r="G34" i="244"/>
  <c r="G34" i="251"/>
  <c r="G34" i="250"/>
  <c r="G34" i="249"/>
  <c r="G34" i="12"/>
  <c r="G34" i="256"/>
  <c r="G34" i="257"/>
  <c r="AB33" i="244"/>
  <c r="AB33" i="250"/>
  <c r="AB33" i="251"/>
  <c r="AB33" i="249"/>
  <c r="AB33" i="257"/>
  <c r="AB33" i="256"/>
  <c r="AB33" i="12"/>
  <c r="AH36" i="173"/>
  <c r="E33" i="244"/>
  <c r="E33" i="251"/>
  <c r="E33" i="250"/>
  <c r="E33" i="249"/>
  <c r="E33" i="256"/>
  <c r="E33" i="257"/>
  <c r="E33" i="12"/>
  <c r="AJ35" i="173"/>
  <c r="G32" i="244"/>
  <c r="G32" i="250"/>
  <c r="G32" i="251"/>
  <c r="G32" i="249"/>
  <c r="G32" i="256"/>
  <c r="G32" i="257"/>
  <c r="G32" i="12"/>
  <c r="AB31" i="244"/>
  <c r="AB31" i="251"/>
  <c r="AB31" i="250"/>
  <c r="AB31" i="249"/>
  <c r="AB31" i="12"/>
  <c r="AB31" i="256"/>
  <c r="AB31" i="257"/>
  <c r="AH34" i="173"/>
  <c r="E31" i="244"/>
  <c r="E31" i="251"/>
  <c r="E31" i="250"/>
  <c r="E31" i="256"/>
  <c r="E31" i="249"/>
  <c r="E31" i="257"/>
  <c r="E31" i="12"/>
  <c r="AJ33" i="173"/>
  <c r="G30" i="244"/>
  <c r="G30" i="251"/>
  <c r="G30" i="250"/>
  <c r="G30" i="249"/>
  <c r="G30" i="12"/>
  <c r="G30" i="256"/>
  <c r="G30" i="257"/>
  <c r="AB29" i="244"/>
  <c r="AB29" i="250"/>
  <c r="AB29" i="251"/>
  <c r="AB29" i="249"/>
  <c r="AB29" i="257"/>
  <c r="AB29" i="256"/>
  <c r="AB29" i="12"/>
  <c r="AH32" i="173"/>
  <c r="E29" i="244"/>
  <c r="E29" i="251"/>
  <c r="E29" i="250"/>
  <c r="E29" i="249"/>
  <c r="E29" i="256"/>
  <c r="E29" i="257"/>
  <c r="E29" i="12"/>
  <c r="AJ31" i="173"/>
  <c r="G28" i="244"/>
  <c r="G28" i="250"/>
  <c r="G28" i="251"/>
  <c r="G28" i="249"/>
  <c r="G28" i="256"/>
  <c r="G28" i="257"/>
  <c r="G28" i="12"/>
  <c r="AB27" i="244"/>
  <c r="AB27" i="251"/>
  <c r="AB27" i="250"/>
  <c r="AB27" i="249"/>
  <c r="AB27" i="12"/>
  <c r="AB27" i="256"/>
  <c r="AB27" i="257"/>
  <c r="AH30" i="173"/>
  <c r="E27" i="244"/>
  <c r="E27" i="251"/>
  <c r="E27" i="250"/>
  <c r="E27" i="256"/>
  <c r="E27" i="249"/>
  <c r="E27" i="257"/>
  <c r="E27" i="12"/>
  <c r="AJ29" i="173"/>
  <c r="G26" i="244"/>
  <c r="G26" i="251"/>
  <c r="G26" i="250"/>
  <c r="G26" i="249"/>
  <c r="G26" i="12"/>
  <c r="G26" i="256"/>
  <c r="G26" i="257"/>
  <c r="AB25" i="244"/>
  <c r="AB25" i="250"/>
  <c r="AB25" i="251"/>
  <c r="AB25" i="249"/>
  <c r="AB25" i="257"/>
  <c r="AB25" i="256"/>
  <c r="AB25" i="12"/>
  <c r="AH28" i="173"/>
  <c r="E25" i="244"/>
  <c r="E25" i="251"/>
  <c r="E25" i="249"/>
  <c r="E25" i="250"/>
  <c r="E25" i="256"/>
  <c r="E25" i="257"/>
  <c r="E25" i="12"/>
  <c r="AJ27" i="173"/>
  <c r="G24" i="244"/>
  <c r="G24" i="250"/>
  <c r="G24" i="251"/>
  <c r="G24" i="249"/>
  <c r="G24" i="256"/>
  <c r="G24" i="257"/>
  <c r="G24" i="12"/>
  <c r="AB23" i="244"/>
  <c r="AB23" i="251"/>
  <c r="AB23" i="250"/>
  <c r="AB23" i="249"/>
  <c r="AB23" i="12"/>
  <c r="AB23" i="256"/>
  <c r="AB23" i="257"/>
  <c r="AH26" i="173"/>
  <c r="E23" i="244"/>
  <c r="E23" i="250"/>
  <c r="E23" i="251"/>
  <c r="E23" i="256"/>
  <c r="E23" i="249"/>
  <c r="E23" i="257"/>
  <c r="E23" i="12"/>
  <c r="AJ25" i="173"/>
  <c r="G22" i="244"/>
  <c r="G22" i="251"/>
  <c r="G22" i="250"/>
  <c r="G22" i="256"/>
  <c r="G22" i="249"/>
  <c r="G22" i="12"/>
  <c r="G22" i="257"/>
  <c r="AB21" i="244"/>
  <c r="AB21" i="250"/>
  <c r="AB21" i="251"/>
  <c r="AB21" i="249"/>
  <c r="AB21" i="256"/>
  <c r="AB21" i="257"/>
  <c r="AB21" i="12"/>
  <c r="AH24" i="173"/>
  <c r="E21" i="244"/>
  <c r="E21" i="251"/>
  <c r="E21" i="250"/>
  <c r="E21" i="249"/>
  <c r="E21" i="256"/>
  <c r="E21" i="257"/>
  <c r="E21" i="12"/>
  <c r="AJ23" i="173"/>
  <c r="G20" i="244"/>
  <c r="G20" i="251"/>
  <c r="G20" i="250"/>
  <c r="G20" i="249"/>
  <c r="G20" i="256"/>
  <c r="G20" i="257"/>
  <c r="G20" i="12"/>
  <c r="AB19" i="244"/>
  <c r="AB19" i="251"/>
  <c r="AB19" i="250"/>
  <c r="AB19" i="256"/>
  <c r="AB19" i="249"/>
  <c r="AB19" i="12"/>
  <c r="AB19" i="257"/>
  <c r="AH22" i="173"/>
  <c r="E19" i="244"/>
  <c r="E19" i="251"/>
  <c r="E19" i="250"/>
  <c r="E19" i="256"/>
  <c r="E19" i="249"/>
  <c r="E19" i="257"/>
  <c r="E19" i="12"/>
  <c r="AJ21" i="173"/>
  <c r="G18" i="244"/>
  <c r="G18" i="251"/>
  <c r="G18" i="250"/>
  <c r="G18" i="256"/>
  <c r="G18" i="249"/>
  <c r="G18" i="12"/>
  <c r="G18" i="257"/>
  <c r="AB17" i="244"/>
  <c r="AB17" i="251"/>
  <c r="AB17" i="250"/>
  <c r="AB17" i="249"/>
  <c r="AB17" i="256"/>
  <c r="AB17" i="257"/>
  <c r="AB17" i="12"/>
  <c r="AH20" i="173"/>
  <c r="E17" i="244"/>
  <c r="E17" i="251"/>
  <c r="E17" i="249"/>
  <c r="E17" i="250"/>
  <c r="E17" i="256"/>
  <c r="E17" i="257"/>
  <c r="E17" i="12"/>
  <c r="AJ19" i="173"/>
  <c r="G16" i="244"/>
  <c r="G16" i="251"/>
  <c r="G16" i="250"/>
  <c r="G16" i="249"/>
  <c r="G16" i="256"/>
  <c r="G16" i="257"/>
  <c r="G16" i="12"/>
  <c r="AB15" i="244"/>
  <c r="AB15" i="251"/>
  <c r="AB15" i="250"/>
  <c r="AB15" i="256"/>
  <c r="AB15" i="249"/>
  <c r="AB15" i="12"/>
  <c r="AB15" i="257"/>
  <c r="AH18" i="173"/>
  <c r="E15" i="244"/>
  <c r="E15" i="251"/>
  <c r="E15" i="250"/>
  <c r="E15" i="256"/>
  <c r="E15" i="249"/>
  <c r="E15" i="257"/>
  <c r="E15" i="12"/>
  <c r="AJ17" i="173"/>
  <c r="G14" i="244"/>
  <c r="G14" i="251"/>
  <c r="G14" i="250"/>
  <c r="G14" i="256"/>
  <c r="G14" i="249"/>
  <c r="G14" i="12"/>
  <c r="G14" i="257"/>
  <c r="AB13" i="244"/>
  <c r="AB13" i="251"/>
  <c r="AB13" i="250"/>
  <c r="AB13" i="249"/>
  <c r="AB13" i="256"/>
  <c r="AB13" i="257"/>
  <c r="AB13" i="12"/>
  <c r="AH16" i="173"/>
  <c r="E13" i="244"/>
  <c r="E13" i="251"/>
  <c r="E13" i="250"/>
  <c r="E13" i="249"/>
  <c r="E13" i="256"/>
  <c r="E13" i="257"/>
  <c r="E13" i="12"/>
  <c r="AJ15" i="173"/>
  <c r="G12" i="244"/>
  <c r="G12" i="251"/>
  <c r="G12" i="250"/>
  <c r="G12" i="249"/>
  <c r="G12" i="256"/>
  <c r="G12" i="257"/>
  <c r="G12" i="12"/>
  <c r="AB11" i="244"/>
  <c r="AB11" i="251"/>
  <c r="AB11" i="250"/>
  <c r="AB11" i="256"/>
  <c r="AB11" i="249"/>
  <c r="AB11" i="12"/>
  <c r="AB11" i="257"/>
  <c r="AH14" i="173"/>
  <c r="E11" i="244"/>
  <c r="E11" i="251"/>
  <c r="E11" i="250"/>
  <c r="E11" i="256"/>
  <c r="E11" i="249"/>
  <c r="E11" i="257"/>
  <c r="E11" i="12"/>
  <c r="AJ13" i="173"/>
  <c r="G10" i="244"/>
  <c r="G10" i="251"/>
  <c r="G10" i="250"/>
  <c r="G10" i="256"/>
  <c r="G10" i="249"/>
  <c r="G10" i="12"/>
  <c r="G10" i="257"/>
  <c r="L51" i="48"/>
  <c r="N51" i="48" s="1"/>
  <c r="I45" i="47"/>
  <c r="AH41" i="47"/>
  <c r="AE41" i="172" s="1"/>
  <c r="AD41" i="47"/>
  <c r="AA41" i="172" s="1"/>
  <c r="B42" i="173"/>
  <c r="B39" i="244"/>
  <c r="B39" i="13"/>
  <c r="B39" i="251"/>
  <c r="B39" i="249"/>
  <c r="B39" i="250"/>
  <c r="B38" i="15"/>
  <c r="B39" i="256"/>
  <c r="B39" i="257"/>
  <c r="B39" i="12"/>
  <c r="B41" i="173"/>
  <c r="B38" i="244"/>
  <c r="B38" i="13"/>
  <c r="B38" i="251"/>
  <c r="B38" i="250"/>
  <c r="B38" i="249"/>
  <c r="B38" i="12"/>
  <c r="B38" i="256"/>
  <c r="B38" i="257"/>
  <c r="AH39" i="47"/>
  <c r="AE39" i="172" s="1"/>
  <c r="AD39" i="47"/>
  <c r="AA39" i="172" s="1"/>
  <c r="B40" i="173"/>
  <c r="B37" i="244"/>
  <c r="B37" i="13"/>
  <c r="B37" i="251"/>
  <c r="B37" i="250"/>
  <c r="B37" i="249"/>
  <c r="B37" i="257"/>
  <c r="B36" i="15"/>
  <c r="B37" i="12"/>
  <c r="B37" i="256"/>
  <c r="B39" i="173"/>
  <c r="B36" i="244"/>
  <c r="B36" i="13"/>
  <c r="B36" i="250"/>
  <c r="B36" i="251"/>
  <c r="B36" i="249"/>
  <c r="B36" i="256"/>
  <c r="B36" i="257"/>
  <c r="B36" i="12"/>
  <c r="AH37" i="47"/>
  <c r="AE37" i="172" s="1"/>
  <c r="AD37" i="47"/>
  <c r="AA37" i="172" s="1"/>
  <c r="B38" i="173"/>
  <c r="B35" i="244"/>
  <c r="B35" i="13"/>
  <c r="B35" i="251"/>
  <c r="B35" i="249"/>
  <c r="B35" i="250"/>
  <c r="B35" i="256"/>
  <c r="B34" i="15"/>
  <c r="B35" i="257"/>
  <c r="B35" i="12"/>
  <c r="B37" i="173"/>
  <c r="B34" i="244"/>
  <c r="B34" i="13"/>
  <c r="B34" i="251"/>
  <c r="B34" i="250"/>
  <c r="B34" i="249"/>
  <c r="B34" i="12"/>
  <c r="B34" i="256"/>
  <c r="B34" i="257"/>
  <c r="AH35" i="47"/>
  <c r="AE35" i="172" s="1"/>
  <c r="AD35" i="47"/>
  <c r="AA35" i="172" s="1"/>
  <c r="B36" i="173"/>
  <c r="B33" i="244"/>
  <c r="B33" i="13"/>
  <c r="B33" i="251"/>
  <c r="B33" i="256"/>
  <c r="B33" i="250"/>
  <c r="B33" i="249"/>
  <c r="B33" i="257"/>
  <c r="B32" i="15"/>
  <c r="B33" i="12"/>
  <c r="B35" i="173"/>
  <c r="B32" i="244"/>
  <c r="B32" i="13"/>
  <c r="B32" i="250"/>
  <c r="B32" i="251"/>
  <c r="B32" i="249"/>
  <c r="B32" i="257"/>
  <c r="B32" i="12"/>
  <c r="B32" i="256"/>
  <c r="AH33" i="47"/>
  <c r="AE33" i="172" s="1"/>
  <c r="AD33" i="47"/>
  <c r="AA33" i="172" s="1"/>
  <c r="B34" i="173"/>
  <c r="B31" i="244"/>
  <c r="B31" i="13"/>
  <c r="B31" i="251"/>
  <c r="B31" i="249"/>
  <c r="B31" i="250"/>
  <c r="B31" i="256"/>
  <c r="B30" i="15"/>
  <c r="B31" i="257"/>
  <c r="B31" i="12"/>
  <c r="B33" i="173"/>
  <c r="B30" i="244"/>
  <c r="B30" i="13"/>
  <c r="B30" i="251"/>
  <c r="B30" i="250"/>
  <c r="B30" i="249"/>
  <c r="B30" i="12"/>
  <c r="B30" i="256"/>
  <c r="B30" i="257"/>
  <c r="AH31" i="47"/>
  <c r="AE31" i="172" s="1"/>
  <c r="AD31" i="47"/>
  <c r="AA31" i="172" s="1"/>
  <c r="B32" i="173"/>
  <c r="B29" i="244"/>
  <c r="B29" i="13"/>
  <c r="B29" i="251"/>
  <c r="B29" i="256"/>
  <c r="B29" i="250"/>
  <c r="B29" i="249"/>
  <c r="B29" i="257"/>
  <c r="B28" i="15"/>
  <c r="B29" i="12"/>
  <c r="B31" i="173"/>
  <c r="B28" i="244"/>
  <c r="B28" i="13"/>
  <c r="B28" i="250"/>
  <c r="B28" i="251"/>
  <c r="B28" i="249"/>
  <c r="B28" i="257"/>
  <c r="B28" i="12"/>
  <c r="B28" i="256"/>
  <c r="AH29" i="47"/>
  <c r="AE29" i="172" s="1"/>
  <c r="AD29" i="47"/>
  <c r="AA29" i="172" s="1"/>
  <c r="B30" i="173"/>
  <c r="B27" i="244"/>
  <c r="B27" i="13"/>
  <c r="B27" i="251"/>
  <c r="B27" i="249"/>
  <c r="B27" i="250"/>
  <c r="B27" i="256"/>
  <c r="B26" i="15"/>
  <c r="B27" i="257"/>
  <c r="B27" i="12"/>
  <c r="B29" i="173"/>
  <c r="B26" i="244"/>
  <c r="B26" i="13"/>
  <c r="B26" i="251"/>
  <c r="B26" i="250"/>
  <c r="B26" i="249"/>
  <c r="B26" i="12"/>
  <c r="B26" i="256"/>
  <c r="B26" i="257"/>
  <c r="AH27" i="47"/>
  <c r="AE27" i="172" s="1"/>
  <c r="AD27" i="47"/>
  <c r="AA27" i="172" s="1"/>
  <c r="B28" i="173"/>
  <c r="B25" i="244"/>
  <c r="B25" i="13"/>
  <c r="B25" i="250"/>
  <c r="B25" i="251"/>
  <c r="B25" i="256"/>
  <c r="B25" i="249"/>
  <c r="B25" i="257"/>
  <c r="B24" i="15"/>
  <c r="B25" i="12"/>
  <c r="B27" i="173"/>
  <c r="B24" i="244"/>
  <c r="B24" i="13"/>
  <c r="B24" i="250"/>
  <c r="B24" i="251"/>
  <c r="B24" i="249"/>
  <c r="B24" i="256"/>
  <c r="B24" i="257"/>
  <c r="B24" i="12"/>
  <c r="AH25" i="47"/>
  <c r="AE25" i="172" s="1"/>
  <c r="AD25" i="47"/>
  <c r="AA25" i="172" s="1"/>
  <c r="B26" i="173"/>
  <c r="B23" i="244"/>
  <c r="B23" i="13"/>
  <c r="B23" i="251"/>
  <c r="B23" i="250"/>
  <c r="B23" i="249"/>
  <c r="B23" i="256"/>
  <c r="B22" i="15"/>
  <c r="B23" i="53"/>
  <c r="B23" i="257"/>
  <c r="B23" i="12"/>
  <c r="B25" i="173"/>
  <c r="B22" i="244"/>
  <c r="B22" i="13"/>
  <c r="B22" i="251"/>
  <c r="B22" i="250"/>
  <c r="B22" i="256"/>
  <c r="B22" i="249"/>
  <c r="B22" i="12"/>
  <c r="B22" i="257"/>
  <c r="AH23" i="47"/>
  <c r="AE23" i="172" s="1"/>
  <c r="AD23" i="47"/>
  <c r="AA23" i="172" s="1"/>
  <c r="B24" i="173"/>
  <c r="B21" i="244"/>
  <c r="B21" i="13"/>
  <c r="B21" i="250"/>
  <c r="B21" i="251"/>
  <c r="B21" i="256"/>
  <c r="B21" i="249"/>
  <c r="B21" i="257"/>
  <c r="B20" i="15"/>
  <c r="B21" i="12"/>
  <c r="B21" i="53"/>
  <c r="B23" i="173"/>
  <c r="B20" i="244"/>
  <c r="B20" i="13"/>
  <c r="B20" i="251"/>
  <c r="B20" i="250"/>
  <c r="B20" i="249"/>
  <c r="B20" i="256"/>
  <c r="B20" i="53"/>
  <c r="B20" i="257"/>
  <c r="B20" i="12"/>
  <c r="AH21" i="47"/>
  <c r="AE21" i="172" s="1"/>
  <c r="AD21" i="47"/>
  <c r="AA21" i="172" s="1"/>
  <c r="B22" i="173"/>
  <c r="B19" i="244"/>
  <c r="B19" i="13"/>
  <c r="B19" i="251"/>
  <c r="B19" i="249"/>
  <c r="B19" i="250"/>
  <c r="B19" i="256"/>
  <c r="B18" i="15"/>
  <c r="B19" i="53"/>
  <c r="B19" i="257"/>
  <c r="B19" i="12"/>
  <c r="B21" i="173"/>
  <c r="B18" i="244"/>
  <c r="B18" i="251"/>
  <c r="B18" i="13"/>
  <c r="B18" i="250"/>
  <c r="B18" i="256"/>
  <c r="B18" i="249"/>
  <c r="B18" i="12"/>
  <c r="B18" i="257"/>
  <c r="AH19" i="47"/>
  <c r="AE19" i="172" s="1"/>
  <c r="AD19" i="47"/>
  <c r="AA19" i="172" s="1"/>
  <c r="B20" i="173"/>
  <c r="B17" i="244"/>
  <c r="B17" i="251"/>
  <c r="B17" i="13"/>
  <c r="B17" i="250"/>
  <c r="B17" i="256"/>
  <c r="B17" i="249"/>
  <c r="B17" i="257"/>
  <c r="B16" i="15"/>
  <c r="B17" i="12"/>
  <c r="B17" i="53"/>
  <c r="B19" i="173"/>
  <c r="B16" i="244"/>
  <c r="B16" i="13"/>
  <c r="B16" i="251"/>
  <c r="B16" i="250"/>
  <c r="B16" i="249"/>
  <c r="B16" i="256"/>
  <c r="B16" i="53"/>
  <c r="B16" i="257"/>
  <c r="B16" i="12"/>
  <c r="AH17" i="47"/>
  <c r="AE17" i="172" s="1"/>
  <c r="AD17" i="47"/>
  <c r="AA17" i="172" s="1"/>
  <c r="B18" i="173"/>
  <c r="B15" i="244"/>
  <c r="B15" i="13"/>
  <c r="B15" i="251"/>
  <c r="B15" i="250"/>
  <c r="B15" i="249"/>
  <c r="B15" i="256"/>
  <c r="B14" i="15"/>
  <c r="B15" i="53"/>
  <c r="B15" i="257"/>
  <c r="B15" i="12"/>
  <c r="B17" i="173"/>
  <c r="B14" i="244"/>
  <c r="B14" i="251"/>
  <c r="B14" i="13"/>
  <c r="B14" i="250"/>
  <c r="B14" i="256"/>
  <c r="B14" i="249"/>
  <c r="B14" i="12"/>
  <c r="B14" i="257"/>
  <c r="AH15" i="47"/>
  <c r="AE15" i="172" s="1"/>
  <c r="AD15" i="47"/>
  <c r="AA15" i="172" s="1"/>
  <c r="B16" i="173"/>
  <c r="B13" i="244"/>
  <c r="B13" i="251"/>
  <c r="B13" i="13"/>
  <c r="B13" i="250"/>
  <c r="B13" i="256"/>
  <c r="B13" i="249"/>
  <c r="B13" i="257"/>
  <c r="B12" i="15"/>
  <c r="B13" i="12"/>
  <c r="B13" i="53"/>
  <c r="B15" i="173"/>
  <c r="B12" i="244"/>
  <c r="B12" i="13"/>
  <c r="B12" i="251"/>
  <c r="B12" i="250"/>
  <c r="B12" i="249"/>
  <c r="B12" i="256"/>
  <c r="B12" i="53"/>
  <c r="B12" i="257"/>
  <c r="B12" i="12"/>
  <c r="AH13" i="47"/>
  <c r="AE13" i="172" s="1"/>
  <c r="AD13" i="47"/>
  <c r="AA13" i="172" s="1"/>
  <c r="B14" i="173"/>
  <c r="B11" i="244"/>
  <c r="B11" i="13"/>
  <c r="B11" i="251"/>
  <c r="B11" i="249"/>
  <c r="B11" i="250"/>
  <c r="B11" i="256"/>
  <c r="B10" i="15"/>
  <c r="B11" i="53"/>
  <c r="B11" i="257"/>
  <c r="B11" i="12"/>
  <c r="B13" i="173"/>
  <c r="B10" i="244"/>
  <c r="B10" i="251"/>
  <c r="B10" i="13"/>
  <c r="B10" i="250"/>
  <c r="B10" i="256"/>
  <c r="B10" i="249"/>
  <c r="B10" i="12"/>
  <c r="B10" i="257"/>
  <c r="AB2" i="244"/>
  <c r="AB2" i="251"/>
  <c r="AB2" i="250"/>
  <c r="AB2" i="249"/>
  <c r="AB2" i="256"/>
  <c r="AM2" i="57"/>
  <c r="AB2" i="257"/>
  <c r="AB2" i="12"/>
  <c r="AA2" i="53"/>
  <c r="AI41" i="172"/>
  <c r="AA39" i="53" s="1"/>
  <c r="AI40" i="172"/>
  <c r="AA38" i="53" s="1"/>
  <c r="AI39" i="172"/>
  <c r="AA37" i="53" s="1"/>
  <c r="AI38" i="172"/>
  <c r="AA36" i="53" s="1"/>
  <c r="AI37" i="172"/>
  <c r="AA35" i="53" s="1"/>
  <c r="AI36" i="172"/>
  <c r="AA34" i="53" s="1"/>
  <c r="AI35" i="172"/>
  <c r="AA33" i="53" s="1"/>
  <c r="AI34" i="172"/>
  <c r="AA32" i="53" s="1"/>
  <c r="AI33" i="172"/>
  <c r="AA31" i="53" s="1"/>
  <c r="AI32" i="172"/>
  <c r="AA30" i="53" s="1"/>
  <c r="AI31" i="172"/>
  <c r="AA29" i="53" s="1"/>
  <c r="AI30" i="172"/>
  <c r="AA28" i="53" s="1"/>
  <c r="AI29" i="172"/>
  <c r="AA27" i="53" s="1"/>
  <c r="AI28" i="172"/>
  <c r="AA26" i="53" s="1"/>
  <c r="AI27" i="172"/>
  <c r="AA25" i="53" s="1"/>
  <c r="AI26" i="172"/>
  <c r="AA24" i="53" s="1"/>
  <c r="AI25" i="172"/>
  <c r="AA23" i="53" s="1"/>
  <c r="AI24" i="172"/>
  <c r="AA22" i="53" s="1"/>
  <c r="AI23" i="172"/>
  <c r="AA21" i="53" s="1"/>
  <c r="AI22" i="172"/>
  <c r="AA20" i="53" s="1"/>
  <c r="AI21" i="172"/>
  <c r="AA19" i="53" s="1"/>
  <c r="AI20" i="172"/>
  <c r="AA18" i="53" s="1"/>
  <c r="AI19" i="172"/>
  <c r="AA17" i="53" s="1"/>
  <c r="AI18" i="172"/>
  <c r="AA16" i="53" s="1"/>
  <c r="AI17" i="172"/>
  <c r="AA15" i="53" s="1"/>
  <c r="AI16" i="172"/>
  <c r="AA14" i="53" s="1"/>
  <c r="AI15" i="172"/>
  <c r="AA13" i="53" s="1"/>
  <c r="AI14" i="172"/>
  <c r="AA12" i="53" s="1"/>
  <c r="AI13" i="172"/>
  <c r="AA11" i="53" s="1"/>
  <c r="AI12" i="172"/>
  <c r="AA10" i="53" s="1"/>
  <c r="Y4" i="172"/>
  <c r="V39" i="53"/>
  <c r="U38" i="53"/>
  <c r="O38" i="53"/>
  <c r="N37" i="53"/>
  <c r="W36" i="53"/>
  <c r="M36" i="53"/>
  <c r="B36" i="53"/>
  <c r="V35" i="53"/>
  <c r="U34" i="53"/>
  <c r="O34" i="53"/>
  <c r="N33" i="53"/>
  <c r="W32" i="53"/>
  <c r="M32" i="53"/>
  <c r="B32" i="53"/>
  <c r="V31" i="53"/>
  <c r="U30" i="53"/>
  <c r="O30" i="53"/>
  <c r="N29" i="53"/>
  <c r="W28" i="53"/>
  <c r="M28" i="53"/>
  <c r="B28" i="53"/>
  <c r="V27" i="53"/>
  <c r="U26" i="53"/>
  <c r="O26" i="53"/>
  <c r="N25" i="53"/>
  <c r="N23" i="53"/>
  <c r="W22" i="53"/>
  <c r="M22" i="53"/>
  <c r="B22" i="53"/>
  <c r="U21" i="53"/>
  <c r="M19" i="53"/>
  <c r="N16" i="53"/>
  <c r="V15" i="53"/>
  <c r="V14" i="53"/>
  <c r="N13" i="53"/>
  <c r="W12" i="53"/>
  <c r="W11" i="53"/>
  <c r="O10" i="53"/>
  <c r="B37" i="15"/>
  <c r="B29" i="15"/>
  <c r="B21" i="15"/>
  <c r="B13" i="15"/>
  <c r="W60" i="241"/>
  <c r="F14" i="242"/>
  <c r="I19" i="63"/>
  <c r="I23" i="63" s="1"/>
  <c r="H20" i="241"/>
  <c r="Q10" i="12"/>
  <c r="Q14" i="12"/>
  <c r="S14" i="12" s="1"/>
  <c r="Q18" i="12"/>
  <c r="S18" i="12" s="1"/>
  <c r="Q22" i="12"/>
  <c r="S22" i="12" s="1"/>
  <c r="Q26" i="12"/>
  <c r="S26" i="12" s="1"/>
  <c r="Q30" i="12"/>
  <c r="S30" i="12" s="1"/>
  <c r="Q34" i="12"/>
  <c r="S34" i="12" s="1"/>
  <c r="Q38" i="12"/>
  <c r="S38" i="12" s="1"/>
  <c r="Q13" i="12"/>
  <c r="S13" i="12" s="1"/>
  <c r="Q17" i="12"/>
  <c r="S17" i="12" s="1"/>
  <c r="Q21" i="12"/>
  <c r="S21" i="12" s="1"/>
  <c r="Q25" i="12"/>
  <c r="S25" i="12" s="1"/>
  <c r="Q29" i="12"/>
  <c r="S29" i="12" s="1"/>
  <c r="Q33" i="12"/>
  <c r="S33" i="12" s="1"/>
  <c r="Q37" i="12"/>
  <c r="S37" i="12" s="1"/>
  <c r="Q12" i="12"/>
  <c r="S12" i="12" s="1"/>
  <c r="Q16" i="12"/>
  <c r="S16" i="12" s="1"/>
  <c r="Q20" i="12"/>
  <c r="S20" i="12" s="1"/>
  <c r="Q24" i="12"/>
  <c r="S24" i="12" s="1"/>
  <c r="Q28" i="12"/>
  <c r="S28" i="12" s="1"/>
  <c r="Q32" i="12"/>
  <c r="S32" i="12" s="1"/>
  <c r="Q36" i="12"/>
  <c r="S36" i="12" s="1"/>
  <c r="Q11" i="12"/>
  <c r="S11" i="12" s="1"/>
  <c r="Q15" i="12"/>
  <c r="S15" i="12" s="1"/>
  <c r="Q19" i="12"/>
  <c r="S19" i="12" s="1"/>
  <c r="Q23" i="12"/>
  <c r="S23" i="12" s="1"/>
  <c r="Q27" i="12"/>
  <c r="S27" i="12" s="1"/>
  <c r="Q31" i="12"/>
  <c r="S31" i="12" s="1"/>
  <c r="Q35" i="12"/>
  <c r="S35" i="12" s="1"/>
  <c r="Q39" i="12"/>
  <c r="S39" i="12" s="1"/>
  <c r="AG42" i="173"/>
  <c r="D39" i="244"/>
  <c r="D39" i="251"/>
  <c r="D39" i="250"/>
  <c r="D39" i="249"/>
  <c r="D39" i="12"/>
  <c r="D39" i="256"/>
  <c r="D39" i="257"/>
  <c r="AM41" i="173"/>
  <c r="J38" i="244"/>
  <c r="J38" i="251"/>
  <c r="J38" i="249"/>
  <c r="J38" i="250"/>
  <c r="J38" i="256"/>
  <c r="J38" i="257"/>
  <c r="J38" i="12"/>
  <c r="AI41" i="173"/>
  <c r="F38" i="244"/>
  <c r="F38" i="251"/>
  <c r="F38" i="250"/>
  <c r="F38" i="249"/>
  <c r="F38" i="256"/>
  <c r="F38" i="257"/>
  <c r="F38" i="12"/>
  <c r="AG40" i="173"/>
  <c r="D37" i="244"/>
  <c r="D37" i="250"/>
  <c r="D37" i="251"/>
  <c r="D37" i="249"/>
  <c r="D37" i="256"/>
  <c r="D37" i="257"/>
  <c r="D37" i="12"/>
  <c r="AM39" i="173"/>
  <c r="J36" i="244"/>
  <c r="J36" i="251"/>
  <c r="J36" i="250"/>
  <c r="J36" i="249"/>
  <c r="J36" i="257"/>
  <c r="J36" i="12"/>
  <c r="J36" i="256"/>
  <c r="AI39" i="173"/>
  <c r="F36" i="244"/>
  <c r="F36" i="251"/>
  <c r="F36" i="250"/>
  <c r="F36" i="249"/>
  <c r="F36" i="257"/>
  <c r="F36" i="12"/>
  <c r="F36" i="256"/>
  <c r="AG38" i="173"/>
  <c r="D35" i="244"/>
  <c r="D35" i="251"/>
  <c r="D35" i="250"/>
  <c r="D35" i="249"/>
  <c r="D35" i="256"/>
  <c r="D35" i="12"/>
  <c r="D35" i="257"/>
  <c r="AM37" i="173"/>
  <c r="J34" i="244"/>
  <c r="J34" i="251"/>
  <c r="J34" i="249"/>
  <c r="J34" i="250"/>
  <c r="J34" i="256"/>
  <c r="J34" i="257"/>
  <c r="J34" i="12"/>
  <c r="AI37" i="173"/>
  <c r="F34" i="244"/>
  <c r="F34" i="251"/>
  <c r="F34" i="250"/>
  <c r="F34" i="249"/>
  <c r="F34" i="256"/>
  <c r="F34" i="257"/>
  <c r="F34" i="12"/>
  <c r="AG36" i="173"/>
  <c r="D33" i="244"/>
  <c r="D33" i="250"/>
  <c r="D33" i="251"/>
  <c r="D33" i="249"/>
  <c r="D33" i="256"/>
  <c r="D33" i="257"/>
  <c r="D33" i="12"/>
  <c r="AM35" i="173"/>
  <c r="J32" i="244"/>
  <c r="J32" i="251"/>
  <c r="J32" i="256"/>
  <c r="J32" i="250"/>
  <c r="J32" i="249"/>
  <c r="J32" i="257"/>
  <c r="J32" i="12"/>
  <c r="AI35" i="173"/>
  <c r="F32" i="244"/>
  <c r="F32" i="251"/>
  <c r="F32" i="250"/>
  <c r="F32" i="256"/>
  <c r="F32" i="249"/>
  <c r="F32" i="257"/>
  <c r="F32" i="12"/>
  <c r="AG34" i="173"/>
  <c r="D31" i="244"/>
  <c r="D31" i="251"/>
  <c r="D31" i="250"/>
  <c r="D31" i="249"/>
  <c r="D31" i="256"/>
  <c r="D31" i="12"/>
  <c r="D31" i="257"/>
  <c r="AM33" i="173"/>
  <c r="J30" i="244"/>
  <c r="J30" i="251"/>
  <c r="J30" i="249"/>
  <c r="J30" i="250"/>
  <c r="J30" i="256"/>
  <c r="J30" i="257"/>
  <c r="J30" i="12"/>
  <c r="AI33" i="173"/>
  <c r="F30" i="244"/>
  <c r="F30" i="251"/>
  <c r="F30" i="250"/>
  <c r="F30" i="249"/>
  <c r="F30" i="256"/>
  <c r="F30" i="257"/>
  <c r="F30" i="12"/>
  <c r="AG32" i="173"/>
  <c r="D29" i="244"/>
  <c r="D29" i="250"/>
  <c r="D29" i="251"/>
  <c r="D29" i="249"/>
  <c r="D29" i="256"/>
  <c r="D29" i="257"/>
  <c r="D29" i="12"/>
  <c r="AM31" i="173"/>
  <c r="J28" i="244"/>
  <c r="J28" i="251"/>
  <c r="J28" i="256"/>
  <c r="J28" i="250"/>
  <c r="J28" i="249"/>
  <c r="J28" i="257"/>
  <c r="J28" i="12"/>
  <c r="AI31" i="173"/>
  <c r="F28" i="244"/>
  <c r="F28" i="251"/>
  <c r="F28" i="250"/>
  <c r="F28" i="256"/>
  <c r="F28" i="249"/>
  <c r="F28" i="257"/>
  <c r="F28" i="12"/>
  <c r="AG30" i="173"/>
  <c r="D27" i="244"/>
  <c r="D27" i="251"/>
  <c r="D27" i="250"/>
  <c r="D27" i="249"/>
  <c r="D27" i="256"/>
  <c r="D27" i="12"/>
  <c r="D27" i="257"/>
  <c r="AM29" i="173"/>
  <c r="J26" i="244"/>
  <c r="J26" i="251"/>
  <c r="J26" i="249"/>
  <c r="J26" i="250"/>
  <c r="J26" i="256"/>
  <c r="J26" i="257"/>
  <c r="J26" i="12"/>
  <c r="AI29" i="173"/>
  <c r="F26" i="244"/>
  <c r="F26" i="251"/>
  <c r="F26" i="250"/>
  <c r="F26" i="249"/>
  <c r="F26" i="256"/>
  <c r="F26" i="257"/>
  <c r="F26" i="12"/>
  <c r="AG28" i="173"/>
  <c r="D25" i="244"/>
  <c r="D25" i="250"/>
  <c r="D25" i="251"/>
  <c r="D25" i="249"/>
  <c r="D25" i="256"/>
  <c r="D25" i="257"/>
  <c r="D25" i="12"/>
  <c r="AM27" i="173"/>
  <c r="J24" i="244"/>
  <c r="J24" i="250"/>
  <c r="J24" i="251"/>
  <c r="J24" i="256"/>
  <c r="J24" i="249"/>
  <c r="J24" i="257"/>
  <c r="J24" i="12"/>
  <c r="AI27" i="173"/>
  <c r="F24" i="244"/>
  <c r="F24" i="250"/>
  <c r="F24" i="251"/>
  <c r="F24" i="256"/>
  <c r="F24" i="249"/>
  <c r="F24" i="257"/>
  <c r="F24" i="12"/>
  <c r="AG26" i="173"/>
  <c r="D23" i="244"/>
  <c r="D23" i="251"/>
  <c r="D23" i="250"/>
  <c r="D23" i="249"/>
  <c r="D23" i="12"/>
  <c r="D23" i="256"/>
  <c r="D23" i="257"/>
  <c r="AM25" i="173"/>
  <c r="J22" i="244"/>
  <c r="J22" i="251"/>
  <c r="J22" i="250"/>
  <c r="J22" i="249"/>
  <c r="J22" i="256"/>
  <c r="J22" i="257"/>
  <c r="J22" i="12"/>
  <c r="AI25" i="173"/>
  <c r="F22" i="244"/>
  <c r="F22" i="251"/>
  <c r="F22" i="249"/>
  <c r="F22" i="250"/>
  <c r="F22" i="256"/>
  <c r="F22" i="257"/>
  <c r="F22" i="12"/>
  <c r="AG24" i="173"/>
  <c r="D21" i="244"/>
  <c r="D21" i="250"/>
  <c r="D21" i="251"/>
  <c r="D21" i="249"/>
  <c r="D21" i="256"/>
  <c r="D21" i="257"/>
  <c r="D21" i="12"/>
  <c r="AM23" i="173"/>
  <c r="J20" i="244"/>
  <c r="J20" i="251"/>
  <c r="J20" i="250"/>
  <c r="J20" i="256"/>
  <c r="J20" i="249"/>
  <c r="J20" i="257"/>
  <c r="J20" i="12"/>
  <c r="AI23" i="173"/>
  <c r="F20" i="244"/>
  <c r="F20" i="251"/>
  <c r="F20" i="250"/>
  <c r="F20" i="256"/>
  <c r="F20" i="249"/>
  <c r="F20" i="257"/>
  <c r="F20" i="12"/>
  <c r="AG22" i="173"/>
  <c r="D19" i="244"/>
  <c r="D19" i="251"/>
  <c r="D19" i="250"/>
  <c r="D19" i="256"/>
  <c r="D19" i="249"/>
  <c r="D19" i="12"/>
  <c r="D19" i="257"/>
  <c r="AM21" i="173"/>
  <c r="J18" i="244"/>
  <c r="J18" i="251"/>
  <c r="J18" i="249"/>
  <c r="J18" i="250"/>
  <c r="J18" i="256"/>
  <c r="J18" i="257"/>
  <c r="J18" i="12"/>
  <c r="AI21" i="173"/>
  <c r="F18" i="244"/>
  <c r="F18" i="251"/>
  <c r="F18" i="250"/>
  <c r="F18" i="249"/>
  <c r="F18" i="256"/>
  <c r="F18" i="257"/>
  <c r="F18" i="12"/>
  <c r="AG20" i="173"/>
  <c r="D17" i="244"/>
  <c r="D17" i="251"/>
  <c r="D17" i="250"/>
  <c r="D17" i="249"/>
  <c r="D17" i="256"/>
  <c r="D17" i="257"/>
  <c r="D17" i="12"/>
  <c r="AM19" i="173"/>
  <c r="J16" i="244"/>
  <c r="J16" i="251"/>
  <c r="J16" i="250"/>
  <c r="J16" i="256"/>
  <c r="J16" i="249"/>
  <c r="J16" i="257"/>
  <c r="J16" i="12"/>
  <c r="AI19" i="173"/>
  <c r="F16" i="244"/>
  <c r="F16" i="251"/>
  <c r="F16" i="250"/>
  <c r="F16" i="256"/>
  <c r="F16" i="249"/>
  <c r="F16" i="257"/>
  <c r="F16" i="12"/>
  <c r="AG18" i="173"/>
  <c r="D15" i="244"/>
  <c r="D15" i="251"/>
  <c r="D15" i="250"/>
  <c r="D15" i="256"/>
  <c r="D15" i="249"/>
  <c r="D15" i="12"/>
  <c r="D15" i="257"/>
  <c r="AM17" i="173"/>
  <c r="J14" i="244"/>
  <c r="J14" i="251"/>
  <c r="J14" i="250"/>
  <c r="J14" i="249"/>
  <c r="J14" i="256"/>
  <c r="J14" i="257"/>
  <c r="J14" i="12"/>
  <c r="AI17" i="173"/>
  <c r="F14" i="244"/>
  <c r="F14" i="251"/>
  <c r="F14" i="249"/>
  <c r="F14" i="250"/>
  <c r="F14" i="256"/>
  <c r="F14" i="257"/>
  <c r="F14" i="12"/>
  <c r="AG16" i="173"/>
  <c r="D13" i="244"/>
  <c r="D13" i="251"/>
  <c r="D13" i="250"/>
  <c r="D13" i="249"/>
  <c r="D13" i="256"/>
  <c r="D13" i="257"/>
  <c r="D13" i="12"/>
  <c r="AM15" i="173"/>
  <c r="J12" i="244"/>
  <c r="J12" i="251"/>
  <c r="J12" i="250"/>
  <c r="J12" i="256"/>
  <c r="J12" i="249"/>
  <c r="J12" i="257"/>
  <c r="J12" i="12"/>
  <c r="AI15" i="173"/>
  <c r="F12" i="244"/>
  <c r="F12" i="251"/>
  <c r="F12" i="250"/>
  <c r="F12" i="256"/>
  <c r="F12" i="249"/>
  <c r="F12" i="257"/>
  <c r="F12" i="12"/>
  <c r="AG14" i="173"/>
  <c r="D11" i="244"/>
  <c r="D11" i="251"/>
  <c r="D11" i="250"/>
  <c r="D11" i="256"/>
  <c r="D11" i="249"/>
  <c r="D11" i="12"/>
  <c r="D11" i="257"/>
  <c r="AM13" i="173"/>
  <c r="J10" i="244"/>
  <c r="J10" i="251"/>
  <c r="J10" i="249"/>
  <c r="J10" i="250"/>
  <c r="J10" i="256"/>
  <c r="J10" i="257"/>
  <c r="J10" i="12"/>
  <c r="AI13" i="173"/>
  <c r="F10" i="244"/>
  <c r="F10" i="251"/>
  <c r="F10" i="250"/>
  <c r="F10" i="249"/>
  <c r="F10" i="256"/>
  <c r="F10" i="257"/>
  <c r="F10" i="12"/>
  <c r="AC41" i="47"/>
  <c r="AC39" i="47"/>
  <c r="AC37" i="47"/>
  <c r="AC35" i="47"/>
  <c r="AC33" i="47"/>
  <c r="AC31" i="47"/>
  <c r="AC29" i="47"/>
  <c r="AC27" i="47"/>
  <c r="AC25" i="47"/>
  <c r="AC23" i="47"/>
  <c r="AC21" i="47"/>
  <c r="AC19" i="47"/>
  <c r="AC17" i="47"/>
  <c r="AC15" i="47"/>
  <c r="AC13" i="47"/>
  <c r="B37" i="53"/>
  <c r="B33" i="53"/>
  <c r="B29" i="53"/>
  <c r="B25" i="53"/>
  <c r="N24" i="53"/>
  <c r="W23" i="53"/>
  <c r="O23" i="53"/>
  <c r="V21" i="53"/>
  <c r="O21" i="53"/>
  <c r="U20" i="53"/>
  <c r="O20" i="53"/>
  <c r="N19" i="53"/>
  <c r="M18" i="53"/>
  <c r="B18" i="53"/>
  <c r="U17" i="53"/>
  <c r="M16" i="53"/>
  <c r="M15" i="53"/>
  <c r="U14" i="53"/>
  <c r="N12" i="53"/>
  <c r="V11" i="53"/>
  <c r="V10" i="53"/>
  <c r="B31" i="15"/>
  <c r="B23" i="15"/>
  <c r="B15" i="15"/>
  <c r="F97" i="156"/>
  <c r="G97" i="156"/>
  <c r="F94" i="156"/>
  <c r="G94" i="156"/>
  <c r="Q46" i="41"/>
  <c r="M46" i="41"/>
  <c r="H46" i="41"/>
  <c r="Q45" i="41"/>
  <c r="M45" i="41"/>
  <c r="H45" i="41"/>
  <c r="Q44" i="41"/>
  <c r="M44" i="41"/>
  <c r="H44" i="41"/>
  <c r="Q43" i="41"/>
  <c r="M43" i="41"/>
  <c r="H43" i="41"/>
  <c r="Q42" i="41"/>
  <c r="M42" i="41"/>
  <c r="H42" i="41"/>
  <c r="Q41" i="41"/>
  <c r="M41" i="41"/>
  <c r="AJ42" i="173"/>
  <c r="G39" i="244"/>
  <c r="G39" i="251"/>
  <c r="G39" i="250"/>
  <c r="G39" i="249"/>
  <c r="G39" i="256"/>
  <c r="G39" i="257"/>
  <c r="G39" i="12"/>
  <c r="AB38" i="244"/>
  <c r="AB38" i="251"/>
  <c r="AB38" i="250"/>
  <c r="AB38" i="249"/>
  <c r="AB38" i="257"/>
  <c r="AB38" i="12"/>
  <c r="AB38" i="256"/>
  <c r="U38" i="41"/>
  <c r="V38" i="41" s="1"/>
  <c r="P38" i="41"/>
  <c r="R38" i="41" s="1"/>
  <c r="AH41" i="173"/>
  <c r="AK41" i="173" s="1"/>
  <c r="E38" i="244"/>
  <c r="H38" i="244" s="1"/>
  <c r="E38" i="250"/>
  <c r="H38" i="250" s="1"/>
  <c r="E38" i="251"/>
  <c r="E38" i="249"/>
  <c r="H38" i="249" s="1"/>
  <c r="E38" i="256"/>
  <c r="H38" i="256" s="1"/>
  <c r="E38" i="257"/>
  <c r="H38" i="257" s="1"/>
  <c r="E38" i="12"/>
  <c r="AJ40" i="173"/>
  <c r="G37" i="244"/>
  <c r="G37" i="251"/>
  <c r="G37" i="250"/>
  <c r="G37" i="249"/>
  <c r="G37" i="257"/>
  <c r="G37" i="12"/>
  <c r="G37" i="256"/>
  <c r="AB36" i="244"/>
  <c r="AB36" i="251"/>
  <c r="AB36" i="249"/>
  <c r="AB36" i="250"/>
  <c r="AB36" i="256"/>
  <c r="AB36" i="257"/>
  <c r="AB36" i="12"/>
  <c r="P36" i="41"/>
  <c r="R36" i="41" s="1"/>
  <c r="AH39" i="173"/>
  <c r="AK39" i="173" s="1"/>
  <c r="E36" i="244"/>
  <c r="H36" i="244" s="1"/>
  <c r="E36" i="251"/>
  <c r="H36" i="251" s="1"/>
  <c r="E36" i="250"/>
  <c r="E36" i="249"/>
  <c r="H36" i="249" s="1"/>
  <c r="E36" i="12"/>
  <c r="H36" i="12" s="1"/>
  <c r="E36" i="256"/>
  <c r="H36" i="256" s="1"/>
  <c r="E36" i="257"/>
  <c r="AJ38" i="173"/>
  <c r="G35" i="244"/>
  <c r="G35" i="251"/>
  <c r="G35" i="250"/>
  <c r="G35" i="249"/>
  <c r="G35" i="256"/>
  <c r="G35" i="257"/>
  <c r="G35" i="12"/>
  <c r="AB34" i="244"/>
  <c r="AB34" i="251"/>
  <c r="AB34" i="256"/>
  <c r="AB34" i="250"/>
  <c r="AB34" i="249"/>
  <c r="AB34" i="257"/>
  <c r="AB34" i="12"/>
  <c r="P34" i="41"/>
  <c r="R34" i="41" s="1"/>
  <c r="AH37" i="173"/>
  <c r="AK37" i="173" s="1"/>
  <c r="E34" i="244"/>
  <c r="H34" i="244" s="1"/>
  <c r="E34" i="250"/>
  <c r="H34" i="250" s="1"/>
  <c r="E34" i="251"/>
  <c r="E34" i="249"/>
  <c r="H34" i="249" s="1"/>
  <c r="E34" i="256"/>
  <c r="H34" i="256" s="1"/>
  <c r="E34" i="257"/>
  <c r="H34" i="257" s="1"/>
  <c r="E34" i="12"/>
  <c r="AJ36" i="173"/>
  <c r="G33" i="244"/>
  <c r="G33" i="251"/>
  <c r="G33" i="250"/>
  <c r="G33" i="256"/>
  <c r="G33" i="249"/>
  <c r="G33" i="257"/>
  <c r="G33" i="12"/>
  <c r="AB32" i="244"/>
  <c r="AB32" i="251"/>
  <c r="AB32" i="249"/>
  <c r="AB32" i="250"/>
  <c r="AB32" i="256"/>
  <c r="AB32" i="257"/>
  <c r="AB32" i="12"/>
  <c r="P32" i="41"/>
  <c r="R32" i="41" s="1"/>
  <c r="AH35" i="173"/>
  <c r="AK35" i="173" s="1"/>
  <c r="E32" i="244"/>
  <c r="H32" i="244" s="1"/>
  <c r="E32" i="251"/>
  <c r="H32" i="251" s="1"/>
  <c r="E32" i="250"/>
  <c r="E32" i="249"/>
  <c r="H32" i="249" s="1"/>
  <c r="E32" i="256"/>
  <c r="H32" i="256" s="1"/>
  <c r="E32" i="12"/>
  <c r="H32" i="12" s="1"/>
  <c r="E32" i="257"/>
  <c r="AJ34" i="173"/>
  <c r="G31" i="244"/>
  <c r="G31" i="251"/>
  <c r="G31" i="250"/>
  <c r="G31" i="249"/>
  <c r="G31" i="256"/>
  <c r="G31" i="257"/>
  <c r="G31" i="12"/>
  <c r="AB30" i="244"/>
  <c r="AB30" i="251"/>
  <c r="AB30" i="256"/>
  <c r="AB30" i="250"/>
  <c r="AB30" i="249"/>
  <c r="AB30" i="257"/>
  <c r="AB30" i="12"/>
  <c r="P30" i="41"/>
  <c r="R30" i="41" s="1"/>
  <c r="AH33" i="173"/>
  <c r="AK33" i="173" s="1"/>
  <c r="E30" i="244"/>
  <c r="H30" i="244" s="1"/>
  <c r="E30" i="250"/>
  <c r="H30" i="250" s="1"/>
  <c r="E30" i="251"/>
  <c r="E30" i="249"/>
  <c r="H30" i="249" s="1"/>
  <c r="E30" i="256"/>
  <c r="H30" i="256" s="1"/>
  <c r="E30" i="257"/>
  <c r="H30" i="257" s="1"/>
  <c r="E30" i="12"/>
  <c r="AJ32" i="173"/>
  <c r="G29" i="244"/>
  <c r="G29" i="251"/>
  <c r="G29" i="250"/>
  <c r="G29" i="256"/>
  <c r="G29" i="249"/>
  <c r="G29" i="257"/>
  <c r="G29" i="12"/>
  <c r="AB28" i="244"/>
  <c r="AB28" i="251"/>
  <c r="AB28" i="249"/>
  <c r="AB28" i="250"/>
  <c r="AB28" i="256"/>
  <c r="AB28" i="257"/>
  <c r="AB28" i="12"/>
  <c r="P28" i="41"/>
  <c r="R28" i="41" s="1"/>
  <c r="AH31" i="173"/>
  <c r="AK31" i="173" s="1"/>
  <c r="E28" i="244"/>
  <c r="H28" i="244" s="1"/>
  <c r="E28" i="251"/>
  <c r="H28" i="251" s="1"/>
  <c r="E28" i="250"/>
  <c r="E28" i="249"/>
  <c r="H28" i="249" s="1"/>
  <c r="E28" i="256"/>
  <c r="H28" i="256" s="1"/>
  <c r="E28" i="12"/>
  <c r="H28" i="12" s="1"/>
  <c r="E28" i="257"/>
  <c r="AJ30" i="173"/>
  <c r="G27" i="244"/>
  <c r="G27" i="251"/>
  <c r="G27" i="250"/>
  <c r="G27" i="249"/>
  <c r="G27" i="256"/>
  <c r="G27" i="257"/>
  <c r="G27" i="12"/>
  <c r="AB26" i="244"/>
  <c r="AB26" i="250"/>
  <c r="AB26" i="251"/>
  <c r="AB26" i="256"/>
  <c r="AB26" i="249"/>
  <c r="AB26" i="257"/>
  <c r="AB26" i="12"/>
  <c r="P26" i="41"/>
  <c r="R26" i="41" s="1"/>
  <c r="AH29" i="173"/>
  <c r="AK29" i="173" s="1"/>
  <c r="E26" i="244"/>
  <c r="H26" i="244" s="1"/>
  <c r="E26" i="250"/>
  <c r="H26" i="250" s="1"/>
  <c r="E26" i="251"/>
  <c r="E26" i="249"/>
  <c r="H26" i="249" s="1"/>
  <c r="E26" i="256"/>
  <c r="H26" i="256" s="1"/>
  <c r="E26" i="257"/>
  <c r="H26" i="257" s="1"/>
  <c r="E26" i="12"/>
  <c r="AJ28" i="173"/>
  <c r="G25" i="244"/>
  <c r="G25" i="250"/>
  <c r="G25" i="251"/>
  <c r="G25" i="256"/>
  <c r="G25" i="249"/>
  <c r="G25" i="257"/>
  <c r="G25" i="12"/>
  <c r="AB24" i="244"/>
  <c r="AB24" i="251"/>
  <c r="AB24" i="250"/>
  <c r="AB24" i="249"/>
  <c r="AB24" i="256"/>
  <c r="AB24" i="257"/>
  <c r="AB24" i="12"/>
  <c r="P24" i="41"/>
  <c r="R24" i="41" s="1"/>
  <c r="AH27" i="173"/>
  <c r="AK27" i="173" s="1"/>
  <c r="E24" i="244"/>
  <c r="H24" i="244" s="1"/>
  <c r="E24" i="251"/>
  <c r="H24" i="251" s="1"/>
  <c r="E24" i="250"/>
  <c r="E24" i="249"/>
  <c r="H24" i="249" s="1"/>
  <c r="E24" i="256"/>
  <c r="H24" i="256" s="1"/>
  <c r="E24" i="12"/>
  <c r="H24" i="12" s="1"/>
  <c r="E24" i="257"/>
  <c r="AJ26" i="173"/>
  <c r="G23" i="244"/>
  <c r="G23" i="251"/>
  <c r="G23" i="249"/>
  <c r="G23" i="250"/>
  <c r="G23" i="256"/>
  <c r="G23" i="257"/>
  <c r="G23" i="12"/>
  <c r="AB22" i="244"/>
  <c r="AB22" i="250"/>
  <c r="AB22" i="251"/>
  <c r="AB22" i="256"/>
  <c r="AB22" i="249"/>
  <c r="AB22" i="257"/>
  <c r="AB22" i="12"/>
  <c r="P22" i="41"/>
  <c r="R22" i="41" s="1"/>
  <c r="AH25" i="173"/>
  <c r="AK25" i="173" s="1"/>
  <c r="E22" i="244"/>
  <c r="H22" i="244" s="1"/>
  <c r="E22" i="251"/>
  <c r="E22" i="250"/>
  <c r="H22" i="250" s="1"/>
  <c r="E22" i="249"/>
  <c r="H22" i="249" s="1"/>
  <c r="E22" i="256"/>
  <c r="H22" i="256" s="1"/>
  <c r="E22" i="257"/>
  <c r="E22" i="12"/>
  <c r="H22" i="12" s="1"/>
  <c r="AJ24" i="173"/>
  <c r="G21" i="244"/>
  <c r="G21" i="250"/>
  <c r="G21" i="251"/>
  <c r="G21" i="256"/>
  <c r="G21" i="249"/>
  <c r="G21" i="257"/>
  <c r="G21" i="12"/>
  <c r="AB20" i="244"/>
  <c r="AB20" i="251"/>
  <c r="AB20" i="249"/>
  <c r="AB20" i="250"/>
  <c r="AB20" i="256"/>
  <c r="AB20" i="257"/>
  <c r="AB20" i="12"/>
  <c r="P20" i="41"/>
  <c r="R20" i="41" s="1"/>
  <c r="AH23" i="173"/>
  <c r="AK23" i="173" s="1"/>
  <c r="E20" i="244"/>
  <c r="H20" i="244" s="1"/>
  <c r="E20" i="251"/>
  <c r="E20" i="250"/>
  <c r="H20" i="250" s="1"/>
  <c r="E20" i="256"/>
  <c r="H20" i="256" s="1"/>
  <c r="E20" i="249"/>
  <c r="H20" i="249" s="1"/>
  <c r="E20" i="12"/>
  <c r="E20" i="257"/>
  <c r="H20" i="257" s="1"/>
  <c r="AJ22" i="173"/>
  <c r="G19" i="244"/>
  <c r="G19" i="251"/>
  <c r="G19" i="250"/>
  <c r="G19" i="249"/>
  <c r="G19" i="256"/>
  <c r="G19" i="257"/>
  <c r="G19" i="12"/>
  <c r="AB18" i="244"/>
  <c r="AB18" i="251"/>
  <c r="AB18" i="250"/>
  <c r="AB18" i="256"/>
  <c r="AB18" i="249"/>
  <c r="AB18" i="257"/>
  <c r="AB18" i="12"/>
  <c r="P18" i="41"/>
  <c r="R18" i="41" s="1"/>
  <c r="AH21" i="173"/>
  <c r="AK21" i="173" s="1"/>
  <c r="E18" i="244"/>
  <c r="H18" i="244" s="1"/>
  <c r="E18" i="251"/>
  <c r="E18" i="250"/>
  <c r="H18" i="250" s="1"/>
  <c r="E18" i="249"/>
  <c r="H18" i="249" s="1"/>
  <c r="E18" i="256"/>
  <c r="H18" i="256" s="1"/>
  <c r="E18" i="257"/>
  <c r="E18" i="12"/>
  <c r="H18" i="12" s="1"/>
  <c r="AJ20" i="173"/>
  <c r="G17" i="244"/>
  <c r="G17" i="251"/>
  <c r="G17" i="250"/>
  <c r="G17" i="256"/>
  <c r="G17" i="249"/>
  <c r="G17" i="257"/>
  <c r="G17" i="12"/>
  <c r="AB16" i="244"/>
  <c r="AB16" i="251"/>
  <c r="AB16" i="250"/>
  <c r="AB16" i="249"/>
  <c r="AB16" i="256"/>
  <c r="AB16" i="257"/>
  <c r="AB16" i="12"/>
  <c r="P16" i="41"/>
  <c r="R16" i="41" s="1"/>
  <c r="AH19" i="173"/>
  <c r="AK19" i="173" s="1"/>
  <c r="E16" i="244"/>
  <c r="H16" i="244" s="1"/>
  <c r="E16" i="251"/>
  <c r="E16" i="250"/>
  <c r="H16" i="250" s="1"/>
  <c r="E16" i="256"/>
  <c r="H16" i="256" s="1"/>
  <c r="E16" i="249"/>
  <c r="H16" i="249" s="1"/>
  <c r="E16" i="12"/>
  <c r="E16" i="257"/>
  <c r="H16" i="257" s="1"/>
  <c r="AJ18" i="173"/>
  <c r="G15" i="244"/>
  <c r="G15" i="251"/>
  <c r="G15" i="249"/>
  <c r="G15" i="250"/>
  <c r="G15" i="256"/>
  <c r="G15" i="257"/>
  <c r="G15" i="12"/>
  <c r="AB14" i="244"/>
  <c r="AB14" i="251"/>
  <c r="AB14" i="250"/>
  <c r="AB14" i="256"/>
  <c r="AB14" i="249"/>
  <c r="AB14" i="257"/>
  <c r="AB14" i="12"/>
  <c r="P14" i="41"/>
  <c r="R14" i="41" s="1"/>
  <c r="AH17" i="173"/>
  <c r="AK17" i="173" s="1"/>
  <c r="E14" i="244"/>
  <c r="H14" i="244" s="1"/>
  <c r="E14" i="251"/>
  <c r="E14" i="250"/>
  <c r="H14" i="250" s="1"/>
  <c r="E14" i="249"/>
  <c r="H14" i="249" s="1"/>
  <c r="E14" i="256"/>
  <c r="H14" i="256" s="1"/>
  <c r="E14" i="257"/>
  <c r="E14" i="12"/>
  <c r="H14" i="12" s="1"/>
  <c r="AJ16" i="173"/>
  <c r="G13" i="244"/>
  <c r="G13" i="251"/>
  <c r="G13" i="250"/>
  <c r="G13" i="256"/>
  <c r="G13" i="249"/>
  <c r="G13" i="257"/>
  <c r="G13" i="12"/>
  <c r="AB12" i="244"/>
  <c r="AB12" i="251"/>
  <c r="AB12" i="249"/>
  <c r="AB12" i="250"/>
  <c r="AB12" i="256"/>
  <c r="AB12" i="257"/>
  <c r="AB12" i="12"/>
  <c r="P12" i="41"/>
  <c r="R12" i="41" s="1"/>
  <c r="AH15" i="173"/>
  <c r="AK15" i="173" s="1"/>
  <c r="E12" i="244"/>
  <c r="H12" i="244" s="1"/>
  <c r="E12" i="251"/>
  <c r="E12" i="250"/>
  <c r="H12" i="250" s="1"/>
  <c r="E12" i="256"/>
  <c r="H12" i="256" s="1"/>
  <c r="E12" i="249"/>
  <c r="H12" i="249" s="1"/>
  <c r="E12" i="12"/>
  <c r="E12" i="257"/>
  <c r="H12" i="257" s="1"/>
  <c r="AJ14" i="173"/>
  <c r="G11" i="244"/>
  <c r="G11" i="251"/>
  <c r="G11" i="250"/>
  <c r="G11" i="249"/>
  <c r="G11" i="256"/>
  <c r="G11" i="257"/>
  <c r="G11" i="12"/>
  <c r="AB10" i="244"/>
  <c r="AB10" i="251"/>
  <c r="AB10" i="250"/>
  <c r="AB10" i="256"/>
  <c r="AB10" i="249"/>
  <c r="AB10" i="257"/>
  <c r="AB10" i="12"/>
  <c r="P10" i="41"/>
  <c r="U10" i="41" s="1"/>
  <c r="AH13" i="173"/>
  <c r="AK13" i="173" s="1"/>
  <c r="E10" i="244"/>
  <c r="E10" i="251"/>
  <c r="E10" i="250"/>
  <c r="E10" i="249"/>
  <c r="E10" i="256"/>
  <c r="E10" i="257"/>
  <c r="E10" i="12"/>
  <c r="D31" i="48"/>
  <c r="I43" i="47"/>
  <c r="AB41" i="47"/>
  <c r="AB40" i="47"/>
  <c r="AB39" i="47"/>
  <c r="AB38" i="47"/>
  <c r="AB37" i="47"/>
  <c r="AB36" i="47"/>
  <c r="AB35" i="47"/>
  <c r="AB34" i="47"/>
  <c r="AB33" i="47"/>
  <c r="AB32" i="47"/>
  <c r="AB31" i="47"/>
  <c r="AB30" i="47"/>
  <c r="AB29" i="47"/>
  <c r="AB28" i="47"/>
  <c r="AB27" i="47"/>
  <c r="AB26" i="47"/>
  <c r="AB25" i="47"/>
  <c r="AB24" i="47"/>
  <c r="AB23" i="47"/>
  <c r="AB22" i="47"/>
  <c r="AB21" i="47"/>
  <c r="AB20" i="47"/>
  <c r="AB19" i="47"/>
  <c r="AB18" i="47"/>
  <c r="AB17" i="47"/>
  <c r="AB16" i="47"/>
  <c r="AB15" i="47"/>
  <c r="AB14" i="47"/>
  <c r="AB13" i="47"/>
  <c r="AB12" i="47"/>
  <c r="B38" i="53"/>
  <c r="B34" i="53"/>
  <c r="B30" i="53"/>
  <c r="B26" i="53"/>
  <c r="V22" i="53"/>
  <c r="W19" i="53"/>
  <c r="O18" i="53"/>
  <c r="O17" i="53"/>
  <c r="B14" i="53"/>
  <c r="U13" i="53"/>
  <c r="M12" i="53"/>
  <c r="M11" i="53"/>
  <c r="U10" i="53"/>
  <c r="B33" i="15"/>
  <c r="B25" i="15"/>
  <c r="B17" i="15"/>
  <c r="B9" i="15"/>
  <c r="F24" i="242"/>
  <c r="W79" i="241"/>
  <c r="K19" i="63"/>
  <c r="K23" i="63" s="1"/>
  <c r="W58" i="241"/>
  <c r="F12" i="242"/>
  <c r="G19" i="63"/>
  <c r="G23" i="63" s="1"/>
  <c r="F22" i="241"/>
  <c r="G22" i="241" s="1"/>
  <c r="H22" i="241" s="1"/>
  <c r="P15" i="62"/>
  <c r="R14" i="62"/>
  <c r="L48" i="57"/>
  <c r="L44" i="57"/>
  <c r="W41" i="57"/>
  <c r="W40" i="57"/>
  <c r="W39" i="57"/>
  <c r="W38" i="57"/>
  <c r="W37" i="57"/>
  <c r="W36" i="57"/>
  <c r="W35" i="57"/>
  <c r="W34" i="57"/>
  <c r="W33" i="57"/>
  <c r="W32" i="57"/>
  <c r="W31" i="57"/>
  <c r="W30" i="57"/>
  <c r="W29" i="57"/>
  <c r="W28" i="57"/>
  <c r="W27" i="57"/>
  <c r="W26" i="57"/>
  <c r="W25" i="57"/>
  <c r="W24" i="57"/>
  <c r="W23" i="57"/>
  <c r="W22" i="57"/>
  <c r="W21" i="57"/>
  <c r="W20" i="57"/>
  <c r="W19" i="57"/>
  <c r="W18" i="57"/>
  <c r="W17" i="57"/>
  <c r="W16" i="57"/>
  <c r="W15" i="57"/>
  <c r="W14" i="57"/>
  <c r="W13" i="57"/>
  <c r="W12" i="57"/>
  <c r="W11" i="57"/>
  <c r="W10" i="57"/>
  <c r="W9" i="57"/>
  <c r="B35" i="245"/>
  <c r="B132" i="241"/>
  <c r="B162" i="241" s="1"/>
  <c r="B31" i="245"/>
  <c r="B128" i="241"/>
  <c r="B158" i="241" s="1"/>
  <c r="W68" i="241"/>
  <c r="F22" i="242"/>
  <c r="W64" i="241"/>
  <c r="F18" i="242"/>
  <c r="J87" i="241"/>
  <c r="J89" i="241" s="1"/>
  <c r="N87" i="241"/>
  <c r="N89" i="241" s="1"/>
  <c r="R87" i="241"/>
  <c r="R89" i="241" s="1"/>
  <c r="G87" i="241"/>
  <c r="K87" i="241"/>
  <c r="K89" i="241" s="1"/>
  <c r="O87" i="241"/>
  <c r="O89" i="241" s="1"/>
  <c r="S87" i="241"/>
  <c r="S89" i="241" s="1"/>
  <c r="H87" i="241"/>
  <c r="L87" i="241"/>
  <c r="L89" i="241" s="1"/>
  <c r="P87" i="241"/>
  <c r="P89" i="241" s="1"/>
  <c r="E87" i="241"/>
  <c r="I87" i="241"/>
  <c r="I89" i="241" s="1"/>
  <c r="M87" i="241"/>
  <c r="M89" i="241" s="1"/>
  <c r="Q87" i="241"/>
  <c r="Q89" i="241" s="1"/>
  <c r="B34" i="245"/>
  <c r="B131" i="241"/>
  <c r="B161" i="241" s="1"/>
  <c r="B30" i="245"/>
  <c r="B127" i="241"/>
  <c r="B157" i="241" s="1"/>
  <c r="F21" i="242"/>
  <c r="W67" i="241"/>
  <c r="F17" i="242"/>
  <c r="W63" i="241"/>
  <c r="W61" i="241"/>
  <c r="F15" i="242"/>
  <c r="W57" i="241"/>
  <c r="F11" i="242"/>
  <c r="G21" i="241"/>
  <c r="H21" i="241" s="1"/>
  <c r="L46" i="57"/>
  <c r="AE41" i="57"/>
  <c r="AE40" i="57"/>
  <c r="AE39" i="57"/>
  <c r="AE38" i="57"/>
  <c r="AE37" i="57"/>
  <c r="AE36" i="57"/>
  <c r="AE35" i="57"/>
  <c r="AE34" i="57"/>
  <c r="AE33" i="57"/>
  <c r="AE32" i="57"/>
  <c r="AE31" i="57"/>
  <c r="AE30" i="57"/>
  <c r="AE29" i="57"/>
  <c r="AE28" i="57"/>
  <c r="AE27" i="57"/>
  <c r="AE26" i="57"/>
  <c r="AE25" i="57"/>
  <c r="AE24" i="57"/>
  <c r="AE23" i="57"/>
  <c r="AE22" i="57"/>
  <c r="AE21" i="57"/>
  <c r="AE20" i="57"/>
  <c r="AE19" i="57"/>
  <c r="AE18" i="57"/>
  <c r="AE17" i="57"/>
  <c r="AE16" i="57"/>
  <c r="AE15" i="57"/>
  <c r="AE14" i="57"/>
  <c r="AE13" i="57"/>
  <c r="AE12" i="57"/>
  <c r="AE11" i="57"/>
  <c r="AE10" i="57"/>
  <c r="AE9" i="57"/>
  <c r="B37" i="245"/>
  <c r="B134" i="241"/>
  <c r="B164" i="241" s="1"/>
  <c r="B33" i="245"/>
  <c r="B130" i="241"/>
  <c r="B160" i="241" s="1"/>
  <c r="B29" i="245"/>
  <c r="B126" i="241"/>
  <c r="B156" i="241" s="1"/>
  <c r="J19" i="63"/>
  <c r="F19" i="63"/>
  <c r="F23" i="63" s="1"/>
  <c r="W66" i="241"/>
  <c r="F20" i="242"/>
  <c r="W62" i="241"/>
  <c r="F16" i="242"/>
  <c r="E13" i="63"/>
  <c r="O76" i="73" s="1"/>
  <c r="R232" i="73" s="1"/>
  <c r="R233" i="73" s="1"/>
  <c r="C16" i="156"/>
  <c r="G16" i="156" s="1"/>
  <c r="E33" i="11"/>
  <c r="M45" i="257"/>
  <c r="M43" i="257"/>
  <c r="B36" i="245"/>
  <c r="B133" i="241"/>
  <c r="B163" i="241" s="1"/>
  <c r="B32" i="245"/>
  <c r="B129" i="241"/>
  <c r="B159" i="241" s="1"/>
  <c r="W65" i="241"/>
  <c r="F19" i="242"/>
  <c r="W59" i="241"/>
  <c r="F13" i="242"/>
  <c r="W55" i="241"/>
  <c r="F9" i="242"/>
  <c r="E23" i="241"/>
  <c r="F23" i="241" s="1"/>
  <c r="G23" i="241" s="1"/>
  <c r="H23" i="241" s="1"/>
  <c r="D34" i="241"/>
  <c r="M41" i="250"/>
  <c r="M42" i="250"/>
  <c r="M43" i="250"/>
  <c r="M46" i="251"/>
  <c r="M45" i="251"/>
  <c r="M44" i="251"/>
  <c r="M43" i="251"/>
  <c r="M42" i="251"/>
  <c r="R37" i="234"/>
  <c r="S37" i="234"/>
  <c r="T37" i="234"/>
  <c r="R29" i="234"/>
  <c r="S29" i="234"/>
  <c r="T27" i="234"/>
  <c r="R27" i="234"/>
  <c r="S27" i="234"/>
  <c r="T24" i="234"/>
  <c r="R24" i="234"/>
  <c r="S24" i="234"/>
  <c r="R19" i="234"/>
  <c r="S19" i="234"/>
  <c r="T19" i="234"/>
  <c r="R17" i="234"/>
  <c r="S17" i="234"/>
  <c r="T17" i="234"/>
  <c r="S15" i="234"/>
  <c r="T15" i="234"/>
  <c r="R15" i="234"/>
  <c r="D23" i="14"/>
  <c r="E23" i="14" s="1"/>
  <c r="D25" i="14"/>
  <c r="E25" i="14" s="1"/>
  <c r="D22" i="14"/>
  <c r="E22" i="14" s="1"/>
  <c r="R40" i="234"/>
  <c r="S40" i="234"/>
  <c r="T40" i="234"/>
  <c r="R36" i="234"/>
  <c r="S36" i="234"/>
  <c r="R22" i="234"/>
  <c r="S22" i="234"/>
  <c r="S14" i="234"/>
  <c r="T14" i="234"/>
  <c r="R14" i="234"/>
  <c r="D70" i="14"/>
  <c r="E70" i="14" s="1"/>
  <c r="R39" i="234"/>
  <c r="S39" i="234"/>
  <c r="T39" i="234"/>
  <c r="T28" i="234"/>
  <c r="R28" i="234"/>
  <c r="S28" i="234"/>
  <c r="T26" i="234"/>
  <c r="R26" i="234"/>
  <c r="S26" i="234"/>
  <c r="T23" i="234"/>
  <c r="R23" i="234"/>
  <c r="S23" i="234"/>
  <c r="R21" i="234"/>
  <c r="S21" i="234"/>
  <c r="T21" i="234"/>
  <c r="R18" i="234"/>
  <c r="S18" i="234"/>
  <c r="T18" i="234"/>
  <c r="S13" i="234"/>
  <c r="T13" i="234"/>
  <c r="R13" i="234"/>
  <c r="R38" i="234"/>
  <c r="S38" i="234"/>
  <c r="T38" i="234"/>
  <c r="S35" i="234"/>
  <c r="R35" i="234"/>
  <c r="S34" i="234"/>
  <c r="T34" i="234"/>
  <c r="R34" i="234"/>
  <c r="S33" i="234"/>
  <c r="T33" i="234"/>
  <c r="R33" i="234"/>
  <c r="S32" i="234"/>
  <c r="T32" i="234"/>
  <c r="R32" i="234"/>
  <c r="S31" i="234"/>
  <c r="T31" i="234"/>
  <c r="R31" i="234"/>
  <c r="S30" i="234"/>
  <c r="T30" i="234"/>
  <c r="R30" i="234"/>
  <c r="T25" i="234"/>
  <c r="R25" i="234"/>
  <c r="S25" i="234"/>
  <c r="R20" i="234"/>
  <c r="S20" i="234"/>
  <c r="T20" i="234"/>
  <c r="R16" i="234"/>
  <c r="S16" i="234"/>
  <c r="T16" i="234"/>
  <c r="M44" i="234"/>
  <c r="M45" i="234"/>
  <c r="O12" i="234"/>
  <c r="M42" i="234"/>
  <c r="M46" i="234"/>
  <c r="M43" i="234"/>
  <c r="M47" i="234"/>
  <c r="D73" i="14"/>
  <c r="E73" i="14" s="1"/>
  <c r="D71" i="14"/>
  <c r="E71" i="14" s="1"/>
  <c r="D78" i="14"/>
  <c r="E78" i="14" s="1"/>
  <c r="E80" i="14" s="1"/>
  <c r="E83" i="14" s="1"/>
  <c r="AA34" i="234"/>
  <c r="AA33" i="234"/>
  <c r="AA32" i="234"/>
  <c r="AA31" i="234"/>
  <c r="AA30" i="234"/>
  <c r="D81" i="14"/>
  <c r="E81" i="14" s="1"/>
  <c r="D87" i="241"/>
  <c r="F87" i="241"/>
  <c r="F92" i="241"/>
  <c r="G15" i="241"/>
  <c r="G140" i="241" s="1"/>
  <c r="F108" i="241"/>
  <c r="Q11" i="244"/>
  <c r="S11" i="244" s="1"/>
  <c r="B67" i="241"/>
  <c r="B27" i="245" s="1"/>
  <c r="B63" i="241"/>
  <c r="B23" i="245" s="1"/>
  <c r="M45" i="244"/>
  <c r="B65" i="241"/>
  <c r="B25" i="245" s="1"/>
  <c r="M43" i="244"/>
  <c r="M41" i="244"/>
  <c r="M44" i="244"/>
  <c r="M42" i="244"/>
  <c r="Q12" i="244"/>
  <c r="S12" i="244" s="1"/>
  <c r="Q10" i="244"/>
  <c r="Q14" i="244"/>
  <c r="S14" i="244" s="1"/>
  <c r="Q13" i="244"/>
  <c r="S13" i="244" s="1"/>
  <c r="J40" i="185"/>
  <c r="L40" i="185" s="1"/>
  <c r="S44" i="185"/>
  <c r="S45" i="185"/>
  <c r="S42" i="185"/>
  <c r="S46" i="185"/>
  <c r="X44" i="185"/>
  <c r="X45" i="185"/>
  <c r="X42" i="185"/>
  <c r="X46" i="185"/>
  <c r="F47" i="185"/>
  <c r="T40" i="185"/>
  <c r="V40" i="185" s="1"/>
  <c r="Z40" i="185" s="1"/>
  <c r="J39" i="185"/>
  <c r="J45" i="185" s="1"/>
  <c r="T39" i="185"/>
  <c r="V23" i="185"/>
  <c r="Z23" i="185" s="1"/>
  <c r="T45" i="185"/>
  <c r="F44" i="185"/>
  <c r="F45" i="185"/>
  <c r="L11" i="185"/>
  <c r="Z11" i="185" s="1"/>
  <c r="G83" i="156"/>
  <c r="G74" i="156"/>
  <c r="G29" i="156"/>
  <c r="O46" i="185"/>
  <c r="F46" i="185"/>
  <c r="O42" i="185"/>
  <c r="F42" i="185"/>
  <c r="I36" i="185"/>
  <c r="I32" i="185"/>
  <c r="D7" i="185"/>
  <c r="O45" i="185"/>
  <c r="O44" i="185"/>
  <c r="I9" i="173"/>
  <c r="D36" i="48" l="1"/>
  <c r="L14" i="6"/>
  <c r="D28" i="62"/>
  <c r="P68" i="73"/>
  <c r="P65" i="73"/>
  <c r="P62" i="73"/>
  <c r="P66" i="73"/>
  <c r="P67" i="73"/>
  <c r="J23" i="63"/>
  <c r="D23" i="63"/>
  <c r="P64" i="73"/>
  <c r="Z21" i="185"/>
  <c r="J46" i="185"/>
  <c r="H12" i="12"/>
  <c r="H12" i="251"/>
  <c r="H14" i="257"/>
  <c r="H14" i="251"/>
  <c r="H16" i="12"/>
  <c r="H16" i="251"/>
  <c r="H18" i="257"/>
  <c r="H18" i="251"/>
  <c r="H20" i="12"/>
  <c r="H20" i="251"/>
  <c r="H22" i="257"/>
  <c r="H22" i="251"/>
  <c r="U22" i="41"/>
  <c r="H24" i="257"/>
  <c r="H24" i="250"/>
  <c r="H26" i="12"/>
  <c r="H26" i="251"/>
  <c r="H28" i="257"/>
  <c r="H28" i="250"/>
  <c r="H30" i="12"/>
  <c r="H30" i="251"/>
  <c r="H32" i="257"/>
  <c r="H32" i="250"/>
  <c r="H34" i="12"/>
  <c r="H34" i="251"/>
  <c r="H36" i="257"/>
  <c r="H36" i="250"/>
  <c r="H38" i="12"/>
  <c r="H38" i="251"/>
  <c r="G170" i="126"/>
  <c r="L11" i="126"/>
  <c r="B112" i="241"/>
  <c r="E15" i="11"/>
  <c r="E55" i="11"/>
  <c r="E60" i="11" s="1"/>
  <c r="E62" i="11" s="1"/>
  <c r="E64" i="11" s="1"/>
  <c r="N45" i="12"/>
  <c r="Z18" i="185"/>
  <c r="J42" i="185"/>
  <c r="U26" i="41"/>
  <c r="G164" i="126"/>
  <c r="S47" i="185"/>
  <c r="AA42" i="234"/>
  <c r="I17" i="41"/>
  <c r="G158" i="126"/>
  <c r="K119" i="6"/>
  <c r="I44" i="185"/>
  <c r="U18" i="41"/>
  <c r="U34" i="41"/>
  <c r="V34" i="41" s="1"/>
  <c r="X43" i="185"/>
  <c r="X47" i="185"/>
  <c r="H9" i="6"/>
  <c r="G93" i="6"/>
  <c r="G94" i="6" s="1"/>
  <c r="H95" i="241"/>
  <c r="R95" i="241"/>
  <c r="R202" i="241"/>
  <c r="Q95" i="241"/>
  <c r="Q202" i="241"/>
  <c r="P95" i="241"/>
  <c r="P202" i="241"/>
  <c r="O95" i="241"/>
  <c r="O202" i="241"/>
  <c r="N95" i="241"/>
  <c r="N202" i="241"/>
  <c r="M95" i="241"/>
  <c r="M202" i="241"/>
  <c r="L95" i="241"/>
  <c r="L202" i="241"/>
  <c r="K95" i="241"/>
  <c r="K202" i="241"/>
  <c r="J95" i="241"/>
  <c r="J202" i="241"/>
  <c r="I95" i="241"/>
  <c r="I202" i="241"/>
  <c r="D89" i="241"/>
  <c r="B12" i="242"/>
  <c r="B182" i="241"/>
  <c r="B119" i="241"/>
  <c r="B142" i="241"/>
  <c r="B172" i="241"/>
  <c r="F140" i="241"/>
  <c r="F170" i="241"/>
  <c r="F204" i="241" s="1"/>
  <c r="F233" i="241" s="1"/>
  <c r="B122" i="241"/>
  <c r="B145" i="241"/>
  <c r="B19" i="245"/>
  <c r="D7" i="243" s="1" a="1"/>
  <c r="B116" i="241"/>
  <c r="H34" i="241"/>
  <c r="H89" i="241" s="1"/>
  <c r="H202" i="241" s="1"/>
  <c r="B124" i="241"/>
  <c r="B177" i="241"/>
  <c r="B211" i="241" s="1"/>
  <c r="B240" i="241" s="1"/>
  <c r="B195" i="241"/>
  <c r="B229" i="241" s="1"/>
  <c r="B258" i="241" s="1"/>
  <c r="N44" i="244"/>
  <c r="N41" i="244"/>
  <c r="N45" i="244"/>
  <c r="N42" i="244"/>
  <c r="N43" i="244"/>
  <c r="N46" i="244"/>
  <c r="B196" i="241"/>
  <c r="B120" i="241"/>
  <c r="B173" i="241"/>
  <c r="B207" i="241" s="1"/>
  <c r="B236" i="241" s="1"/>
  <c r="B121" i="241"/>
  <c r="B174" i="241"/>
  <c r="B208" i="241" s="1"/>
  <c r="B237" i="241" s="1"/>
  <c r="B125" i="241"/>
  <c r="B178" i="241"/>
  <c r="B212" i="241" s="1"/>
  <c r="B241" i="241" s="1"/>
  <c r="M6" i="14"/>
  <c r="D40" i="14" s="1"/>
  <c r="N46" i="12"/>
  <c r="N43" i="12"/>
  <c r="Q87" i="52"/>
  <c r="Q89" i="52" s="1"/>
  <c r="P95" i="52" s="1"/>
  <c r="P101" i="52" s="1"/>
  <c r="N41" i="12"/>
  <c r="N44" i="12"/>
  <c r="N42" i="12"/>
  <c r="O87" i="52"/>
  <c r="O89" i="52" s="1"/>
  <c r="N95" i="52" s="1"/>
  <c r="N100" i="52" s="1"/>
  <c r="B116" i="52"/>
  <c r="B146" i="52" s="1"/>
  <c r="B24" i="66"/>
  <c r="B230" i="52"/>
  <c r="B258" i="52" s="1"/>
  <c r="G15" i="52"/>
  <c r="F140" i="52"/>
  <c r="F170" i="52"/>
  <c r="F204" i="52" s="1"/>
  <c r="F232" i="52" s="1"/>
  <c r="F92" i="52"/>
  <c r="B112" i="52"/>
  <c r="B172" i="52" s="1"/>
  <c r="B206" i="52" s="1"/>
  <c r="B234" i="52" s="1"/>
  <c r="E89" i="52"/>
  <c r="I87" i="52"/>
  <c r="I89" i="52" s="1"/>
  <c r="H95" i="52" s="1"/>
  <c r="K87" i="52"/>
  <c r="K89" i="52" s="1"/>
  <c r="J95" i="52" s="1"/>
  <c r="J104" i="52" s="1"/>
  <c r="M87" i="52"/>
  <c r="M89" i="52" s="1"/>
  <c r="L95" i="52" s="1"/>
  <c r="F34" i="52"/>
  <c r="F89" i="52" s="1"/>
  <c r="G87" i="52"/>
  <c r="B65" i="52"/>
  <c r="B115" i="52"/>
  <c r="R95" i="52"/>
  <c r="L87" i="52"/>
  <c r="L89" i="52" s="1"/>
  <c r="N87" i="52"/>
  <c r="N89" i="52" s="1"/>
  <c r="E24" i="14"/>
  <c r="E27" i="14" s="1"/>
  <c r="D87" i="52"/>
  <c r="D89" i="52" s="1"/>
  <c r="D202" i="52" s="1"/>
  <c r="H87" i="52"/>
  <c r="P87" i="52"/>
  <c r="P89" i="52" s="1"/>
  <c r="J87" i="52"/>
  <c r="J89" i="52" s="1"/>
  <c r="R87" i="52"/>
  <c r="R89" i="52" s="1"/>
  <c r="U47" i="57"/>
  <c r="D16" i="62" s="1"/>
  <c r="M42" i="53"/>
  <c r="T12" i="41"/>
  <c r="T17" i="41"/>
  <c r="T20" i="41"/>
  <c r="T25" i="41"/>
  <c r="T28" i="41"/>
  <c r="T33" i="41"/>
  <c r="T36" i="41"/>
  <c r="T11" i="41"/>
  <c r="T14" i="41"/>
  <c r="T22" i="41"/>
  <c r="T30" i="41"/>
  <c r="T35" i="41"/>
  <c r="T10" i="41"/>
  <c r="T15" i="41"/>
  <c r="T18" i="41"/>
  <c r="T23" i="41"/>
  <c r="T26" i="41"/>
  <c r="T31" i="41"/>
  <c r="T34" i="41"/>
  <c r="T39" i="41"/>
  <c r="T19" i="41"/>
  <c r="T38" i="41"/>
  <c r="T13" i="41"/>
  <c r="T16" i="41"/>
  <c r="T21" i="41"/>
  <c r="T24" i="41"/>
  <c r="T29" i="41"/>
  <c r="T32" i="41"/>
  <c r="T37" i="41"/>
  <c r="T27" i="41"/>
  <c r="N45" i="53"/>
  <c r="W41" i="53"/>
  <c r="AF43" i="57"/>
  <c r="U43" i="57"/>
  <c r="D12" i="62" s="1"/>
  <c r="AF46" i="57"/>
  <c r="U45" i="57"/>
  <c r="D14" i="62" s="1"/>
  <c r="H12" i="189"/>
  <c r="R15" i="62"/>
  <c r="V43" i="57"/>
  <c r="F12" i="62" s="1"/>
  <c r="V48" i="57"/>
  <c r="F17" i="62" s="1"/>
  <c r="V47" i="57"/>
  <c r="F16" i="62" s="1"/>
  <c r="U48" i="57"/>
  <c r="D17" i="62" s="1"/>
  <c r="U46" i="57"/>
  <c r="D15" i="62" s="1"/>
  <c r="AF47" i="57"/>
  <c r="V45" i="57"/>
  <c r="F14" i="62" s="1"/>
  <c r="V44" i="57"/>
  <c r="F13" i="62" s="1"/>
  <c r="U44" i="57"/>
  <c r="D13" i="62" s="1"/>
  <c r="AF48" i="57"/>
  <c r="AF45" i="57"/>
  <c r="V46" i="57"/>
  <c r="F15" i="62" s="1"/>
  <c r="AF44" i="57"/>
  <c r="O23" i="8"/>
  <c r="O35" i="8"/>
  <c r="O36" i="8"/>
  <c r="O52" i="8"/>
  <c r="O41" i="8"/>
  <c r="O49" i="8"/>
  <c r="O26" i="8"/>
  <c r="O48" i="8"/>
  <c r="O14" i="8"/>
  <c r="O27" i="8"/>
  <c r="O24" i="8"/>
  <c r="O50" i="8"/>
  <c r="O22" i="8"/>
  <c r="O17" i="8"/>
  <c r="O34" i="8"/>
  <c r="O15" i="8"/>
  <c r="O18" i="8"/>
  <c r="O51" i="8"/>
  <c r="O54" i="8"/>
  <c r="O20" i="8"/>
  <c r="O42" i="8"/>
  <c r="O16" i="8"/>
  <c r="O13" i="8"/>
  <c r="O29" i="8"/>
  <c r="O25" i="8"/>
  <c r="L40" i="62"/>
  <c r="N40" i="62" s="1"/>
  <c r="N49" i="62" s="1"/>
  <c r="C13" i="156"/>
  <c r="G13" i="156" s="1"/>
  <c r="O43" i="8"/>
  <c r="L50" i="48"/>
  <c r="N50" i="48" s="1"/>
  <c r="N52" i="8"/>
  <c r="N34" i="8"/>
  <c r="N17" i="8"/>
  <c r="N39" i="8"/>
  <c r="N48" i="8"/>
  <c r="N14" i="8"/>
  <c r="C113" i="156"/>
  <c r="F113" i="156" s="1"/>
  <c r="M19" i="63"/>
  <c r="S18" i="8"/>
  <c r="S52" i="8"/>
  <c r="S34" i="8"/>
  <c r="S45" i="8"/>
  <c r="S17" i="8"/>
  <c r="S14" i="8"/>
  <c r="S48" i="8"/>
  <c r="P50" i="8"/>
  <c r="P16" i="8"/>
  <c r="D57" i="73"/>
  <c r="H57" i="73"/>
  <c r="L57" i="73"/>
  <c r="F57" i="73"/>
  <c r="H20" i="4"/>
  <c r="K57" i="73"/>
  <c r="E57" i="73"/>
  <c r="I57" i="73"/>
  <c r="M57" i="73"/>
  <c r="J57" i="73"/>
  <c r="G57" i="73"/>
  <c r="S39" i="8"/>
  <c r="V45" i="185"/>
  <c r="V39" i="185"/>
  <c r="T46" i="185"/>
  <c r="I46" i="185"/>
  <c r="V43" i="185"/>
  <c r="L39" i="185"/>
  <c r="J47" i="185"/>
  <c r="S12" i="234"/>
  <c r="O43" i="234"/>
  <c r="O47" i="234"/>
  <c r="T12" i="234"/>
  <c r="O44" i="234"/>
  <c r="O45" i="234"/>
  <c r="R12" i="234"/>
  <c r="O42" i="234"/>
  <c r="O46" i="234"/>
  <c r="U31" i="234"/>
  <c r="V31" i="234"/>
  <c r="U13" i="234"/>
  <c r="V13" i="234"/>
  <c r="U28" i="234"/>
  <c r="V28" i="234"/>
  <c r="AA47" i="234"/>
  <c r="AA45" i="234"/>
  <c r="V19" i="234"/>
  <c r="U19" i="234"/>
  <c r="U27" i="234"/>
  <c r="V27" i="234"/>
  <c r="W56" i="241"/>
  <c r="F10" i="242"/>
  <c r="F26" i="242" s="1"/>
  <c r="E19" i="63"/>
  <c r="W56" i="52"/>
  <c r="F10" i="66"/>
  <c r="F26" i="66" s="1"/>
  <c r="R101" i="241"/>
  <c r="Q100" i="241"/>
  <c r="Q101" i="241"/>
  <c r="Q104" i="241"/>
  <c r="R94" i="241"/>
  <c r="B188" i="241"/>
  <c r="B222" i="241" s="1"/>
  <c r="B251" i="241" s="1"/>
  <c r="W43" i="57"/>
  <c r="H12" i="62" s="1"/>
  <c r="W47" i="57"/>
  <c r="H16" i="62" s="1"/>
  <c r="W44" i="57"/>
  <c r="H13" i="62" s="1"/>
  <c r="W48" i="57"/>
  <c r="H17" i="62" s="1"/>
  <c r="W45" i="57"/>
  <c r="H14" i="62" s="1"/>
  <c r="W46" i="57"/>
  <c r="H15" i="62" s="1"/>
  <c r="Y13" i="172"/>
  <c r="AG13" i="47"/>
  <c r="AI13" i="47" s="1"/>
  <c r="Y17" i="172"/>
  <c r="AG17" i="47"/>
  <c r="AI17" i="47" s="1"/>
  <c r="Y21" i="172"/>
  <c r="AG21" i="47"/>
  <c r="AI21" i="47" s="1"/>
  <c r="Y25" i="172"/>
  <c r="AG25" i="47"/>
  <c r="AI25" i="47" s="1"/>
  <c r="Y29" i="172"/>
  <c r="AG29" i="47"/>
  <c r="AI29" i="47" s="1"/>
  <c r="Y33" i="172"/>
  <c r="AG33" i="47"/>
  <c r="AI33" i="47" s="1"/>
  <c r="Y37" i="172"/>
  <c r="AG37" i="47"/>
  <c r="AI37" i="47" s="1"/>
  <c r="Y41" i="172"/>
  <c r="AG41" i="47"/>
  <c r="AI41" i="47" s="1"/>
  <c r="H10" i="257"/>
  <c r="E41" i="257"/>
  <c r="E42" i="257"/>
  <c r="E43" i="257"/>
  <c r="E44" i="257"/>
  <c r="E45" i="257"/>
  <c r="E46" i="257"/>
  <c r="H10" i="251"/>
  <c r="E41" i="251"/>
  <c r="E42" i="251"/>
  <c r="E43" i="251"/>
  <c r="E44" i="251"/>
  <c r="E45" i="251"/>
  <c r="E46" i="251"/>
  <c r="V10" i="41"/>
  <c r="AA12" i="41"/>
  <c r="C14" i="47"/>
  <c r="AA20" i="41"/>
  <c r="C22" i="47"/>
  <c r="AA28" i="41"/>
  <c r="C30" i="47"/>
  <c r="AA36" i="41"/>
  <c r="C38" i="47"/>
  <c r="V41" i="53"/>
  <c r="V42" i="53"/>
  <c r="V43" i="53"/>
  <c r="V44" i="53"/>
  <c r="V45" i="53"/>
  <c r="V46" i="53"/>
  <c r="AF19" i="47"/>
  <c r="Z19" i="172"/>
  <c r="AC19" i="172" s="1"/>
  <c r="AF27" i="47"/>
  <c r="Z27" i="172"/>
  <c r="AC27" i="172" s="1"/>
  <c r="AF35" i="47"/>
  <c r="Z35" i="172"/>
  <c r="AC35" i="172" s="1"/>
  <c r="F41" i="12"/>
  <c r="F42" i="12"/>
  <c r="F43" i="12"/>
  <c r="F44" i="12"/>
  <c r="F45" i="12"/>
  <c r="F46" i="12"/>
  <c r="F41" i="250"/>
  <c r="F42" i="250"/>
  <c r="F43" i="250"/>
  <c r="F44" i="250"/>
  <c r="F45" i="250"/>
  <c r="F46" i="250"/>
  <c r="J41" i="12"/>
  <c r="J42" i="12"/>
  <c r="J43" i="12"/>
  <c r="J44" i="12"/>
  <c r="J45" i="12"/>
  <c r="J46" i="12"/>
  <c r="J41" i="249"/>
  <c r="J42" i="249"/>
  <c r="J43" i="249"/>
  <c r="J44" i="249"/>
  <c r="J45" i="249"/>
  <c r="J46" i="249"/>
  <c r="I11" i="257"/>
  <c r="K11" i="257" s="1"/>
  <c r="I11" i="250"/>
  <c r="K11" i="250" s="1"/>
  <c r="I13" i="12"/>
  <c r="K13" i="12" s="1"/>
  <c r="I13" i="250"/>
  <c r="K13" i="250" s="1"/>
  <c r="I15" i="257"/>
  <c r="K15" i="257" s="1"/>
  <c r="I15" i="250"/>
  <c r="K15" i="250" s="1"/>
  <c r="I17" i="12"/>
  <c r="K17" i="12" s="1"/>
  <c r="I17" i="250"/>
  <c r="K17" i="250" s="1"/>
  <c r="I19" i="257"/>
  <c r="K19" i="257" s="1"/>
  <c r="I19" i="250"/>
  <c r="K19" i="250" s="1"/>
  <c r="I21" i="12"/>
  <c r="K21" i="12" s="1"/>
  <c r="I21" i="251"/>
  <c r="K21" i="251" s="1"/>
  <c r="I23" i="257"/>
  <c r="K23" i="257" s="1"/>
  <c r="I23" i="250"/>
  <c r="K23" i="250" s="1"/>
  <c r="I25" i="12"/>
  <c r="K25" i="12" s="1"/>
  <c r="I25" i="251"/>
  <c r="K25" i="251" s="1"/>
  <c r="I27" i="257"/>
  <c r="K27" i="257" s="1"/>
  <c r="I27" i="250"/>
  <c r="K27" i="250" s="1"/>
  <c r="I29" i="12"/>
  <c r="K29" i="12" s="1"/>
  <c r="I29" i="251"/>
  <c r="K29" i="251" s="1"/>
  <c r="I31" i="257"/>
  <c r="K31" i="257" s="1"/>
  <c r="I31" i="250"/>
  <c r="K31" i="250" s="1"/>
  <c r="I33" i="12"/>
  <c r="K33" i="12" s="1"/>
  <c r="I33" i="251"/>
  <c r="K33" i="251" s="1"/>
  <c r="I35" i="257"/>
  <c r="K35" i="257" s="1"/>
  <c r="I35" i="250"/>
  <c r="K35" i="250" s="1"/>
  <c r="I37" i="12"/>
  <c r="K37" i="12" s="1"/>
  <c r="I37" i="251"/>
  <c r="K37" i="251" s="1"/>
  <c r="I39" i="257"/>
  <c r="K39" i="257" s="1"/>
  <c r="I39" i="250"/>
  <c r="K39" i="250" s="1"/>
  <c r="N42" i="53"/>
  <c r="N46" i="53"/>
  <c r="Y18" i="12"/>
  <c r="Y36" i="12"/>
  <c r="Y38" i="244"/>
  <c r="I10" i="41"/>
  <c r="G41" i="256"/>
  <c r="G42" i="256"/>
  <c r="G43" i="256"/>
  <c r="G44" i="256"/>
  <c r="G45" i="256"/>
  <c r="G46" i="256"/>
  <c r="H11" i="256"/>
  <c r="AK14" i="173"/>
  <c r="H13" i="12"/>
  <c r="Y13" i="12" s="1"/>
  <c r="H13" i="250"/>
  <c r="H15" i="257"/>
  <c r="H15" i="251"/>
  <c r="H17" i="256"/>
  <c r="H17" i="244"/>
  <c r="H19" i="256"/>
  <c r="AK22" i="173"/>
  <c r="H21" i="12"/>
  <c r="Y21" i="12" s="1"/>
  <c r="H21" i="250"/>
  <c r="H23" i="257"/>
  <c r="H23" i="250"/>
  <c r="H25" i="256"/>
  <c r="H25" i="244"/>
  <c r="H27" i="256"/>
  <c r="AK30" i="173"/>
  <c r="H29" i="12"/>
  <c r="Y29" i="12" s="1"/>
  <c r="H29" i="250"/>
  <c r="H31" i="257"/>
  <c r="H31" i="251"/>
  <c r="H33" i="256"/>
  <c r="H33" i="244"/>
  <c r="H35" i="256"/>
  <c r="AK38" i="173"/>
  <c r="H37" i="12"/>
  <c r="Y37" i="12" s="1"/>
  <c r="H37" i="250"/>
  <c r="H39" i="12"/>
  <c r="H39" i="251"/>
  <c r="I10" i="249"/>
  <c r="D41" i="249"/>
  <c r="D42" i="249"/>
  <c r="D43" i="249"/>
  <c r="D44" i="249"/>
  <c r="D45" i="249"/>
  <c r="D46" i="249"/>
  <c r="I10" i="244"/>
  <c r="D41" i="244"/>
  <c r="D42" i="244"/>
  <c r="D43" i="244"/>
  <c r="D44" i="244"/>
  <c r="D45" i="244"/>
  <c r="D46" i="244"/>
  <c r="I12" i="257"/>
  <c r="K12" i="257" s="1"/>
  <c r="I12" i="251"/>
  <c r="K12" i="251" s="1"/>
  <c r="I14" i="12"/>
  <c r="K14" i="12" s="1"/>
  <c r="I14" i="250"/>
  <c r="K14" i="250" s="1"/>
  <c r="I16" i="249"/>
  <c r="K16" i="249" s="1"/>
  <c r="E19" i="173"/>
  <c r="J19" i="173"/>
  <c r="P19" i="173"/>
  <c r="F19" i="173"/>
  <c r="L19" i="173"/>
  <c r="Q19" i="173"/>
  <c r="AL19" i="173"/>
  <c r="AN19" i="173" s="1"/>
  <c r="G19" i="173"/>
  <c r="M19" i="173"/>
  <c r="C19" i="173"/>
  <c r="I19" i="173"/>
  <c r="N19" i="173"/>
  <c r="I18" i="249"/>
  <c r="K18" i="249" s="1"/>
  <c r="I18" i="244"/>
  <c r="K18" i="244" s="1"/>
  <c r="I20" i="257"/>
  <c r="K20" i="257" s="1"/>
  <c r="I20" i="251"/>
  <c r="K20" i="251" s="1"/>
  <c r="I22" i="12"/>
  <c r="K22" i="12" s="1"/>
  <c r="I22" i="250"/>
  <c r="K22" i="250" s="1"/>
  <c r="I24" i="249"/>
  <c r="K24" i="249" s="1"/>
  <c r="F27" i="173"/>
  <c r="L27" i="173"/>
  <c r="Q27" i="173"/>
  <c r="AL27" i="173"/>
  <c r="AN27" i="173" s="1"/>
  <c r="C27" i="173"/>
  <c r="I27" i="173"/>
  <c r="N27" i="173"/>
  <c r="G27" i="173"/>
  <c r="J27" i="173"/>
  <c r="M27" i="173"/>
  <c r="E27" i="173"/>
  <c r="P27" i="173"/>
  <c r="I26" i="249"/>
  <c r="K26" i="249" s="1"/>
  <c r="I26" i="244"/>
  <c r="K26" i="244" s="1"/>
  <c r="I28" i="257"/>
  <c r="K28" i="257" s="1"/>
  <c r="I28" i="251"/>
  <c r="K28" i="251" s="1"/>
  <c r="I30" i="12"/>
  <c r="K30" i="12" s="1"/>
  <c r="I30" i="250"/>
  <c r="K30" i="250" s="1"/>
  <c r="I32" i="249"/>
  <c r="K32" i="249" s="1"/>
  <c r="C35" i="173"/>
  <c r="I35" i="173"/>
  <c r="N35" i="173"/>
  <c r="E35" i="173"/>
  <c r="J35" i="173"/>
  <c r="P35" i="173"/>
  <c r="F35" i="173"/>
  <c r="L35" i="173"/>
  <c r="Q35" i="173"/>
  <c r="AL35" i="173"/>
  <c r="AN35" i="173" s="1"/>
  <c r="G35" i="173"/>
  <c r="M35" i="173"/>
  <c r="I34" i="249"/>
  <c r="K34" i="249" s="1"/>
  <c r="I34" i="244"/>
  <c r="K34" i="244" s="1"/>
  <c r="I36" i="257"/>
  <c r="K36" i="257" s="1"/>
  <c r="I36" i="251"/>
  <c r="K36" i="251" s="1"/>
  <c r="I38" i="256"/>
  <c r="K38" i="256" s="1"/>
  <c r="I38" i="250"/>
  <c r="K38" i="250" s="1"/>
  <c r="I34" i="41"/>
  <c r="C41" i="47"/>
  <c r="AA39" i="41"/>
  <c r="P22" i="8"/>
  <c r="F28" i="10"/>
  <c r="Q17" i="10"/>
  <c r="L8" i="47"/>
  <c r="V8" i="47" s="1"/>
  <c r="D9" i="48" s="1"/>
  <c r="W8" i="47"/>
  <c r="F9" i="48" s="1"/>
  <c r="M45" i="53"/>
  <c r="M41" i="53"/>
  <c r="C15" i="47"/>
  <c r="AA13" i="41"/>
  <c r="U26" i="10"/>
  <c r="J28" i="10"/>
  <c r="C29" i="47"/>
  <c r="AA27" i="41"/>
  <c r="N13" i="8"/>
  <c r="N23" i="8"/>
  <c r="N27" i="8"/>
  <c r="N37" i="8"/>
  <c r="N43" i="8"/>
  <c r="N51" i="8"/>
  <c r="N16" i="8"/>
  <c r="N22" i="8"/>
  <c r="N26" i="8"/>
  <c r="N15" i="8"/>
  <c r="N25" i="8"/>
  <c r="N35" i="8"/>
  <c r="N41" i="8"/>
  <c r="N49" i="8"/>
  <c r="N29" i="8"/>
  <c r="N36" i="8"/>
  <c r="N50" i="8"/>
  <c r="N42" i="8"/>
  <c r="N18" i="8"/>
  <c r="R17" i="10"/>
  <c r="G28" i="10"/>
  <c r="W44" i="53"/>
  <c r="D51" i="6" s="1"/>
  <c r="N45" i="8"/>
  <c r="D28" i="10"/>
  <c r="O26" i="10"/>
  <c r="G11" i="11"/>
  <c r="G55" i="11" s="1"/>
  <c r="G60" i="11" s="1"/>
  <c r="G62" i="11" s="1"/>
  <c r="G64" i="11" s="1"/>
  <c r="B9" i="232"/>
  <c r="G60" i="133"/>
  <c r="B3" i="241" s="1"/>
  <c r="B65" i="133"/>
  <c r="L66" i="133"/>
  <c r="Y43" i="185"/>
  <c r="Y44" i="185"/>
  <c r="Y45" i="185"/>
  <c r="Y42" i="185"/>
  <c r="Y46" i="185"/>
  <c r="Y47" i="185"/>
  <c r="T44" i="185"/>
  <c r="T47" i="185"/>
  <c r="I42" i="185"/>
  <c r="V46" i="185"/>
  <c r="T42" i="185"/>
  <c r="H15" i="241"/>
  <c r="H140" i="241" s="1"/>
  <c r="G108" i="241"/>
  <c r="G92" i="241"/>
  <c r="G170" i="241"/>
  <c r="G204" i="241" s="1"/>
  <c r="G233" i="241" s="1"/>
  <c r="D10" i="243"/>
  <c r="H10" i="243"/>
  <c r="E10" i="243"/>
  <c r="I10" i="243"/>
  <c r="F10" i="243"/>
  <c r="J10" i="243"/>
  <c r="G10" i="243"/>
  <c r="K10" i="243"/>
  <c r="U30" i="234"/>
  <c r="V30" i="234"/>
  <c r="U34" i="234"/>
  <c r="V34" i="234"/>
  <c r="U38" i="234"/>
  <c r="V38" i="234"/>
  <c r="V21" i="234"/>
  <c r="U21" i="234"/>
  <c r="U26" i="234"/>
  <c r="V26" i="234"/>
  <c r="U39" i="234"/>
  <c r="V39" i="234"/>
  <c r="AA43" i="234"/>
  <c r="AA44" i="234"/>
  <c r="V17" i="234"/>
  <c r="U17" i="234"/>
  <c r="U24" i="234"/>
  <c r="V24" i="234"/>
  <c r="B193" i="241"/>
  <c r="B227" i="241" s="1"/>
  <c r="B256" i="241" s="1"/>
  <c r="B190" i="241"/>
  <c r="B224" i="241" s="1"/>
  <c r="B253" i="241" s="1"/>
  <c r="AE45" i="57"/>
  <c r="AE46" i="57"/>
  <c r="AE43" i="57"/>
  <c r="AE47" i="57"/>
  <c r="AE44" i="57"/>
  <c r="AE48" i="57"/>
  <c r="B187" i="241"/>
  <c r="B221" i="241" s="1"/>
  <c r="B250" i="241" s="1"/>
  <c r="P100" i="241"/>
  <c r="P101" i="241"/>
  <c r="O100" i="241"/>
  <c r="O101" i="241"/>
  <c r="O104" i="241"/>
  <c r="P94" i="241"/>
  <c r="O94" i="241"/>
  <c r="M100" i="241"/>
  <c r="M101" i="241"/>
  <c r="M104" i="241"/>
  <c r="N94" i="241"/>
  <c r="Y14" i="172"/>
  <c r="AD14" i="172" s="1"/>
  <c r="AF14" i="172" s="1"/>
  <c r="AG14" i="47"/>
  <c r="AI14" i="47" s="1"/>
  <c r="Y18" i="172"/>
  <c r="AD18" i="172" s="1"/>
  <c r="AF18" i="172" s="1"/>
  <c r="AG18" i="47"/>
  <c r="AI18" i="47" s="1"/>
  <c r="Y22" i="172"/>
  <c r="AD22" i="172" s="1"/>
  <c r="AF22" i="172" s="1"/>
  <c r="AG22" i="47"/>
  <c r="AI22" i="47" s="1"/>
  <c r="Y26" i="172"/>
  <c r="AD26" i="172" s="1"/>
  <c r="AF26" i="172" s="1"/>
  <c r="AG26" i="47"/>
  <c r="AI26" i="47" s="1"/>
  <c r="Y30" i="172"/>
  <c r="AD30" i="172" s="1"/>
  <c r="AF30" i="172" s="1"/>
  <c r="AG30" i="47"/>
  <c r="AI30" i="47" s="1"/>
  <c r="Y34" i="172"/>
  <c r="AD34" i="172" s="1"/>
  <c r="AF34" i="172" s="1"/>
  <c r="AG34" i="47"/>
  <c r="AI34" i="47" s="1"/>
  <c r="Y38" i="172"/>
  <c r="AD38" i="172" s="1"/>
  <c r="AF38" i="172" s="1"/>
  <c r="AG38" i="47"/>
  <c r="AI38" i="47" s="1"/>
  <c r="H10" i="256"/>
  <c r="E41" i="256"/>
  <c r="E42" i="256"/>
  <c r="E43" i="256"/>
  <c r="E44" i="256"/>
  <c r="E45" i="256"/>
  <c r="E46" i="256"/>
  <c r="H10" i="244"/>
  <c r="E41" i="244"/>
  <c r="E43" i="244"/>
  <c r="E45" i="244"/>
  <c r="E46" i="244"/>
  <c r="E42" i="244"/>
  <c r="E44" i="244"/>
  <c r="U12" i="41"/>
  <c r="V12" i="41" s="1"/>
  <c r="AA14" i="41"/>
  <c r="C16" i="47"/>
  <c r="U20" i="41"/>
  <c r="V20" i="41" s="1"/>
  <c r="AA22" i="41"/>
  <c r="C24" i="47"/>
  <c r="U28" i="41"/>
  <c r="V28" i="41" s="1"/>
  <c r="AA30" i="41"/>
  <c r="C32" i="47"/>
  <c r="U36" i="41"/>
  <c r="V36" i="41" s="1"/>
  <c r="AA38" i="41"/>
  <c r="C40" i="47"/>
  <c r="AF13" i="47"/>
  <c r="Z13" i="172"/>
  <c r="AC13" i="172" s="1"/>
  <c r="AF21" i="47"/>
  <c r="Z21" i="172"/>
  <c r="AC21" i="172" s="1"/>
  <c r="AF29" i="47"/>
  <c r="Z29" i="172"/>
  <c r="AC29" i="172" s="1"/>
  <c r="AF37" i="47"/>
  <c r="Z37" i="172"/>
  <c r="AC37" i="172" s="1"/>
  <c r="F41" i="257"/>
  <c r="F42" i="257"/>
  <c r="F43" i="257"/>
  <c r="F44" i="257"/>
  <c r="F45" i="257"/>
  <c r="F46" i="257"/>
  <c r="F41" i="251"/>
  <c r="F42" i="251"/>
  <c r="F43" i="251"/>
  <c r="F44" i="251"/>
  <c r="F45" i="251"/>
  <c r="F46" i="251"/>
  <c r="J41" i="257"/>
  <c r="J42" i="257"/>
  <c r="J43" i="257"/>
  <c r="J44" i="257"/>
  <c r="J45" i="257"/>
  <c r="J46" i="257"/>
  <c r="J41" i="251"/>
  <c r="J42" i="251"/>
  <c r="J43" i="251"/>
  <c r="J44" i="251"/>
  <c r="J45" i="251"/>
  <c r="J46" i="251"/>
  <c r="I11" i="12"/>
  <c r="K11" i="12" s="1"/>
  <c r="I11" i="251"/>
  <c r="K11" i="251" s="1"/>
  <c r="I13" i="257"/>
  <c r="K13" i="257" s="1"/>
  <c r="I13" i="251"/>
  <c r="K13" i="251" s="1"/>
  <c r="I15" i="12"/>
  <c r="K15" i="12" s="1"/>
  <c r="I15" i="251"/>
  <c r="K15" i="251" s="1"/>
  <c r="I17" i="257"/>
  <c r="K17" i="257" s="1"/>
  <c r="I17" i="251"/>
  <c r="K17" i="251" s="1"/>
  <c r="I19" i="12"/>
  <c r="K19" i="12" s="1"/>
  <c r="I19" i="251"/>
  <c r="K19" i="251" s="1"/>
  <c r="I21" i="257"/>
  <c r="K21" i="257" s="1"/>
  <c r="I21" i="250"/>
  <c r="K21" i="250" s="1"/>
  <c r="I23" i="256"/>
  <c r="K23" i="256" s="1"/>
  <c r="I23" i="251"/>
  <c r="K23" i="251" s="1"/>
  <c r="I25" i="257"/>
  <c r="K25" i="257" s="1"/>
  <c r="I25" i="250"/>
  <c r="K25" i="250" s="1"/>
  <c r="I27" i="12"/>
  <c r="K27" i="12" s="1"/>
  <c r="I27" i="251"/>
  <c r="K27" i="251" s="1"/>
  <c r="I29" i="257"/>
  <c r="K29" i="257" s="1"/>
  <c r="I29" i="250"/>
  <c r="K29" i="250" s="1"/>
  <c r="I31" i="12"/>
  <c r="K31" i="12" s="1"/>
  <c r="I31" i="251"/>
  <c r="K31" i="251" s="1"/>
  <c r="I33" i="257"/>
  <c r="K33" i="257" s="1"/>
  <c r="I33" i="250"/>
  <c r="K33" i="250" s="1"/>
  <c r="I35" i="12"/>
  <c r="K35" i="12" s="1"/>
  <c r="I35" i="251"/>
  <c r="K35" i="251" s="1"/>
  <c r="I37" i="257"/>
  <c r="K37" i="257" s="1"/>
  <c r="I37" i="250"/>
  <c r="K37" i="250" s="1"/>
  <c r="I39" i="256"/>
  <c r="K39" i="256" s="1"/>
  <c r="I39" i="251"/>
  <c r="K39" i="251" s="1"/>
  <c r="N43" i="53"/>
  <c r="Y22" i="12"/>
  <c r="Y24" i="244"/>
  <c r="Y28" i="12"/>
  <c r="G41" i="257"/>
  <c r="G42" i="257"/>
  <c r="G43" i="257"/>
  <c r="G44" i="257"/>
  <c r="G45" i="257"/>
  <c r="G46" i="257"/>
  <c r="G41" i="250"/>
  <c r="G43" i="250"/>
  <c r="G45" i="250"/>
  <c r="G46" i="250"/>
  <c r="G42" i="250"/>
  <c r="G44" i="250"/>
  <c r="H11" i="12"/>
  <c r="H11" i="250"/>
  <c r="H13" i="257"/>
  <c r="H13" i="251"/>
  <c r="H15" i="249"/>
  <c r="H15" i="244"/>
  <c r="H17" i="250"/>
  <c r="AK20" i="173"/>
  <c r="H19" i="12"/>
  <c r="Y19" i="12" s="1"/>
  <c r="H19" i="250"/>
  <c r="H21" i="257"/>
  <c r="H21" i="251"/>
  <c r="H23" i="249"/>
  <c r="H23" i="244"/>
  <c r="H25" i="250"/>
  <c r="AK28" i="173"/>
  <c r="H27" i="12"/>
  <c r="H27" i="250"/>
  <c r="H29" i="257"/>
  <c r="H29" i="251"/>
  <c r="H31" i="249"/>
  <c r="H31" i="244"/>
  <c r="H33" i="249"/>
  <c r="AK36" i="173"/>
  <c r="H35" i="12"/>
  <c r="Y35" i="12" s="1"/>
  <c r="H35" i="250"/>
  <c r="H37" i="257"/>
  <c r="H37" i="251"/>
  <c r="H39" i="257"/>
  <c r="H39" i="244"/>
  <c r="Y39" i="244" s="1"/>
  <c r="I8" i="172"/>
  <c r="S8" i="172" s="1"/>
  <c r="T8" i="172"/>
  <c r="I10" i="256"/>
  <c r="D41" i="256"/>
  <c r="D42" i="256"/>
  <c r="D43" i="256"/>
  <c r="D44" i="256"/>
  <c r="D45" i="256"/>
  <c r="D46" i="256"/>
  <c r="C13" i="173"/>
  <c r="I13" i="173"/>
  <c r="N13" i="173"/>
  <c r="F13" i="173"/>
  <c r="L13" i="173"/>
  <c r="Q13" i="173"/>
  <c r="AL13" i="173"/>
  <c r="AN13" i="173" s="1"/>
  <c r="J13" i="173"/>
  <c r="M13" i="173"/>
  <c r="E13" i="173"/>
  <c r="P13" i="173"/>
  <c r="G13" i="173"/>
  <c r="I12" i="256"/>
  <c r="K12" i="256" s="1"/>
  <c r="I12" i="244"/>
  <c r="K12" i="244" s="1"/>
  <c r="I14" i="257"/>
  <c r="K14" i="257" s="1"/>
  <c r="I14" i="251"/>
  <c r="K14" i="251" s="1"/>
  <c r="I16" i="12"/>
  <c r="K16" i="12" s="1"/>
  <c r="I16" i="250"/>
  <c r="K16" i="250" s="1"/>
  <c r="I18" i="256"/>
  <c r="K18" i="256" s="1"/>
  <c r="F21" i="173"/>
  <c r="L21" i="173"/>
  <c r="Q21" i="173"/>
  <c r="AL21" i="173"/>
  <c r="AN21" i="173" s="1"/>
  <c r="C21" i="173"/>
  <c r="I21" i="173"/>
  <c r="N21" i="173"/>
  <c r="M21" i="173"/>
  <c r="E21" i="173"/>
  <c r="P21" i="173"/>
  <c r="G21" i="173"/>
  <c r="J21" i="173"/>
  <c r="I20" i="256"/>
  <c r="K20" i="256" s="1"/>
  <c r="I20" i="244"/>
  <c r="K20" i="244" s="1"/>
  <c r="I22" i="257"/>
  <c r="K22" i="257" s="1"/>
  <c r="I22" i="251"/>
  <c r="K22" i="251" s="1"/>
  <c r="I24" i="12"/>
  <c r="K24" i="12" s="1"/>
  <c r="I24" i="250"/>
  <c r="K24" i="250" s="1"/>
  <c r="I26" i="256"/>
  <c r="K26" i="256" s="1"/>
  <c r="F29" i="173"/>
  <c r="L29" i="173"/>
  <c r="C29" i="173"/>
  <c r="I29" i="173"/>
  <c r="N29" i="173"/>
  <c r="M29" i="173"/>
  <c r="E29" i="173"/>
  <c r="P29" i="173"/>
  <c r="G29" i="173"/>
  <c r="Q29" i="173"/>
  <c r="AL29" i="173"/>
  <c r="AN29" i="173" s="1"/>
  <c r="J29" i="173"/>
  <c r="I28" i="256"/>
  <c r="K28" i="256" s="1"/>
  <c r="I28" i="244"/>
  <c r="K28" i="244" s="1"/>
  <c r="I30" i="257"/>
  <c r="K30" i="257" s="1"/>
  <c r="I30" i="251"/>
  <c r="K30" i="251" s="1"/>
  <c r="I32" i="12"/>
  <c r="K32" i="12" s="1"/>
  <c r="I32" i="250"/>
  <c r="K32" i="250" s="1"/>
  <c r="I34" i="256"/>
  <c r="K34" i="256" s="1"/>
  <c r="C37" i="173"/>
  <c r="I37" i="173"/>
  <c r="N37" i="173"/>
  <c r="E37" i="173"/>
  <c r="J37" i="173"/>
  <c r="P37" i="173"/>
  <c r="F37" i="173"/>
  <c r="L37" i="173"/>
  <c r="Q37" i="173"/>
  <c r="AL37" i="173"/>
  <c r="AN37" i="173" s="1"/>
  <c r="G37" i="173"/>
  <c r="M37" i="173"/>
  <c r="I36" i="256"/>
  <c r="K36" i="256" s="1"/>
  <c r="I36" i="244"/>
  <c r="K36" i="244" s="1"/>
  <c r="I38" i="12"/>
  <c r="K38" i="12" s="1"/>
  <c r="I38" i="251"/>
  <c r="K38" i="251" s="1"/>
  <c r="G112" i="156"/>
  <c r="F112" i="156"/>
  <c r="C17" i="47"/>
  <c r="AA15" i="41"/>
  <c r="P25" i="8"/>
  <c r="P35" i="8"/>
  <c r="P41" i="8"/>
  <c r="P49" i="8"/>
  <c r="P14" i="8"/>
  <c r="P18" i="8"/>
  <c r="P24" i="8"/>
  <c r="P29" i="8"/>
  <c r="P13" i="8"/>
  <c r="P17" i="8"/>
  <c r="P23" i="8"/>
  <c r="P27" i="8"/>
  <c r="P37" i="8"/>
  <c r="P43" i="8"/>
  <c r="P34" i="8"/>
  <c r="P48" i="8"/>
  <c r="P52" i="8"/>
  <c r="P26" i="8"/>
  <c r="O39" i="8"/>
  <c r="E45" i="8"/>
  <c r="N54" i="8"/>
  <c r="D56" i="8"/>
  <c r="P54" i="8"/>
  <c r="M44" i="53"/>
  <c r="C23" i="47"/>
  <c r="AA21" i="41"/>
  <c r="G45" i="8"/>
  <c r="G56" i="8" s="1"/>
  <c r="G20" i="6"/>
  <c r="G30" i="6"/>
  <c r="C37" i="47"/>
  <c r="AA35" i="41"/>
  <c r="S20" i="8"/>
  <c r="I39" i="41"/>
  <c r="I31" i="41"/>
  <c r="I23" i="41"/>
  <c r="I15" i="41"/>
  <c r="F106" i="126"/>
  <c r="H106" i="126" s="1"/>
  <c r="F104" i="126"/>
  <c r="H104" i="126" s="1"/>
  <c r="W43" i="53"/>
  <c r="C19" i="47"/>
  <c r="AA17" i="41"/>
  <c r="H28" i="10"/>
  <c r="S26" i="10"/>
  <c r="B63" i="52"/>
  <c r="B113" i="52"/>
  <c r="B143" i="52" s="1"/>
  <c r="B34" i="236"/>
  <c r="J8" i="11"/>
  <c r="J55" i="11" s="1"/>
  <c r="L13" i="40"/>
  <c r="L11" i="40"/>
  <c r="L27" i="4"/>
  <c r="G34" i="52"/>
  <c r="H21" i="52"/>
  <c r="H34" i="52" s="1"/>
  <c r="E155" i="126"/>
  <c r="F144" i="126" s="1"/>
  <c r="G16" i="229"/>
  <c r="H16" i="229" s="1"/>
  <c r="I16" i="229" s="1"/>
  <c r="J16" i="229" s="1"/>
  <c r="K16" i="229" s="1"/>
  <c r="L16" i="229" s="1"/>
  <c r="M16" i="229" s="1"/>
  <c r="N16" i="229" s="1"/>
  <c r="O16" i="229" s="1"/>
  <c r="P16" i="229" s="1"/>
  <c r="F27" i="229"/>
  <c r="B13" i="232"/>
  <c r="G64" i="133"/>
  <c r="B3" i="245" s="1"/>
  <c r="M12" i="243" s="1"/>
  <c r="M27" i="243" s="1"/>
  <c r="M40" i="243" s="1"/>
  <c r="I47" i="185"/>
  <c r="I45" i="185"/>
  <c r="J43" i="185"/>
  <c r="S10" i="244"/>
  <c r="Q41" i="244"/>
  <c r="Q42" i="244"/>
  <c r="Q43" i="244"/>
  <c r="Q44" i="244"/>
  <c r="Q45" i="244"/>
  <c r="Q46" i="244"/>
  <c r="V20" i="234"/>
  <c r="U20" i="234"/>
  <c r="U33" i="234"/>
  <c r="V33" i="234"/>
  <c r="V18" i="234"/>
  <c r="U18" i="234"/>
  <c r="U23" i="234"/>
  <c r="V23" i="234"/>
  <c r="U14" i="234"/>
  <c r="V14" i="234"/>
  <c r="AA46" i="234"/>
  <c r="U40" i="234"/>
  <c r="V40" i="234"/>
  <c r="L101" i="241"/>
  <c r="K100" i="241"/>
  <c r="K101" i="241"/>
  <c r="K104" i="241"/>
  <c r="L94" i="241"/>
  <c r="J100" i="241"/>
  <c r="J101" i="241"/>
  <c r="I100" i="241"/>
  <c r="I101" i="241"/>
  <c r="I104" i="241"/>
  <c r="J94" i="241"/>
  <c r="B192" i="241"/>
  <c r="B226" i="241" s="1"/>
  <c r="B255" i="241" s="1"/>
  <c r="U41" i="53"/>
  <c r="U42" i="53"/>
  <c r="U43" i="53"/>
  <c r="U44" i="53"/>
  <c r="U45" i="53"/>
  <c r="U46" i="53"/>
  <c r="Y15" i="172"/>
  <c r="AG15" i="47"/>
  <c r="AI15" i="47" s="1"/>
  <c r="Y19" i="172"/>
  <c r="AG19" i="47"/>
  <c r="AI19" i="47" s="1"/>
  <c r="Y23" i="172"/>
  <c r="AG23" i="47"/>
  <c r="AI23" i="47" s="1"/>
  <c r="Y27" i="172"/>
  <c r="AD27" i="172" s="1"/>
  <c r="AF27" i="172" s="1"/>
  <c r="AG27" i="47"/>
  <c r="AI27" i="47" s="1"/>
  <c r="Y31" i="172"/>
  <c r="AG31" i="47"/>
  <c r="AI31" i="47" s="1"/>
  <c r="Y35" i="172"/>
  <c r="AG35" i="47"/>
  <c r="AI35" i="47" s="1"/>
  <c r="Y39" i="172"/>
  <c r="AG39" i="47"/>
  <c r="AI39" i="47" s="1"/>
  <c r="E41" i="249"/>
  <c r="E42" i="249"/>
  <c r="E43" i="249"/>
  <c r="E44" i="249"/>
  <c r="E45" i="249"/>
  <c r="E46" i="249"/>
  <c r="H10" i="249"/>
  <c r="AA16" i="41"/>
  <c r="C18" i="47"/>
  <c r="AA24" i="41"/>
  <c r="C26" i="47"/>
  <c r="AA32" i="41"/>
  <c r="C34" i="47"/>
  <c r="AF15" i="47"/>
  <c r="Z15" i="172"/>
  <c r="AC15" i="172" s="1"/>
  <c r="AF23" i="47"/>
  <c r="Z23" i="172"/>
  <c r="AC23" i="172" s="1"/>
  <c r="AF31" i="47"/>
  <c r="Z31" i="172"/>
  <c r="AC31" i="172" s="1"/>
  <c r="AF39" i="47"/>
  <c r="Z39" i="172"/>
  <c r="AC39" i="172" s="1"/>
  <c r="F41" i="256"/>
  <c r="F42" i="256"/>
  <c r="F43" i="256"/>
  <c r="F44" i="256"/>
  <c r="F45" i="256"/>
  <c r="F46" i="256"/>
  <c r="F42" i="244"/>
  <c r="F44" i="244"/>
  <c r="F41" i="244"/>
  <c r="F43" i="244"/>
  <c r="F45" i="244"/>
  <c r="F46" i="244"/>
  <c r="J41" i="256"/>
  <c r="J42" i="256"/>
  <c r="J43" i="256"/>
  <c r="J44" i="256"/>
  <c r="J45" i="256"/>
  <c r="J46" i="256"/>
  <c r="J41" i="244"/>
  <c r="J43" i="244"/>
  <c r="J45" i="244"/>
  <c r="J42" i="244"/>
  <c r="J44" i="244"/>
  <c r="J46" i="244"/>
  <c r="I11" i="249"/>
  <c r="K11" i="249" s="1"/>
  <c r="I11" i="244"/>
  <c r="K11" i="244" s="1"/>
  <c r="I13" i="256"/>
  <c r="K13" i="256" s="1"/>
  <c r="I13" i="244"/>
  <c r="K13" i="244" s="1"/>
  <c r="I15" i="249"/>
  <c r="K15" i="249" s="1"/>
  <c r="I15" i="244"/>
  <c r="K15" i="244" s="1"/>
  <c r="I17" i="256"/>
  <c r="K17" i="256" s="1"/>
  <c r="I17" i="244"/>
  <c r="K17" i="244" s="1"/>
  <c r="I19" i="249"/>
  <c r="K19" i="249" s="1"/>
  <c r="I19" i="244"/>
  <c r="K19" i="244" s="1"/>
  <c r="I21" i="256"/>
  <c r="K21" i="256" s="1"/>
  <c r="I21" i="244"/>
  <c r="K21" i="244" s="1"/>
  <c r="I23" i="12"/>
  <c r="K23" i="12" s="1"/>
  <c r="I23" i="244"/>
  <c r="K23" i="244" s="1"/>
  <c r="I25" i="256"/>
  <c r="K25" i="256" s="1"/>
  <c r="I25" i="244"/>
  <c r="K25" i="244" s="1"/>
  <c r="I27" i="256"/>
  <c r="K27" i="256" s="1"/>
  <c r="I27" i="244"/>
  <c r="K27" i="244" s="1"/>
  <c r="I29" i="256"/>
  <c r="K29" i="256" s="1"/>
  <c r="I29" i="244"/>
  <c r="K29" i="244" s="1"/>
  <c r="I31" i="256"/>
  <c r="K31" i="256" s="1"/>
  <c r="I31" i="244"/>
  <c r="K31" i="244" s="1"/>
  <c r="I33" i="256"/>
  <c r="K33" i="256" s="1"/>
  <c r="I33" i="244"/>
  <c r="K33" i="244" s="1"/>
  <c r="I35" i="256"/>
  <c r="K35" i="256" s="1"/>
  <c r="I35" i="244"/>
  <c r="K35" i="244" s="1"/>
  <c r="I37" i="256"/>
  <c r="K37" i="256" s="1"/>
  <c r="I37" i="244"/>
  <c r="K37" i="244" s="1"/>
  <c r="I39" i="12"/>
  <c r="K39" i="12" s="1"/>
  <c r="I39" i="244"/>
  <c r="K39" i="244" s="1"/>
  <c r="S10" i="12"/>
  <c r="Q41" i="12"/>
  <c r="Q42" i="12"/>
  <c r="Q43" i="12"/>
  <c r="Q44" i="12"/>
  <c r="Q45" i="12"/>
  <c r="Q46" i="12"/>
  <c r="G34" i="241"/>
  <c r="G89" i="241" s="1"/>
  <c r="O41" i="53"/>
  <c r="O42" i="53"/>
  <c r="O43" i="53"/>
  <c r="O44" i="53"/>
  <c r="D53" i="6" s="1"/>
  <c r="M53" i="6" s="1"/>
  <c r="O45" i="53"/>
  <c r="O46" i="53"/>
  <c r="N44" i="53"/>
  <c r="Y18" i="244"/>
  <c r="Y24" i="12"/>
  <c r="Y39" i="12"/>
  <c r="G41" i="12"/>
  <c r="G42" i="12"/>
  <c r="G43" i="12"/>
  <c r="G44" i="12"/>
  <c r="G45" i="12"/>
  <c r="G46" i="12"/>
  <c r="G41" i="251"/>
  <c r="G42" i="251"/>
  <c r="G43" i="251"/>
  <c r="G44" i="251"/>
  <c r="G45" i="251"/>
  <c r="G46" i="251"/>
  <c r="H11" i="257"/>
  <c r="H11" i="251"/>
  <c r="H13" i="256"/>
  <c r="H13" i="244"/>
  <c r="Y13" i="244" s="1"/>
  <c r="H15" i="256"/>
  <c r="AK18" i="173"/>
  <c r="H17" i="12"/>
  <c r="H17" i="249"/>
  <c r="H19" i="257"/>
  <c r="H19" i="251"/>
  <c r="H21" i="256"/>
  <c r="H21" i="244"/>
  <c r="Y21" i="244" s="1"/>
  <c r="H23" i="256"/>
  <c r="AK26" i="173"/>
  <c r="H25" i="12"/>
  <c r="H25" i="249"/>
  <c r="H27" i="257"/>
  <c r="H27" i="251"/>
  <c r="H29" i="256"/>
  <c r="H29" i="244"/>
  <c r="Y29" i="244" s="1"/>
  <c r="H31" i="256"/>
  <c r="AK34" i="173"/>
  <c r="H33" i="12"/>
  <c r="H33" i="250"/>
  <c r="H35" i="257"/>
  <c r="H35" i="251"/>
  <c r="H37" i="256"/>
  <c r="H37" i="244"/>
  <c r="Y37" i="244" s="1"/>
  <c r="H39" i="249"/>
  <c r="AK42" i="173"/>
  <c r="I10" i="12"/>
  <c r="D41" i="12"/>
  <c r="D42" i="12"/>
  <c r="D43" i="12"/>
  <c r="D44" i="12"/>
  <c r="D45" i="12"/>
  <c r="D46" i="12"/>
  <c r="I10" i="250"/>
  <c r="D41" i="250"/>
  <c r="D42" i="250"/>
  <c r="D43" i="250"/>
  <c r="D44" i="250"/>
  <c r="D45" i="250"/>
  <c r="D46" i="250"/>
  <c r="O41" i="41"/>
  <c r="O42" i="41"/>
  <c r="O43" i="41"/>
  <c r="O44" i="41"/>
  <c r="O45" i="41"/>
  <c r="O46" i="41"/>
  <c r="I12" i="250"/>
  <c r="K12" i="250" s="1"/>
  <c r="C15" i="173"/>
  <c r="I15" i="173"/>
  <c r="N15" i="173"/>
  <c r="F15" i="173"/>
  <c r="L15" i="173"/>
  <c r="Q15" i="173"/>
  <c r="AL15" i="173"/>
  <c r="AN15" i="173" s="1"/>
  <c r="E15" i="173"/>
  <c r="P15" i="173"/>
  <c r="G15" i="173"/>
  <c r="J15" i="173"/>
  <c r="M15" i="173"/>
  <c r="I14" i="249"/>
  <c r="K14" i="249" s="1"/>
  <c r="I14" i="244"/>
  <c r="K14" i="244" s="1"/>
  <c r="I16" i="257"/>
  <c r="K16" i="257" s="1"/>
  <c r="I16" i="251"/>
  <c r="K16" i="251" s="1"/>
  <c r="I18" i="12"/>
  <c r="K18" i="12" s="1"/>
  <c r="I18" i="250"/>
  <c r="K18" i="250" s="1"/>
  <c r="I20" i="250"/>
  <c r="K20" i="250" s="1"/>
  <c r="F23" i="173"/>
  <c r="L23" i="173"/>
  <c r="Q23" i="173"/>
  <c r="AL23" i="173"/>
  <c r="AN23" i="173" s="1"/>
  <c r="C23" i="173"/>
  <c r="I23" i="173"/>
  <c r="N23" i="173"/>
  <c r="G23" i="173"/>
  <c r="J23" i="173"/>
  <c r="M23" i="173"/>
  <c r="E23" i="173"/>
  <c r="P23" i="173"/>
  <c r="I22" i="249"/>
  <c r="K22" i="249" s="1"/>
  <c r="I22" i="244"/>
  <c r="K22" i="244" s="1"/>
  <c r="I24" i="257"/>
  <c r="K24" i="257" s="1"/>
  <c r="I24" i="251"/>
  <c r="K24" i="251" s="1"/>
  <c r="I26" i="12"/>
  <c r="K26" i="12" s="1"/>
  <c r="I26" i="251"/>
  <c r="K26" i="251" s="1"/>
  <c r="I28" i="249"/>
  <c r="K28" i="249" s="1"/>
  <c r="C31" i="173"/>
  <c r="I31" i="173"/>
  <c r="N31" i="173"/>
  <c r="E31" i="173"/>
  <c r="J31" i="173"/>
  <c r="P31" i="173"/>
  <c r="F31" i="173"/>
  <c r="L31" i="173"/>
  <c r="Q31" i="173"/>
  <c r="AL31" i="173"/>
  <c r="AN31" i="173" s="1"/>
  <c r="G31" i="173"/>
  <c r="M31" i="173"/>
  <c r="I30" i="249"/>
  <c r="K30" i="249" s="1"/>
  <c r="I30" i="244"/>
  <c r="K30" i="244" s="1"/>
  <c r="I32" i="257"/>
  <c r="K32" i="257" s="1"/>
  <c r="I32" i="251"/>
  <c r="K32" i="251" s="1"/>
  <c r="I34" i="12"/>
  <c r="K34" i="12" s="1"/>
  <c r="I34" i="250"/>
  <c r="K34" i="250" s="1"/>
  <c r="I36" i="249"/>
  <c r="K36" i="249" s="1"/>
  <c r="C39" i="173"/>
  <c r="I39" i="173"/>
  <c r="N39" i="173"/>
  <c r="E39" i="173"/>
  <c r="J39" i="173"/>
  <c r="P39" i="173"/>
  <c r="F39" i="173"/>
  <c r="L39" i="173"/>
  <c r="Q39" i="173"/>
  <c r="AL39" i="173"/>
  <c r="AN39" i="173" s="1"/>
  <c r="G39" i="173"/>
  <c r="M39" i="173"/>
  <c r="I38" i="257"/>
  <c r="K38" i="257" s="1"/>
  <c r="I38" i="244"/>
  <c r="K38" i="244" s="1"/>
  <c r="G29" i="8"/>
  <c r="Q20" i="8" s="1"/>
  <c r="C25" i="47"/>
  <c r="AA23" i="41"/>
  <c r="P20" i="8"/>
  <c r="P36" i="8"/>
  <c r="P51" i="8"/>
  <c r="Y8" i="47"/>
  <c r="L9" i="48" s="1"/>
  <c r="B38" i="48" s="1"/>
  <c r="P8" i="47"/>
  <c r="Z8" i="47" s="1"/>
  <c r="N9" i="48" s="1"/>
  <c r="B42" i="48" s="1"/>
  <c r="M43" i="53"/>
  <c r="C31" i="47"/>
  <c r="AA29" i="41"/>
  <c r="P26" i="10"/>
  <c r="E28" i="10"/>
  <c r="N6" i="14"/>
  <c r="D48" i="14" s="1"/>
  <c r="N6" i="249"/>
  <c r="F15" i="11"/>
  <c r="N41" i="53"/>
  <c r="C13" i="47"/>
  <c r="AA11" i="41"/>
  <c r="I38" i="41"/>
  <c r="S13" i="8"/>
  <c r="S23" i="8"/>
  <c r="S27" i="8"/>
  <c r="S37" i="8"/>
  <c r="S43" i="8"/>
  <c r="S51" i="8"/>
  <c r="S16" i="8"/>
  <c r="S22" i="8"/>
  <c r="S26" i="8"/>
  <c r="S15" i="8"/>
  <c r="S25" i="8"/>
  <c r="S35" i="8"/>
  <c r="S41" i="8"/>
  <c r="S49" i="8"/>
  <c r="S29" i="8"/>
  <c r="S36" i="8"/>
  <c r="S50" i="8"/>
  <c r="S42" i="8"/>
  <c r="N24" i="8"/>
  <c r="I37" i="41"/>
  <c r="I29" i="41"/>
  <c r="I21" i="41"/>
  <c r="I13" i="41"/>
  <c r="W46" i="53"/>
  <c r="W42" i="53"/>
  <c r="C27" i="47"/>
  <c r="AA25" i="41"/>
  <c r="I20" i="6"/>
  <c r="I30" i="6"/>
  <c r="B67" i="52"/>
  <c r="B117" i="52"/>
  <c r="B147" i="52" s="1"/>
  <c r="B121" i="52"/>
  <c r="B151" i="52" s="1"/>
  <c r="B174" i="52"/>
  <c r="B208" i="52" s="1"/>
  <c r="B236" i="52" s="1"/>
  <c r="J28" i="6"/>
  <c r="B125" i="52"/>
  <c r="B155" i="52" s="1"/>
  <c r="B178" i="52"/>
  <c r="B212" i="52" s="1"/>
  <c r="B240" i="52" s="1"/>
  <c r="E81" i="126"/>
  <c r="E82" i="126"/>
  <c r="K12" i="133"/>
  <c r="B12" i="133" s="1"/>
  <c r="G12" i="133" s="1"/>
  <c r="B3" i="126" s="1"/>
  <c r="B218" i="73" s="1"/>
  <c r="J13" i="133"/>
  <c r="L30" i="6"/>
  <c r="L19" i="6"/>
  <c r="L20" i="6" s="1"/>
  <c r="P9" i="173"/>
  <c r="AD12" i="173" s="1"/>
  <c r="W12" i="173"/>
  <c r="L42" i="185"/>
  <c r="L43" i="185"/>
  <c r="L47" i="185"/>
  <c r="L44" i="185"/>
  <c r="L45" i="185"/>
  <c r="L46" i="185"/>
  <c r="I43" i="185"/>
  <c r="V47" i="185"/>
  <c r="V16" i="234"/>
  <c r="U16" i="234"/>
  <c r="U25" i="234"/>
  <c r="V25" i="234"/>
  <c r="U32" i="234"/>
  <c r="V32" i="234"/>
  <c r="E72" i="14"/>
  <c r="E75" i="14" s="1"/>
  <c r="O6" i="244" s="1"/>
  <c r="U15" i="234"/>
  <c r="V15" i="234"/>
  <c r="U37" i="234"/>
  <c r="V37" i="234"/>
  <c r="B189" i="241"/>
  <c r="B223" i="241" s="1"/>
  <c r="B252" i="241" s="1"/>
  <c r="B186" i="241"/>
  <c r="B220" i="241" s="1"/>
  <c r="B249" i="241" s="1"/>
  <c r="B194" i="241"/>
  <c r="B228" i="241" s="1"/>
  <c r="B257" i="241" s="1"/>
  <c r="F34" i="241"/>
  <c r="F89" i="241" s="1"/>
  <c r="B191" i="241"/>
  <c r="B225" i="241" s="1"/>
  <c r="B254" i="241" s="1"/>
  <c r="H100" i="241"/>
  <c r="H101" i="241"/>
  <c r="H104" i="241"/>
  <c r="I94" i="241"/>
  <c r="E34" i="241"/>
  <c r="E89" i="241" s="1"/>
  <c r="Y12" i="172"/>
  <c r="AD12" i="172" s="1"/>
  <c r="AF12" i="172" s="1"/>
  <c r="AG12" i="47"/>
  <c r="AI12" i="47" s="1"/>
  <c r="Y16" i="172"/>
  <c r="AD16" i="172" s="1"/>
  <c r="AF16" i="172" s="1"/>
  <c r="AG16" i="47"/>
  <c r="AI16" i="47" s="1"/>
  <c r="Y20" i="172"/>
  <c r="AD20" i="172" s="1"/>
  <c r="AF20" i="172" s="1"/>
  <c r="AG20" i="47"/>
  <c r="AI20" i="47" s="1"/>
  <c r="Y24" i="172"/>
  <c r="AD24" i="172" s="1"/>
  <c r="AF24" i="172" s="1"/>
  <c r="AG24" i="47"/>
  <c r="AI24" i="47" s="1"/>
  <c r="Y28" i="172"/>
  <c r="AD28" i="172" s="1"/>
  <c r="AF28" i="172" s="1"/>
  <c r="AG28" i="47"/>
  <c r="AI28" i="47" s="1"/>
  <c r="Y32" i="172"/>
  <c r="AD32" i="172" s="1"/>
  <c r="AF32" i="172" s="1"/>
  <c r="AG32" i="47"/>
  <c r="AI32" i="47" s="1"/>
  <c r="Y36" i="172"/>
  <c r="AD36" i="172" s="1"/>
  <c r="AF36" i="172" s="1"/>
  <c r="AG36" i="47"/>
  <c r="AI36" i="47" s="1"/>
  <c r="Y40" i="172"/>
  <c r="AD40" i="172" s="1"/>
  <c r="AF40" i="172" s="1"/>
  <c r="AG40" i="47"/>
  <c r="AI40" i="47" s="1"/>
  <c r="H10" i="12"/>
  <c r="E41" i="12"/>
  <c r="E42" i="12"/>
  <c r="E43" i="12"/>
  <c r="E44" i="12"/>
  <c r="E45" i="12"/>
  <c r="E46" i="12"/>
  <c r="H10" i="250"/>
  <c r="E41" i="250"/>
  <c r="E43" i="250"/>
  <c r="E42" i="250"/>
  <c r="E44" i="250"/>
  <c r="E45" i="250"/>
  <c r="E46" i="250"/>
  <c r="R10" i="41"/>
  <c r="P41" i="41"/>
  <c r="P42" i="41"/>
  <c r="P43" i="41"/>
  <c r="P44" i="41"/>
  <c r="P45" i="41"/>
  <c r="P46" i="41"/>
  <c r="U16" i="41"/>
  <c r="AA18" i="41"/>
  <c r="C20" i="47"/>
  <c r="U24" i="41"/>
  <c r="AA26" i="41"/>
  <c r="C28" i="47"/>
  <c r="U32" i="41"/>
  <c r="AA34" i="41"/>
  <c r="C36" i="47"/>
  <c r="AF17" i="47"/>
  <c r="Z17" i="172"/>
  <c r="AC17" i="172" s="1"/>
  <c r="AF25" i="47"/>
  <c r="Z25" i="172"/>
  <c r="AC25" i="172" s="1"/>
  <c r="AF33" i="47"/>
  <c r="Z33" i="172"/>
  <c r="AC33" i="172" s="1"/>
  <c r="AF41" i="47"/>
  <c r="Z41" i="172"/>
  <c r="AC41" i="172" s="1"/>
  <c r="F41" i="249"/>
  <c r="F42" i="249"/>
  <c r="F43" i="249"/>
  <c r="F44" i="249"/>
  <c r="F45" i="249"/>
  <c r="F46" i="249"/>
  <c r="J41" i="250"/>
  <c r="J42" i="250"/>
  <c r="J43" i="250"/>
  <c r="J44" i="250"/>
  <c r="J45" i="250"/>
  <c r="J46" i="250"/>
  <c r="I11" i="256"/>
  <c r="K11" i="256" s="1"/>
  <c r="C14" i="173"/>
  <c r="I14" i="173"/>
  <c r="N14" i="173"/>
  <c r="F14" i="173"/>
  <c r="L14" i="173"/>
  <c r="Q14" i="173"/>
  <c r="AL14" i="173"/>
  <c r="AN14" i="173" s="1"/>
  <c r="G14" i="173"/>
  <c r="J14" i="173"/>
  <c r="M14" i="173"/>
  <c r="E14" i="173"/>
  <c r="P14" i="173"/>
  <c r="I13" i="249"/>
  <c r="K13" i="249" s="1"/>
  <c r="C16" i="173"/>
  <c r="I16" i="173"/>
  <c r="N16" i="173"/>
  <c r="F16" i="173"/>
  <c r="L16" i="173"/>
  <c r="Q16" i="173"/>
  <c r="AL16" i="173"/>
  <c r="AN16" i="173" s="1"/>
  <c r="M16" i="173"/>
  <c r="E16" i="173"/>
  <c r="P16" i="173"/>
  <c r="G16" i="173"/>
  <c r="J16" i="173"/>
  <c r="I15" i="256"/>
  <c r="K15" i="256" s="1"/>
  <c r="E18" i="173"/>
  <c r="J18" i="173"/>
  <c r="P18" i="173"/>
  <c r="F18" i="173"/>
  <c r="L18" i="173"/>
  <c r="Q18" i="173"/>
  <c r="AL18" i="173"/>
  <c r="AN18" i="173" s="1"/>
  <c r="G18" i="173"/>
  <c r="M18" i="173"/>
  <c r="C18" i="173"/>
  <c r="I18" i="173"/>
  <c r="N18" i="173"/>
  <c r="I17" i="249"/>
  <c r="K17" i="249" s="1"/>
  <c r="F20" i="173"/>
  <c r="L20" i="173"/>
  <c r="Q20" i="173"/>
  <c r="AL20" i="173"/>
  <c r="AN20" i="173" s="1"/>
  <c r="G20" i="173"/>
  <c r="M20" i="173"/>
  <c r="C20" i="173"/>
  <c r="I20" i="173"/>
  <c r="N20" i="173"/>
  <c r="P20" i="173"/>
  <c r="E20" i="173"/>
  <c r="J20" i="173"/>
  <c r="I19" i="256"/>
  <c r="K19" i="256" s="1"/>
  <c r="F22" i="173"/>
  <c r="L22" i="173"/>
  <c r="Q22" i="173"/>
  <c r="AL22" i="173"/>
  <c r="AN22" i="173" s="1"/>
  <c r="C22" i="173"/>
  <c r="I22" i="173"/>
  <c r="N22" i="173"/>
  <c r="J22" i="173"/>
  <c r="M22" i="173"/>
  <c r="E22" i="173"/>
  <c r="P22" i="173"/>
  <c r="G22" i="173"/>
  <c r="I21" i="249"/>
  <c r="K21" i="249" s="1"/>
  <c r="F24" i="173"/>
  <c r="L24" i="173"/>
  <c r="Q24" i="173"/>
  <c r="AL24" i="173"/>
  <c r="AN24" i="173" s="1"/>
  <c r="C24" i="173"/>
  <c r="I24" i="173"/>
  <c r="N24" i="173"/>
  <c r="E24" i="173"/>
  <c r="P24" i="173"/>
  <c r="G24" i="173"/>
  <c r="J24" i="173"/>
  <c r="M24" i="173"/>
  <c r="I23" i="249"/>
  <c r="K23" i="249" s="1"/>
  <c r="F26" i="173"/>
  <c r="L26" i="173"/>
  <c r="Q26" i="173"/>
  <c r="AL26" i="173"/>
  <c r="AN26" i="173" s="1"/>
  <c r="C26" i="173"/>
  <c r="I26" i="173"/>
  <c r="N26" i="173"/>
  <c r="J26" i="173"/>
  <c r="M26" i="173"/>
  <c r="E26" i="173"/>
  <c r="P26" i="173"/>
  <c r="G26" i="173"/>
  <c r="I25" i="249"/>
  <c r="K25" i="249" s="1"/>
  <c r="F28" i="173"/>
  <c r="L28" i="173"/>
  <c r="Q28" i="173"/>
  <c r="AL28" i="173"/>
  <c r="AN28" i="173" s="1"/>
  <c r="C28" i="173"/>
  <c r="I28" i="173"/>
  <c r="N28" i="173"/>
  <c r="E28" i="173"/>
  <c r="P28" i="173"/>
  <c r="G28" i="173"/>
  <c r="J28" i="173"/>
  <c r="M28" i="173"/>
  <c r="I27" i="249"/>
  <c r="K27" i="249" s="1"/>
  <c r="C30" i="173"/>
  <c r="I30" i="173"/>
  <c r="N30" i="173"/>
  <c r="E30" i="173"/>
  <c r="J30" i="173"/>
  <c r="P30" i="173"/>
  <c r="F30" i="173"/>
  <c r="L30" i="173"/>
  <c r="Q30" i="173"/>
  <c r="AL30" i="173"/>
  <c r="AN30" i="173" s="1"/>
  <c r="G30" i="173"/>
  <c r="M30" i="173"/>
  <c r="I29" i="249"/>
  <c r="K29" i="249" s="1"/>
  <c r="C32" i="173"/>
  <c r="I32" i="173"/>
  <c r="N32" i="173"/>
  <c r="E32" i="173"/>
  <c r="J32" i="173"/>
  <c r="P32" i="173"/>
  <c r="F32" i="173"/>
  <c r="L32" i="173"/>
  <c r="Q32" i="173"/>
  <c r="AL32" i="173"/>
  <c r="AN32" i="173" s="1"/>
  <c r="G32" i="173"/>
  <c r="M32" i="173"/>
  <c r="I31" i="249"/>
  <c r="K31" i="249" s="1"/>
  <c r="C34" i="173"/>
  <c r="I34" i="173"/>
  <c r="N34" i="173"/>
  <c r="E34" i="173"/>
  <c r="J34" i="173"/>
  <c r="P34" i="173"/>
  <c r="F34" i="173"/>
  <c r="L34" i="173"/>
  <c r="Q34" i="173"/>
  <c r="AL34" i="173"/>
  <c r="AN34" i="173" s="1"/>
  <c r="G34" i="173"/>
  <c r="M34" i="173"/>
  <c r="I33" i="249"/>
  <c r="K33" i="249" s="1"/>
  <c r="C36" i="173"/>
  <c r="I36" i="173"/>
  <c r="N36" i="173"/>
  <c r="E36" i="173"/>
  <c r="J36" i="173"/>
  <c r="P36" i="173"/>
  <c r="F36" i="173"/>
  <c r="L36" i="173"/>
  <c r="Q36" i="173"/>
  <c r="AL36" i="173"/>
  <c r="AN36" i="173" s="1"/>
  <c r="G36" i="173"/>
  <c r="M36" i="173"/>
  <c r="I35" i="249"/>
  <c r="K35" i="249" s="1"/>
  <c r="C38" i="173"/>
  <c r="I38" i="173"/>
  <c r="N38" i="173"/>
  <c r="E38" i="173"/>
  <c r="J38" i="173"/>
  <c r="P38" i="173"/>
  <c r="F38" i="173"/>
  <c r="L38" i="173"/>
  <c r="Q38" i="173"/>
  <c r="AL38" i="173"/>
  <c r="AN38" i="173" s="1"/>
  <c r="G38" i="173"/>
  <c r="M38" i="173"/>
  <c r="I37" i="249"/>
  <c r="K37" i="249" s="1"/>
  <c r="C40" i="173"/>
  <c r="I40" i="173"/>
  <c r="N40" i="173"/>
  <c r="E40" i="173"/>
  <c r="J40" i="173"/>
  <c r="P40" i="173"/>
  <c r="F40" i="173"/>
  <c r="L40" i="173"/>
  <c r="Q40" i="173"/>
  <c r="AL40" i="173"/>
  <c r="AN40" i="173" s="1"/>
  <c r="G40" i="173"/>
  <c r="M40" i="173"/>
  <c r="I39" i="249"/>
  <c r="K39" i="249" s="1"/>
  <c r="C42" i="173"/>
  <c r="I42" i="173"/>
  <c r="N42" i="173"/>
  <c r="E42" i="173"/>
  <c r="J42" i="173"/>
  <c r="P42" i="173"/>
  <c r="F42" i="173"/>
  <c r="L42" i="173"/>
  <c r="Q42" i="173"/>
  <c r="AL42" i="173"/>
  <c r="AN42" i="173" s="1"/>
  <c r="G42" i="173"/>
  <c r="M42" i="173"/>
  <c r="Y22" i="244"/>
  <c r="Y28" i="244"/>
  <c r="Y36" i="244"/>
  <c r="Y38" i="12"/>
  <c r="G41" i="249"/>
  <c r="G42" i="249"/>
  <c r="G43" i="249"/>
  <c r="G44" i="249"/>
  <c r="G45" i="249"/>
  <c r="G46" i="249"/>
  <c r="G41" i="244"/>
  <c r="G42" i="244"/>
  <c r="G43" i="244"/>
  <c r="G44" i="244"/>
  <c r="G45" i="244"/>
  <c r="G46" i="244"/>
  <c r="H11" i="249"/>
  <c r="H11" i="244"/>
  <c r="H13" i="249"/>
  <c r="AK16" i="173"/>
  <c r="H15" i="12"/>
  <c r="H15" i="250"/>
  <c r="H17" i="257"/>
  <c r="H17" i="251"/>
  <c r="H19" i="249"/>
  <c r="H19" i="244"/>
  <c r="Y19" i="244" s="1"/>
  <c r="H21" i="249"/>
  <c r="AK24" i="173"/>
  <c r="H23" i="12"/>
  <c r="H23" i="251"/>
  <c r="H25" i="257"/>
  <c r="H25" i="251"/>
  <c r="H27" i="249"/>
  <c r="H27" i="244"/>
  <c r="H29" i="249"/>
  <c r="AK32" i="173"/>
  <c r="H31" i="12"/>
  <c r="H31" i="250"/>
  <c r="H33" i="257"/>
  <c r="H33" i="251"/>
  <c r="H35" i="249"/>
  <c r="H35" i="244"/>
  <c r="Y35" i="244" s="1"/>
  <c r="H37" i="249"/>
  <c r="AK40" i="173"/>
  <c r="H39" i="256"/>
  <c r="H39" i="250"/>
  <c r="I10" i="257"/>
  <c r="D41" i="257"/>
  <c r="D42" i="257"/>
  <c r="D43" i="257"/>
  <c r="D44" i="257"/>
  <c r="D45" i="257"/>
  <c r="D46" i="257"/>
  <c r="I10" i="251"/>
  <c r="D41" i="251"/>
  <c r="D42" i="251"/>
  <c r="D43" i="251"/>
  <c r="D44" i="251"/>
  <c r="D45" i="251"/>
  <c r="D46" i="251"/>
  <c r="I12" i="12"/>
  <c r="K12" i="12" s="1"/>
  <c r="I12" i="249"/>
  <c r="K12" i="249" s="1"/>
  <c r="I14" i="256"/>
  <c r="K14" i="256" s="1"/>
  <c r="C17" i="173"/>
  <c r="I17" i="173"/>
  <c r="N17" i="173"/>
  <c r="G17" i="173"/>
  <c r="P17" i="173"/>
  <c r="J17" i="173"/>
  <c r="Q17" i="173"/>
  <c r="AL17" i="173"/>
  <c r="AN17" i="173" s="1"/>
  <c r="E17" i="173"/>
  <c r="L17" i="173"/>
  <c r="F17" i="173"/>
  <c r="M17" i="173"/>
  <c r="I16" i="256"/>
  <c r="K16" i="256" s="1"/>
  <c r="I16" i="244"/>
  <c r="K16" i="244" s="1"/>
  <c r="I18" i="257"/>
  <c r="K18" i="257" s="1"/>
  <c r="I18" i="251"/>
  <c r="K18" i="251" s="1"/>
  <c r="I20" i="12"/>
  <c r="K20" i="12" s="1"/>
  <c r="I20" i="249"/>
  <c r="K20" i="249" s="1"/>
  <c r="I22" i="256"/>
  <c r="K22" i="256" s="1"/>
  <c r="F25" i="173"/>
  <c r="L25" i="173"/>
  <c r="Q25" i="173"/>
  <c r="AL25" i="173"/>
  <c r="AN25" i="173" s="1"/>
  <c r="C25" i="173"/>
  <c r="I25" i="173"/>
  <c r="N25" i="173"/>
  <c r="M25" i="173"/>
  <c r="E25" i="173"/>
  <c r="P25" i="173"/>
  <c r="G25" i="173"/>
  <c r="J25" i="173"/>
  <c r="I24" i="256"/>
  <c r="K24" i="256" s="1"/>
  <c r="I24" i="244"/>
  <c r="K24" i="244" s="1"/>
  <c r="I26" i="257"/>
  <c r="K26" i="257" s="1"/>
  <c r="I26" i="250"/>
  <c r="K26" i="250" s="1"/>
  <c r="I28" i="12"/>
  <c r="K28" i="12" s="1"/>
  <c r="I28" i="250"/>
  <c r="K28" i="250" s="1"/>
  <c r="I30" i="256"/>
  <c r="K30" i="256" s="1"/>
  <c r="C33" i="173"/>
  <c r="I33" i="173"/>
  <c r="N33" i="173"/>
  <c r="E33" i="173"/>
  <c r="J33" i="173"/>
  <c r="P33" i="173"/>
  <c r="F33" i="173"/>
  <c r="L33" i="173"/>
  <c r="Q33" i="173"/>
  <c r="AL33" i="173"/>
  <c r="AN33" i="173" s="1"/>
  <c r="G33" i="173"/>
  <c r="M33" i="173"/>
  <c r="I32" i="256"/>
  <c r="K32" i="256" s="1"/>
  <c r="I32" i="244"/>
  <c r="K32" i="244" s="1"/>
  <c r="I34" i="257"/>
  <c r="K34" i="257" s="1"/>
  <c r="I34" i="251"/>
  <c r="K34" i="251" s="1"/>
  <c r="I36" i="12"/>
  <c r="K36" i="12" s="1"/>
  <c r="I36" i="250"/>
  <c r="K36" i="250" s="1"/>
  <c r="I38" i="249"/>
  <c r="K38" i="249" s="1"/>
  <c r="C41" i="173"/>
  <c r="I41" i="173"/>
  <c r="E41" i="173"/>
  <c r="J41" i="173"/>
  <c r="F41" i="173"/>
  <c r="L41" i="173"/>
  <c r="G41" i="173"/>
  <c r="M41" i="173"/>
  <c r="N41" i="173"/>
  <c r="P41" i="173"/>
  <c r="Q41" i="173"/>
  <c r="AL41" i="173"/>
  <c r="AN41" i="173" s="1"/>
  <c r="C33" i="47"/>
  <c r="AA31" i="41"/>
  <c r="S54" i="8"/>
  <c r="I56" i="8"/>
  <c r="E8" i="8"/>
  <c r="O8" i="8" s="1"/>
  <c r="P9" i="10"/>
  <c r="D9" i="10"/>
  <c r="M46" i="53"/>
  <c r="C39" i="47"/>
  <c r="AA37" i="41"/>
  <c r="F45" i="8"/>
  <c r="P45" i="8" s="1"/>
  <c r="P39" i="8"/>
  <c r="J10" i="229"/>
  <c r="C21" i="47"/>
  <c r="AA19" i="41"/>
  <c r="N20" i="8"/>
  <c r="P15" i="8"/>
  <c r="S24" i="8"/>
  <c r="P42" i="8"/>
  <c r="I35" i="41"/>
  <c r="I27" i="41"/>
  <c r="I19" i="41"/>
  <c r="I11" i="41"/>
  <c r="W45" i="53"/>
  <c r="C35" i="47"/>
  <c r="AA33" i="41"/>
  <c r="K28" i="6"/>
  <c r="F134" i="126"/>
  <c r="F136" i="126" s="1"/>
  <c r="D136" i="126"/>
  <c r="N12" i="256"/>
  <c r="N16" i="256"/>
  <c r="N20" i="256"/>
  <c r="N11" i="256"/>
  <c r="N15" i="256"/>
  <c r="N19" i="256"/>
  <c r="N23" i="256"/>
  <c r="N27" i="256"/>
  <c r="N31" i="256"/>
  <c r="N35" i="256"/>
  <c r="N10" i="256"/>
  <c r="N14" i="256"/>
  <c r="N18" i="256"/>
  <c r="N22" i="256"/>
  <c r="Q6" i="256"/>
  <c r="N13" i="256"/>
  <c r="N17" i="256"/>
  <c r="N21" i="256"/>
  <c r="N25" i="256"/>
  <c r="N29" i="256"/>
  <c r="N33" i="256"/>
  <c r="N38" i="256"/>
  <c r="N48" i="256"/>
  <c r="N50" i="256"/>
  <c r="N26" i="256"/>
  <c r="N28" i="256"/>
  <c r="N30" i="256"/>
  <c r="N32" i="256"/>
  <c r="N34" i="256"/>
  <c r="N37" i="256"/>
  <c r="N36" i="256"/>
  <c r="N24" i="256"/>
  <c r="N39" i="256"/>
  <c r="G37" i="73"/>
  <c r="G39" i="73" s="1"/>
  <c r="K37" i="73"/>
  <c r="K39" i="73" s="1"/>
  <c r="Q44" i="73"/>
  <c r="D37" i="73"/>
  <c r="D39" i="73" s="1"/>
  <c r="D48" i="73" s="1"/>
  <c r="D53" i="73" s="1"/>
  <c r="D55" i="73" s="1"/>
  <c r="H37" i="73"/>
  <c r="H39" i="73" s="1"/>
  <c r="H48" i="73" s="1"/>
  <c r="H53" i="73" s="1"/>
  <c r="H55" i="73" s="1"/>
  <c r="L37" i="73"/>
  <c r="L39" i="73" s="1"/>
  <c r="L48" i="73" s="1"/>
  <c r="L53" i="73" s="1"/>
  <c r="L55" i="73" s="1"/>
  <c r="E37" i="73"/>
  <c r="E39" i="73" s="1"/>
  <c r="E48" i="73" s="1"/>
  <c r="E53" i="73" s="1"/>
  <c r="E55" i="73" s="1"/>
  <c r="I37" i="73"/>
  <c r="I39" i="73" s="1"/>
  <c r="I48" i="73" s="1"/>
  <c r="I53" i="73" s="1"/>
  <c r="I55" i="73" s="1"/>
  <c r="M37" i="73"/>
  <c r="M39" i="73" s="1"/>
  <c r="F37" i="73"/>
  <c r="F39" i="73" s="1"/>
  <c r="J37" i="73"/>
  <c r="J39" i="73" s="1"/>
  <c r="D82" i="126"/>
  <c r="D80" i="126"/>
  <c r="G80" i="126" s="1"/>
  <c r="D81" i="126"/>
  <c r="G81" i="126" s="1"/>
  <c r="K62" i="133"/>
  <c r="B61" i="133"/>
  <c r="M14" i="6"/>
  <c r="N12" i="6"/>
  <c r="K68" i="133"/>
  <c r="P70" i="73" l="1"/>
  <c r="E23" i="63"/>
  <c r="M23" i="63" s="1"/>
  <c r="Z3" i="172"/>
  <c r="AB3" i="172" s="1"/>
  <c r="O5" i="4" s="1"/>
  <c r="AC3" i="47"/>
  <c r="AE3" i="47" s="1"/>
  <c r="N5" i="4" s="1"/>
  <c r="AC4" i="47"/>
  <c r="AE4" i="47" s="1"/>
  <c r="N6" i="4" s="1"/>
  <c r="AC2" i="47"/>
  <c r="AE2" i="47" s="1"/>
  <c r="N4" i="4" s="1"/>
  <c r="Z2" i="172"/>
  <c r="AB2" i="172" s="1"/>
  <c r="O4" i="4" s="1"/>
  <c r="Z4" i="172"/>
  <c r="AB4" i="172" s="1"/>
  <c r="O6" i="4" s="1"/>
  <c r="J44" i="185"/>
  <c r="U14" i="41"/>
  <c r="T43" i="185"/>
  <c r="I33" i="41"/>
  <c r="I25" i="41"/>
  <c r="F20" i="126"/>
  <c r="G20" i="126" s="1"/>
  <c r="Z13" i="185"/>
  <c r="U30" i="41"/>
  <c r="S43" i="185"/>
  <c r="E202" i="241"/>
  <c r="Z39" i="185"/>
  <c r="V44" i="185"/>
  <c r="H93" i="6"/>
  <c r="H94" i="6" s="1"/>
  <c r="I9" i="6"/>
  <c r="W81" i="241"/>
  <c r="H230" i="241"/>
  <c r="H229" i="241"/>
  <c r="H228" i="241"/>
  <c r="H227" i="241"/>
  <c r="H226" i="241"/>
  <c r="H225" i="241"/>
  <c r="H224" i="241"/>
  <c r="H223" i="241"/>
  <c r="H222" i="241"/>
  <c r="H221" i="241"/>
  <c r="H220" i="241"/>
  <c r="H219" i="241"/>
  <c r="H218" i="241"/>
  <c r="H217" i="241"/>
  <c r="H216" i="241"/>
  <c r="H215" i="241"/>
  <c r="H214" i="241"/>
  <c r="H213" i="241"/>
  <c r="H212" i="241"/>
  <c r="H211" i="241"/>
  <c r="H210" i="241"/>
  <c r="H209" i="241"/>
  <c r="H208" i="241"/>
  <c r="H207" i="241"/>
  <c r="H206" i="241"/>
  <c r="H231" i="241" s="1"/>
  <c r="J227" i="241"/>
  <c r="J223" i="241"/>
  <c r="J219" i="241"/>
  <c r="J215" i="241"/>
  <c r="J211" i="241"/>
  <c r="J230" i="241"/>
  <c r="J226" i="241"/>
  <c r="J222" i="241"/>
  <c r="J218" i="241"/>
  <c r="J214" i="241"/>
  <c r="J210" i="241"/>
  <c r="J209" i="241"/>
  <c r="J208" i="241"/>
  <c r="J207" i="241"/>
  <c r="J206" i="241"/>
  <c r="J231" i="241" s="1"/>
  <c r="J228" i="241"/>
  <c r="J224" i="241"/>
  <c r="J220" i="241"/>
  <c r="J216" i="241"/>
  <c r="J212" i="241"/>
  <c r="J229" i="241"/>
  <c r="J225" i="241"/>
  <c r="J221" i="241"/>
  <c r="J217" i="241"/>
  <c r="J213" i="241"/>
  <c r="L230" i="241"/>
  <c r="L229" i="241"/>
  <c r="L228" i="241"/>
  <c r="L227" i="241"/>
  <c r="L226" i="241"/>
  <c r="L225" i="241"/>
  <c r="L224" i="241"/>
  <c r="L223" i="241"/>
  <c r="L222" i="241"/>
  <c r="L221" i="241"/>
  <c r="L220" i="241"/>
  <c r="L219" i="241"/>
  <c r="L218" i="241"/>
  <c r="L217" i="241"/>
  <c r="L216" i="241"/>
  <c r="L215" i="241"/>
  <c r="L214" i="241"/>
  <c r="L213" i="241"/>
  <c r="L212" i="241"/>
  <c r="L211" i="241"/>
  <c r="L210" i="241"/>
  <c r="L207" i="241"/>
  <c r="L206" i="241"/>
  <c r="L231" i="241" s="1"/>
  <c r="L209" i="241"/>
  <c r="L208" i="241"/>
  <c r="N230" i="241"/>
  <c r="N226" i="241"/>
  <c r="N222" i="241"/>
  <c r="N218" i="241"/>
  <c r="N214" i="241"/>
  <c r="N229" i="241"/>
  <c r="N225" i="241"/>
  <c r="N221" i="241"/>
  <c r="N217" i="241"/>
  <c r="N213" i="241"/>
  <c r="N208" i="241"/>
  <c r="N207" i="241"/>
  <c r="N206" i="241"/>
  <c r="N231" i="241" s="1"/>
  <c r="N227" i="241"/>
  <c r="N223" i="241"/>
  <c r="N215" i="241"/>
  <c r="N211" i="241"/>
  <c r="N210" i="241"/>
  <c r="N228" i="241"/>
  <c r="N224" i="241"/>
  <c r="N220" i="241"/>
  <c r="N216" i="241"/>
  <c r="N212" i="241"/>
  <c r="N209" i="241"/>
  <c r="N219" i="241"/>
  <c r="P230" i="241"/>
  <c r="P229" i="241"/>
  <c r="P228" i="241"/>
  <c r="P227" i="241"/>
  <c r="P226" i="241"/>
  <c r="P225" i="241"/>
  <c r="P224" i="241"/>
  <c r="P223" i="241"/>
  <c r="P222" i="241"/>
  <c r="P221" i="241"/>
  <c r="P220" i="241"/>
  <c r="P219" i="241"/>
  <c r="P218" i="241"/>
  <c r="P217" i="241"/>
  <c r="P216" i="241"/>
  <c r="P215" i="241"/>
  <c r="P214" i="241"/>
  <c r="P213" i="241"/>
  <c r="P212" i="241"/>
  <c r="P211" i="241"/>
  <c r="P210" i="241"/>
  <c r="P209" i="241"/>
  <c r="P208" i="241"/>
  <c r="P207" i="241"/>
  <c r="P206" i="241"/>
  <c r="P231" i="241" s="1"/>
  <c r="R229" i="241"/>
  <c r="R225" i="241"/>
  <c r="R221" i="241"/>
  <c r="R217" i="241"/>
  <c r="R213" i="241"/>
  <c r="R228" i="241"/>
  <c r="R224" i="241"/>
  <c r="R220" i="241"/>
  <c r="R216" i="241"/>
  <c r="R212" i="241"/>
  <c r="R208" i="241"/>
  <c r="R207" i="241"/>
  <c r="R206" i="241"/>
  <c r="R231" i="241" s="1"/>
  <c r="R230" i="241"/>
  <c r="R226" i="241"/>
  <c r="R222" i="241"/>
  <c r="R218" i="241"/>
  <c r="R214" i="241"/>
  <c r="R210" i="241"/>
  <c r="R209" i="241"/>
  <c r="R227" i="241"/>
  <c r="R223" i="241"/>
  <c r="R219" i="241"/>
  <c r="R215" i="241"/>
  <c r="R211" i="241"/>
  <c r="E230" i="241"/>
  <c r="E229" i="241"/>
  <c r="E228" i="241"/>
  <c r="E227" i="241"/>
  <c r="E226" i="241"/>
  <c r="E225" i="241"/>
  <c r="E224" i="241"/>
  <c r="E223" i="241"/>
  <c r="E222" i="241"/>
  <c r="E221" i="241"/>
  <c r="E220" i="241"/>
  <c r="E219" i="241"/>
  <c r="E218" i="241"/>
  <c r="E217" i="241"/>
  <c r="E216" i="241"/>
  <c r="E215" i="241"/>
  <c r="E214" i="241"/>
  <c r="E213" i="241"/>
  <c r="E212" i="241"/>
  <c r="E211" i="241"/>
  <c r="E210" i="241"/>
  <c r="E209" i="241"/>
  <c r="E208" i="241"/>
  <c r="E207" i="241"/>
  <c r="E206" i="241"/>
  <c r="E231" i="241" s="1"/>
  <c r="I230" i="241"/>
  <c r="I229" i="241"/>
  <c r="I228" i="241"/>
  <c r="I227" i="241"/>
  <c r="I226" i="241"/>
  <c r="I225" i="241"/>
  <c r="I224" i="241"/>
  <c r="I223" i="241"/>
  <c r="I222" i="241"/>
  <c r="I221" i="241"/>
  <c r="I220" i="241"/>
  <c r="I219" i="241"/>
  <c r="I218" i="241"/>
  <c r="I217" i="241"/>
  <c r="I216" i="241"/>
  <c r="I215" i="241"/>
  <c r="I214" i="241"/>
  <c r="I213" i="241"/>
  <c r="I212" i="241"/>
  <c r="I211" i="241"/>
  <c r="I210" i="241"/>
  <c r="I209" i="241"/>
  <c r="I208" i="241"/>
  <c r="I207" i="241"/>
  <c r="I206" i="241"/>
  <c r="I231" i="241" s="1"/>
  <c r="K230" i="241"/>
  <c r="K229" i="241"/>
  <c r="K228" i="241"/>
  <c r="K227" i="241"/>
  <c r="K226" i="241"/>
  <c r="K225" i="241"/>
  <c r="K224" i="241"/>
  <c r="K223" i="241"/>
  <c r="K222" i="241"/>
  <c r="K221" i="241"/>
  <c r="K220" i="241"/>
  <c r="K219" i="241"/>
  <c r="K218" i="241"/>
  <c r="K217" i="241"/>
  <c r="K216" i="241"/>
  <c r="K215" i="241"/>
  <c r="K214" i="241"/>
  <c r="K213" i="241"/>
  <c r="K212" i="241"/>
  <c r="K211" i="241"/>
  <c r="K210" i="241"/>
  <c r="K209" i="241"/>
  <c r="K208" i="241"/>
  <c r="K207" i="241"/>
  <c r="K206" i="241"/>
  <c r="K231" i="241" s="1"/>
  <c r="M230" i="241"/>
  <c r="M229" i="241"/>
  <c r="M228" i="241"/>
  <c r="M227" i="241"/>
  <c r="M226" i="241"/>
  <c r="M225" i="241"/>
  <c r="M224" i="241"/>
  <c r="M223" i="241"/>
  <c r="M222" i="241"/>
  <c r="M221" i="241"/>
  <c r="M220" i="241"/>
  <c r="M219" i="241"/>
  <c r="M218" i="241"/>
  <c r="M217" i="241"/>
  <c r="M216" i="241"/>
  <c r="M215" i="241"/>
  <c r="M214" i="241"/>
  <c r="M213" i="241"/>
  <c r="M212" i="241"/>
  <c r="M211" i="241"/>
  <c r="M210" i="241"/>
  <c r="M208" i="241"/>
  <c r="M207" i="241"/>
  <c r="M206" i="241"/>
  <c r="M231" i="241" s="1"/>
  <c r="M209" i="241"/>
  <c r="O230" i="241"/>
  <c r="O229" i="241"/>
  <c r="O228" i="241"/>
  <c r="O227" i="241"/>
  <c r="O226" i="241"/>
  <c r="O225" i="241"/>
  <c r="O224" i="241"/>
  <c r="O223" i="241"/>
  <c r="O222" i="241"/>
  <c r="O221" i="241"/>
  <c r="O220" i="241"/>
  <c r="O219" i="241"/>
  <c r="O218" i="241"/>
  <c r="O217" i="241"/>
  <c r="O216" i="241"/>
  <c r="O215" i="241"/>
  <c r="O214" i="241"/>
  <c r="O213" i="241"/>
  <c r="O212" i="241"/>
  <c r="O211" i="241"/>
  <c r="O210" i="241"/>
  <c r="O209" i="241"/>
  <c r="O208" i="241"/>
  <c r="O207" i="241"/>
  <c r="O206" i="241"/>
  <c r="O231" i="241" s="1"/>
  <c r="Q230" i="241"/>
  <c r="Q229" i="241"/>
  <c r="Q228" i="241"/>
  <c r="Q227" i="241"/>
  <c r="Q226" i="241"/>
  <c r="Q225" i="241"/>
  <c r="Q224" i="241"/>
  <c r="Q223" i="241"/>
  <c r="Q222" i="241"/>
  <c r="Q221" i="241"/>
  <c r="Q220" i="241"/>
  <c r="Q219" i="241"/>
  <c r="Q218" i="241"/>
  <c r="Q217" i="241"/>
  <c r="Q216" i="241"/>
  <c r="Q215" i="241"/>
  <c r="Q214" i="241"/>
  <c r="Q213" i="241"/>
  <c r="Q212" i="241"/>
  <c r="Q211" i="241"/>
  <c r="Q210" i="241"/>
  <c r="Q209" i="241"/>
  <c r="Q208" i="241"/>
  <c r="Q207" i="241"/>
  <c r="Q206" i="241"/>
  <c r="Q231" i="241" s="1"/>
  <c r="B24" i="242"/>
  <c r="B230" i="241"/>
  <c r="B259" i="241" s="1"/>
  <c r="D95" i="241"/>
  <c r="E94" i="241" s="1"/>
  <c r="D202" i="241"/>
  <c r="F202" i="241"/>
  <c r="G202" i="241"/>
  <c r="B9" i="242"/>
  <c r="B206" i="241"/>
  <c r="B235" i="241" s="1"/>
  <c r="B19" i="242"/>
  <c r="B216" i="241"/>
  <c r="B245" i="241" s="1"/>
  <c r="B151" i="241"/>
  <c r="B154" i="241"/>
  <c r="B123" i="241"/>
  <c r="B146" i="241"/>
  <c r="B176" i="241"/>
  <c r="B210" i="241" s="1"/>
  <c r="B239" i="241" s="1"/>
  <c r="B152" i="241"/>
  <c r="B179" i="241"/>
  <c r="B155" i="241"/>
  <c r="I7" i="243"/>
  <c r="F7" i="243"/>
  <c r="D7" i="243"/>
  <c r="H7" i="243"/>
  <c r="J7" i="243"/>
  <c r="E7" i="243"/>
  <c r="G7" i="243"/>
  <c r="B150" i="241"/>
  <c r="B149" i="241"/>
  <c r="B11" i="242"/>
  <c r="B181" i="241"/>
  <c r="B15" i="242"/>
  <c r="B185" i="241"/>
  <c r="B10" i="242"/>
  <c r="B180" i="241"/>
  <c r="B14" i="242"/>
  <c r="B184" i="241"/>
  <c r="B176" i="52"/>
  <c r="B123" i="52"/>
  <c r="B153" i="52" s="1"/>
  <c r="W81" i="52"/>
  <c r="E202" i="52"/>
  <c r="E228" i="52" s="1"/>
  <c r="B210" i="52"/>
  <c r="B238" i="52" s="1"/>
  <c r="D230" i="52"/>
  <c r="D229" i="52"/>
  <c r="D228" i="52"/>
  <c r="D227" i="52"/>
  <c r="D226" i="52"/>
  <c r="D225" i="52"/>
  <c r="D224" i="52"/>
  <c r="D223" i="52"/>
  <c r="D222" i="52"/>
  <c r="D221" i="52"/>
  <c r="D220" i="52"/>
  <c r="D219" i="52"/>
  <c r="D218" i="52"/>
  <c r="D217" i="52"/>
  <c r="D216" i="52"/>
  <c r="D215" i="52"/>
  <c r="D214" i="52"/>
  <c r="D213" i="52"/>
  <c r="D212" i="52"/>
  <c r="D211" i="52"/>
  <c r="D210" i="52"/>
  <c r="D209" i="52"/>
  <c r="D208" i="52"/>
  <c r="D207" i="52"/>
  <c r="O235" i="52" s="1"/>
  <c r="D206" i="52"/>
  <c r="E229" i="52"/>
  <c r="E225" i="52"/>
  <c r="E221" i="52"/>
  <c r="E217" i="52"/>
  <c r="E213" i="52"/>
  <c r="E209" i="52"/>
  <c r="G140" i="52"/>
  <c r="G108" i="52"/>
  <c r="G92" i="52"/>
  <c r="G170" i="52"/>
  <c r="G204" i="52" s="1"/>
  <c r="G232" i="52" s="1"/>
  <c r="H15" i="52"/>
  <c r="B179" i="52"/>
  <c r="B213" i="52" s="1"/>
  <c r="B241" i="52" s="1"/>
  <c r="B9" i="66"/>
  <c r="B142" i="52"/>
  <c r="P100" i="52"/>
  <c r="B119" i="52"/>
  <c r="B149" i="52" s="1"/>
  <c r="I94" i="52"/>
  <c r="H104" i="52"/>
  <c r="H100" i="52"/>
  <c r="H101" i="52"/>
  <c r="H89" i="52"/>
  <c r="H202" i="52" s="1"/>
  <c r="B16" i="66"/>
  <c r="P104" i="52"/>
  <c r="Q94" i="52"/>
  <c r="O94" i="52"/>
  <c r="M94" i="52"/>
  <c r="L104" i="52"/>
  <c r="J101" i="52"/>
  <c r="J100" i="52"/>
  <c r="G89" i="52"/>
  <c r="F202" i="52" s="1"/>
  <c r="K94" i="52"/>
  <c r="B175" i="52"/>
  <c r="B209" i="52" s="1"/>
  <c r="B237" i="52" s="1"/>
  <c r="B145" i="52"/>
  <c r="B122" i="52"/>
  <c r="B152" i="52" s="1"/>
  <c r="I95" i="52"/>
  <c r="I101" i="52" s="1"/>
  <c r="I202" i="52"/>
  <c r="R101" i="52"/>
  <c r="N104" i="52"/>
  <c r="L101" i="52"/>
  <c r="O95" i="52"/>
  <c r="P94" i="52" s="1"/>
  <c r="O202" i="52"/>
  <c r="M95" i="52"/>
  <c r="M104" i="52" s="1"/>
  <c r="M202" i="52"/>
  <c r="J202" i="52"/>
  <c r="N101" i="52"/>
  <c r="K95" i="52"/>
  <c r="K202" i="52"/>
  <c r="P202" i="52"/>
  <c r="R100" i="52"/>
  <c r="L100" i="52"/>
  <c r="Q95" i="52"/>
  <c r="Q104" i="52" s="1"/>
  <c r="Q202" i="52"/>
  <c r="L202" i="52"/>
  <c r="N202" i="52"/>
  <c r="R202" i="52"/>
  <c r="O6" i="12"/>
  <c r="D12" i="52"/>
  <c r="S62" i="73"/>
  <c r="D95" i="52"/>
  <c r="E95" i="52" s="1"/>
  <c r="F94" i="52" s="1"/>
  <c r="AD35" i="172"/>
  <c r="AF35" i="172" s="1"/>
  <c r="AD19" i="172"/>
  <c r="AF19" i="172" s="1"/>
  <c r="E95" i="241"/>
  <c r="F94" i="241" s="1"/>
  <c r="F13" i="156"/>
  <c r="L49" i="62"/>
  <c r="G113" i="156"/>
  <c r="H48" i="251"/>
  <c r="H48" i="257"/>
  <c r="H48" i="249"/>
  <c r="H48" i="12"/>
  <c r="H48" i="250"/>
  <c r="H48" i="244"/>
  <c r="H48" i="256"/>
  <c r="L59" i="73"/>
  <c r="L207" i="73"/>
  <c r="L211" i="73" s="1"/>
  <c r="L213" i="73" s="1"/>
  <c r="Q10" i="256"/>
  <c r="Q14" i="256"/>
  <c r="Q18" i="256"/>
  <c r="Q22" i="256"/>
  <c r="Q13" i="256"/>
  <c r="S13" i="256" s="1"/>
  <c r="T13" i="256" s="1"/>
  <c r="Q17" i="256"/>
  <c r="Q21" i="256"/>
  <c r="S21" i="256" s="1"/>
  <c r="T21" i="256" s="1"/>
  <c r="Q25" i="256"/>
  <c r="Q29" i="256"/>
  <c r="S29" i="256" s="1"/>
  <c r="T29" i="256" s="1"/>
  <c r="Q33" i="256"/>
  <c r="S33" i="256" s="1"/>
  <c r="Q12" i="256"/>
  <c r="Q16" i="256"/>
  <c r="Q20" i="256"/>
  <c r="Q24" i="256"/>
  <c r="Q11" i="256"/>
  <c r="Q15" i="256"/>
  <c r="Q19" i="256"/>
  <c r="S19" i="256" s="1"/>
  <c r="T19" i="256" s="1"/>
  <c r="Q23" i="256"/>
  <c r="S23" i="256" s="1"/>
  <c r="Q27" i="256"/>
  <c r="Q31" i="256"/>
  <c r="S31" i="256" s="1"/>
  <c r="Q35" i="256"/>
  <c r="Q36" i="256"/>
  <c r="Q39" i="256"/>
  <c r="S39" i="256" s="1"/>
  <c r="T39" i="256" s="1"/>
  <c r="Q26" i="256"/>
  <c r="Q28" i="256"/>
  <c r="Q30" i="256"/>
  <c r="Q32" i="256"/>
  <c r="Q34" i="256"/>
  <c r="Q38" i="256"/>
  <c r="Q37" i="256"/>
  <c r="S37" i="256" s="1"/>
  <c r="T37" i="256" s="1"/>
  <c r="N41" i="256"/>
  <c r="N42" i="256"/>
  <c r="N43" i="256"/>
  <c r="N44" i="256"/>
  <c r="N45" i="256"/>
  <c r="N46" i="256"/>
  <c r="I72" i="8"/>
  <c r="S56" i="8"/>
  <c r="AC34" i="251"/>
  <c r="AC30" i="256"/>
  <c r="AC26" i="257"/>
  <c r="AC20" i="249"/>
  <c r="T16" i="244"/>
  <c r="X16" i="244"/>
  <c r="AC16" i="244"/>
  <c r="AC12" i="12"/>
  <c r="AC35" i="249"/>
  <c r="AC27" i="249"/>
  <c r="AC19" i="256"/>
  <c r="AC11" i="256"/>
  <c r="C28" i="172"/>
  <c r="R28" i="47"/>
  <c r="W28" i="47"/>
  <c r="S28" i="47"/>
  <c r="X28" i="47"/>
  <c r="T28" i="47"/>
  <c r="Y28" i="47"/>
  <c r="V28" i="47"/>
  <c r="Z28" i="47"/>
  <c r="D44" i="79"/>
  <c r="AA10" i="41"/>
  <c r="AA8" i="41" s="1" a="1"/>
  <c r="AA8" i="41" s="1"/>
  <c r="D22" i="248" s="1"/>
  <c r="R41" i="41"/>
  <c r="R42" i="41"/>
  <c r="R43" i="41"/>
  <c r="R44" i="41"/>
  <c r="R45" i="41"/>
  <c r="R46" i="41"/>
  <c r="C12" i="47"/>
  <c r="F95" i="241"/>
  <c r="G95" i="241" s="1"/>
  <c r="L28" i="6"/>
  <c r="I31" i="6"/>
  <c r="N10" i="249"/>
  <c r="N14" i="249"/>
  <c r="N18" i="249"/>
  <c r="N22" i="249"/>
  <c r="N26" i="249"/>
  <c r="N30" i="249"/>
  <c r="N34" i="249"/>
  <c r="N38" i="249"/>
  <c r="N48" i="249"/>
  <c r="N50" i="249"/>
  <c r="Q6" i="249"/>
  <c r="N13" i="249"/>
  <c r="N17" i="249"/>
  <c r="N21" i="249"/>
  <c r="N25" i="249"/>
  <c r="N29" i="249"/>
  <c r="N33" i="249"/>
  <c r="N37" i="249"/>
  <c r="N12" i="249"/>
  <c r="N16" i="249"/>
  <c r="N20" i="249"/>
  <c r="N24" i="249"/>
  <c r="N28" i="249"/>
  <c r="N32" i="249"/>
  <c r="N36" i="249"/>
  <c r="N11" i="249"/>
  <c r="N15" i="249"/>
  <c r="N19" i="249"/>
  <c r="N23" i="249"/>
  <c r="N27" i="249"/>
  <c r="N31" i="249"/>
  <c r="N35" i="249"/>
  <c r="N39" i="249"/>
  <c r="C31" i="172"/>
  <c r="R31" i="47"/>
  <c r="W31" i="47"/>
  <c r="S31" i="47"/>
  <c r="X31" i="47"/>
  <c r="T31" i="47"/>
  <c r="Y31" i="47"/>
  <c r="V31" i="47"/>
  <c r="Z31" i="47"/>
  <c r="D47" i="79"/>
  <c r="AC36" i="249"/>
  <c r="AC32" i="257"/>
  <c r="AC26" i="251"/>
  <c r="T22" i="244"/>
  <c r="X22" i="244"/>
  <c r="AC22" i="244"/>
  <c r="T18" i="12"/>
  <c r="AC18" i="12"/>
  <c r="AC14" i="249"/>
  <c r="T37" i="244"/>
  <c r="AC37" i="244"/>
  <c r="AC33" i="244"/>
  <c r="T29" i="244"/>
  <c r="AC29" i="244"/>
  <c r="AC25" i="244"/>
  <c r="T21" i="244"/>
  <c r="AC21" i="244"/>
  <c r="T17" i="244"/>
  <c r="X17" i="244"/>
  <c r="AC17" i="244"/>
  <c r="T13" i="244"/>
  <c r="AC13" i="244"/>
  <c r="X13" i="244"/>
  <c r="C34" i="172"/>
  <c r="R34" i="47"/>
  <c r="W34" i="47"/>
  <c r="S34" i="47"/>
  <c r="X34" i="47"/>
  <c r="T34" i="47"/>
  <c r="Y34" i="47"/>
  <c r="V34" i="47"/>
  <c r="Z34" i="47"/>
  <c r="D50" i="79"/>
  <c r="C18" i="172"/>
  <c r="R18" i="47"/>
  <c r="W18" i="47"/>
  <c r="S18" i="47"/>
  <c r="X18" i="47"/>
  <c r="T18" i="47"/>
  <c r="Y18" i="47"/>
  <c r="V18" i="47"/>
  <c r="Z18" i="47"/>
  <c r="D34" i="79"/>
  <c r="AD39" i="172"/>
  <c r="AF39" i="172" s="1"/>
  <c r="AD31" i="172"/>
  <c r="AF31" i="172" s="1"/>
  <c r="AD23" i="172"/>
  <c r="AF23" i="172" s="1"/>
  <c r="AD15" i="172"/>
  <c r="AF15" i="172" s="1"/>
  <c r="S41" i="244"/>
  <c r="S42" i="244"/>
  <c r="S43" i="244"/>
  <c r="S44" i="244"/>
  <c r="S46" i="244"/>
  <c r="S45" i="244"/>
  <c r="H34" i="10"/>
  <c r="S28" i="10"/>
  <c r="H43" i="10"/>
  <c r="S43" i="10" s="1"/>
  <c r="C19" i="172"/>
  <c r="R19" i="47"/>
  <c r="W19" i="47"/>
  <c r="S19" i="47"/>
  <c r="X19" i="47"/>
  <c r="T19" i="47"/>
  <c r="Y19" i="47"/>
  <c r="V19" i="47"/>
  <c r="Z19" i="47"/>
  <c r="D35" i="79"/>
  <c r="C37" i="172"/>
  <c r="R37" i="47"/>
  <c r="W37" i="47"/>
  <c r="S37" i="47"/>
  <c r="X37" i="47"/>
  <c r="T37" i="47"/>
  <c r="Y37" i="47"/>
  <c r="V37" i="47"/>
  <c r="Z37" i="47"/>
  <c r="D53" i="79"/>
  <c r="C23" i="172"/>
  <c r="R23" i="47"/>
  <c r="W23" i="47"/>
  <c r="S23" i="47"/>
  <c r="X23" i="47"/>
  <c r="T23" i="47"/>
  <c r="Y23" i="47"/>
  <c r="V23" i="47"/>
  <c r="Z23" i="47"/>
  <c r="D39" i="79"/>
  <c r="F56" i="8"/>
  <c r="O45" i="8"/>
  <c r="E56" i="8"/>
  <c r="AC38" i="251"/>
  <c r="AC34" i="256"/>
  <c r="AC30" i="257"/>
  <c r="AC24" i="250"/>
  <c r="T20" i="244"/>
  <c r="X20" i="244"/>
  <c r="AC20" i="244"/>
  <c r="T16" i="12"/>
  <c r="X16" i="12"/>
  <c r="AC16" i="12"/>
  <c r="AC12" i="256"/>
  <c r="M46" i="173"/>
  <c r="M45" i="173"/>
  <c r="M49" i="173"/>
  <c r="M44" i="173"/>
  <c r="M48" i="173"/>
  <c r="M47" i="173"/>
  <c r="L45" i="173"/>
  <c r="L49" i="173"/>
  <c r="L44" i="173"/>
  <c r="L48" i="173"/>
  <c r="L47" i="173"/>
  <c r="L46" i="173"/>
  <c r="C47" i="173"/>
  <c r="C46" i="173"/>
  <c r="C45" i="173"/>
  <c r="C49" i="173"/>
  <c r="C44" i="173"/>
  <c r="C48" i="173"/>
  <c r="AC39" i="256"/>
  <c r="T35" i="12"/>
  <c r="X35" i="12"/>
  <c r="AC35" i="12"/>
  <c r="AC31" i="12"/>
  <c r="AC27" i="12"/>
  <c r="AC23" i="256"/>
  <c r="T19" i="12"/>
  <c r="X19" i="12"/>
  <c r="AC19" i="12"/>
  <c r="AC15" i="12"/>
  <c r="T11" i="12"/>
  <c r="X11" i="12"/>
  <c r="AC11" i="12"/>
  <c r="C32" i="172"/>
  <c r="R32" i="47"/>
  <c r="W32" i="47"/>
  <c r="S32" i="47"/>
  <c r="X32" i="47"/>
  <c r="T32" i="47"/>
  <c r="Y32" i="47"/>
  <c r="V32" i="47"/>
  <c r="Z32" i="47"/>
  <c r="D48" i="79"/>
  <c r="F26" i="243"/>
  <c r="D26" i="243"/>
  <c r="G43" i="10"/>
  <c r="R43" i="10" s="1"/>
  <c r="R28" i="10"/>
  <c r="G34" i="10"/>
  <c r="C114" i="156"/>
  <c r="U28" i="10"/>
  <c r="J43" i="10"/>
  <c r="J34" i="10"/>
  <c r="C15" i="172"/>
  <c r="R15" i="47"/>
  <c r="W15" i="47"/>
  <c r="S15" i="47"/>
  <c r="X15" i="47"/>
  <c r="T15" i="47"/>
  <c r="Y15" i="47"/>
  <c r="V15" i="47"/>
  <c r="Z15" i="47"/>
  <c r="D31" i="79"/>
  <c r="AC36" i="257"/>
  <c r="AC30" i="250"/>
  <c r="AC26" i="244"/>
  <c r="T22" i="12"/>
  <c r="X22" i="12"/>
  <c r="AC22" i="12"/>
  <c r="AC18" i="249"/>
  <c r="AC12" i="251"/>
  <c r="K10" i="244"/>
  <c r="I42" i="244"/>
  <c r="I44" i="244"/>
  <c r="I46" i="244"/>
  <c r="I41" i="244"/>
  <c r="I43" i="244"/>
  <c r="I45" i="244"/>
  <c r="AC39" i="257"/>
  <c r="AC35" i="257"/>
  <c r="AC31" i="257"/>
  <c r="AC27" i="257"/>
  <c r="AC23" i="257"/>
  <c r="AC19" i="257"/>
  <c r="AC15" i="257"/>
  <c r="AC11" i="257"/>
  <c r="U43" i="41"/>
  <c r="S43" i="234"/>
  <c r="S47" i="234"/>
  <c r="S44" i="234"/>
  <c r="S45" i="234"/>
  <c r="S42" i="234"/>
  <c r="S46" i="234"/>
  <c r="I12" i="41"/>
  <c r="K69" i="133"/>
  <c r="M30" i="6"/>
  <c r="M19" i="6"/>
  <c r="M20" i="6" s="1"/>
  <c r="H59" i="73"/>
  <c r="H207" i="73"/>
  <c r="H211" i="73" s="1"/>
  <c r="H213" i="73" s="1"/>
  <c r="D8" i="8"/>
  <c r="N8" i="8" s="1"/>
  <c r="O9" i="10"/>
  <c r="AC38" i="249"/>
  <c r="AC34" i="257"/>
  <c r="AC28" i="250"/>
  <c r="T24" i="244"/>
  <c r="AC24" i="244"/>
  <c r="T20" i="12"/>
  <c r="X20" i="12"/>
  <c r="AC20" i="12"/>
  <c r="AC16" i="256"/>
  <c r="AC33" i="249"/>
  <c r="AC25" i="249"/>
  <c r="AC17" i="249"/>
  <c r="C36" i="172"/>
  <c r="R36" i="47"/>
  <c r="W36" i="47"/>
  <c r="S36" i="47"/>
  <c r="X36" i="47"/>
  <c r="T36" i="47"/>
  <c r="Y36" i="47"/>
  <c r="V36" i="47"/>
  <c r="Z36" i="47"/>
  <c r="D52" i="79"/>
  <c r="V16" i="41"/>
  <c r="I16" i="41" s="1"/>
  <c r="K13" i="133"/>
  <c r="B13" i="133" s="1"/>
  <c r="G13" i="133" s="1"/>
  <c r="B3" i="132" s="1"/>
  <c r="B61" i="126" s="1"/>
  <c r="J14" i="133"/>
  <c r="B185" i="52"/>
  <c r="B15" i="66"/>
  <c r="B181" i="52"/>
  <c r="B11" i="66"/>
  <c r="C13" i="172"/>
  <c r="R13" i="47"/>
  <c r="W13" i="47"/>
  <c r="S13" i="47"/>
  <c r="X13" i="47"/>
  <c r="T13" i="47"/>
  <c r="Y13" i="47"/>
  <c r="V13" i="47"/>
  <c r="Z13" i="47"/>
  <c r="D29" i="79"/>
  <c r="D47" i="14"/>
  <c r="E47" i="14" s="1"/>
  <c r="D49" i="14"/>
  <c r="E49" i="14" s="1"/>
  <c r="D46" i="14"/>
  <c r="E46" i="14" s="1"/>
  <c r="Q22" i="8"/>
  <c r="Q26" i="8"/>
  <c r="Q36" i="8"/>
  <c r="Q42" i="8"/>
  <c r="Q50" i="8"/>
  <c r="Q15" i="8"/>
  <c r="Q25" i="8"/>
  <c r="Q14" i="8"/>
  <c r="Q18" i="8"/>
  <c r="Q24" i="8"/>
  <c r="Q29" i="8"/>
  <c r="Q34" i="8"/>
  <c r="Q48" i="8"/>
  <c r="Q52" i="8"/>
  <c r="Q35" i="8"/>
  <c r="Q49" i="8"/>
  <c r="Q41" i="8"/>
  <c r="Q43" i="8"/>
  <c r="Q17" i="8"/>
  <c r="Q51" i="8"/>
  <c r="Q27" i="8"/>
  <c r="Q23" i="8"/>
  <c r="Q13" i="8"/>
  <c r="Q16" i="8"/>
  <c r="Q37" i="8"/>
  <c r="AC34" i="250"/>
  <c r="AC30" i="244"/>
  <c r="AC26" i="12"/>
  <c r="AC22" i="249"/>
  <c r="AC16" i="251"/>
  <c r="AC12" i="250"/>
  <c r="K10" i="12"/>
  <c r="I41" i="12"/>
  <c r="I42" i="12"/>
  <c r="I43" i="12"/>
  <c r="I44" i="12"/>
  <c r="I45" i="12"/>
  <c r="I46" i="12"/>
  <c r="S41" i="12"/>
  <c r="S42" i="12"/>
  <c r="S43" i="12"/>
  <c r="S44" i="12"/>
  <c r="S45" i="12"/>
  <c r="S46" i="12"/>
  <c r="AC37" i="256"/>
  <c r="AC33" i="256"/>
  <c r="AC29" i="256"/>
  <c r="AC25" i="256"/>
  <c r="AC21" i="256"/>
  <c r="AC17" i="256"/>
  <c r="AC13" i="256"/>
  <c r="Q54" i="8"/>
  <c r="D32" i="62"/>
  <c r="D40" i="48"/>
  <c r="G31" i="6"/>
  <c r="Q39" i="8"/>
  <c r="C17" i="172"/>
  <c r="R17" i="47"/>
  <c r="W17" i="47"/>
  <c r="S17" i="47"/>
  <c r="X17" i="47"/>
  <c r="T17" i="47"/>
  <c r="Y17" i="47"/>
  <c r="V17" i="47"/>
  <c r="Z17" i="47"/>
  <c r="D33" i="79"/>
  <c r="T38" i="12"/>
  <c r="AC38" i="12"/>
  <c r="AC32" i="250"/>
  <c r="T28" i="244"/>
  <c r="AC28" i="244"/>
  <c r="T24" i="12"/>
  <c r="AC24" i="12"/>
  <c r="AC20" i="256"/>
  <c r="AC14" i="251"/>
  <c r="G46" i="173"/>
  <c r="G45" i="173"/>
  <c r="G49" i="173"/>
  <c r="G44" i="173"/>
  <c r="G48" i="173"/>
  <c r="G47" i="173"/>
  <c r="J44" i="173"/>
  <c r="J48" i="173"/>
  <c r="J47" i="173"/>
  <c r="J46" i="173"/>
  <c r="J45" i="173"/>
  <c r="J49" i="173"/>
  <c r="F45" i="173"/>
  <c r="F49" i="173"/>
  <c r="F44" i="173"/>
  <c r="F48" i="173"/>
  <c r="F47" i="173"/>
  <c r="F46" i="173"/>
  <c r="AC37" i="250"/>
  <c r="AC33" i="250"/>
  <c r="AC29" i="250"/>
  <c r="AC25" i="250"/>
  <c r="AC21" i="250"/>
  <c r="AC17" i="251"/>
  <c r="AC13" i="251"/>
  <c r="C40" i="172"/>
  <c r="R40" i="47"/>
  <c r="W40" i="47"/>
  <c r="S40" i="47"/>
  <c r="X40" i="47"/>
  <c r="T40" i="47"/>
  <c r="Y40" i="47"/>
  <c r="V40" i="47"/>
  <c r="Z40" i="47"/>
  <c r="D56" i="79"/>
  <c r="K26" i="243"/>
  <c r="I26" i="243"/>
  <c r="L67" i="133"/>
  <c r="B66" i="133"/>
  <c r="O6" i="14"/>
  <c r="D56" i="14" s="1"/>
  <c r="N6" i="250"/>
  <c r="G15" i="11"/>
  <c r="F51" i="6"/>
  <c r="J51" i="6"/>
  <c r="G51" i="6"/>
  <c r="K51" i="6"/>
  <c r="H51" i="6"/>
  <c r="L51" i="6"/>
  <c r="I51" i="6"/>
  <c r="M51" i="6"/>
  <c r="C41" i="172"/>
  <c r="R41" i="47"/>
  <c r="W41" i="47"/>
  <c r="S41" i="47"/>
  <c r="X41" i="47"/>
  <c r="T41" i="47"/>
  <c r="Y41" i="47"/>
  <c r="V41" i="47"/>
  <c r="Z41" i="47"/>
  <c r="D57" i="79"/>
  <c r="AC38" i="250"/>
  <c r="T34" i="244"/>
  <c r="X34" i="244"/>
  <c r="AC34" i="244"/>
  <c r="AC30" i="12"/>
  <c r="AC26" i="249"/>
  <c r="AC20" i="251"/>
  <c r="AC16" i="249"/>
  <c r="AC12" i="257"/>
  <c r="AC37" i="251"/>
  <c r="AC33" i="251"/>
  <c r="AC29" i="251"/>
  <c r="AC25" i="251"/>
  <c r="AC21" i="251"/>
  <c r="AC17" i="250"/>
  <c r="AC13" i="250"/>
  <c r="C38" i="172"/>
  <c r="R38" i="47"/>
  <c r="W38" i="47"/>
  <c r="S38" i="47"/>
  <c r="X38" i="47"/>
  <c r="T38" i="47"/>
  <c r="Y38" i="47"/>
  <c r="V38" i="47"/>
  <c r="Z38" i="47"/>
  <c r="D54" i="79"/>
  <c r="C22" i="172"/>
  <c r="R22" i="47"/>
  <c r="W22" i="47"/>
  <c r="S22" i="47"/>
  <c r="X22" i="47"/>
  <c r="T22" i="47"/>
  <c r="Y22" i="47"/>
  <c r="V22" i="47"/>
  <c r="Z22" i="47"/>
  <c r="D38" i="79"/>
  <c r="U46" i="41"/>
  <c r="U42" i="41"/>
  <c r="H41" i="257"/>
  <c r="H42" i="257"/>
  <c r="H43" i="257"/>
  <c r="H44" i="257"/>
  <c r="H45" i="257"/>
  <c r="H46" i="257"/>
  <c r="AD37" i="172"/>
  <c r="AF37" i="172" s="1"/>
  <c r="AD29" i="172"/>
  <c r="AF29" i="172" s="1"/>
  <c r="AD21" i="172"/>
  <c r="AF21" i="172" s="1"/>
  <c r="AD13" i="172"/>
  <c r="AF13" i="172" s="1"/>
  <c r="T42" i="234"/>
  <c r="T46" i="234"/>
  <c r="T43" i="234"/>
  <c r="T47" i="234"/>
  <c r="U12" i="234"/>
  <c r="T44" i="234"/>
  <c r="V12" i="234"/>
  <c r="T45" i="234"/>
  <c r="I20" i="41"/>
  <c r="D25" i="126"/>
  <c r="D26" i="126"/>
  <c r="F26" i="126" s="1"/>
  <c r="F56" i="126" s="1"/>
  <c r="B10" i="232"/>
  <c r="G61" i="133"/>
  <c r="B3" i="242" s="1"/>
  <c r="I207" i="73"/>
  <c r="I211" i="73" s="1"/>
  <c r="I213" i="73" s="1"/>
  <c r="I59" i="73"/>
  <c r="D59" i="73"/>
  <c r="D207" i="73"/>
  <c r="D211" i="73" s="1"/>
  <c r="D213" i="73" s="1"/>
  <c r="C35" i="172"/>
  <c r="R35" i="47"/>
  <c r="W35" i="47"/>
  <c r="S35" i="47"/>
  <c r="X35" i="47"/>
  <c r="T35" i="47"/>
  <c r="Y35" i="47"/>
  <c r="V35" i="47"/>
  <c r="Z35" i="47"/>
  <c r="D51" i="79"/>
  <c r="AC36" i="250"/>
  <c r="AC32" i="244"/>
  <c r="T28" i="12"/>
  <c r="AC28" i="12"/>
  <c r="AC24" i="256"/>
  <c r="AC18" i="251"/>
  <c r="AC14" i="256"/>
  <c r="I41" i="257"/>
  <c r="I42" i="257"/>
  <c r="I43" i="257"/>
  <c r="I44" i="257"/>
  <c r="I45" i="257"/>
  <c r="I46" i="257"/>
  <c r="K10" i="257"/>
  <c r="AC39" i="249"/>
  <c r="AC31" i="249"/>
  <c r="AC23" i="249"/>
  <c r="AC15" i="256"/>
  <c r="V24" i="41"/>
  <c r="I24" i="41" s="1"/>
  <c r="H41" i="12"/>
  <c r="H42" i="12"/>
  <c r="H43" i="12"/>
  <c r="H44" i="12"/>
  <c r="H45" i="12"/>
  <c r="H46" i="12"/>
  <c r="O13" i="244"/>
  <c r="O12" i="244"/>
  <c r="O18" i="244"/>
  <c r="O22" i="244"/>
  <c r="O26" i="244"/>
  <c r="T26" i="244" s="1"/>
  <c r="O30" i="244"/>
  <c r="T30" i="244" s="1"/>
  <c r="O10" i="244"/>
  <c r="O17" i="244"/>
  <c r="O21" i="244"/>
  <c r="O25" i="244"/>
  <c r="T25" i="244" s="1"/>
  <c r="O29" i="244"/>
  <c r="O33" i="244"/>
  <c r="T33" i="244" s="1"/>
  <c r="O11" i="244"/>
  <c r="O16" i="244"/>
  <c r="O20" i="244"/>
  <c r="O24" i="244"/>
  <c r="O28" i="244"/>
  <c r="O32" i="244"/>
  <c r="T32" i="244" s="1"/>
  <c r="O36" i="244"/>
  <c r="O14" i="244"/>
  <c r="O15" i="244"/>
  <c r="T15" i="244" s="1"/>
  <c r="O19" i="244"/>
  <c r="O23" i="244"/>
  <c r="O27" i="244"/>
  <c r="O31" i="244"/>
  <c r="O35" i="244"/>
  <c r="O39" i="244"/>
  <c r="O34" i="244"/>
  <c r="O37" i="244"/>
  <c r="O48" i="244"/>
  <c r="D12" i="241" s="1"/>
  <c r="N97" i="241" s="1"/>
  <c r="O50" i="244"/>
  <c r="O38" i="244"/>
  <c r="B177" i="52"/>
  <c r="B211" i="52" s="1"/>
  <c r="B239" i="52" s="1"/>
  <c r="B124" i="52"/>
  <c r="B154" i="52" s="1"/>
  <c r="C25" i="172"/>
  <c r="R25" i="47"/>
  <c r="W25" i="47"/>
  <c r="S25" i="47"/>
  <c r="X25" i="47"/>
  <c r="T25" i="47"/>
  <c r="Y25" i="47"/>
  <c r="V25" i="47"/>
  <c r="Z25" i="47"/>
  <c r="D41" i="79"/>
  <c r="T38" i="244"/>
  <c r="AC38" i="244"/>
  <c r="T34" i="12"/>
  <c r="X34" i="12"/>
  <c r="AC34" i="12"/>
  <c r="AC30" i="249"/>
  <c r="AC24" i="251"/>
  <c r="AC20" i="250"/>
  <c r="AC16" i="257"/>
  <c r="K10" i="250"/>
  <c r="I42" i="250"/>
  <c r="I44" i="250"/>
  <c r="I41" i="250"/>
  <c r="I43" i="250"/>
  <c r="I45" i="250"/>
  <c r="I46" i="250"/>
  <c r="I53" i="6"/>
  <c r="F53" i="6"/>
  <c r="G53" i="6"/>
  <c r="K53" i="6"/>
  <c r="H53" i="6"/>
  <c r="L53" i="6"/>
  <c r="J53" i="6"/>
  <c r="T39" i="244"/>
  <c r="AC39" i="244"/>
  <c r="T35" i="244"/>
  <c r="X35" i="244"/>
  <c r="AC35" i="244"/>
  <c r="T31" i="244"/>
  <c r="AC31" i="244"/>
  <c r="T27" i="244"/>
  <c r="AC27" i="244"/>
  <c r="T23" i="244"/>
  <c r="X23" i="244"/>
  <c r="AC23" i="244"/>
  <c r="T19" i="244"/>
  <c r="X19" i="244"/>
  <c r="AC19" i="244"/>
  <c r="AC15" i="244"/>
  <c r="T11" i="244"/>
  <c r="X11" i="244"/>
  <c r="AC11" i="244"/>
  <c r="C26" i="172"/>
  <c r="R26" i="47"/>
  <c r="W26" i="47"/>
  <c r="S26" i="47"/>
  <c r="X26" i="47"/>
  <c r="T26" i="47"/>
  <c r="Y26" i="47"/>
  <c r="V26" i="47"/>
  <c r="Z26" i="47"/>
  <c r="D42" i="79"/>
  <c r="H41" i="249"/>
  <c r="H42" i="249"/>
  <c r="H43" i="249"/>
  <c r="H44" i="249"/>
  <c r="H45" i="249"/>
  <c r="H46" i="249"/>
  <c r="Q56" i="8"/>
  <c r="G72" i="8"/>
  <c r="Q45" i="8"/>
  <c r="D72" i="8"/>
  <c r="N56" i="8"/>
  <c r="T36" i="244"/>
  <c r="AC36" i="244"/>
  <c r="AC32" i="12"/>
  <c r="AC28" i="256"/>
  <c r="AC22" i="251"/>
  <c r="AC18" i="256"/>
  <c r="AC14" i="257"/>
  <c r="P44" i="173"/>
  <c r="P48" i="173"/>
  <c r="P47" i="173"/>
  <c r="P46" i="173"/>
  <c r="P45" i="173"/>
  <c r="P49" i="173"/>
  <c r="N47" i="173"/>
  <c r="N46" i="173"/>
  <c r="N45" i="173"/>
  <c r="N49" i="173"/>
  <c r="N44" i="173"/>
  <c r="N48" i="173"/>
  <c r="AC37" i="257"/>
  <c r="AC33" i="257"/>
  <c r="AC29" i="257"/>
  <c r="AC25" i="257"/>
  <c r="AC21" i="257"/>
  <c r="AC17" i="257"/>
  <c r="AC13" i="257"/>
  <c r="C16" i="172"/>
  <c r="R16" i="47"/>
  <c r="W16" i="47"/>
  <c r="S16" i="47"/>
  <c r="X16" i="47"/>
  <c r="T16" i="47"/>
  <c r="Y16" i="47"/>
  <c r="V16" i="47"/>
  <c r="Z16" i="47"/>
  <c r="D32" i="79"/>
  <c r="H41" i="256"/>
  <c r="H42" i="256"/>
  <c r="H43" i="256"/>
  <c r="H44" i="256"/>
  <c r="H45" i="256"/>
  <c r="H46" i="256"/>
  <c r="O97" i="241"/>
  <c r="G26" i="243"/>
  <c r="E26" i="243"/>
  <c r="B14" i="232"/>
  <c r="G65" i="133"/>
  <c r="B3" i="185" s="1"/>
  <c r="M9" i="243"/>
  <c r="B33" i="236"/>
  <c r="D34" i="10"/>
  <c r="O28" i="10"/>
  <c r="D43" i="10"/>
  <c r="O43" i="10" s="1"/>
  <c r="C29" i="172"/>
  <c r="R29" i="47"/>
  <c r="W29" i="47"/>
  <c r="S29" i="47"/>
  <c r="X29" i="47"/>
  <c r="T29" i="47"/>
  <c r="Y29" i="47"/>
  <c r="V29" i="47"/>
  <c r="Z29" i="47"/>
  <c r="D45" i="79"/>
  <c r="F34" i="10"/>
  <c r="F43" i="10"/>
  <c r="Q43" i="10" s="1"/>
  <c r="Q28" i="10"/>
  <c r="AC38" i="256"/>
  <c r="AC34" i="249"/>
  <c r="AC28" i="251"/>
  <c r="AC24" i="249"/>
  <c r="AC20" i="257"/>
  <c r="AC14" i="250"/>
  <c r="T37" i="12"/>
  <c r="AC37" i="12"/>
  <c r="AC33" i="12"/>
  <c r="T29" i="12"/>
  <c r="AC29" i="12"/>
  <c r="AC25" i="12"/>
  <c r="T21" i="12"/>
  <c r="AC21" i="12"/>
  <c r="AC17" i="12"/>
  <c r="T13" i="12"/>
  <c r="AC13" i="12"/>
  <c r="U45" i="41"/>
  <c r="U41" i="41"/>
  <c r="H41" i="251"/>
  <c r="H42" i="251"/>
  <c r="H43" i="251"/>
  <c r="H44" i="251"/>
  <c r="H45" i="251"/>
  <c r="H46" i="251"/>
  <c r="R97" i="241"/>
  <c r="R44" i="234"/>
  <c r="R45" i="234"/>
  <c r="R42" i="234"/>
  <c r="R46" i="234"/>
  <c r="R43" i="234"/>
  <c r="R47" i="234"/>
  <c r="E97" i="241"/>
  <c r="I28" i="41"/>
  <c r="O12" i="6"/>
  <c r="O53" i="6" s="1"/>
  <c r="N14" i="6"/>
  <c r="N53" i="6"/>
  <c r="B62" i="133"/>
  <c r="K63" i="133"/>
  <c r="B63" i="133" s="1"/>
  <c r="E207" i="73"/>
  <c r="E211" i="73" s="1"/>
  <c r="E213" i="73" s="1"/>
  <c r="E59" i="73"/>
  <c r="F44" i="73"/>
  <c r="F46" i="73" s="1"/>
  <c r="F48" i="73" s="1"/>
  <c r="F53" i="73" s="1"/>
  <c r="F55" i="73" s="1"/>
  <c r="J44" i="73"/>
  <c r="J46" i="73" s="1"/>
  <c r="J48" i="73" s="1"/>
  <c r="J53" i="73" s="1"/>
  <c r="J55" i="73" s="1"/>
  <c r="G44" i="73"/>
  <c r="G46" i="73" s="1"/>
  <c r="G48" i="73" s="1"/>
  <c r="G53" i="73" s="1"/>
  <c r="G55" i="73" s="1"/>
  <c r="K44" i="73"/>
  <c r="K46" i="73" s="1"/>
  <c r="K48" i="73" s="1"/>
  <c r="K53" i="73" s="1"/>
  <c r="K55" i="73" s="1"/>
  <c r="M44" i="73"/>
  <c r="M46" i="73" s="1"/>
  <c r="M48" i="73" s="1"/>
  <c r="M53" i="73" s="1"/>
  <c r="M55" i="73" s="1"/>
  <c r="G136" i="126"/>
  <c r="C21" i="172"/>
  <c r="R21" i="47"/>
  <c r="W21" i="47"/>
  <c r="S21" i="47"/>
  <c r="X21" i="47"/>
  <c r="T21" i="47"/>
  <c r="Y21" i="47"/>
  <c r="V21" i="47"/>
  <c r="Z21" i="47"/>
  <c r="D37" i="79"/>
  <c r="K10" i="229"/>
  <c r="C39" i="172"/>
  <c r="R39" i="47"/>
  <c r="W39" i="47"/>
  <c r="S39" i="47"/>
  <c r="X39" i="47"/>
  <c r="T39" i="47"/>
  <c r="Y39" i="47"/>
  <c r="V39" i="47"/>
  <c r="Z39" i="47"/>
  <c r="D55" i="79"/>
  <c r="C33" i="172"/>
  <c r="R33" i="47"/>
  <c r="W33" i="47"/>
  <c r="S33" i="47"/>
  <c r="X33" i="47"/>
  <c r="T33" i="47"/>
  <c r="Y33" i="47"/>
  <c r="V33" i="47"/>
  <c r="Z33" i="47"/>
  <c r="D49" i="79"/>
  <c r="T36" i="12"/>
  <c r="AC36" i="12"/>
  <c r="AC32" i="256"/>
  <c r="AC26" i="250"/>
  <c r="AC22" i="256"/>
  <c r="AC18" i="257"/>
  <c r="AC12" i="249"/>
  <c r="K10" i="251"/>
  <c r="I41" i="251"/>
  <c r="I42" i="251"/>
  <c r="I43" i="251"/>
  <c r="I44" i="251"/>
  <c r="I45" i="251"/>
  <c r="I46" i="251"/>
  <c r="AC37" i="249"/>
  <c r="AC29" i="249"/>
  <c r="AC21" i="249"/>
  <c r="AC13" i="249"/>
  <c r="V32" i="41"/>
  <c r="I32" i="41" s="1"/>
  <c r="C20" i="172"/>
  <c r="R20" i="47"/>
  <c r="W20" i="47"/>
  <c r="S20" i="47"/>
  <c r="X20" i="47"/>
  <c r="T20" i="47"/>
  <c r="Y20" i="47"/>
  <c r="V20" i="47"/>
  <c r="Z20" i="47"/>
  <c r="D36" i="79"/>
  <c r="H41" i="250"/>
  <c r="H42" i="250"/>
  <c r="H43" i="250"/>
  <c r="H44" i="250"/>
  <c r="H45" i="250"/>
  <c r="H46" i="250"/>
  <c r="I97" i="241"/>
  <c r="C27" i="172"/>
  <c r="R27" i="47"/>
  <c r="W27" i="47"/>
  <c r="S27" i="47"/>
  <c r="X27" i="47"/>
  <c r="T27" i="47"/>
  <c r="Y27" i="47"/>
  <c r="V27" i="47"/>
  <c r="Z27" i="47"/>
  <c r="D43" i="79"/>
  <c r="F31" i="11"/>
  <c r="F42" i="11" s="1"/>
  <c r="F20" i="11"/>
  <c r="F21" i="11" s="1"/>
  <c r="P28" i="10"/>
  <c r="E43" i="10"/>
  <c r="P43" i="10" s="1"/>
  <c r="E34" i="10"/>
  <c r="AC38" i="257"/>
  <c r="AC32" i="251"/>
  <c r="AC28" i="249"/>
  <c r="AC24" i="257"/>
  <c r="AC18" i="250"/>
  <c r="T14" i="244"/>
  <c r="AC14" i="244"/>
  <c r="T39" i="12"/>
  <c r="AC39" i="12"/>
  <c r="AC35" i="256"/>
  <c r="AC31" i="256"/>
  <c r="AC27" i="256"/>
  <c r="T23" i="12"/>
  <c r="X23" i="12"/>
  <c r="AC23" i="12"/>
  <c r="AC19" i="249"/>
  <c r="AC15" i="249"/>
  <c r="AC11" i="249"/>
  <c r="L97" i="241"/>
  <c r="G27" i="229"/>
  <c r="H27" i="229" s="1"/>
  <c r="I27" i="229" s="1"/>
  <c r="J27" i="229" s="1"/>
  <c r="K27" i="229" s="1"/>
  <c r="L27" i="229" s="1"/>
  <c r="M27" i="229" s="1"/>
  <c r="N27" i="229" s="1"/>
  <c r="O27" i="229" s="1"/>
  <c r="P27" i="229" s="1"/>
  <c r="C28" i="229"/>
  <c r="B173" i="52"/>
  <c r="B207" i="52" s="1"/>
  <c r="B235" i="52" s="1"/>
  <c r="B120" i="52"/>
  <c r="B150" i="52" s="1"/>
  <c r="AC36" i="256"/>
  <c r="AC30" i="251"/>
  <c r="AC26" i="256"/>
  <c r="AC22" i="257"/>
  <c r="AC16" i="250"/>
  <c r="T12" i="244"/>
  <c r="X12" i="244"/>
  <c r="AC12" i="244"/>
  <c r="E44" i="173"/>
  <c r="E48" i="173"/>
  <c r="E47" i="173"/>
  <c r="E46" i="173"/>
  <c r="E45" i="173"/>
  <c r="E49" i="173"/>
  <c r="Q45" i="173"/>
  <c r="Q49" i="173"/>
  <c r="Q44" i="173"/>
  <c r="Q48" i="173"/>
  <c r="Q47" i="173"/>
  <c r="Q46" i="173"/>
  <c r="I47" i="173"/>
  <c r="I46" i="173"/>
  <c r="I45" i="173"/>
  <c r="I49" i="173"/>
  <c r="I44" i="173"/>
  <c r="I48" i="173"/>
  <c r="K10" i="256"/>
  <c r="I41" i="256"/>
  <c r="I42" i="256"/>
  <c r="I43" i="256"/>
  <c r="I44" i="256"/>
  <c r="I45" i="256"/>
  <c r="I46" i="256"/>
  <c r="AC39" i="251"/>
  <c r="AC35" i="251"/>
  <c r="AC31" i="251"/>
  <c r="AC27" i="251"/>
  <c r="AC23" i="251"/>
  <c r="AC19" i="251"/>
  <c r="AC15" i="251"/>
  <c r="AC11" i="251"/>
  <c r="C24" i="172"/>
  <c r="R24" i="47"/>
  <c r="W24" i="47"/>
  <c r="S24" i="47"/>
  <c r="X24" i="47"/>
  <c r="T24" i="47"/>
  <c r="Y24" i="47"/>
  <c r="V24" i="47"/>
  <c r="Z24" i="47"/>
  <c r="D40" i="79"/>
  <c r="H41" i="244"/>
  <c r="H42" i="244"/>
  <c r="H43" i="244"/>
  <c r="H44" i="244"/>
  <c r="H45" i="244"/>
  <c r="H46" i="244"/>
  <c r="P97" i="241"/>
  <c r="J26" i="243"/>
  <c r="H26" i="243"/>
  <c r="I15" i="241"/>
  <c r="I140" i="241" s="1"/>
  <c r="H92" i="241"/>
  <c r="H108" i="241"/>
  <c r="H170" i="241"/>
  <c r="H204" i="241" s="1"/>
  <c r="H233" i="241" s="1"/>
  <c r="AC36" i="251"/>
  <c r="AC32" i="249"/>
  <c r="AC28" i="257"/>
  <c r="AC22" i="250"/>
  <c r="T18" i="244"/>
  <c r="AC18" i="244"/>
  <c r="AC14" i="12"/>
  <c r="I41" i="249"/>
  <c r="I42" i="249"/>
  <c r="I43" i="249"/>
  <c r="I44" i="249"/>
  <c r="I45" i="249"/>
  <c r="I46" i="249"/>
  <c r="K10" i="249"/>
  <c r="AC39" i="250"/>
  <c r="AC35" i="250"/>
  <c r="AC31" i="250"/>
  <c r="AC27" i="250"/>
  <c r="AC23" i="250"/>
  <c r="AC19" i="250"/>
  <c r="AC15" i="250"/>
  <c r="AC11" i="250"/>
  <c r="C30" i="172"/>
  <c r="R30" i="47"/>
  <c r="W30" i="47"/>
  <c r="S30" i="47"/>
  <c r="X30" i="47"/>
  <c r="T30" i="47"/>
  <c r="Y30" i="47"/>
  <c r="V30" i="47"/>
  <c r="Z30" i="47"/>
  <c r="D46" i="79"/>
  <c r="C14" i="172"/>
  <c r="R14" i="47"/>
  <c r="W14" i="47"/>
  <c r="S14" i="47"/>
  <c r="X14" i="47"/>
  <c r="T14" i="47"/>
  <c r="Y14" i="47"/>
  <c r="V14" i="47"/>
  <c r="Z14" i="47"/>
  <c r="D30" i="79"/>
  <c r="U44" i="41"/>
  <c r="AD41" i="172"/>
  <c r="AF41" i="172" s="1"/>
  <c r="AD33" i="172"/>
  <c r="AF33" i="172" s="1"/>
  <c r="AD25" i="172"/>
  <c r="AF25" i="172" s="1"/>
  <c r="AD17" i="172"/>
  <c r="AF17" i="172" s="1"/>
  <c r="Z43" i="185"/>
  <c r="V42" i="185"/>
  <c r="I36" i="41"/>
  <c r="U81" i="241" l="1"/>
  <c r="U81" i="52"/>
  <c r="S94" i="52"/>
  <c r="R104" i="52"/>
  <c r="D38" i="14"/>
  <c r="E38" i="14" s="1"/>
  <c r="D39" i="14"/>
  <c r="E39" i="14" s="1"/>
  <c r="D41" i="14"/>
  <c r="E41" i="14" s="1"/>
  <c r="V18" i="41"/>
  <c r="I18" i="41"/>
  <c r="V26" i="41"/>
  <c r="I26" i="41"/>
  <c r="J104" i="241"/>
  <c r="K94" i="241"/>
  <c r="K97" i="241" s="1"/>
  <c r="M94" i="241"/>
  <c r="L100" i="241"/>
  <c r="N101" i="241"/>
  <c r="N104" i="241"/>
  <c r="P104" i="241"/>
  <c r="Q94" i="241"/>
  <c r="R104" i="241"/>
  <c r="S94" i="241"/>
  <c r="S97" i="241" s="1"/>
  <c r="E20" i="11"/>
  <c r="E21" i="11" s="1"/>
  <c r="E31" i="11"/>
  <c r="E42" i="11" s="1"/>
  <c r="E48" i="11" s="1"/>
  <c r="E49" i="11" s="1"/>
  <c r="E51" i="11" s="1"/>
  <c r="V22" i="41"/>
  <c r="I22" i="41"/>
  <c r="R100" i="241"/>
  <c r="L104" i="241"/>
  <c r="N100" i="241"/>
  <c r="K144" i="126"/>
  <c r="G155" i="126"/>
  <c r="G144" i="126" s="1"/>
  <c r="V14" i="41"/>
  <c r="I14" i="41" s="1"/>
  <c r="V30" i="41"/>
  <c r="I30" i="41" s="1"/>
  <c r="P235" i="52"/>
  <c r="F235" i="52"/>
  <c r="I235" i="52"/>
  <c r="S235" i="52"/>
  <c r="I93" i="6"/>
  <c r="I94" i="6" s="1"/>
  <c r="J9" i="6"/>
  <c r="D230" i="241"/>
  <c r="D229" i="241"/>
  <c r="D228" i="241"/>
  <c r="D227" i="241"/>
  <c r="D226" i="241"/>
  <c r="D225" i="241"/>
  <c r="D224" i="241"/>
  <c r="D223" i="241"/>
  <c r="D222" i="241"/>
  <c r="D221" i="241"/>
  <c r="D220" i="241"/>
  <c r="D219" i="241"/>
  <c r="D218" i="241"/>
  <c r="D217" i="241"/>
  <c r="D216" i="241"/>
  <c r="D215" i="241"/>
  <c r="D214" i="241"/>
  <c r="D213" i="241"/>
  <c r="D212" i="241"/>
  <c r="D211" i="241"/>
  <c r="D210" i="241"/>
  <c r="D208" i="241"/>
  <c r="D207" i="241"/>
  <c r="D206" i="241"/>
  <c r="D209" i="241"/>
  <c r="G230" i="241"/>
  <c r="G229" i="241"/>
  <c r="G228" i="241"/>
  <c r="G227" i="241"/>
  <c r="G226" i="241"/>
  <c r="G225" i="241"/>
  <c r="G224" i="241"/>
  <c r="G223" i="241"/>
  <c r="G222" i="241"/>
  <c r="G221" i="241"/>
  <c r="G220" i="241"/>
  <c r="G219" i="241"/>
  <c r="G218" i="241"/>
  <c r="G217" i="241"/>
  <c r="G216" i="241"/>
  <c r="G215" i="241"/>
  <c r="G214" i="241"/>
  <c r="G213" i="241"/>
  <c r="G212" i="241"/>
  <c r="G211" i="241"/>
  <c r="G210" i="241"/>
  <c r="G209" i="241"/>
  <c r="G208" i="241"/>
  <c r="G207" i="241"/>
  <c r="G206" i="241"/>
  <c r="G231" i="241" s="1"/>
  <c r="F228" i="241"/>
  <c r="F224" i="241"/>
  <c r="F220" i="241"/>
  <c r="F216" i="241"/>
  <c r="F212" i="241"/>
  <c r="F227" i="241"/>
  <c r="F223" i="241"/>
  <c r="F219" i="241"/>
  <c r="F215" i="241"/>
  <c r="F211" i="241"/>
  <c r="F209" i="241"/>
  <c r="F208" i="241"/>
  <c r="F207" i="241"/>
  <c r="F206" i="241"/>
  <c r="F231" i="241" s="1"/>
  <c r="F229" i="241"/>
  <c r="F225" i="241"/>
  <c r="F221" i="241"/>
  <c r="F217" i="241"/>
  <c r="F213" i="241"/>
  <c r="F230" i="241"/>
  <c r="F226" i="241"/>
  <c r="F222" i="241"/>
  <c r="F218" i="241"/>
  <c r="F214" i="241"/>
  <c r="F210" i="241"/>
  <c r="B21" i="242"/>
  <c r="B218" i="241"/>
  <c r="B247" i="241" s="1"/>
  <c r="B22" i="242"/>
  <c r="B219" i="241"/>
  <c r="B248" i="241" s="1"/>
  <c r="B16" i="242"/>
  <c r="B213" i="241"/>
  <c r="B242" i="241" s="1"/>
  <c r="B17" i="242"/>
  <c r="B214" i="241"/>
  <c r="B243" i="241" s="1"/>
  <c r="B18" i="242"/>
  <c r="B215" i="241"/>
  <c r="B244" i="241" s="1"/>
  <c r="G21" i="243"/>
  <c r="G34" i="243"/>
  <c r="D34" i="243"/>
  <c r="D21" i="243"/>
  <c r="E21" i="243"/>
  <c r="E34" i="243"/>
  <c r="F21" i="243"/>
  <c r="F34" i="243"/>
  <c r="B13" i="242"/>
  <c r="B183" i="241"/>
  <c r="J21" i="243"/>
  <c r="J34" i="243"/>
  <c r="I34" i="243"/>
  <c r="I21" i="243"/>
  <c r="H34" i="243"/>
  <c r="H21" i="243"/>
  <c r="B153" i="241"/>
  <c r="E48" i="14"/>
  <c r="E51" i="14" s="1"/>
  <c r="K240" i="52"/>
  <c r="D240" i="52"/>
  <c r="F240" i="52"/>
  <c r="M240" i="52"/>
  <c r="P240" i="52"/>
  <c r="Q240" i="52"/>
  <c r="G240" i="52"/>
  <c r="R240" i="52"/>
  <c r="I240" i="52"/>
  <c r="H240" i="52"/>
  <c r="J240" i="52"/>
  <c r="S240" i="52"/>
  <c r="E240" i="52"/>
  <c r="N240" i="52"/>
  <c r="L240" i="52"/>
  <c r="O240" i="52"/>
  <c r="Q248" i="52"/>
  <c r="M248" i="52"/>
  <c r="I248" i="52"/>
  <c r="E248" i="52"/>
  <c r="L248" i="52"/>
  <c r="D248" i="52"/>
  <c r="P248" i="52"/>
  <c r="H248" i="52"/>
  <c r="N248" i="52"/>
  <c r="F248" i="52"/>
  <c r="J248" i="52"/>
  <c r="S248" i="52"/>
  <c r="K248" i="52"/>
  <c r="R248" i="52"/>
  <c r="O248" i="52"/>
  <c r="G248" i="52"/>
  <c r="Q256" i="52"/>
  <c r="M256" i="52"/>
  <c r="I256" i="52"/>
  <c r="E256" i="52"/>
  <c r="S256" i="52"/>
  <c r="G256" i="52"/>
  <c r="P256" i="52"/>
  <c r="L256" i="52"/>
  <c r="H256" i="52"/>
  <c r="D256" i="52"/>
  <c r="O256" i="52"/>
  <c r="K256" i="52"/>
  <c r="J256" i="52"/>
  <c r="R256" i="52"/>
  <c r="N256" i="52"/>
  <c r="F256" i="52"/>
  <c r="E206" i="52"/>
  <c r="E210" i="52"/>
  <c r="E214" i="52"/>
  <c r="E218" i="52"/>
  <c r="E222" i="52"/>
  <c r="E226" i="52"/>
  <c r="E230" i="52"/>
  <c r="K237" i="52"/>
  <c r="D237" i="52"/>
  <c r="F237" i="52"/>
  <c r="E237" i="52"/>
  <c r="O237" i="52"/>
  <c r="H237" i="52"/>
  <c r="G237" i="52"/>
  <c r="R237" i="52"/>
  <c r="Q237" i="52"/>
  <c r="P237" i="52"/>
  <c r="J237" i="52"/>
  <c r="S237" i="52"/>
  <c r="M237" i="52"/>
  <c r="N237" i="52"/>
  <c r="I237" i="52"/>
  <c r="L237" i="52"/>
  <c r="O241" i="52"/>
  <c r="R241" i="52"/>
  <c r="L241" i="52"/>
  <c r="E241" i="52"/>
  <c r="H241" i="52"/>
  <c r="I241" i="52"/>
  <c r="K241" i="52"/>
  <c r="N241" i="52"/>
  <c r="Q241" i="52"/>
  <c r="P241" i="52"/>
  <c r="G241" i="52"/>
  <c r="J241" i="52"/>
  <c r="M241" i="52"/>
  <c r="D241" i="52"/>
  <c r="S241" i="52"/>
  <c r="F241" i="52"/>
  <c r="K245" i="52"/>
  <c r="N245" i="52"/>
  <c r="D245" i="52"/>
  <c r="E245" i="52"/>
  <c r="R245" i="52"/>
  <c r="I245" i="52"/>
  <c r="G245" i="52"/>
  <c r="J245" i="52"/>
  <c r="Q245" i="52"/>
  <c r="L245" i="52"/>
  <c r="S245" i="52"/>
  <c r="H245" i="52"/>
  <c r="F245" i="52"/>
  <c r="M245" i="52"/>
  <c r="O245" i="52"/>
  <c r="P245" i="52"/>
  <c r="Q249" i="52"/>
  <c r="M249" i="52"/>
  <c r="I249" i="52"/>
  <c r="E249" i="52"/>
  <c r="L249" i="52"/>
  <c r="D249" i="52"/>
  <c r="P249" i="52"/>
  <c r="H249" i="52"/>
  <c r="N249" i="52"/>
  <c r="F249" i="52"/>
  <c r="J249" i="52"/>
  <c r="G249" i="52"/>
  <c r="S249" i="52"/>
  <c r="K249" i="52"/>
  <c r="R249" i="52"/>
  <c r="O249" i="52"/>
  <c r="Q253" i="52"/>
  <c r="M253" i="52"/>
  <c r="I253" i="52"/>
  <c r="E253" i="52"/>
  <c r="O253" i="52"/>
  <c r="G253" i="52"/>
  <c r="P253" i="52"/>
  <c r="L253" i="52"/>
  <c r="H253" i="52"/>
  <c r="D253" i="52"/>
  <c r="S253" i="52"/>
  <c r="K253" i="52"/>
  <c r="J253" i="52"/>
  <c r="F253" i="52"/>
  <c r="R253" i="52"/>
  <c r="N253" i="52"/>
  <c r="Q257" i="52"/>
  <c r="M257" i="52"/>
  <c r="I257" i="52"/>
  <c r="E257" i="52"/>
  <c r="S257" i="52"/>
  <c r="G257" i="52"/>
  <c r="P257" i="52"/>
  <c r="L257" i="52"/>
  <c r="H257" i="52"/>
  <c r="D257" i="52"/>
  <c r="O257" i="52"/>
  <c r="K257" i="52"/>
  <c r="J257" i="52"/>
  <c r="N257" i="52"/>
  <c r="F257" i="52"/>
  <c r="R257" i="52"/>
  <c r="H235" i="52"/>
  <c r="Q235" i="52"/>
  <c r="J235" i="52"/>
  <c r="G235" i="52"/>
  <c r="K236" i="52"/>
  <c r="H236" i="52"/>
  <c r="F236" i="52"/>
  <c r="P236" i="52"/>
  <c r="E236" i="52"/>
  <c r="G236" i="52"/>
  <c r="R236" i="52"/>
  <c r="M236" i="52"/>
  <c r="D236" i="52"/>
  <c r="J236" i="52"/>
  <c r="S236" i="52"/>
  <c r="Q236" i="52"/>
  <c r="N236" i="52"/>
  <c r="I236" i="52"/>
  <c r="O236" i="52"/>
  <c r="L236" i="52"/>
  <c r="K244" i="52"/>
  <c r="N244" i="52"/>
  <c r="Q244" i="52"/>
  <c r="P244" i="52"/>
  <c r="R244" i="52"/>
  <c r="G244" i="52"/>
  <c r="J244" i="52"/>
  <c r="M244" i="52"/>
  <c r="D244" i="52"/>
  <c r="O244" i="52"/>
  <c r="E244" i="52"/>
  <c r="S244" i="52"/>
  <c r="L244" i="52"/>
  <c r="F244" i="52"/>
  <c r="I244" i="52"/>
  <c r="H244" i="52"/>
  <c r="Q252" i="52"/>
  <c r="M252" i="52"/>
  <c r="I252" i="52"/>
  <c r="E252" i="52"/>
  <c r="D252" i="52"/>
  <c r="O252" i="52"/>
  <c r="G252" i="52"/>
  <c r="P252" i="52"/>
  <c r="L252" i="52"/>
  <c r="H252" i="52"/>
  <c r="S252" i="52"/>
  <c r="K252" i="52"/>
  <c r="J252" i="52"/>
  <c r="R252" i="52"/>
  <c r="N252" i="52"/>
  <c r="F252" i="52"/>
  <c r="E207" i="52"/>
  <c r="E211" i="52"/>
  <c r="E215" i="52"/>
  <c r="E219" i="52"/>
  <c r="E223" i="52"/>
  <c r="E227" i="52"/>
  <c r="Q234" i="52"/>
  <c r="M234" i="52"/>
  <c r="I234" i="52"/>
  <c r="E234" i="52"/>
  <c r="P234" i="52"/>
  <c r="H234" i="52"/>
  <c r="L234" i="52"/>
  <c r="D234" i="52"/>
  <c r="N234" i="52"/>
  <c r="F234" i="52"/>
  <c r="J234" i="52"/>
  <c r="O234" i="52"/>
  <c r="S234" i="52"/>
  <c r="K234" i="52"/>
  <c r="R234" i="52"/>
  <c r="G234" i="52"/>
  <c r="K238" i="52"/>
  <c r="L238" i="52"/>
  <c r="F238" i="52"/>
  <c r="I238" i="52"/>
  <c r="J238" i="52"/>
  <c r="G238" i="52"/>
  <c r="R238" i="52"/>
  <c r="M238" i="52"/>
  <c r="P238" i="52"/>
  <c r="E238" i="52"/>
  <c r="S238" i="52"/>
  <c r="Q238" i="52"/>
  <c r="N238" i="52"/>
  <c r="H238" i="52"/>
  <c r="O238" i="52"/>
  <c r="D238" i="52"/>
  <c r="K242" i="52"/>
  <c r="R242" i="52"/>
  <c r="H242" i="52"/>
  <c r="E242" i="52"/>
  <c r="O242" i="52"/>
  <c r="I242" i="52"/>
  <c r="G242" i="52"/>
  <c r="N242" i="52"/>
  <c r="Q242" i="52"/>
  <c r="L242" i="52"/>
  <c r="F242" i="52"/>
  <c r="S242" i="52"/>
  <c r="P242" i="52"/>
  <c r="J242" i="52"/>
  <c r="M242" i="52"/>
  <c r="D242" i="52"/>
  <c r="O246" i="52"/>
  <c r="D246" i="52"/>
  <c r="F246" i="52"/>
  <c r="I246" i="52"/>
  <c r="S246" i="52"/>
  <c r="J246" i="52"/>
  <c r="K246" i="52"/>
  <c r="R246" i="52"/>
  <c r="H246" i="52"/>
  <c r="E246" i="52"/>
  <c r="G246" i="52"/>
  <c r="N246" i="52"/>
  <c r="Q246" i="52"/>
  <c r="P246" i="52"/>
  <c r="L246" i="52"/>
  <c r="M246" i="52"/>
  <c r="Q250" i="52"/>
  <c r="M250" i="52"/>
  <c r="I250" i="52"/>
  <c r="E250" i="52"/>
  <c r="L250" i="52"/>
  <c r="D250" i="52"/>
  <c r="P250" i="52"/>
  <c r="H250" i="52"/>
  <c r="N250" i="52"/>
  <c r="F250" i="52"/>
  <c r="J250" i="52"/>
  <c r="G250" i="52"/>
  <c r="S250" i="52"/>
  <c r="K250" i="52"/>
  <c r="R250" i="52"/>
  <c r="O250" i="52"/>
  <c r="Q254" i="52"/>
  <c r="M254" i="52"/>
  <c r="I254" i="52"/>
  <c r="E254" i="52"/>
  <c r="O254" i="52"/>
  <c r="G254" i="52"/>
  <c r="P254" i="52"/>
  <c r="L254" i="52"/>
  <c r="H254" i="52"/>
  <c r="D254" i="52"/>
  <c r="S254" i="52"/>
  <c r="K254" i="52"/>
  <c r="J254" i="52"/>
  <c r="N254" i="52"/>
  <c r="F254" i="52"/>
  <c r="R254" i="52"/>
  <c r="K258" i="52"/>
  <c r="J258" i="52"/>
  <c r="H258" i="52"/>
  <c r="I258" i="52"/>
  <c r="N258" i="52"/>
  <c r="M258" i="52"/>
  <c r="G258" i="52"/>
  <c r="F258" i="52"/>
  <c r="D258" i="52"/>
  <c r="E258" i="52"/>
  <c r="S258" i="52"/>
  <c r="R258" i="52"/>
  <c r="P258" i="52"/>
  <c r="Q258" i="52"/>
  <c r="O258" i="52"/>
  <c r="L258" i="52"/>
  <c r="L235" i="52"/>
  <c r="E235" i="52"/>
  <c r="N235" i="52"/>
  <c r="K235" i="52"/>
  <c r="E208" i="52"/>
  <c r="E212" i="52"/>
  <c r="E216" i="52"/>
  <c r="E220" i="52"/>
  <c r="E224" i="52"/>
  <c r="O239" i="52"/>
  <c r="H239" i="52"/>
  <c r="F239" i="52"/>
  <c r="Q239" i="52"/>
  <c r="S239" i="52"/>
  <c r="J239" i="52"/>
  <c r="K239" i="52"/>
  <c r="R239" i="52"/>
  <c r="E239" i="52"/>
  <c r="M239" i="52"/>
  <c r="G239" i="52"/>
  <c r="N239" i="52"/>
  <c r="P239" i="52"/>
  <c r="L239" i="52"/>
  <c r="I239" i="52"/>
  <c r="D239" i="52"/>
  <c r="K243" i="52"/>
  <c r="N243" i="52"/>
  <c r="D243" i="52"/>
  <c r="E243" i="52"/>
  <c r="R243" i="52"/>
  <c r="I243" i="52"/>
  <c r="G243" i="52"/>
  <c r="J243" i="52"/>
  <c r="Q243" i="52"/>
  <c r="H243" i="52"/>
  <c r="S243" i="52"/>
  <c r="P243" i="52"/>
  <c r="F243" i="52"/>
  <c r="M243" i="52"/>
  <c r="O243" i="52"/>
  <c r="L243" i="52"/>
  <c r="O247" i="52"/>
  <c r="L247" i="52"/>
  <c r="J247" i="52"/>
  <c r="M247" i="52"/>
  <c r="N247" i="52"/>
  <c r="K247" i="52"/>
  <c r="H247" i="52"/>
  <c r="F247" i="52"/>
  <c r="I247" i="52"/>
  <c r="G247" i="52"/>
  <c r="R247" i="52"/>
  <c r="D247" i="52"/>
  <c r="E247" i="52"/>
  <c r="S247" i="52"/>
  <c r="P247" i="52"/>
  <c r="Q247" i="52"/>
  <c r="Q251" i="52"/>
  <c r="M251" i="52"/>
  <c r="I251" i="52"/>
  <c r="E251" i="52"/>
  <c r="D251" i="52"/>
  <c r="P251" i="52"/>
  <c r="L251" i="52"/>
  <c r="H251" i="52"/>
  <c r="S251" i="52"/>
  <c r="N251" i="52"/>
  <c r="F251" i="52"/>
  <c r="J251" i="52"/>
  <c r="G251" i="52"/>
  <c r="K251" i="52"/>
  <c r="R251" i="52"/>
  <c r="O251" i="52"/>
  <c r="Q255" i="52"/>
  <c r="M255" i="52"/>
  <c r="I255" i="52"/>
  <c r="E255" i="52"/>
  <c r="O255" i="52"/>
  <c r="G255" i="52"/>
  <c r="P255" i="52"/>
  <c r="L255" i="52"/>
  <c r="H255" i="52"/>
  <c r="D255" i="52"/>
  <c r="S255" i="52"/>
  <c r="K255" i="52"/>
  <c r="J255" i="52"/>
  <c r="R255" i="52"/>
  <c r="F255" i="52"/>
  <c r="N255" i="52"/>
  <c r="D235" i="52"/>
  <c r="M235" i="52"/>
  <c r="R235" i="52"/>
  <c r="B13" i="66"/>
  <c r="B183" i="52"/>
  <c r="E94" i="52"/>
  <c r="N230" i="52"/>
  <c r="N229" i="52"/>
  <c r="N228" i="52"/>
  <c r="N227" i="52"/>
  <c r="N226" i="52"/>
  <c r="N225" i="52"/>
  <c r="N224" i="52"/>
  <c r="N223" i="52"/>
  <c r="N222" i="52"/>
  <c r="N221" i="52"/>
  <c r="N220" i="52"/>
  <c r="N219" i="52"/>
  <c r="N218" i="52"/>
  <c r="N217" i="52"/>
  <c r="N216" i="52"/>
  <c r="N215" i="52"/>
  <c r="N214" i="52"/>
  <c r="N213" i="52"/>
  <c r="N212" i="52"/>
  <c r="N211" i="52"/>
  <c r="N210" i="52"/>
  <c r="N209" i="52"/>
  <c r="N208" i="52"/>
  <c r="N207" i="52"/>
  <c r="N206" i="52"/>
  <c r="F230" i="52"/>
  <c r="F229" i="52"/>
  <c r="F228" i="52"/>
  <c r="F227" i="52"/>
  <c r="F226" i="52"/>
  <c r="F225" i="52"/>
  <c r="F224" i="52"/>
  <c r="F223" i="52"/>
  <c r="F222" i="52"/>
  <c r="F221" i="52"/>
  <c r="F220" i="52"/>
  <c r="F219" i="52"/>
  <c r="F218" i="52"/>
  <c r="F217" i="52"/>
  <c r="F216" i="52"/>
  <c r="F215" i="52"/>
  <c r="F214" i="52"/>
  <c r="F213" i="52"/>
  <c r="F212" i="52"/>
  <c r="F211" i="52"/>
  <c r="F210" i="52"/>
  <c r="F209" i="52"/>
  <c r="F208" i="52"/>
  <c r="F207" i="52"/>
  <c r="F206" i="52"/>
  <c r="L230" i="52"/>
  <c r="L229" i="52"/>
  <c r="L228" i="52"/>
  <c r="L227" i="52"/>
  <c r="L226" i="52"/>
  <c r="L225" i="52"/>
  <c r="L224" i="52"/>
  <c r="L223" i="52"/>
  <c r="L222" i="52"/>
  <c r="L221" i="52"/>
  <c r="L220" i="52"/>
  <c r="L219" i="52"/>
  <c r="L218" i="52"/>
  <c r="L217" i="52"/>
  <c r="L216" i="52"/>
  <c r="L215" i="52"/>
  <c r="L214" i="52"/>
  <c r="L213" i="52"/>
  <c r="L212" i="52"/>
  <c r="L211" i="52"/>
  <c r="L210" i="52"/>
  <c r="L209" i="52"/>
  <c r="L208" i="52"/>
  <c r="L207" i="52"/>
  <c r="L206" i="52"/>
  <c r="O230" i="52"/>
  <c r="O229" i="52"/>
  <c r="O228" i="52"/>
  <c r="O227" i="52"/>
  <c r="O226" i="52"/>
  <c r="O225" i="52"/>
  <c r="O224" i="52"/>
  <c r="O223" i="52"/>
  <c r="O222" i="52"/>
  <c r="O221" i="52"/>
  <c r="O220" i="52"/>
  <c r="O219" i="52"/>
  <c r="O218" i="52"/>
  <c r="O217" i="52"/>
  <c r="O216" i="52"/>
  <c r="O213" i="52"/>
  <c r="O209" i="52"/>
  <c r="O208" i="52"/>
  <c r="O214" i="52"/>
  <c r="O210" i="52"/>
  <c r="O207" i="52"/>
  <c r="O206" i="52"/>
  <c r="O215" i="52"/>
  <c r="O211" i="52"/>
  <c r="O212" i="52"/>
  <c r="Q208" i="52"/>
  <c r="Q230" i="52"/>
  <c r="Q229" i="52"/>
  <c r="Q228" i="52"/>
  <c r="Q227" i="52"/>
  <c r="Q226" i="52"/>
  <c r="Q225" i="52"/>
  <c r="Q224" i="52"/>
  <c r="Q223" i="52"/>
  <c r="Q222" i="52"/>
  <c r="Q221" i="52"/>
  <c r="Q220" i="52"/>
  <c r="Q219" i="52"/>
  <c r="Q218" i="52"/>
  <c r="Q217" i="52"/>
  <c r="Q216" i="52"/>
  <c r="Q215" i="52"/>
  <c r="Q214" i="52"/>
  <c r="Q213" i="52"/>
  <c r="Q212" i="52"/>
  <c r="Q211" i="52"/>
  <c r="Q210" i="52"/>
  <c r="Q209" i="52"/>
  <c r="Q207" i="52"/>
  <c r="Q206" i="52"/>
  <c r="P230" i="52"/>
  <c r="P229" i="52"/>
  <c r="P228" i="52"/>
  <c r="P227" i="52"/>
  <c r="P226" i="52"/>
  <c r="P225" i="52"/>
  <c r="P224" i="52"/>
  <c r="P223" i="52"/>
  <c r="P222" i="52"/>
  <c r="P221" i="52"/>
  <c r="P220" i="52"/>
  <c r="P219" i="52"/>
  <c r="P218" i="52"/>
  <c r="P217" i="52"/>
  <c r="P216" i="52"/>
  <c r="P215" i="52"/>
  <c r="P214" i="52"/>
  <c r="P213" i="52"/>
  <c r="P212" i="52"/>
  <c r="P211" i="52"/>
  <c r="P210" i="52"/>
  <c r="P209" i="52"/>
  <c r="P208" i="52"/>
  <c r="P207" i="52"/>
  <c r="P206" i="52"/>
  <c r="J230" i="52"/>
  <c r="J229" i="52"/>
  <c r="J228" i="52"/>
  <c r="J227" i="52"/>
  <c r="J226" i="52"/>
  <c r="J225" i="52"/>
  <c r="J224" i="52"/>
  <c r="J223" i="52"/>
  <c r="J222" i="52"/>
  <c r="J221" i="52"/>
  <c r="J220" i="52"/>
  <c r="J219" i="52"/>
  <c r="J218" i="52"/>
  <c r="J217" i="52"/>
  <c r="J216" i="52"/>
  <c r="J215" i="52"/>
  <c r="J214" i="52"/>
  <c r="J213" i="52"/>
  <c r="J212" i="52"/>
  <c r="J211" i="52"/>
  <c r="J210" i="52"/>
  <c r="J209" i="52"/>
  <c r="J208" i="52"/>
  <c r="J207" i="52"/>
  <c r="J206" i="52"/>
  <c r="I209" i="52"/>
  <c r="I208" i="52"/>
  <c r="I230" i="52"/>
  <c r="I229" i="52"/>
  <c r="I228" i="52"/>
  <c r="I227" i="52"/>
  <c r="I226" i="52"/>
  <c r="I225" i="52"/>
  <c r="I224" i="52"/>
  <c r="I223" i="52"/>
  <c r="I222" i="52"/>
  <c r="I221" i="52"/>
  <c r="I220" i="52"/>
  <c r="I219" i="52"/>
  <c r="I218" i="52"/>
  <c r="I217" i="52"/>
  <c r="I216" i="52"/>
  <c r="I215" i="52"/>
  <c r="I214" i="52"/>
  <c r="I213" i="52"/>
  <c r="I212" i="52"/>
  <c r="I211" i="52"/>
  <c r="I210" i="52"/>
  <c r="I207" i="52"/>
  <c r="I206" i="52"/>
  <c r="R230" i="52"/>
  <c r="R229" i="52"/>
  <c r="R228" i="52"/>
  <c r="R227" i="52"/>
  <c r="R226" i="52"/>
  <c r="R225" i="52"/>
  <c r="R224" i="52"/>
  <c r="R223" i="52"/>
  <c r="R222" i="52"/>
  <c r="R221" i="52"/>
  <c r="R220" i="52"/>
  <c r="R219" i="52"/>
  <c r="R218" i="52"/>
  <c r="R217" i="52"/>
  <c r="R216" i="52"/>
  <c r="R215" i="52"/>
  <c r="R214" i="52"/>
  <c r="R213" i="52"/>
  <c r="R212" i="52"/>
  <c r="R211" i="52"/>
  <c r="R210" i="52"/>
  <c r="R209" i="52"/>
  <c r="R208" i="52"/>
  <c r="R207" i="52"/>
  <c r="R206" i="52"/>
  <c r="K230" i="52"/>
  <c r="K229" i="52"/>
  <c r="K228" i="52"/>
  <c r="K227" i="52"/>
  <c r="K226" i="52"/>
  <c r="K225" i="52"/>
  <c r="K224" i="52"/>
  <c r="K223" i="52"/>
  <c r="K222" i="52"/>
  <c r="K221" i="52"/>
  <c r="K220" i="52"/>
  <c r="K219" i="52"/>
  <c r="K218" i="52"/>
  <c r="K217" i="52"/>
  <c r="K216" i="52"/>
  <c r="K215" i="52"/>
  <c r="K214" i="52"/>
  <c r="K213" i="52"/>
  <c r="K212" i="52"/>
  <c r="K211" i="52"/>
  <c r="K210" i="52"/>
  <c r="K209" i="52"/>
  <c r="K208" i="52"/>
  <c r="K207" i="52"/>
  <c r="K206" i="52"/>
  <c r="M230" i="52"/>
  <c r="M229" i="52"/>
  <c r="M228" i="52"/>
  <c r="M227" i="52"/>
  <c r="M226" i="52"/>
  <c r="M225" i="52"/>
  <c r="M224" i="52"/>
  <c r="M223" i="52"/>
  <c r="M222" i="52"/>
  <c r="M221" i="52"/>
  <c r="M220" i="52"/>
  <c r="M219" i="52"/>
  <c r="M218" i="52"/>
  <c r="M217" i="52"/>
  <c r="M216" i="52"/>
  <c r="M215" i="52"/>
  <c r="M214" i="52"/>
  <c r="M213" i="52"/>
  <c r="M212" i="52"/>
  <c r="M211" i="52"/>
  <c r="M210" i="52"/>
  <c r="M209" i="52"/>
  <c r="M208" i="52"/>
  <c r="M207" i="52"/>
  <c r="M206" i="52"/>
  <c r="H230" i="52"/>
  <c r="H229" i="52"/>
  <c r="H228" i="52"/>
  <c r="H227" i="52"/>
  <c r="H226" i="52"/>
  <c r="H225" i="52"/>
  <c r="H224" i="52"/>
  <c r="H223" i="52"/>
  <c r="H222" i="52"/>
  <c r="H221" i="52"/>
  <c r="H220" i="52"/>
  <c r="H219" i="52"/>
  <c r="H218" i="52"/>
  <c r="H217" i="52"/>
  <c r="H216" i="52"/>
  <c r="H215" i="52"/>
  <c r="H214" i="52"/>
  <c r="H213" i="52"/>
  <c r="H212" i="52"/>
  <c r="H211" i="52"/>
  <c r="H210" i="52"/>
  <c r="H209" i="52"/>
  <c r="H208" i="52"/>
  <c r="H207" i="52"/>
  <c r="H206" i="52"/>
  <c r="H140" i="52"/>
  <c r="H92" i="52"/>
  <c r="H170" i="52"/>
  <c r="H204" i="52" s="1"/>
  <c r="H232" i="52" s="1"/>
  <c r="H108" i="52"/>
  <c r="I15" i="52"/>
  <c r="J94" i="52"/>
  <c r="J97" i="52" s="1"/>
  <c r="J260" i="52" s="1"/>
  <c r="I104" i="52"/>
  <c r="E100" i="52"/>
  <c r="E101" i="52" s="1"/>
  <c r="E104" i="52" s="1"/>
  <c r="B22" i="66"/>
  <c r="B219" i="52"/>
  <c r="B247" i="52" s="1"/>
  <c r="B18" i="66"/>
  <c r="B215" i="52"/>
  <c r="B243" i="52" s="1"/>
  <c r="O100" i="52"/>
  <c r="M97" i="52"/>
  <c r="M260" i="52" s="1"/>
  <c r="O97" i="52"/>
  <c r="O260" i="52" s="1"/>
  <c r="E97" i="52"/>
  <c r="E260" i="52" s="1"/>
  <c r="F95" i="52"/>
  <c r="G94" i="52" s="1"/>
  <c r="G97" i="52" s="1"/>
  <c r="G260" i="52" s="1"/>
  <c r="G202" i="52"/>
  <c r="Q101" i="52"/>
  <c r="P97" i="52"/>
  <c r="P260" i="52" s="1"/>
  <c r="D100" i="52"/>
  <c r="D101" i="52" s="1"/>
  <c r="D104" i="52" s="1"/>
  <c r="K97" i="52"/>
  <c r="K260" i="52" s="1"/>
  <c r="O101" i="52"/>
  <c r="R94" i="52"/>
  <c r="R97" i="52" s="1"/>
  <c r="R260" i="52" s="1"/>
  <c r="I97" i="52"/>
  <c r="I260" i="52" s="1"/>
  <c r="O104" i="52"/>
  <c r="I100" i="52"/>
  <c r="Q100" i="52"/>
  <c r="S97" i="52"/>
  <c r="F97" i="52"/>
  <c r="F260" i="52" s="1"/>
  <c r="D97" i="52"/>
  <c r="D260" i="52" s="1"/>
  <c r="Q97" i="52"/>
  <c r="Q260" i="52" s="1"/>
  <c r="M100" i="52"/>
  <c r="B12" i="66"/>
  <c r="B182" i="52"/>
  <c r="M101" i="52"/>
  <c r="K101" i="52"/>
  <c r="K104" i="52"/>
  <c r="K100" i="52"/>
  <c r="L94" i="52"/>
  <c r="L97" i="52" s="1"/>
  <c r="L260" i="52" s="1"/>
  <c r="N94" i="52"/>
  <c r="N97" i="52" s="1"/>
  <c r="N260" i="52" s="1"/>
  <c r="O25" i="12"/>
  <c r="T25" i="12" s="1"/>
  <c r="V25" i="12" s="1"/>
  <c r="O12" i="12"/>
  <c r="T12" i="12" s="1"/>
  <c r="U12" i="12" s="1"/>
  <c r="W12" i="12" s="1"/>
  <c r="O28" i="12"/>
  <c r="O15" i="12"/>
  <c r="T15" i="12" s="1"/>
  <c r="U15" i="12" s="1"/>
  <c r="W15" i="12" s="1"/>
  <c r="O31" i="12"/>
  <c r="T31" i="12" s="1"/>
  <c r="U31" i="12" s="1"/>
  <c r="W31" i="12" s="1"/>
  <c r="O14" i="12"/>
  <c r="T14" i="12" s="1"/>
  <c r="V14" i="12" s="1"/>
  <c r="O30" i="12"/>
  <c r="T30" i="12" s="1"/>
  <c r="V30" i="12" s="1"/>
  <c r="O50" i="12"/>
  <c r="O37" i="12"/>
  <c r="O27" i="12"/>
  <c r="T27" i="12" s="1"/>
  <c r="O48" i="12"/>
  <c r="O13" i="12"/>
  <c r="O29" i="12"/>
  <c r="O16" i="12"/>
  <c r="O32" i="12"/>
  <c r="T32" i="12" s="1"/>
  <c r="V32" i="12" s="1"/>
  <c r="O19" i="12"/>
  <c r="O35" i="12"/>
  <c r="O18" i="12"/>
  <c r="O34" i="12"/>
  <c r="O21" i="12"/>
  <c r="O24" i="12"/>
  <c r="O11" i="12"/>
  <c r="O10" i="12"/>
  <c r="T10" i="12" s="1"/>
  <c r="O26" i="12"/>
  <c r="T26" i="12" s="1"/>
  <c r="V26" i="12" s="1"/>
  <c r="O17" i="12"/>
  <c r="T17" i="12" s="1"/>
  <c r="U17" i="12" s="1"/>
  <c r="W17" i="12" s="1"/>
  <c r="O33" i="12"/>
  <c r="T33" i="12" s="1"/>
  <c r="U33" i="12" s="1"/>
  <c r="W33" i="12" s="1"/>
  <c r="O20" i="12"/>
  <c r="O36" i="12"/>
  <c r="O23" i="12"/>
  <c r="O39" i="12"/>
  <c r="O22" i="12"/>
  <c r="O38" i="12"/>
  <c r="U26" i="244"/>
  <c r="W26" i="244" s="1"/>
  <c r="V26" i="244"/>
  <c r="U33" i="244"/>
  <c r="W33" i="244" s="1"/>
  <c r="V33" i="244"/>
  <c r="N98" i="241"/>
  <c r="N264" i="241" s="1"/>
  <c r="N262" i="241"/>
  <c r="U25" i="244"/>
  <c r="W25" i="244" s="1"/>
  <c r="V25" i="244"/>
  <c r="U30" i="244"/>
  <c r="W30" i="244" s="1"/>
  <c r="V30" i="244"/>
  <c r="AC10" i="249"/>
  <c r="K41" i="249"/>
  <c r="K42" i="249"/>
  <c r="K43" i="249"/>
  <c r="K44" i="249"/>
  <c r="K45" i="249"/>
  <c r="K46" i="249"/>
  <c r="J15" i="241"/>
  <c r="J140" i="241" s="1"/>
  <c r="I108" i="241"/>
  <c r="I92" i="241"/>
  <c r="I170" i="241"/>
  <c r="I204" i="241" s="1"/>
  <c r="I233" i="241" s="1"/>
  <c r="AC10" i="256"/>
  <c r="K41" i="256"/>
  <c r="K42" i="256"/>
  <c r="K43" i="256"/>
  <c r="K44" i="256"/>
  <c r="K45" i="256"/>
  <c r="K46" i="256"/>
  <c r="C29" i="229"/>
  <c r="S27" i="172"/>
  <c r="W27" i="172"/>
  <c r="O27" i="172"/>
  <c r="T27" i="172"/>
  <c r="P27" i="172"/>
  <c r="U27" i="172"/>
  <c r="Q27" i="172"/>
  <c r="V27" i="172"/>
  <c r="Z47" i="185"/>
  <c r="Z42" i="185"/>
  <c r="U36" i="12"/>
  <c r="W36" i="12" s="1"/>
  <c r="V36" i="12"/>
  <c r="S39" i="172"/>
  <c r="W39" i="172"/>
  <c r="O39" i="172"/>
  <c r="T39" i="172"/>
  <c r="P39" i="172"/>
  <c r="U39" i="172"/>
  <c r="Q39" i="172"/>
  <c r="V39" i="172"/>
  <c r="J207" i="73"/>
  <c r="J211" i="73" s="1"/>
  <c r="J213" i="73" s="1"/>
  <c r="J59" i="73"/>
  <c r="B12" i="232"/>
  <c r="G63" i="133"/>
  <c r="B3" i="244" s="1"/>
  <c r="U13" i="12"/>
  <c r="W13" i="12" s="1"/>
  <c r="V13" i="12"/>
  <c r="U29" i="12"/>
  <c r="W29" i="12" s="1"/>
  <c r="V29" i="12"/>
  <c r="D38" i="10"/>
  <c r="O38" i="10" s="1"/>
  <c r="O34" i="10"/>
  <c r="K98" i="241"/>
  <c r="K264" i="241" s="1"/>
  <c r="K262" i="241"/>
  <c r="S26" i="172"/>
  <c r="W26" i="172"/>
  <c r="O26" i="172"/>
  <c r="T26" i="172"/>
  <c r="P26" i="172"/>
  <c r="U26" i="172"/>
  <c r="Q26" i="172"/>
  <c r="V26" i="172"/>
  <c r="V23" i="244"/>
  <c r="Y23" i="244" s="1"/>
  <c r="U23" i="244"/>
  <c r="W23" i="244" s="1"/>
  <c r="U39" i="244"/>
  <c r="W39" i="244" s="1"/>
  <c r="V39" i="244"/>
  <c r="X39" i="244" s="1"/>
  <c r="O42" i="244"/>
  <c r="O44" i="244"/>
  <c r="O46" i="244"/>
  <c r="O41" i="244"/>
  <c r="O43" i="244"/>
  <c r="O45" i="244"/>
  <c r="U32" i="244"/>
  <c r="W32" i="244" s="1"/>
  <c r="V32" i="244"/>
  <c r="X32" i="244" s="1"/>
  <c r="Y32" i="244" s="1"/>
  <c r="I64" i="73"/>
  <c r="I68" i="73"/>
  <c r="I78" i="73"/>
  <c r="I82" i="73"/>
  <c r="I114" i="73" s="1"/>
  <c r="I249" i="73" s="1"/>
  <c r="I294" i="73" s="1"/>
  <c r="I86" i="73"/>
  <c r="I118" i="73" s="1"/>
  <c r="I253" i="73" s="1"/>
  <c r="I298" i="73" s="1"/>
  <c r="I90" i="73"/>
  <c r="I122" i="73" s="1"/>
  <c r="I257" i="73" s="1"/>
  <c r="I302" i="73" s="1"/>
  <c r="I94" i="73"/>
  <c r="I126" i="73" s="1"/>
  <c r="I261" i="73" s="1"/>
  <c r="I306" i="73" s="1"/>
  <c r="I98" i="73"/>
  <c r="I130" i="73" s="1"/>
  <c r="I265" i="73" s="1"/>
  <c r="I310" i="73" s="1"/>
  <c r="I62" i="73"/>
  <c r="I65" i="73"/>
  <c r="I77" i="73"/>
  <c r="I81" i="73"/>
  <c r="I85" i="73"/>
  <c r="I117" i="73" s="1"/>
  <c r="I252" i="73" s="1"/>
  <c r="I297" i="73" s="1"/>
  <c r="I89" i="73"/>
  <c r="I121" i="73" s="1"/>
  <c r="I256" i="73" s="1"/>
  <c r="I301" i="73" s="1"/>
  <c r="I93" i="73"/>
  <c r="I125" i="73" s="1"/>
  <c r="I260" i="73" s="1"/>
  <c r="I305" i="73" s="1"/>
  <c r="I97" i="73"/>
  <c r="I129" i="73" s="1"/>
  <c r="I264" i="73" s="1"/>
  <c r="I309" i="73" s="1"/>
  <c r="I66" i="73"/>
  <c r="I76" i="73"/>
  <c r="I80" i="73"/>
  <c r="I84" i="73"/>
  <c r="I116" i="73" s="1"/>
  <c r="I251" i="73" s="1"/>
  <c r="I296" i="73" s="1"/>
  <c r="I88" i="73"/>
  <c r="I120" i="73" s="1"/>
  <c r="I255" i="73" s="1"/>
  <c r="I300" i="73" s="1"/>
  <c r="I92" i="73"/>
  <c r="I124" i="73" s="1"/>
  <c r="I259" i="73" s="1"/>
  <c r="I304" i="73" s="1"/>
  <c r="I96" i="73"/>
  <c r="I128" i="73" s="1"/>
  <c r="I263" i="73" s="1"/>
  <c r="I308" i="73" s="1"/>
  <c r="I63" i="73"/>
  <c r="I67" i="73"/>
  <c r="I75" i="73"/>
  <c r="I79" i="73"/>
  <c r="I83" i="73"/>
  <c r="I115" i="73" s="1"/>
  <c r="I250" i="73" s="1"/>
  <c r="I295" i="73" s="1"/>
  <c r="I87" i="73"/>
  <c r="I119" i="73" s="1"/>
  <c r="I254" i="73" s="1"/>
  <c r="I299" i="73" s="1"/>
  <c r="I91" i="73"/>
  <c r="I123" i="73" s="1"/>
  <c r="I258" i="73" s="1"/>
  <c r="I303" i="73" s="1"/>
  <c r="I95" i="73"/>
  <c r="I127" i="73" s="1"/>
  <c r="I262" i="73" s="1"/>
  <c r="I307" i="73" s="1"/>
  <c r="I99" i="73"/>
  <c r="I103" i="73"/>
  <c r="V44" i="234"/>
  <c r="V45" i="234"/>
  <c r="V42" i="234"/>
  <c r="V46" i="234"/>
  <c r="V43" i="234"/>
  <c r="V47" i="234"/>
  <c r="S22" i="172"/>
  <c r="W22" i="172"/>
  <c r="O22" i="172"/>
  <c r="T22" i="172"/>
  <c r="P22" i="172"/>
  <c r="U22" i="172"/>
  <c r="Q22" i="172"/>
  <c r="V22" i="172"/>
  <c r="D55" i="14"/>
  <c r="E55" i="14" s="1"/>
  <c r="D57" i="14"/>
  <c r="E57" i="14" s="1"/>
  <c r="D54" i="14"/>
  <c r="E54" i="14" s="1"/>
  <c r="K41" i="12"/>
  <c r="K42" i="12"/>
  <c r="K43" i="12"/>
  <c r="K44" i="12"/>
  <c r="K45" i="12"/>
  <c r="K46" i="12"/>
  <c r="AC10" i="12"/>
  <c r="O6" i="249"/>
  <c r="F16" i="11"/>
  <c r="F56" i="11" s="1"/>
  <c r="S13" i="172"/>
  <c r="W13" i="172"/>
  <c r="O13" i="172"/>
  <c r="T13" i="172"/>
  <c r="P13" i="172"/>
  <c r="U13" i="172"/>
  <c r="Q13" i="172"/>
  <c r="V13" i="172"/>
  <c r="G100" i="241"/>
  <c r="G101" i="241" s="1"/>
  <c r="G104" i="241" s="1"/>
  <c r="H94" i="241"/>
  <c r="H97" i="241" s="1"/>
  <c r="S36" i="172"/>
  <c r="W36" i="172"/>
  <c r="O36" i="172"/>
  <c r="T36" i="172"/>
  <c r="P36" i="172"/>
  <c r="U36" i="172"/>
  <c r="Q36" i="172"/>
  <c r="V36" i="172"/>
  <c r="K70" i="133"/>
  <c r="C115" i="156"/>
  <c r="D24" i="62"/>
  <c r="D32" i="48"/>
  <c r="U43" i="10"/>
  <c r="U19" i="12"/>
  <c r="W19" i="12" s="1"/>
  <c r="V19" i="12"/>
  <c r="U35" i="12"/>
  <c r="W35" i="12" s="1"/>
  <c r="V35" i="12"/>
  <c r="S34" i="172"/>
  <c r="W34" i="172"/>
  <c r="O34" i="172"/>
  <c r="T34" i="172"/>
  <c r="P34" i="172"/>
  <c r="U34" i="172"/>
  <c r="Q34" i="172"/>
  <c r="V34" i="172"/>
  <c r="V37" i="244"/>
  <c r="U37" i="244"/>
  <c r="W37" i="244" s="1"/>
  <c r="Q12" i="249"/>
  <c r="Q16" i="249"/>
  <c r="Q20" i="249"/>
  <c r="Q24" i="249"/>
  <c r="Q28" i="249"/>
  <c r="Q32" i="249"/>
  <c r="Q36" i="249"/>
  <c r="Q11" i="249"/>
  <c r="Q15" i="249"/>
  <c r="Q19" i="249"/>
  <c r="Q23" i="249"/>
  <c r="Q27" i="249"/>
  <c r="Q31" i="249"/>
  <c r="Q35" i="249"/>
  <c r="Q39" i="249"/>
  <c r="Q10" i="249"/>
  <c r="Q14" i="249"/>
  <c r="Q18" i="249"/>
  <c r="Q22" i="249"/>
  <c r="Q26" i="249"/>
  <c r="Q30" i="249"/>
  <c r="Q34" i="249"/>
  <c r="Q38" i="249"/>
  <c r="Q13" i="249"/>
  <c r="Q17" i="249"/>
  <c r="Q21" i="249"/>
  <c r="Q25" i="249"/>
  <c r="Q29" i="249"/>
  <c r="Q33" i="249"/>
  <c r="Q37" i="249"/>
  <c r="G94" i="241"/>
  <c r="G97" i="241" s="1"/>
  <c r="F100" i="241"/>
  <c r="F101" i="241" s="1"/>
  <c r="U19" i="256"/>
  <c r="W19" i="256" s="1"/>
  <c r="V19" i="256"/>
  <c r="S34" i="256"/>
  <c r="S26" i="256"/>
  <c r="S15" i="256"/>
  <c r="S16" i="256"/>
  <c r="S25" i="256"/>
  <c r="S22" i="256"/>
  <c r="Y22" i="256"/>
  <c r="Y37" i="256"/>
  <c r="S30" i="172"/>
  <c r="W30" i="172"/>
  <c r="O30" i="172"/>
  <c r="T30" i="172"/>
  <c r="P30" i="172"/>
  <c r="U30" i="172"/>
  <c r="Q30" i="172"/>
  <c r="V30" i="172"/>
  <c r="P98" i="241"/>
  <c r="P264" i="241" s="1"/>
  <c r="P262" i="241"/>
  <c r="S24" i="172"/>
  <c r="W24" i="172"/>
  <c r="O24" i="172"/>
  <c r="T24" i="172"/>
  <c r="P24" i="172"/>
  <c r="U24" i="172"/>
  <c r="Q24" i="172"/>
  <c r="V24" i="172"/>
  <c r="U12" i="244"/>
  <c r="W12" i="244" s="1"/>
  <c r="V12" i="244"/>
  <c r="Y12" i="244" s="1"/>
  <c r="V14" i="244"/>
  <c r="U14" i="244"/>
  <c r="W14" i="244" s="1"/>
  <c r="P34" i="10"/>
  <c r="E38" i="10"/>
  <c r="P38" i="10" s="1"/>
  <c r="F48" i="11"/>
  <c r="F49" i="11" s="1"/>
  <c r="F51" i="11" s="1"/>
  <c r="Z45" i="185"/>
  <c r="I98" i="241"/>
  <c r="I264" i="241" s="1"/>
  <c r="I262" i="241"/>
  <c r="S20" i="172"/>
  <c r="W20" i="172"/>
  <c r="O20" i="172"/>
  <c r="T20" i="172"/>
  <c r="P20" i="172"/>
  <c r="U20" i="172"/>
  <c r="Q20" i="172"/>
  <c r="V20" i="172"/>
  <c r="L10" i="229"/>
  <c r="M207" i="73"/>
  <c r="M211" i="73" s="1"/>
  <c r="M213" i="73" s="1"/>
  <c r="M59" i="73"/>
  <c r="F207" i="73"/>
  <c r="F211" i="73" s="1"/>
  <c r="F213" i="73" s="1"/>
  <c r="F59" i="73"/>
  <c r="B11" i="232"/>
  <c r="G62" i="133"/>
  <c r="B3" i="243" s="1"/>
  <c r="B29" i="242" s="1"/>
  <c r="R98" i="241"/>
  <c r="R264" i="241" s="1"/>
  <c r="R262" i="241"/>
  <c r="U25" i="12"/>
  <c r="W25" i="12" s="1"/>
  <c r="S29" i="172"/>
  <c r="W29" i="172"/>
  <c r="O29" i="172"/>
  <c r="T29" i="172"/>
  <c r="P29" i="172"/>
  <c r="U29" i="172"/>
  <c r="Q29" i="172"/>
  <c r="V29" i="172"/>
  <c r="V19" i="244"/>
  <c r="U19" i="244"/>
  <c r="W19" i="244" s="1"/>
  <c r="U35" i="244"/>
  <c r="W35" i="244" s="1"/>
  <c r="V35" i="244"/>
  <c r="U38" i="244"/>
  <c r="W38" i="244" s="1"/>
  <c r="V38" i="244"/>
  <c r="D97" i="241"/>
  <c r="D100" i="241"/>
  <c r="J98" i="52"/>
  <c r="J103" i="52" s="1"/>
  <c r="J106" i="52" s="1"/>
  <c r="U28" i="12"/>
  <c r="W28" i="12" s="1"/>
  <c r="V28" i="12"/>
  <c r="S35" i="172"/>
  <c r="W35" i="172"/>
  <c r="O35" i="172"/>
  <c r="T35" i="172"/>
  <c r="P35" i="172"/>
  <c r="U35" i="172"/>
  <c r="Q35" i="172"/>
  <c r="V35" i="172"/>
  <c r="F25" i="126"/>
  <c r="D27" i="126"/>
  <c r="B15" i="232"/>
  <c r="G66" i="133"/>
  <c r="U28" i="244"/>
  <c r="W28" i="244" s="1"/>
  <c r="V28" i="244"/>
  <c r="S17" i="172"/>
  <c r="W17" i="172"/>
  <c r="O17" i="172"/>
  <c r="T17" i="172"/>
  <c r="P17" i="172"/>
  <c r="U17" i="172"/>
  <c r="Q17" i="172"/>
  <c r="V17" i="172"/>
  <c r="M97" i="241"/>
  <c r="U13" i="256"/>
  <c r="W13" i="256" s="1"/>
  <c r="V13" i="256"/>
  <c r="V29" i="256"/>
  <c r="U29" i="256"/>
  <c r="W29" i="256" s="1"/>
  <c r="H62" i="73"/>
  <c r="H65" i="73"/>
  <c r="H77" i="73"/>
  <c r="H81" i="73"/>
  <c r="H85" i="73"/>
  <c r="H117" i="73" s="1"/>
  <c r="H252" i="73" s="1"/>
  <c r="H297" i="73" s="1"/>
  <c r="H89" i="73"/>
  <c r="H121" i="73" s="1"/>
  <c r="H256" i="73" s="1"/>
  <c r="H301" i="73" s="1"/>
  <c r="H93" i="73"/>
  <c r="H125" i="73" s="1"/>
  <c r="H260" i="73" s="1"/>
  <c r="H305" i="73" s="1"/>
  <c r="H97" i="73"/>
  <c r="H129" i="73" s="1"/>
  <c r="H264" i="73" s="1"/>
  <c r="H309" i="73" s="1"/>
  <c r="H66" i="73"/>
  <c r="H76" i="73"/>
  <c r="H80" i="73"/>
  <c r="H84" i="73"/>
  <c r="H116" i="73" s="1"/>
  <c r="H251" i="73" s="1"/>
  <c r="H296" i="73" s="1"/>
  <c r="H88" i="73"/>
  <c r="H120" i="73" s="1"/>
  <c r="H255" i="73" s="1"/>
  <c r="H300" i="73" s="1"/>
  <c r="H92" i="73"/>
  <c r="H124" i="73" s="1"/>
  <c r="H259" i="73" s="1"/>
  <c r="H304" i="73" s="1"/>
  <c r="H96" i="73"/>
  <c r="H128" i="73" s="1"/>
  <c r="H263" i="73" s="1"/>
  <c r="H308" i="73" s="1"/>
  <c r="H63" i="73"/>
  <c r="H67" i="73"/>
  <c r="H75" i="73"/>
  <c r="H79" i="73"/>
  <c r="H83" i="73"/>
  <c r="H115" i="73" s="1"/>
  <c r="H250" i="73" s="1"/>
  <c r="H295" i="73" s="1"/>
  <c r="H87" i="73"/>
  <c r="H119" i="73" s="1"/>
  <c r="H254" i="73" s="1"/>
  <c r="H299" i="73" s="1"/>
  <c r="H91" i="73"/>
  <c r="H123" i="73" s="1"/>
  <c r="H258" i="73" s="1"/>
  <c r="H303" i="73" s="1"/>
  <c r="H95" i="73"/>
  <c r="H127" i="73" s="1"/>
  <c r="H262" i="73" s="1"/>
  <c r="H307" i="73" s="1"/>
  <c r="H99" i="73"/>
  <c r="H103" i="73"/>
  <c r="H64" i="73"/>
  <c r="H68" i="73"/>
  <c r="H78" i="73"/>
  <c r="H82" i="73"/>
  <c r="H114" i="73" s="1"/>
  <c r="H249" i="73" s="1"/>
  <c r="H294" i="73" s="1"/>
  <c r="H86" i="73"/>
  <c r="H118" i="73" s="1"/>
  <c r="H253" i="73" s="1"/>
  <c r="H298" i="73" s="1"/>
  <c r="H90" i="73"/>
  <c r="H122" i="73" s="1"/>
  <c r="H257" i="73" s="1"/>
  <c r="H302" i="73" s="1"/>
  <c r="H94" i="73"/>
  <c r="H126" i="73" s="1"/>
  <c r="H261" i="73" s="1"/>
  <c r="H306" i="73" s="1"/>
  <c r="H98" i="73"/>
  <c r="H130" i="73" s="1"/>
  <c r="H265" i="73" s="1"/>
  <c r="H310" i="73" s="1"/>
  <c r="R34" i="10"/>
  <c r="G38" i="10"/>
  <c r="R38" i="10" s="1"/>
  <c r="H11" i="11"/>
  <c r="H55" i="11" s="1"/>
  <c r="H60" i="11" s="1"/>
  <c r="H62" i="11" s="1"/>
  <c r="H64" i="11" s="1"/>
  <c r="F72" i="8"/>
  <c r="P56" i="8"/>
  <c r="S37" i="172"/>
  <c r="W37" i="172"/>
  <c r="O37" i="172"/>
  <c r="T37" i="172"/>
  <c r="P37" i="172"/>
  <c r="U37" i="172"/>
  <c r="Q37" i="172"/>
  <c r="V37" i="172"/>
  <c r="U21" i="244"/>
  <c r="W21" i="244" s="1"/>
  <c r="V21" i="244"/>
  <c r="S31" i="172"/>
  <c r="W31" i="172"/>
  <c r="O31" i="172"/>
  <c r="T31" i="172"/>
  <c r="P31" i="172"/>
  <c r="U31" i="172"/>
  <c r="Q31" i="172"/>
  <c r="V31" i="172"/>
  <c r="C12" i="172"/>
  <c r="R12" i="47"/>
  <c r="W12" i="47"/>
  <c r="C45" i="47"/>
  <c r="S12" i="47"/>
  <c r="X12" i="47"/>
  <c r="C46" i="47"/>
  <c r="T12" i="47"/>
  <c r="Y12" i="47"/>
  <c r="C43" i="47"/>
  <c r="C47" i="47"/>
  <c r="V12" i="47"/>
  <c r="Z12" i="47"/>
  <c r="C44" i="47"/>
  <c r="C48" i="47"/>
  <c r="D28" i="79"/>
  <c r="U16" i="244"/>
  <c r="W16" i="244" s="1"/>
  <c r="V16" i="244"/>
  <c r="Y16" i="244" s="1"/>
  <c r="S32" i="256"/>
  <c r="S27" i="256"/>
  <c r="S11" i="256"/>
  <c r="S12" i="256"/>
  <c r="S18" i="256"/>
  <c r="Y18" i="256"/>
  <c r="L62" i="73"/>
  <c r="L65" i="73"/>
  <c r="L77" i="73"/>
  <c r="L81" i="73"/>
  <c r="L85" i="73"/>
  <c r="L117" i="73" s="1"/>
  <c r="L252" i="73" s="1"/>
  <c r="L297" i="73" s="1"/>
  <c r="L89" i="73"/>
  <c r="L121" i="73" s="1"/>
  <c r="L256" i="73" s="1"/>
  <c r="L301" i="73" s="1"/>
  <c r="L93" i="73"/>
  <c r="L125" i="73" s="1"/>
  <c r="L260" i="73" s="1"/>
  <c r="L305" i="73" s="1"/>
  <c r="L97" i="73"/>
  <c r="L129" i="73" s="1"/>
  <c r="L264" i="73" s="1"/>
  <c r="L309" i="73" s="1"/>
  <c r="L66" i="73"/>
  <c r="L76" i="73"/>
  <c r="L80" i="73"/>
  <c r="L84" i="73"/>
  <c r="L116" i="73" s="1"/>
  <c r="L251" i="73" s="1"/>
  <c r="L296" i="73" s="1"/>
  <c r="L88" i="73"/>
  <c r="L120" i="73" s="1"/>
  <c r="L255" i="73" s="1"/>
  <c r="L300" i="73" s="1"/>
  <c r="L92" i="73"/>
  <c r="L124" i="73" s="1"/>
  <c r="L259" i="73" s="1"/>
  <c r="L304" i="73" s="1"/>
  <c r="L96" i="73"/>
  <c r="L128" i="73" s="1"/>
  <c r="L263" i="73" s="1"/>
  <c r="L308" i="73" s="1"/>
  <c r="L63" i="73"/>
  <c r="L67" i="73"/>
  <c r="L75" i="73"/>
  <c r="L79" i="73"/>
  <c r="L83" i="73"/>
  <c r="L115" i="73" s="1"/>
  <c r="L250" i="73" s="1"/>
  <c r="L295" i="73" s="1"/>
  <c r="L87" i="73"/>
  <c r="L119" i="73" s="1"/>
  <c r="L254" i="73" s="1"/>
  <c r="L299" i="73" s="1"/>
  <c r="L91" i="73"/>
  <c r="L123" i="73" s="1"/>
  <c r="L258" i="73" s="1"/>
  <c r="L303" i="73" s="1"/>
  <c r="L95" i="73"/>
  <c r="L127" i="73" s="1"/>
  <c r="L262" i="73" s="1"/>
  <c r="L307" i="73" s="1"/>
  <c r="L99" i="73"/>
  <c r="L103" i="73"/>
  <c r="L64" i="73"/>
  <c r="L68" i="73"/>
  <c r="L78" i="73"/>
  <c r="L82" i="73"/>
  <c r="L114" i="73" s="1"/>
  <c r="L249" i="73" s="1"/>
  <c r="L294" i="73" s="1"/>
  <c r="L86" i="73"/>
  <c r="L118" i="73" s="1"/>
  <c r="L253" i="73" s="1"/>
  <c r="L298" i="73" s="1"/>
  <c r="L90" i="73"/>
  <c r="L122" i="73" s="1"/>
  <c r="L257" i="73" s="1"/>
  <c r="L302" i="73" s="1"/>
  <c r="L94" i="73"/>
  <c r="L126" i="73" s="1"/>
  <c r="L261" i="73" s="1"/>
  <c r="L306" i="73" s="1"/>
  <c r="L98" i="73"/>
  <c r="L130" i="73" s="1"/>
  <c r="L265" i="73" s="1"/>
  <c r="L310" i="73" s="1"/>
  <c r="Y13" i="256"/>
  <c r="U18" i="244"/>
  <c r="W18" i="244" s="1"/>
  <c r="V18" i="244"/>
  <c r="S98" i="241"/>
  <c r="S264" i="241" s="1"/>
  <c r="S262" i="241"/>
  <c r="W10" i="245" s="1"/>
  <c r="B10" i="66"/>
  <c r="B180" i="52"/>
  <c r="L98" i="241"/>
  <c r="L264" i="241" s="1"/>
  <c r="L262" i="241"/>
  <c r="U23" i="12"/>
  <c r="W23" i="12" s="1"/>
  <c r="V23" i="12"/>
  <c r="Y23" i="12" s="1"/>
  <c r="U39" i="12"/>
  <c r="W39" i="12" s="1"/>
  <c r="V39" i="12"/>
  <c r="Z44" i="185"/>
  <c r="AC10" i="251"/>
  <c r="K41" i="251"/>
  <c r="K42" i="251"/>
  <c r="K43" i="251"/>
  <c r="K44" i="251"/>
  <c r="K45" i="251"/>
  <c r="K46" i="251"/>
  <c r="S33" i="172"/>
  <c r="W33" i="172"/>
  <c r="O33" i="172"/>
  <c r="T33" i="172"/>
  <c r="P33" i="172"/>
  <c r="U33" i="172"/>
  <c r="Q33" i="172"/>
  <c r="V33" i="172"/>
  <c r="K59" i="73"/>
  <c r="K207" i="73"/>
  <c r="K211" i="73" s="1"/>
  <c r="K213" i="73" s="1"/>
  <c r="E64" i="73"/>
  <c r="E68" i="73"/>
  <c r="E78" i="73"/>
  <c r="E82" i="73"/>
  <c r="E114" i="73" s="1"/>
  <c r="E249" i="73" s="1"/>
  <c r="E294" i="73" s="1"/>
  <c r="E86" i="73"/>
  <c r="E118" i="73" s="1"/>
  <c r="E253" i="73" s="1"/>
  <c r="E298" i="73" s="1"/>
  <c r="E90" i="73"/>
  <c r="E122" i="73" s="1"/>
  <c r="E257" i="73" s="1"/>
  <c r="E302" i="73" s="1"/>
  <c r="E94" i="73"/>
  <c r="E126" i="73" s="1"/>
  <c r="E261" i="73" s="1"/>
  <c r="E306" i="73" s="1"/>
  <c r="E98" i="73"/>
  <c r="E130" i="73" s="1"/>
  <c r="E265" i="73" s="1"/>
  <c r="E310" i="73" s="1"/>
  <c r="E62" i="73"/>
  <c r="E65" i="73"/>
  <c r="E77" i="73"/>
  <c r="E81" i="73"/>
  <c r="E85" i="73"/>
  <c r="E117" i="73" s="1"/>
  <c r="E252" i="73" s="1"/>
  <c r="E297" i="73" s="1"/>
  <c r="E89" i="73"/>
  <c r="E121" i="73" s="1"/>
  <c r="E256" i="73" s="1"/>
  <c r="E301" i="73" s="1"/>
  <c r="E93" i="73"/>
  <c r="E125" i="73" s="1"/>
  <c r="E260" i="73" s="1"/>
  <c r="E305" i="73" s="1"/>
  <c r="E97" i="73"/>
  <c r="E129" i="73" s="1"/>
  <c r="E264" i="73" s="1"/>
  <c r="E309" i="73" s="1"/>
  <c r="E66" i="73"/>
  <c r="E76" i="73"/>
  <c r="E80" i="73"/>
  <c r="E84" i="73"/>
  <c r="E116" i="73" s="1"/>
  <c r="E251" i="73" s="1"/>
  <c r="E296" i="73" s="1"/>
  <c r="E88" i="73"/>
  <c r="E120" i="73" s="1"/>
  <c r="E255" i="73" s="1"/>
  <c r="E300" i="73" s="1"/>
  <c r="E92" i="73"/>
  <c r="E124" i="73" s="1"/>
  <c r="E259" i="73" s="1"/>
  <c r="E304" i="73" s="1"/>
  <c r="E96" i="73"/>
  <c r="E128" i="73" s="1"/>
  <c r="E263" i="73" s="1"/>
  <c r="E308" i="73" s="1"/>
  <c r="E63" i="73"/>
  <c r="E67" i="73"/>
  <c r="E75" i="73"/>
  <c r="E79" i="73"/>
  <c r="E83" i="73"/>
  <c r="E115" i="73" s="1"/>
  <c r="E250" i="73" s="1"/>
  <c r="E295" i="73" s="1"/>
  <c r="E87" i="73"/>
  <c r="E119" i="73" s="1"/>
  <c r="E254" i="73" s="1"/>
  <c r="E299" i="73" s="1"/>
  <c r="E91" i="73"/>
  <c r="E123" i="73" s="1"/>
  <c r="E258" i="73" s="1"/>
  <c r="E303" i="73" s="1"/>
  <c r="E95" i="73"/>
  <c r="E127" i="73" s="1"/>
  <c r="E262" i="73" s="1"/>
  <c r="E307" i="73" s="1"/>
  <c r="E99" i="73"/>
  <c r="E103" i="73"/>
  <c r="E98" i="241"/>
  <c r="E264" i="241" s="1"/>
  <c r="E262" i="241"/>
  <c r="U21" i="12"/>
  <c r="W21" i="12" s="1"/>
  <c r="V21" i="12"/>
  <c r="X21" i="12" s="1"/>
  <c r="U37" i="12"/>
  <c r="W37" i="12" s="1"/>
  <c r="V37" i="12"/>
  <c r="F98" i="52"/>
  <c r="F103" i="52" s="1"/>
  <c r="M98" i="52"/>
  <c r="V15" i="244"/>
  <c r="U15" i="244"/>
  <c r="W15" i="244" s="1"/>
  <c r="V31" i="244"/>
  <c r="U31" i="244"/>
  <c r="W31" i="244" s="1"/>
  <c r="V34" i="12"/>
  <c r="Y34" i="12" s="1"/>
  <c r="U34" i="12"/>
  <c r="W34" i="12" s="1"/>
  <c r="B14" i="66"/>
  <c r="B184" i="52"/>
  <c r="U45" i="234"/>
  <c r="U42" i="234"/>
  <c r="U46" i="234"/>
  <c r="U43" i="234"/>
  <c r="U47" i="234"/>
  <c r="U44" i="234"/>
  <c r="S38" i="172"/>
  <c r="W38" i="172"/>
  <c r="O38" i="172"/>
  <c r="T38" i="172"/>
  <c r="P38" i="172"/>
  <c r="U38" i="172"/>
  <c r="Q38" i="172"/>
  <c r="V38" i="172"/>
  <c r="V34" i="244"/>
  <c r="Y34" i="244" s="1"/>
  <c r="U34" i="244"/>
  <c r="W34" i="244" s="1"/>
  <c r="G31" i="11"/>
  <c r="G42" i="11" s="1"/>
  <c r="G20" i="11"/>
  <c r="G21" i="11" s="1"/>
  <c r="L68" i="133"/>
  <c r="B67" i="133"/>
  <c r="S40" i="172"/>
  <c r="W40" i="172"/>
  <c r="O40" i="172"/>
  <c r="T40" i="172"/>
  <c r="P40" i="172"/>
  <c r="U40" i="172"/>
  <c r="Q40" i="172"/>
  <c r="V40" i="172"/>
  <c r="U24" i="12"/>
  <c r="W24" i="12" s="1"/>
  <c r="V24" i="12"/>
  <c r="J97" i="241"/>
  <c r="K14" i="133"/>
  <c r="B14" i="133" s="1"/>
  <c r="G14" i="133" s="1"/>
  <c r="B3" i="52" s="1"/>
  <c r="J15" i="133"/>
  <c r="U24" i="244"/>
  <c r="W24" i="244" s="1"/>
  <c r="V24" i="244"/>
  <c r="X10" i="244"/>
  <c r="T10" i="244"/>
  <c r="AC10" i="244"/>
  <c r="K41" i="244"/>
  <c r="K42" i="244"/>
  <c r="K43" i="244"/>
  <c r="K44" i="244"/>
  <c r="K45" i="244"/>
  <c r="K46" i="244"/>
  <c r="S15" i="172"/>
  <c r="W15" i="172"/>
  <c r="O15" i="172"/>
  <c r="T15" i="172"/>
  <c r="P15" i="172"/>
  <c r="U15" i="172"/>
  <c r="Q15" i="172"/>
  <c r="V15" i="172"/>
  <c r="F114" i="156"/>
  <c r="G114" i="156"/>
  <c r="U11" i="12"/>
  <c r="W11" i="12" s="1"/>
  <c r="V11" i="12"/>
  <c r="Y11" i="12" s="1"/>
  <c r="U27" i="12"/>
  <c r="W27" i="12" s="1"/>
  <c r="V27" i="12"/>
  <c r="U20" i="244"/>
  <c r="W20" i="244" s="1"/>
  <c r="V20" i="244"/>
  <c r="Y20" i="244" s="1"/>
  <c r="H38" i="10"/>
  <c r="S38" i="10" s="1"/>
  <c r="S34" i="10"/>
  <c r="S18" i="172"/>
  <c r="W18" i="172"/>
  <c r="O18" i="172"/>
  <c r="T18" i="172"/>
  <c r="P18" i="172"/>
  <c r="U18" i="172"/>
  <c r="Q18" i="172"/>
  <c r="V18" i="172"/>
  <c r="U17" i="244"/>
  <c r="W17" i="244" s="1"/>
  <c r="V17" i="244"/>
  <c r="Y17" i="244" s="1"/>
  <c r="U22" i="244"/>
  <c r="W22" i="244" s="1"/>
  <c r="V22" i="244"/>
  <c r="N41" i="249"/>
  <c r="N42" i="249"/>
  <c r="N43" i="249"/>
  <c r="N44" i="249"/>
  <c r="N45" i="249"/>
  <c r="N46" i="249"/>
  <c r="S28" i="172"/>
  <c r="W28" i="172"/>
  <c r="O28" i="172"/>
  <c r="T28" i="172"/>
  <c r="P28" i="172"/>
  <c r="U28" i="172"/>
  <c r="Q28" i="172"/>
  <c r="V28" i="172"/>
  <c r="S30" i="256"/>
  <c r="S36" i="256"/>
  <c r="Y36" i="256"/>
  <c r="S24" i="256"/>
  <c r="Y24" i="256"/>
  <c r="S17" i="256"/>
  <c r="S14" i="256"/>
  <c r="Y21" i="256"/>
  <c r="S14" i="172"/>
  <c r="W14" i="172"/>
  <c r="O14" i="172"/>
  <c r="T14" i="172"/>
  <c r="P14" i="172"/>
  <c r="U14" i="172"/>
  <c r="Q14" i="172"/>
  <c r="V14" i="172"/>
  <c r="Z46" i="185"/>
  <c r="S21" i="172"/>
  <c r="W21" i="172"/>
  <c r="O21" i="172"/>
  <c r="T21" i="172"/>
  <c r="P21" i="172"/>
  <c r="U21" i="172"/>
  <c r="Q21" i="172"/>
  <c r="V21" i="172"/>
  <c r="G59" i="73"/>
  <c r="G207" i="73"/>
  <c r="G211" i="73" s="1"/>
  <c r="G213" i="73" s="1"/>
  <c r="N19" i="6"/>
  <c r="N20" i="6" s="1"/>
  <c r="O14" i="6"/>
  <c r="N30" i="6"/>
  <c r="F38" i="10"/>
  <c r="Q38" i="10" s="1"/>
  <c r="Q34" i="10"/>
  <c r="O98" i="241"/>
  <c r="O264" i="241" s="1"/>
  <c r="O262" i="241"/>
  <c r="S10" i="245" s="1"/>
  <c r="S16" i="172"/>
  <c r="W16" i="172"/>
  <c r="O16" i="172"/>
  <c r="T16" i="172"/>
  <c r="P16" i="172"/>
  <c r="U16" i="172"/>
  <c r="Q16" i="172"/>
  <c r="V16" i="172"/>
  <c r="U36" i="244"/>
  <c r="W36" i="244" s="1"/>
  <c r="V36" i="244"/>
  <c r="U11" i="244"/>
  <c r="W11" i="244" s="1"/>
  <c r="V11" i="244"/>
  <c r="Y11" i="244" s="1"/>
  <c r="V27" i="244"/>
  <c r="U27" i="244"/>
  <c r="W27" i="244" s="1"/>
  <c r="AC10" i="250"/>
  <c r="K42" i="250"/>
  <c r="K44" i="250"/>
  <c r="K45" i="250"/>
  <c r="K46" i="250"/>
  <c r="K41" i="250"/>
  <c r="K43" i="250"/>
  <c r="S25" i="172"/>
  <c r="W25" i="172"/>
  <c r="O25" i="172"/>
  <c r="T25" i="172"/>
  <c r="P25" i="172"/>
  <c r="U25" i="172"/>
  <c r="Q25" i="172"/>
  <c r="V25" i="172"/>
  <c r="K41" i="257"/>
  <c r="K42" i="257"/>
  <c r="K43" i="257"/>
  <c r="K44" i="257"/>
  <c r="K45" i="257"/>
  <c r="K46" i="257"/>
  <c r="AC10" i="257"/>
  <c r="D62" i="73"/>
  <c r="D65" i="73"/>
  <c r="D77" i="73"/>
  <c r="D81" i="73"/>
  <c r="D85" i="73"/>
  <c r="D117" i="73" s="1"/>
  <c r="D252" i="73" s="1"/>
  <c r="D297" i="73" s="1"/>
  <c r="D89" i="73"/>
  <c r="D121" i="73" s="1"/>
  <c r="D256" i="73" s="1"/>
  <c r="D301" i="73" s="1"/>
  <c r="D93" i="73"/>
  <c r="D125" i="73" s="1"/>
  <c r="D260" i="73" s="1"/>
  <c r="D305" i="73" s="1"/>
  <c r="Q260" i="73" s="1"/>
  <c r="S260" i="73" s="1"/>
  <c r="D97" i="73"/>
  <c r="D129" i="73" s="1"/>
  <c r="D264" i="73" s="1"/>
  <c r="D309" i="73" s="1"/>
  <c r="Q264" i="73" s="1"/>
  <c r="S264" i="73" s="1"/>
  <c r="D66" i="73"/>
  <c r="D76" i="73"/>
  <c r="D80" i="73"/>
  <c r="D84" i="73"/>
  <c r="D116" i="73" s="1"/>
  <c r="D251" i="73" s="1"/>
  <c r="D296" i="73" s="1"/>
  <c r="D88" i="73"/>
  <c r="D120" i="73" s="1"/>
  <c r="D255" i="73" s="1"/>
  <c r="D300" i="73" s="1"/>
  <c r="D92" i="73"/>
  <c r="D124" i="73" s="1"/>
  <c r="D259" i="73" s="1"/>
  <c r="D304" i="73" s="1"/>
  <c r="Q259" i="73" s="1"/>
  <c r="S259" i="73" s="1"/>
  <c r="D96" i="73"/>
  <c r="D128" i="73" s="1"/>
  <c r="D263" i="73" s="1"/>
  <c r="D308" i="73" s="1"/>
  <c r="Q263" i="73" s="1"/>
  <c r="S263" i="73" s="1"/>
  <c r="D63" i="73"/>
  <c r="D67" i="73"/>
  <c r="D75" i="73"/>
  <c r="D79" i="73"/>
  <c r="D83" i="73"/>
  <c r="D115" i="73" s="1"/>
  <c r="D250" i="73" s="1"/>
  <c r="D295" i="73" s="1"/>
  <c r="D87" i="73"/>
  <c r="D119" i="73" s="1"/>
  <c r="D254" i="73" s="1"/>
  <c r="D299" i="73" s="1"/>
  <c r="D91" i="73"/>
  <c r="D123" i="73" s="1"/>
  <c r="D258" i="73" s="1"/>
  <c r="D303" i="73" s="1"/>
  <c r="Q258" i="73" s="1"/>
  <c r="S258" i="73" s="1"/>
  <c r="D95" i="73"/>
  <c r="D127" i="73" s="1"/>
  <c r="D262" i="73" s="1"/>
  <c r="D307" i="73" s="1"/>
  <c r="Q262" i="73" s="1"/>
  <c r="S262" i="73" s="1"/>
  <c r="D99" i="73"/>
  <c r="D103" i="73"/>
  <c r="D64" i="73"/>
  <c r="D68" i="73"/>
  <c r="D78" i="73"/>
  <c r="D82" i="73"/>
  <c r="D114" i="73" s="1"/>
  <c r="D249" i="73" s="1"/>
  <c r="D294" i="73" s="1"/>
  <c r="D86" i="73"/>
  <c r="D118" i="73" s="1"/>
  <c r="D253" i="73" s="1"/>
  <c r="D298" i="73" s="1"/>
  <c r="D90" i="73"/>
  <c r="D122" i="73" s="1"/>
  <c r="D257" i="73" s="1"/>
  <c r="D302" i="73" s="1"/>
  <c r="Q257" i="73" s="1"/>
  <c r="S257" i="73" s="1"/>
  <c r="D94" i="73"/>
  <c r="D126" i="73" s="1"/>
  <c r="D261" i="73" s="1"/>
  <c r="D306" i="73" s="1"/>
  <c r="Q261" i="73" s="1"/>
  <c r="S261" i="73" s="1"/>
  <c r="D98" i="73"/>
  <c r="D130" i="73" s="1"/>
  <c r="D265" i="73" s="1"/>
  <c r="D310" i="73" s="1"/>
  <c r="S41" i="172"/>
  <c r="W41" i="172"/>
  <c r="O41" i="172"/>
  <c r="T41" i="172"/>
  <c r="P41" i="172"/>
  <c r="U41" i="172"/>
  <c r="Q41" i="172"/>
  <c r="V41" i="172"/>
  <c r="N51" i="6"/>
  <c r="N11" i="250"/>
  <c r="N15" i="250"/>
  <c r="N19" i="250"/>
  <c r="N23" i="250"/>
  <c r="N10" i="250"/>
  <c r="N14" i="250"/>
  <c r="N18" i="250"/>
  <c r="N22" i="250"/>
  <c r="N26" i="250"/>
  <c r="N30" i="250"/>
  <c r="N34" i="250"/>
  <c r="N38" i="250"/>
  <c r="N12" i="250"/>
  <c r="N16" i="250"/>
  <c r="N20" i="250"/>
  <c r="N24" i="250"/>
  <c r="N28" i="250"/>
  <c r="N32" i="250"/>
  <c r="N36" i="250"/>
  <c r="Q6" i="250"/>
  <c r="N17" i="250"/>
  <c r="N25" i="250"/>
  <c r="N27" i="250"/>
  <c r="N29" i="250"/>
  <c r="N31" i="250"/>
  <c r="N33" i="250"/>
  <c r="N35" i="250"/>
  <c r="N37" i="250"/>
  <c r="N39" i="250"/>
  <c r="N48" i="250"/>
  <c r="N50" i="250"/>
  <c r="N13" i="250"/>
  <c r="N21" i="250"/>
  <c r="Q97" i="241"/>
  <c r="V38" i="12"/>
  <c r="U38" i="12"/>
  <c r="W38" i="12" s="1"/>
  <c r="U21" i="256"/>
  <c r="W21" i="256" s="1"/>
  <c r="V21" i="256"/>
  <c r="U37" i="256"/>
  <c r="W37" i="256" s="1"/>
  <c r="V37" i="256"/>
  <c r="U20" i="12"/>
  <c r="W20" i="12" s="1"/>
  <c r="V20" i="12"/>
  <c r="Y20" i="12" s="1"/>
  <c r="M28" i="6"/>
  <c r="V22" i="12"/>
  <c r="U22" i="12"/>
  <c r="W22" i="12" s="1"/>
  <c r="U34" i="10"/>
  <c r="J38" i="10"/>
  <c r="S32" i="172"/>
  <c r="W32" i="172"/>
  <c r="O32" i="172"/>
  <c r="T32" i="172"/>
  <c r="P32" i="172"/>
  <c r="U32" i="172"/>
  <c r="Q32" i="172"/>
  <c r="V32" i="172"/>
  <c r="U39" i="256"/>
  <c r="W39" i="256" s="1"/>
  <c r="V39" i="256"/>
  <c r="U16" i="12"/>
  <c r="W16" i="12" s="1"/>
  <c r="V16" i="12"/>
  <c r="Y16" i="12" s="1"/>
  <c r="O56" i="8"/>
  <c r="E72" i="8"/>
  <c r="S23" i="172"/>
  <c r="W23" i="172"/>
  <c r="O23" i="172"/>
  <c r="T23" i="172"/>
  <c r="P23" i="172"/>
  <c r="U23" i="172"/>
  <c r="Q23" i="172"/>
  <c r="V23" i="172"/>
  <c r="S19" i="172"/>
  <c r="W19" i="172"/>
  <c r="O19" i="172"/>
  <c r="T19" i="172"/>
  <c r="P19" i="172"/>
  <c r="U19" i="172"/>
  <c r="Q19" i="172"/>
  <c r="V19" i="172"/>
  <c r="U13" i="244"/>
  <c r="W13" i="244" s="1"/>
  <c r="V13" i="244"/>
  <c r="U29" i="244"/>
  <c r="W29" i="244" s="1"/>
  <c r="V29" i="244"/>
  <c r="V18" i="12"/>
  <c r="U18" i="12"/>
  <c r="W18" i="12" s="1"/>
  <c r="S38" i="256"/>
  <c r="Y38" i="256"/>
  <c r="S28" i="256"/>
  <c r="Y28" i="256"/>
  <c r="S35" i="256"/>
  <c r="Y35" i="256"/>
  <c r="S20" i="256"/>
  <c r="S10" i="256"/>
  <c r="Q41" i="256"/>
  <c r="Q42" i="256"/>
  <c r="Q43" i="256"/>
  <c r="Q44" i="256"/>
  <c r="Q45" i="256"/>
  <c r="Q46" i="256"/>
  <c r="Y19" i="256"/>
  <c r="F97" i="241"/>
  <c r="E100" i="241"/>
  <c r="Y39" i="256"/>
  <c r="Y29" i="256"/>
  <c r="X38" i="12" l="1"/>
  <c r="X27" i="244"/>
  <c r="Y27" i="244" s="1"/>
  <c r="V31" i="12"/>
  <c r="X31" i="12" s="1"/>
  <c r="Y31" i="12" s="1"/>
  <c r="X27" i="12"/>
  <c r="Y27" i="12" s="1"/>
  <c r="X24" i="12"/>
  <c r="I242" i="73"/>
  <c r="I287" i="73" s="1"/>
  <c r="E242" i="73"/>
  <c r="E287" i="73" s="1"/>
  <c r="L242" i="73"/>
  <c r="L287" i="73" s="1"/>
  <c r="H242" i="73"/>
  <c r="H287" i="73" s="1"/>
  <c r="I44" i="41"/>
  <c r="H25" i="39" s="1"/>
  <c r="C95" i="156" s="1"/>
  <c r="I41" i="41"/>
  <c r="I46" i="41"/>
  <c r="I45" i="41"/>
  <c r="I43" i="41"/>
  <c r="I42" i="41"/>
  <c r="G143" i="126"/>
  <c r="E143" i="126"/>
  <c r="E142" i="126" s="1"/>
  <c r="G142" i="126" s="1"/>
  <c r="F143" i="126"/>
  <c r="F142" i="126" s="1"/>
  <c r="E40" i="14"/>
  <c r="E43" i="14" s="1"/>
  <c r="B214" i="73"/>
  <c r="V42" i="41"/>
  <c r="V46" i="41"/>
  <c r="V41" i="41"/>
  <c r="V45" i="41"/>
  <c r="V43" i="41"/>
  <c r="V44" i="41"/>
  <c r="F10" i="39" s="1"/>
  <c r="F9" i="39" s="1"/>
  <c r="H9" i="39" s="1"/>
  <c r="J93" i="6"/>
  <c r="J94" i="6" s="1"/>
  <c r="K9" i="6"/>
  <c r="D231" i="241"/>
  <c r="Q235" i="241"/>
  <c r="Q260" i="241" s="1"/>
  <c r="M235" i="241"/>
  <c r="M260" i="241" s="1"/>
  <c r="I235" i="241"/>
  <c r="I260" i="241" s="1"/>
  <c r="E235" i="241"/>
  <c r="E260" i="241" s="1"/>
  <c r="P235" i="241"/>
  <c r="P260" i="241" s="1"/>
  <c r="L235" i="241"/>
  <c r="L260" i="241" s="1"/>
  <c r="H235" i="241"/>
  <c r="H260" i="241" s="1"/>
  <c r="D235" i="241"/>
  <c r="D260" i="241" s="1"/>
  <c r="S235" i="241"/>
  <c r="S260" i="241" s="1"/>
  <c r="O235" i="241"/>
  <c r="O260" i="241" s="1"/>
  <c r="K235" i="241"/>
  <c r="K260" i="241" s="1"/>
  <c r="G235" i="241"/>
  <c r="G260" i="241" s="1"/>
  <c r="R235" i="241"/>
  <c r="R260" i="241" s="1"/>
  <c r="N235" i="241"/>
  <c r="N260" i="241" s="1"/>
  <c r="J235" i="241"/>
  <c r="J260" i="241" s="1"/>
  <c r="F235" i="241"/>
  <c r="F260" i="241" s="1"/>
  <c r="S240" i="241"/>
  <c r="R240" i="241"/>
  <c r="Q240" i="241"/>
  <c r="P240" i="241"/>
  <c r="O240" i="241"/>
  <c r="N240" i="241"/>
  <c r="M240" i="241"/>
  <c r="L240" i="241"/>
  <c r="K240" i="241"/>
  <c r="J240" i="241"/>
  <c r="I240" i="241"/>
  <c r="H240" i="241"/>
  <c r="G240" i="241"/>
  <c r="F240" i="241"/>
  <c r="E240" i="241"/>
  <c r="D240" i="241"/>
  <c r="S244" i="241"/>
  <c r="R244" i="241"/>
  <c r="Q244" i="241"/>
  <c r="P244" i="241"/>
  <c r="O244" i="241"/>
  <c r="N244" i="241"/>
  <c r="M244" i="241"/>
  <c r="L244" i="241"/>
  <c r="K244" i="241"/>
  <c r="J244" i="241"/>
  <c r="I244" i="241"/>
  <c r="H244" i="241"/>
  <c r="G244" i="241"/>
  <c r="F244" i="241"/>
  <c r="E244" i="241"/>
  <c r="D244" i="241"/>
  <c r="S248" i="241"/>
  <c r="R248" i="241"/>
  <c r="Q248" i="241"/>
  <c r="P248" i="241"/>
  <c r="O248" i="241"/>
  <c r="N248" i="241"/>
  <c r="M248" i="241"/>
  <c r="L248" i="241"/>
  <c r="K248" i="241"/>
  <c r="J248" i="241"/>
  <c r="I248" i="241"/>
  <c r="H248" i="241"/>
  <c r="G248" i="241"/>
  <c r="F248" i="241"/>
  <c r="E248" i="241"/>
  <c r="D248" i="241"/>
  <c r="Q252" i="241"/>
  <c r="M252" i="241"/>
  <c r="I252" i="241"/>
  <c r="E252" i="241"/>
  <c r="P252" i="241"/>
  <c r="L252" i="241"/>
  <c r="H252" i="241"/>
  <c r="D252" i="241"/>
  <c r="S252" i="241"/>
  <c r="O252" i="241"/>
  <c r="K252" i="241"/>
  <c r="G252" i="241"/>
  <c r="R252" i="241"/>
  <c r="N252" i="241"/>
  <c r="J252" i="241"/>
  <c r="F252" i="241"/>
  <c r="Q256" i="241"/>
  <c r="M256" i="241"/>
  <c r="I256" i="241"/>
  <c r="E256" i="241"/>
  <c r="P256" i="241"/>
  <c r="L256" i="241"/>
  <c r="H256" i="241"/>
  <c r="D256" i="241"/>
  <c r="S256" i="241"/>
  <c r="O256" i="241"/>
  <c r="K256" i="241"/>
  <c r="G256" i="241"/>
  <c r="R256" i="241"/>
  <c r="N256" i="241"/>
  <c r="J256" i="241"/>
  <c r="F256" i="241"/>
  <c r="G236" i="241"/>
  <c r="F236" i="241"/>
  <c r="E236" i="241"/>
  <c r="D236" i="241"/>
  <c r="S236" i="241"/>
  <c r="R236" i="241"/>
  <c r="Q236" i="241"/>
  <c r="P236" i="241"/>
  <c r="O236" i="241"/>
  <c r="N236" i="241"/>
  <c r="M236" i="241"/>
  <c r="L236" i="241"/>
  <c r="K236" i="241"/>
  <c r="J236" i="241"/>
  <c r="I236" i="241"/>
  <c r="H236" i="241"/>
  <c r="S241" i="241"/>
  <c r="R241" i="241"/>
  <c r="Q241" i="241"/>
  <c r="P241" i="241"/>
  <c r="O241" i="241"/>
  <c r="N241" i="241"/>
  <c r="M241" i="241"/>
  <c r="L241" i="241"/>
  <c r="K241" i="241"/>
  <c r="J241" i="241"/>
  <c r="I241" i="241"/>
  <c r="H241" i="241"/>
  <c r="G241" i="241"/>
  <c r="F241" i="241"/>
  <c r="E241" i="241"/>
  <c r="D241" i="241"/>
  <c r="S245" i="241"/>
  <c r="R245" i="241"/>
  <c r="Q245" i="241"/>
  <c r="P245" i="241"/>
  <c r="O245" i="241"/>
  <c r="N245" i="241"/>
  <c r="M245" i="241"/>
  <c r="L245" i="241"/>
  <c r="K245" i="241"/>
  <c r="J245" i="241"/>
  <c r="I245" i="241"/>
  <c r="H245" i="241"/>
  <c r="G245" i="241"/>
  <c r="F245" i="241"/>
  <c r="E245" i="241"/>
  <c r="D245" i="241"/>
  <c r="Q249" i="241"/>
  <c r="M249" i="241"/>
  <c r="I249" i="241"/>
  <c r="E249" i="241"/>
  <c r="P249" i="241"/>
  <c r="L249" i="241"/>
  <c r="H249" i="241"/>
  <c r="D249" i="241"/>
  <c r="S249" i="241"/>
  <c r="O249" i="241"/>
  <c r="K249" i="241"/>
  <c r="G249" i="241"/>
  <c r="R249" i="241"/>
  <c r="N249" i="241"/>
  <c r="J249" i="241"/>
  <c r="F249" i="241"/>
  <c r="Q253" i="241"/>
  <c r="M253" i="241"/>
  <c r="I253" i="241"/>
  <c r="E253" i="241"/>
  <c r="P253" i="241"/>
  <c r="L253" i="241"/>
  <c r="H253" i="241"/>
  <c r="D253" i="241"/>
  <c r="S253" i="241"/>
  <c r="O253" i="241"/>
  <c r="K253" i="241"/>
  <c r="G253" i="241"/>
  <c r="R253" i="241"/>
  <c r="N253" i="241"/>
  <c r="J253" i="241"/>
  <c r="F253" i="241"/>
  <c r="Q257" i="241"/>
  <c r="M257" i="241"/>
  <c r="I257" i="241"/>
  <c r="E257" i="241"/>
  <c r="P257" i="241"/>
  <c r="L257" i="241"/>
  <c r="H257" i="241"/>
  <c r="D257" i="241"/>
  <c r="S257" i="241"/>
  <c r="O257" i="241"/>
  <c r="K257" i="241"/>
  <c r="G257" i="241"/>
  <c r="R257" i="241"/>
  <c r="N257" i="241"/>
  <c r="J257" i="241"/>
  <c r="F257" i="241"/>
  <c r="S237" i="241"/>
  <c r="R237" i="241"/>
  <c r="Q237" i="241"/>
  <c r="P237" i="241"/>
  <c r="O237" i="241"/>
  <c r="N237" i="241"/>
  <c r="M237" i="241"/>
  <c r="L237" i="241"/>
  <c r="K237" i="241"/>
  <c r="J237" i="241"/>
  <c r="I237" i="241"/>
  <c r="H237" i="241"/>
  <c r="G237" i="241"/>
  <c r="F237" i="241"/>
  <c r="E237" i="241"/>
  <c r="D237" i="241"/>
  <c r="S242" i="241"/>
  <c r="R242" i="241"/>
  <c r="Q242" i="241"/>
  <c r="P242" i="241"/>
  <c r="O242" i="241"/>
  <c r="N242" i="241"/>
  <c r="M242" i="241"/>
  <c r="L242" i="241"/>
  <c r="K242" i="241"/>
  <c r="J242" i="241"/>
  <c r="I242" i="241"/>
  <c r="H242" i="241"/>
  <c r="G242" i="241"/>
  <c r="F242" i="241"/>
  <c r="E242" i="241"/>
  <c r="D242" i="241"/>
  <c r="S246" i="241"/>
  <c r="R246" i="241"/>
  <c r="Q246" i="241"/>
  <c r="P246" i="241"/>
  <c r="O246" i="241"/>
  <c r="N246" i="241"/>
  <c r="M246" i="241"/>
  <c r="L246" i="241"/>
  <c r="K246" i="241"/>
  <c r="J246" i="241"/>
  <c r="I246" i="241"/>
  <c r="H246" i="241"/>
  <c r="G246" i="241"/>
  <c r="F246" i="241"/>
  <c r="E246" i="241"/>
  <c r="D246" i="241"/>
  <c r="Q250" i="241"/>
  <c r="M250" i="241"/>
  <c r="I250" i="241"/>
  <c r="E250" i="241"/>
  <c r="P250" i="241"/>
  <c r="L250" i="241"/>
  <c r="H250" i="241"/>
  <c r="D250" i="241"/>
  <c r="S250" i="241"/>
  <c r="O250" i="241"/>
  <c r="K250" i="241"/>
  <c r="G250" i="241"/>
  <c r="R250" i="241"/>
  <c r="N250" i="241"/>
  <c r="J250" i="241"/>
  <c r="F250" i="241"/>
  <c r="Q254" i="241"/>
  <c r="M254" i="241"/>
  <c r="I254" i="241"/>
  <c r="E254" i="241"/>
  <c r="P254" i="241"/>
  <c r="L254" i="241"/>
  <c r="H254" i="241"/>
  <c r="D254" i="241"/>
  <c r="S254" i="241"/>
  <c r="O254" i="241"/>
  <c r="K254" i="241"/>
  <c r="G254" i="241"/>
  <c r="R254" i="241"/>
  <c r="N254" i="241"/>
  <c r="J254" i="241"/>
  <c r="F254" i="241"/>
  <c r="Q258" i="241"/>
  <c r="M258" i="241"/>
  <c r="I258" i="241"/>
  <c r="E258" i="241"/>
  <c r="P258" i="241"/>
  <c r="L258" i="241"/>
  <c r="H258" i="241"/>
  <c r="D258" i="241"/>
  <c r="S258" i="241"/>
  <c r="O258" i="241"/>
  <c r="K258" i="241"/>
  <c r="G258" i="241"/>
  <c r="R258" i="241"/>
  <c r="N258" i="241"/>
  <c r="J258" i="241"/>
  <c r="F258" i="241"/>
  <c r="S238" i="241"/>
  <c r="R238" i="241"/>
  <c r="Q238" i="241"/>
  <c r="P238" i="241"/>
  <c r="O238" i="241"/>
  <c r="N238" i="241"/>
  <c r="M238" i="241"/>
  <c r="L238" i="241"/>
  <c r="K238" i="241"/>
  <c r="J238" i="241"/>
  <c r="I238" i="241"/>
  <c r="H238" i="241"/>
  <c r="G238" i="241"/>
  <c r="F238" i="241"/>
  <c r="E238" i="241"/>
  <c r="D238" i="241"/>
  <c r="S239" i="241"/>
  <c r="R239" i="241"/>
  <c r="Q239" i="241"/>
  <c r="P239" i="241"/>
  <c r="O239" i="241"/>
  <c r="N239" i="241"/>
  <c r="M239" i="241"/>
  <c r="L239" i="241"/>
  <c r="K239" i="241"/>
  <c r="J239" i="241"/>
  <c r="I239" i="241"/>
  <c r="H239" i="241"/>
  <c r="G239" i="241"/>
  <c r="F239" i="241"/>
  <c r="E239" i="241"/>
  <c r="D239" i="241"/>
  <c r="S243" i="241"/>
  <c r="R243" i="241"/>
  <c r="Q243" i="241"/>
  <c r="P243" i="241"/>
  <c r="O243" i="241"/>
  <c r="N243" i="241"/>
  <c r="M243" i="241"/>
  <c r="L243" i="241"/>
  <c r="K243" i="241"/>
  <c r="J243" i="241"/>
  <c r="I243" i="241"/>
  <c r="H243" i="241"/>
  <c r="G243" i="241"/>
  <c r="F243" i="241"/>
  <c r="E243" i="241"/>
  <c r="D243" i="241"/>
  <c r="S247" i="241"/>
  <c r="R247" i="241"/>
  <c r="Q247" i="241"/>
  <c r="P247" i="241"/>
  <c r="O247" i="241"/>
  <c r="N247" i="241"/>
  <c r="M247" i="241"/>
  <c r="L247" i="241"/>
  <c r="K247" i="241"/>
  <c r="J247" i="241"/>
  <c r="I247" i="241"/>
  <c r="H247" i="241"/>
  <c r="G247" i="241"/>
  <c r="F247" i="241"/>
  <c r="E247" i="241"/>
  <c r="D247" i="241"/>
  <c r="Q251" i="241"/>
  <c r="M251" i="241"/>
  <c r="I251" i="241"/>
  <c r="E251" i="241"/>
  <c r="P251" i="241"/>
  <c r="L251" i="241"/>
  <c r="H251" i="241"/>
  <c r="D251" i="241"/>
  <c r="S251" i="241"/>
  <c r="O251" i="241"/>
  <c r="K251" i="241"/>
  <c r="G251" i="241"/>
  <c r="R251" i="241"/>
  <c r="N251" i="241"/>
  <c r="J251" i="241"/>
  <c r="F251" i="241"/>
  <c r="Q255" i="241"/>
  <c r="M255" i="241"/>
  <c r="I255" i="241"/>
  <c r="E255" i="241"/>
  <c r="P255" i="241"/>
  <c r="L255" i="241"/>
  <c r="H255" i="241"/>
  <c r="D255" i="241"/>
  <c r="S255" i="241"/>
  <c r="O255" i="241"/>
  <c r="K255" i="241"/>
  <c r="G255" i="241"/>
  <c r="R255" i="241"/>
  <c r="N255" i="241"/>
  <c r="J255" i="241"/>
  <c r="F255" i="241"/>
  <c r="S259" i="241"/>
  <c r="R259" i="241"/>
  <c r="Q259" i="241"/>
  <c r="P259" i="241"/>
  <c r="O259" i="241"/>
  <c r="N259" i="241"/>
  <c r="M259" i="241"/>
  <c r="L259" i="241"/>
  <c r="K259" i="241"/>
  <c r="J259" i="241"/>
  <c r="I259" i="241"/>
  <c r="H259" i="241"/>
  <c r="G259" i="241"/>
  <c r="F259" i="241"/>
  <c r="E259" i="241"/>
  <c r="D259" i="241"/>
  <c r="B20" i="242"/>
  <c r="B217" i="241"/>
  <c r="B246" i="241" s="1"/>
  <c r="X25" i="244"/>
  <c r="Y25" i="244" s="1"/>
  <c r="X31" i="244"/>
  <c r="Y31" i="244" s="1"/>
  <c r="X18" i="244"/>
  <c r="X37" i="244"/>
  <c r="B217" i="52"/>
  <c r="B245" i="52" s="1"/>
  <c r="B20" i="66"/>
  <c r="L98" i="52"/>
  <c r="L103" i="52" s="1"/>
  <c r="L106" i="52" s="1"/>
  <c r="Q98" i="52"/>
  <c r="Q103" i="52" s="1"/>
  <c r="Q106" i="52" s="1"/>
  <c r="Q174" i="52" s="1"/>
  <c r="G230" i="52"/>
  <c r="G229" i="52"/>
  <c r="G228" i="52"/>
  <c r="G227" i="52"/>
  <c r="G226" i="52"/>
  <c r="G225" i="52"/>
  <c r="G224" i="52"/>
  <c r="G223" i="52"/>
  <c r="G222" i="52"/>
  <c r="G221" i="52"/>
  <c r="G220" i="52"/>
  <c r="G219" i="52"/>
  <c r="G218" i="52"/>
  <c r="G217" i="52"/>
  <c r="G216" i="52"/>
  <c r="G212" i="52"/>
  <c r="G213" i="52"/>
  <c r="G214" i="52"/>
  <c r="G210" i="52"/>
  <c r="G209" i="52"/>
  <c r="G208" i="52"/>
  <c r="G215" i="52"/>
  <c r="G211" i="52"/>
  <c r="G207" i="52"/>
  <c r="G206" i="52"/>
  <c r="I140" i="52"/>
  <c r="I170" i="52"/>
  <c r="I204" i="52" s="1"/>
  <c r="I232" i="52" s="1"/>
  <c r="J15" i="52"/>
  <c r="I108" i="52"/>
  <c r="I92" i="52"/>
  <c r="G95" i="52"/>
  <c r="G100" i="52" s="1"/>
  <c r="G101" i="52" s="1"/>
  <c r="G104" i="52" s="1"/>
  <c r="G106" i="52" s="1"/>
  <c r="U30" i="12"/>
  <c r="W30" i="12" s="1"/>
  <c r="X30" i="12" s="1"/>
  <c r="Y30" i="12" s="1"/>
  <c r="P98" i="52"/>
  <c r="P103" i="52" s="1"/>
  <c r="P106" i="52" s="1"/>
  <c r="P179" i="52" s="1"/>
  <c r="R98" i="52"/>
  <c r="R103" i="52" s="1"/>
  <c r="R106" i="52" s="1"/>
  <c r="B17" i="66"/>
  <c r="B214" i="52"/>
  <c r="B242" i="52" s="1"/>
  <c r="B19" i="66"/>
  <c r="B216" i="52"/>
  <c r="B244" i="52" s="1"/>
  <c r="O98" i="52"/>
  <c r="O103" i="52" s="1"/>
  <c r="O106" i="52" s="1"/>
  <c r="B21" i="66"/>
  <c r="B218" i="52"/>
  <c r="B246" i="52" s="1"/>
  <c r="E98" i="52"/>
  <c r="E103" i="52" s="1"/>
  <c r="E106" i="52" s="1"/>
  <c r="E178" i="52" s="1"/>
  <c r="H94" i="52"/>
  <c r="H97" i="52" s="1"/>
  <c r="V17" i="12"/>
  <c r="X17" i="12" s="1"/>
  <c r="Y17" i="12" s="1"/>
  <c r="F100" i="52"/>
  <c r="F101" i="52" s="1"/>
  <c r="K98" i="52"/>
  <c r="K103" i="52" s="1"/>
  <c r="K106" i="52" s="1"/>
  <c r="U26" i="12"/>
  <c r="W26" i="12" s="1"/>
  <c r="X26" i="12" s="1"/>
  <c r="Y26" i="12" s="1"/>
  <c r="G98" i="52"/>
  <c r="G103" i="52" s="1"/>
  <c r="D98" i="52"/>
  <c r="S260" i="52"/>
  <c r="S98" i="52"/>
  <c r="S103" i="52" s="1"/>
  <c r="S106" i="52" s="1"/>
  <c r="U32" i="12"/>
  <c r="W32" i="12" s="1"/>
  <c r="X32" i="12" s="1"/>
  <c r="Y32" i="12" s="1"/>
  <c r="N98" i="52"/>
  <c r="N103" i="52" s="1"/>
  <c r="N106" i="52" s="1"/>
  <c r="N178" i="52" s="1"/>
  <c r="I98" i="52"/>
  <c r="I103" i="52" s="1"/>
  <c r="I106" i="52" s="1"/>
  <c r="V33" i="12"/>
  <c r="X33" i="12" s="1"/>
  <c r="Y33" i="12" s="1"/>
  <c r="V12" i="12"/>
  <c r="X12" i="12" s="1"/>
  <c r="Y12" i="12" s="1"/>
  <c r="U14" i="12"/>
  <c r="W14" i="12" s="1"/>
  <c r="X14" i="12" s="1"/>
  <c r="Y14" i="12" s="1"/>
  <c r="X39" i="12"/>
  <c r="X28" i="12"/>
  <c r="V15" i="12"/>
  <c r="X15" i="12" s="1"/>
  <c r="Y15" i="12" s="1"/>
  <c r="O44" i="12"/>
  <c r="O41" i="12"/>
  <c r="O45" i="12"/>
  <c r="O43" i="12"/>
  <c r="O42" i="12"/>
  <c r="O46" i="12"/>
  <c r="X13" i="12"/>
  <c r="E56" i="14"/>
  <c r="E59" i="14" s="1"/>
  <c r="X33" i="244"/>
  <c r="Y33" i="244" s="1"/>
  <c r="X14" i="244"/>
  <c r="Y14" i="244" s="1"/>
  <c r="X29" i="244"/>
  <c r="X36" i="244"/>
  <c r="X38" i="244"/>
  <c r="X26" i="244"/>
  <c r="Y26" i="244" s="1"/>
  <c r="P103" i="241"/>
  <c r="P106" i="241" s="1"/>
  <c r="F104" i="241"/>
  <c r="K103" i="241"/>
  <c r="K106" i="241" s="1"/>
  <c r="K177" i="241" s="1"/>
  <c r="O103" i="241"/>
  <c r="O106" i="241" s="1"/>
  <c r="R103" i="241"/>
  <c r="R106" i="241" s="1"/>
  <c r="R174" i="241" s="1"/>
  <c r="D73" i="8"/>
  <c r="D20" i="248" s="1"/>
  <c r="D112" i="73"/>
  <c r="H112" i="73"/>
  <c r="H109" i="73"/>
  <c r="I108" i="73"/>
  <c r="L113" i="73"/>
  <c r="H108" i="73"/>
  <c r="D111" i="73"/>
  <c r="H111" i="73"/>
  <c r="H241" i="73" s="1"/>
  <c r="H286" i="73" s="1"/>
  <c r="D108" i="73"/>
  <c r="D233" i="73" s="1"/>
  <c r="D278" i="73" s="1"/>
  <c r="E110" i="73"/>
  <c r="E113" i="73"/>
  <c r="L109" i="73"/>
  <c r="L110" i="73"/>
  <c r="D109" i="73"/>
  <c r="T38" i="256"/>
  <c r="Q98" i="241"/>
  <c r="Q264" i="241" s="1"/>
  <c r="Q262" i="241"/>
  <c r="U10" i="245" s="1"/>
  <c r="D113" i="73"/>
  <c r="O19" i="6"/>
  <c r="O20" i="6" s="1"/>
  <c r="O30" i="6"/>
  <c r="O51" i="6"/>
  <c r="D96" i="6" s="1" a="1"/>
  <c r="K15" i="133"/>
  <c r="B15" i="133" s="1"/>
  <c r="G15" i="133" s="1"/>
  <c r="B3" i="66" s="1"/>
  <c r="J18" i="133"/>
  <c r="L69" i="133"/>
  <c r="B68" i="133"/>
  <c r="X15" i="244"/>
  <c r="Y15" i="244" s="1"/>
  <c r="E112" i="73"/>
  <c r="E111" i="73"/>
  <c r="E241" i="73" s="1"/>
  <c r="E286" i="73" s="1"/>
  <c r="E70" i="73"/>
  <c r="E72" i="73" s="1"/>
  <c r="E107" i="73"/>
  <c r="E230" i="73" s="1"/>
  <c r="E275" i="73" s="1"/>
  <c r="L112" i="73"/>
  <c r="L111" i="73"/>
  <c r="L241" i="73" s="1"/>
  <c r="L286" i="73" s="1"/>
  <c r="L107" i="73"/>
  <c r="L230" i="73" s="1"/>
  <c r="L275" i="73" s="1"/>
  <c r="L70" i="73"/>
  <c r="L72" i="73" s="1"/>
  <c r="Z45" i="47"/>
  <c r="N13" i="48" s="1"/>
  <c r="Z46" i="47"/>
  <c r="N14" i="48" s="1"/>
  <c r="Z43" i="47"/>
  <c r="N11" i="48" s="1"/>
  <c r="Z47" i="47"/>
  <c r="N15" i="48" s="1"/>
  <c r="Z44" i="47"/>
  <c r="N12" i="48" s="1"/>
  <c r="Z48" i="47"/>
  <c r="N16" i="48" s="1"/>
  <c r="Y46" i="47"/>
  <c r="L14" i="48" s="1"/>
  <c r="Y43" i="47"/>
  <c r="L11" i="48" s="1"/>
  <c r="Y47" i="47"/>
  <c r="L15" i="48" s="1"/>
  <c r="Y44" i="47"/>
  <c r="L12" i="48" s="1"/>
  <c r="Y48" i="47"/>
  <c r="L16" i="48" s="1"/>
  <c r="Y45" i="47"/>
  <c r="L13" i="48" s="1"/>
  <c r="S43" i="47"/>
  <c r="S47" i="47"/>
  <c r="S44" i="47"/>
  <c r="S48" i="47"/>
  <c r="S45" i="47"/>
  <c r="S46" i="47"/>
  <c r="S12" i="172"/>
  <c r="W12" i="172"/>
  <c r="C44" i="172"/>
  <c r="C48" i="172"/>
  <c r="O12" i="172"/>
  <c r="T12" i="172"/>
  <c r="C45" i="172"/>
  <c r="P12" i="172"/>
  <c r="U12" i="172"/>
  <c r="C46" i="172"/>
  <c r="Q12" i="172"/>
  <c r="V12" i="172"/>
  <c r="C43" i="172"/>
  <c r="C47" i="172"/>
  <c r="N6" i="251"/>
  <c r="P6" i="14"/>
  <c r="D64" i="14" s="1"/>
  <c r="H15" i="11"/>
  <c r="H113" i="73"/>
  <c r="X28" i="244"/>
  <c r="D28" i="229" a="1"/>
  <c r="F52" i="126"/>
  <c r="F46" i="126"/>
  <c r="F51" i="126"/>
  <c r="F27" i="126"/>
  <c r="F45" i="126"/>
  <c r="D98" i="241"/>
  <c r="D264" i="241" s="1"/>
  <c r="D265" i="241" s="1"/>
  <c r="D262" i="241"/>
  <c r="H10" i="245" s="1"/>
  <c r="V10" i="245"/>
  <c r="M10" i="229"/>
  <c r="X34" i="256"/>
  <c r="T34" i="256"/>
  <c r="S37" i="249"/>
  <c r="Y37" i="249"/>
  <c r="S21" i="249"/>
  <c r="Y21" i="249"/>
  <c r="S34" i="249"/>
  <c r="S18" i="249"/>
  <c r="Y18" i="249"/>
  <c r="S35" i="249"/>
  <c r="Y35" i="249"/>
  <c r="S19" i="249"/>
  <c r="Y19" i="249"/>
  <c r="S32" i="249"/>
  <c r="S16" i="249"/>
  <c r="V10" i="12"/>
  <c r="U10" i="12"/>
  <c r="T41" i="12"/>
  <c r="T42" i="12"/>
  <c r="T43" i="12"/>
  <c r="T44" i="12"/>
  <c r="T45" i="12"/>
  <c r="T46" i="12"/>
  <c r="I101" i="73"/>
  <c r="I110" i="73"/>
  <c r="K175" i="241"/>
  <c r="K182" i="241"/>
  <c r="J63" i="73"/>
  <c r="J67" i="73"/>
  <c r="J75" i="73"/>
  <c r="J79" i="73"/>
  <c r="J83" i="73"/>
  <c r="J115" i="73" s="1"/>
  <c r="J250" i="73" s="1"/>
  <c r="J295" i="73" s="1"/>
  <c r="J87" i="73"/>
  <c r="J119" i="73" s="1"/>
  <c r="J254" i="73" s="1"/>
  <c r="J299" i="73" s="1"/>
  <c r="J91" i="73"/>
  <c r="J123" i="73" s="1"/>
  <c r="J258" i="73" s="1"/>
  <c r="J303" i="73" s="1"/>
  <c r="J95" i="73"/>
  <c r="J127" i="73" s="1"/>
  <c r="J262" i="73" s="1"/>
  <c r="J307" i="73" s="1"/>
  <c r="J99" i="73"/>
  <c r="J103" i="73"/>
  <c r="J64" i="73"/>
  <c r="J68" i="73"/>
  <c r="J78" i="73"/>
  <c r="J82" i="73"/>
  <c r="J114" i="73" s="1"/>
  <c r="J249" i="73" s="1"/>
  <c r="J294" i="73" s="1"/>
  <c r="J86" i="73"/>
  <c r="J118" i="73" s="1"/>
  <c r="J253" i="73" s="1"/>
  <c r="J298" i="73" s="1"/>
  <c r="J90" i="73"/>
  <c r="J122" i="73" s="1"/>
  <c r="J257" i="73" s="1"/>
  <c r="J302" i="73" s="1"/>
  <c r="J94" i="73"/>
  <c r="J126" i="73" s="1"/>
  <c r="J261" i="73" s="1"/>
  <c r="J306" i="73" s="1"/>
  <c r="J98" i="73"/>
  <c r="J130" i="73" s="1"/>
  <c r="J265" i="73" s="1"/>
  <c r="J310" i="73" s="1"/>
  <c r="J62" i="73"/>
  <c r="J65" i="73"/>
  <c r="J77" i="73"/>
  <c r="J81" i="73"/>
  <c r="J85" i="73"/>
  <c r="J117" i="73" s="1"/>
  <c r="J252" i="73" s="1"/>
  <c r="J297" i="73" s="1"/>
  <c r="J89" i="73"/>
  <c r="J121" i="73" s="1"/>
  <c r="J256" i="73" s="1"/>
  <c r="J301" i="73" s="1"/>
  <c r="J93" i="73"/>
  <c r="J125" i="73" s="1"/>
  <c r="J260" i="73" s="1"/>
  <c r="J305" i="73" s="1"/>
  <c r="J97" i="73"/>
  <c r="J129" i="73" s="1"/>
  <c r="J264" i="73" s="1"/>
  <c r="J309" i="73" s="1"/>
  <c r="J66" i="73"/>
  <c r="J76" i="73"/>
  <c r="J80" i="73"/>
  <c r="J84" i="73"/>
  <c r="J116" i="73" s="1"/>
  <c r="J251" i="73" s="1"/>
  <c r="J296" i="73" s="1"/>
  <c r="J88" i="73"/>
  <c r="J120" i="73" s="1"/>
  <c r="J255" i="73" s="1"/>
  <c r="J300" i="73" s="1"/>
  <c r="J92" i="73"/>
  <c r="J124" i="73" s="1"/>
  <c r="J259" i="73" s="1"/>
  <c r="J304" i="73" s="1"/>
  <c r="J96" i="73"/>
  <c r="J128" i="73" s="1"/>
  <c r="J263" i="73" s="1"/>
  <c r="J308" i="73" s="1"/>
  <c r="F98" i="241"/>
  <c r="F264" i="241" s="1"/>
  <c r="F262" i="241"/>
  <c r="I10" i="245" s="1"/>
  <c r="T35" i="256"/>
  <c r="X35" i="256"/>
  <c r="T28" i="256"/>
  <c r="X18" i="12"/>
  <c r="C116" i="156"/>
  <c r="U38" i="10"/>
  <c r="N41" i="250"/>
  <c r="N43" i="250"/>
  <c r="N42" i="250"/>
  <c r="N44" i="250"/>
  <c r="N45" i="250"/>
  <c r="N46" i="250"/>
  <c r="D222" i="73"/>
  <c r="D101" i="73"/>
  <c r="D110" i="73"/>
  <c r="T36" i="256"/>
  <c r="B69" i="11"/>
  <c r="L28" i="4"/>
  <c r="M103" i="52"/>
  <c r="M106" i="52" s="1"/>
  <c r="X37" i="12"/>
  <c r="E138" i="73"/>
  <c r="E131" i="73"/>
  <c r="E108" i="73"/>
  <c r="E222" i="73"/>
  <c r="E109" i="73"/>
  <c r="L103" i="241"/>
  <c r="L106" i="241" s="1"/>
  <c r="W37" i="245"/>
  <c r="W33" i="245"/>
  <c r="W29" i="245"/>
  <c r="W25" i="245"/>
  <c r="W21" i="245"/>
  <c r="W17" i="245"/>
  <c r="W36" i="245"/>
  <c r="W32" i="245"/>
  <c r="W28" i="245"/>
  <c r="W24" i="245"/>
  <c r="W20" i="245"/>
  <c r="W16" i="245"/>
  <c r="W39" i="245"/>
  <c r="W35" i="245"/>
  <c r="W31" i="245"/>
  <c r="W27" i="245"/>
  <c r="W23" i="245"/>
  <c r="W19" i="245"/>
  <c r="W15" i="245"/>
  <c r="W38" i="245"/>
  <c r="W34" i="245"/>
  <c r="W30" i="245"/>
  <c r="W26" i="245"/>
  <c r="W22" i="245"/>
  <c r="W18" i="245"/>
  <c r="L131" i="73"/>
  <c r="L138" i="73"/>
  <c r="L108" i="73"/>
  <c r="V45" i="47"/>
  <c r="D13" i="48" s="1"/>
  <c r="V46" i="47"/>
  <c r="D14" i="48" s="1"/>
  <c r="V43" i="47"/>
  <c r="D11" i="48" s="1"/>
  <c r="V47" i="47"/>
  <c r="D15" i="48" s="1"/>
  <c r="V44" i="47"/>
  <c r="D12" i="48" s="1"/>
  <c r="V48" i="47"/>
  <c r="D16" i="48" s="1"/>
  <c r="T46" i="47"/>
  <c r="H14" i="48" s="1"/>
  <c r="T43" i="47"/>
  <c r="H11" i="48" s="1"/>
  <c r="T47" i="47"/>
  <c r="H15" i="48" s="1"/>
  <c r="T44" i="47"/>
  <c r="H12" i="48" s="1"/>
  <c r="T48" i="47"/>
  <c r="H16" i="48" s="1"/>
  <c r="T45" i="47"/>
  <c r="H13" i="48" s="1"/>
  <c r="X21" i="244"/>
  <c r="H222" i="73"/>
  <c r="H101" i="73"/>
  <c r="H110" i="73"/>
  <c r="M98" i="241"/>
  <c r="M264" i="241" s="1"/>
  <c r="M262" i="241"/>
  <c r="Q10" i="245" s="1"/>
  <c r="J172" i="52"/>
  <c r="J198" i="52" s="1"/>
  <c r="J174" i="52"/>
  <c r="J176" i="52"/>
  <c r="J178" i="52"/>
  <c r="J180" i="52"/>
  <c r="J182" i="52"/>
  <c r="J184" i="52"/>
  <c r="J186" i="52"/>
  <c r="J188" i="52"/>
  <c r="J190" i="52"/>
  <c r="J192" i="52"/>
  <c r="J194" i="52"/>
  <c r="J196" i="52"/>
  <c r="J173" i="52"/>
  <c r="J175" i="52"/>
  <c r="J177" i="52"/>
  <c r="J179" i="52"/>
  <c r="J181" i="52"/>
  <c r="J183" i="52"/>
  <c r="J185" i="52"/>
  <c r="J187" i="52"/>
  <c r="J189" i="52"/>
  <c r="J191" i="52"/>
  <c r="J193" i="52"/>
  <c r="J195" i="52"/>
  <c r="R187" i="241"/>
  <c r="F63" i="73"/>
  <c r="F67" i="73"/>
  <c r="F75" i="73"/>
  <c r="F79" i="73"/>
  <c r="F83" i="73"/>
  <c r="F115" i="73" s="1"/>
  <c r="F250" i="73" s="1"/>
  <c r="F295" i="73" s="1"/>
  <c r="F87" i="73"/>
  <c r="F119" i="73" s="1"/>
  <c r="F254" i="73" s="1"/>
  <c r="F299" i="73" s="1"/>
  <c r="F91" i="73"/>
  <c r="F123" i="73" s="1"/>
  <c r="F258" i="73" s="1"/>
  <c r="F303" i="73" s="1"/>
  <c r="F95" i="73"/>
  <c r="F127" i="73" s="1"/>
  <c r="F262" i="73" s="1"/>
  <c r="F307" i="73" s="1"/>
  <c r="F99" i="73"/>
  <c r="F103" i="73"/>
  <c r="F64" i="73"/>
  <c r="F68" i="73"/>
  <c r="F78" i="73"/>
  <c r="F82" i="73"/>
  <c r="F114" i="73" s="1"/>
  <c r="F249" i="73" s="1"/>
  <c r="F294" i="73" s="1"/>
  <c r="F86" i="73"/>
  <c r="F118" i="73" s="1"/>
  <c r="F253" i="73" s="1"/>
  <c r="F298" i="73" s="1"/>
  <c r="F90" i="73"/>
  <c r="F122" i="73" s="1"/>
  <c r="F257" i="73" s="1"/>
  <c r="F302" i="73" s="1"/>
  <c r="F94" i="73"/>
  <c r="F126" i="73" s="1"/>
  <c r="F261" i="73" s="1"/>
  <c r="F306" i="73" s="1"/>
  <c r="F98" i="73"/>
  <c r="F130" i="73" s="1"/>
  <c r="F265" i="73" s="1"/>
  <c r="F310" i="73" s="1"/>
  <c r="F62" i="73"/>
  <c r="F65" i="73"/>
  <c r="F77" i="73"/>
  <c r="F81" i="73"/>
  <c r="F85" i="73"/>
  <c r="F117" i="73" s="1"/>
  <c r="F252" i="73" s="1"/>
  <c r="F297" i="73" s="1"/>
  <c r="F89" i="73"/>
  <c r="F121" i="73" s="1"/>
  <c r="F256" i="73" s="1"/>
  <c r="F301" i="73" s="1"/>
  <c r="F93" i="73"/>
  <c r="F125" i="73" s="1"/>
  <c r="F260" i="73" s="1"/>
  <c r="F305" i="73" s="1"/>
  <c r="F97" i="73"/>
  <c r="F129" i="73" s="1"/>
  <c r="F264" i="73" s="1"/>
  <c r="F309" i="73" s="1"/>
  <c r="F66" i="73"/>
  <c r="F76" i="73"/>
  <c r="F80" i="73"/>
  <c r="F84" i="73"/>
  <c r="F116" i="73" s="1"/>
  <c r="F251" i="73" s="1"/>
  <c r="F296" i="73" s="1"/>
  <c r="F88" i="73"/>
  <c r="F120" i="73" s="1"/>
  <c r="F255" i="73" s="1"/>
  <c r="F300" i="73" s="1"/>
  <c r="F92" i="73"/>
  <c r="F124" i="73" s="1"/>
  <c r="F259" i="73" s="1"/>
  <c r="F304" i="73" s="1"/>
  <c r="F96" i="73"/>
  <c r="F128" i="73" s="1"/>
  <c r="F263" i="73" s="1"/>
  <c r="F308" i="73" s="1"/>
  <c r="S33" i="249"/>
  <c r="S17" i="249"/>
  <c r="S30" i="249"/>
  <c r="S14" i="249"/>
  <c r="S31" i="249"/>
  <c r="S15" i="249"/>
  <c r="S28" i="249"/>
  <c r="Y28" i="249"/>
  <c r="S12" i="249"/>
  <c r="H98" i="241"/>
  <c r="H264" i="241" s="1"/>
  <c r="H262" i="241"/>
  <c r="L10" i="245" s="1"/>
  <c r="I112" i="73"/>
  <c r="I111" i="73"/>
  <c r="I241" i="73" s="1"/>
  <c r="I286" i="73" s="1"/>
  <c r="I70" i="73"/>
  <c r="I72" i="73" s="1"/>
  <c r="I107" i="73"/>
  <c r="I230" i="73" s="1"/>
  <c r="I275" i="73" s="1"/>
  <c r="I113" i="73"/>
  <c r="D103" i="52"/>
  <c r="D106" i="52" s="1"/>
  <c r="X30" i="244"/>
  <c r="Y30" i="244" s="1"/>
  <c r="R10" i="245"/>
  <c r="H26" i="39"/>
  <c r="H29" i="39" s="1"/>
  <c r="Q13" i="250"/>
  <c r="Q17" i="250"/>
  <c r="Q21" i="250"/>
  <c r="Q25" i="250"/>
  <c r="Q12" i="250"/>
  <c r="Q16" i="250"/>
  <c r="Q20" i="250"/>
  <c r="Q24" i="250"/>
  <c r="Q28" i="250"/>
  <c r="Q32" i="250"/>
  <c r="Q36" i="250"/>
  <c r="Q10" i="250"/>
  <c r="Q14" i="250"/>
  <c r="Q18" i="250"/>
  <c r="Q22" i="250"/>
  <c r="Q26" i="250"/>
  <c r="Q30" i="250"/>
  <c r="Q34" i="250"/>
  <c r="Q38" i="250"/>
  <c r="Q15" i="250"/>
  <c r="Q23" i="250"/>
  <c r="Q27" i="250"/>
  <c r="Q29" i="250"/>
  <c r="Q31" i="250"/>
  <c r="Q33" i="250"/>
  <c r="Q35" i="250"/>
  <c r="Q37" i="250"/>
  <c r="Q39" i="250"/>
  <c r="Q11" i="250"/>
  <c r="Q19" i="250"/>
  <c r="D107" i="73"/>
  <c r="D230" i="73" s="1"/>
  <c r="D275" i="73" s="1"/>
  <c r="D70" i="73"/>
  <c r="D72" i="73" s="1"/>
  <c r="S38" i="245"/>
  <c r="S34" i="245"/>
  <c r="S30" i="245"/>
  <c r="S26" i="245"/>
  <c r="S22" i="245"/>
  <c r="S18" i="245"/>
  <c r="S37" i="245"/>
  <c r="S33" i="245"/>
  <c r="S29" i="245"/>
  <c r="S25" i="245"/>
  <c r="S21" i="245"/>
  <c r="S17" i="245"/>
  <c r="S36" i="245"/>
  <c r="S32" i="245"/>
  <c r="S28" i="245"/>
  <c r="S24" i="245"/>
  <c r="S20" i="245"/>
  <c r="S16" i="245"/>
  <c r="S39" i="245"/>
  <c r="S35" i="245"/>
  <c r="S31" i="245"/>
  <c r="S27" i="245"/>
  <c r="S23" i="245"/>
  <c r="S19" i="245"/>
  <c r="S15" i="245"/>
  <c r="V10" i="244"/>
  <c r="Y10" i="244" s="1"/>
  <c r="U10" i="244"/>
  <c r="T45" i="244"/>
  <c r="T42" i="244"/>
  <c r="T44" i="244"/>
  <c r="T41" i="244"/>
  <c r="T43" i="244"/>
  <c r="T46" i="244"/>
  <c r="X24" i="244"/>
  <c r="J98" i="241"/>
  <c r="J264" i="241" s="1"/>
  <c r="J262" i="241"/>
  <c r="N10" i="245" s="1"/>
  <c r="E103" i="241"/>
  <c r="S103" i="241"/>
  <c r="S106" i="241" s="1"/>
  <c r="T18" i="256"/>
  <c r="W44" i="47"/>
  <c r="F12" i="48" s="1"/>
  <c r="W48" i="47"/>
  <c r="F16" i="48" s="1"/>
  <c r="W45" i="47"/>
  <c r="F13" i="48" s="1"/>
  <c r="W46" i="47"/>
  <c r="F14" i="48" s="1"/>
  <c r="W43" i="47"/>
  <c r="F11" i="48" s="1"/>
  <c r="W47" i="47"/>
  <c r="F15" i="48" s="1"/>
  <c r="H107" i="73"/>
  <c r="H230" i="73" s="1"/>
  <c r="H275" i="73" s="1"/>
  <c r="H70" i="73"/>
  <c r="H72" i="73" s="1"/>
  <c r="X25" i="12"/>
  <c r="Y25" i="12" s="1"/>
  <c r="I103" i="241"/>
  <c r="I106" i="241" s="1"/>
  <c r="T10" i="245"/>
  <c r="T22" i="256"/>
  <c r="S29" i="249"/>
  <c r="Y29" i="249"/>
  <c r="S13" i="249"/>
  <c r="Y13" i="249"/>
  <c r="S26" i="249"/>
  <c r="S10" i="249"/>
  <c r="Q41" i="249"/>
  <c r="Q42" i="249"/>
  <c r="Q43" i="249"/>
  <c r="Q44" i="249"/>
  <c r="Q45" i="249"/>
  <c r="Q46" i="249"/>
  <c r="S27" i="249"/>
  <c r="S11" i="249"/>
  <c r="S24" i="249"/>
  <c r="Y24" i="249"/>
  <c r="F115" i="156"/>
  <c r="G115" i="156"/>
  <c r="F23" i="11"/>
  <c r="F32" i="11"/>
  <c r="F22" i="11"/>
  <c r="I138" i="73"/>
  <c r="I131" i="73"/>
  <c r="I222" i="73"/>
  <c r="I109" i="73"/>
  <c r="D261" i="52"/>
  <c r="X29" i="12"/>
  <c r="E11" i="241"/>
  <c r="X36" i="12"/>
  <c r="N103" i="241"/>
  <c r="N106" i="241" s="1"/>
  <c r="G95" i="156"/>
  <c r="F95" i="156"/>
  <c r="E101" i="241"/>
  <c r="E104" i="241" s="1"/>
  <c r="S41" i="256"/>
  <c r="S42" i="256"/>
  <c r="S43" i="256"/>
  <c r="S44" i="256"/>
  <c r="S45" i="256"/>
  <c r="S46" i="256"/>
  <c r="D131" i="73"/>
  <c r="D138" i="73"/>
  <c r="O173" i="241"/>
  <c r="O175" i="241"/>
  <c r="O177" i="241"/>
  <c r="O179" i="241"/>
  <c r="O181" i="241"/>
  <c r="O183" i="241"/>
  <c r="O185" i="241"/>
  <c r="O187" i="241"/>
  <c r="O189" i="241"/>
  <c r="O191" i="241"/>
  <c r="O193" i="241"/>
  <c r="O195" i="241"/>
  <c r="O172" i="241"/>
  <c r="O198" i="241" s="1"/>
  <c r="O174" i="241"/>
  <c r="O176" i="241"/>
  <c r="O178" i="241"/>
  <c r="O180" i="241"/>
  <c r="O182" i="241"/>
  <c r="O184" i="241"/>
  <c r="O186" i="241"/>
  <c r="O188" i="241"/>
  <c r="O190" i="241"/>
  <c r="O192" i="241"/>
  <c r="O194" i="241"/>
  <c r="O196" i="241"/>
  <c r="N28" i="6"/>
  <c r="G66" i="73"/>
  <c r="G76" i="73"/>
  <c r="G80" i="73"/>
  <c r="G84" i="73"/>
  <c r="G116" i="73" s="1"/>
  <c r="G251" i="73" s="1"/>
  <c r="G296" i="73" s="1"/>
  <c r="G88" i="73"/>
  <c r="G120" i="73" s="1"/>
  <c r="G255" i="73" s="1"/>
  <c r="G300" i="73" s="1"/>
  <c r="G92" i="73"/>
  <c r="G124" i="73" s="1"/>
  <c r="G259" i="73" s="1"/>
  <c r="G304" i="73" s="1"/>
  <c r="G96" i="73"/>
  <c r="G128" i="73" s="1"/>
  <c r="G263" i="73" s="1"/>
  <c r="G308" i="73" s="1"/>
  <c r="G63" i="73"/>
  <c r="G67" i="73"/>
  <c r="G75" i="73"/>
  <c r="G79" i="73"/>
  <c r="G83" i="73"/>
  <c r="G115" i="73" s="1"/>
  <c r="G250" i="73" s="1"/>
  <c r="G295" i="73" s="1"/>
  <c r="G87" i="73"/>
  <c r="G119" i="73" s="1"/>
  <c r="G254" i="73" s="1"/>
  <c r="G299" i="73" s="1"/>
  <c r="G91" i="73"/>
  <c r="G123" i="73" s="1"/>
  <c r="G258" i="73" s="1"/>
  <c r="G303" i="73" s="1"/>
  <c r="G95" i="73"/>
  <c r="G127" i="73" s="1"/>
  <c r="G262" i="73" s="1"/>
  <c r="G307" i="73" s="1"/>
  <c r="G99" i="73"/>
  <c r="G103" i="73"/>
  <c r="G64" i="73"/>
  <c r="G68" i="73"/>
  <c r="G78" i="73"/>
  <c r="G82" i="73"/>
  <c r="G114" i="73" s="1"/>
  <c r="G249" i="73" s="1"/>
  <c r="G294" i="73" s="1"/>
  <c r="G86" i="73"/>
  <c r="G118" i="73" s="1"/>
  <c r="G253" i="73" s="1"/>
  <c r="G298" i="73" s="1"/>
  <c r="G90" i="73"/>
  <c r="G122" i="73" s="1"/>
  <c r="G257" i="73" s="1"/>
  <c r="G302" i="73" s="1"/>
  <c r="G94" i="73"/>
  <c r="G126" i="73" s="1"/>
  <c r="G261" i="73" s="1"/>
  <c r="G306" i="73" s="1"/>
  <c r="G98" i="73"/>
  <c r="G130" i="73" s="1"/>
  <c r="G265" i="73" s="1"/>
  <c r="G310" i="73" s="1"/>
  <c r="G62" i="73"/>
  <c r="G65" i="73"/>
  <c r="G77" i="73"/>
  <c r="G81" i="73"/>
  <c r="G85" i="73"/>
  <c r="G117" i="73" s="1"/>
  <c r="G252" i="73" s="1"/>
  <c r="G297" i="73" s="1"/>
  <c r="G89" i="73"/>
  <c r="G121" i="73" s="1"/>
  <c r="G256" i="73" s="1"/>
  <c r="G301" i="73" s="1"/>
  <c r="G93" i="73"/>
  <c r="G125" i="73" s="1"/>
  <c r="G260" i="73" s="1"/>
  <c r="G305" i="73" s="1"/>
  <c r="G97" i="73"/>
  <c r="G129" i="73" s="1"/>
  <c r="G264" i="73" s="1"/>
  <c r="G309" i="73" s="1"/>
  <c r="T24" i="256"/>
  <c r="B16" i="232"/>
  <c r="G67" i="133"/>
  <c r="B3" i="156" s="1"/>
  <c r="G48" i="11"/>
  <c r="G49" i="11" s="1"/>
  <c r="G51" i="11" s="1"/>
  <c r="L173" i="52"/>
  <c r="L175" i="52"/>
  <c r="L177" i="52"/>
  <c r="L179" i="52"/>
  <c r="L181" i="52"/>
  <c r="L183" i="52"/>
  <c r="L185" i="52"/>
  <c r="L187" i="52"/>
  <c r="L189" i="52"/>
  <c r="L191" i="52"/>
  <c r="L193" i="52"/>
  <c r="L195" i="52"/>
  <c r="L172" i="52"/>
  <c r="L198" i="52" s="1"/>
  <c r="L174" i="52"/>
  <c r="L176" i="52"/>
  <c r="L178" i="52"/>
  <c r="L180" i="52"/>
  <c r="L182" i="52"/>
  <c r="L184" i="52"/>
  <c r="L186" i="52"/>
  <c r="L188" i="52"/>
  <c r="L190" i="52"/>
  <c r="L192" i="52"/>
  <c r="L194" i="52"/>
  <c r="L196" i="52"/>
  <c r="E101" i="73"/>
  <c r="K66" i="73"/>
  <c r="K76" i="73"/>
  <c r="K80" i="73"/>
  <c r="K84" i="73"/>
  <c r="K116" i="73" s="1"/>
  <c r="K251" i="73" s="1"/>
  <c r="K296" i="73" s="1"/>
  <c r="K88" i="73"/>
  <c r="K120" i="73" s="1"/>
  <c r="K255" i="73" s="1"/>
  <c r="K300" i="73" s="1"/>
  <c r="K92" i="73"/>
  <c r="K124" i="73" s="1"/>
  <c r="K259" i="73" s="1"/>
  <c r="K304" i="73" s="1"/>
  <c r="K96" i="73"/>
  <c r="K128" i="73" s="1"/>
  <c r="K263" i="73" s="1"/>
  <c r="K308" i="73" s="1"/>
  <c r="K63" i="73"/>
  <c r="K67" i="73"/>
  <c r="K75" i="73"/>
  <c r="K79" i="73"/>
  <c r="K83" i="73"/>
  <c r="K115" i="73" s="1"/>
  <c r="K250" i="73" s="1"/>
  <c r="K295" i="73" s="1"/>
  <c r="K87" i="73"/>
  <c r="K119" i="73" s="1"/>
  <c r="K254" i="73" s="1"/>
  <c r="K299" i="73" s="1"/>
  <c r="K91" i="73"/>
  <c r="K123" i="73" s="1"/>
  <c r="K258" i="73" s="1"/>
  <c r="K303" i="73" s="1"/>
  <c r="K95" i="73"/>
  <c r="K127" i="73" s="1"/>
  <c r="K262" i="73" s="1"/>
  <c r="K307" i="73" s="1"/>
  <c r="K99" i="73"/>
  <c r="K103" i="73"/>
  <c r="K64" i="73"/>
  <c r="K68" i="73"/>
  <c r="K78" i="73"/>
  <c r="K82" i="73"/>
  <c r="K114" i="73" s="1"/>
  <c r="K249" i="73" s="1"/>
  <c r="K294" i="73" s="1"/>
  <c r="K86" i="73"/>
  <c r="K118" i="73" s="1"/>
  <c r="K253" i="73" s="1"/>
  <c r="K298" i="73" s="1"/>
  <c r="K90" i="73"/>
  <c r="K122" i="73" s="1"/>
  <c r="K257" i="73" s="1"/>
  <c r="K302" i="73" s="1"/>
  <c r="K94" i="73"/>
  <c r="K126" i="73" s="1"/>
  <c r="K261" i="73" s="1"/>
  <c r="K306" i="73" s="1"/>
  <c r="K98" i="73"/>
  <c r="K130" i="73" s="1"/>
  <c r="K265" i="73" s="1"/>
  <c r="K310" i="73" s="1"/>
  <c r="K62" i="73"/>
  <c r="K65" i="73"/>
  <c r="K77" i="73"/>
  <c r="K81" i="73"/>
  <c r="K85" i="73"/>
  <c r="K117" i="73" s="1"/>
  <c r="K252" i="73" s="1"/>
  <c r="K297" i="73" s="1"/>
  <c r="K89" i="73"/>
  <c r="K121" i="73" s="1"/>
  <c r="K256" i="73" s="1"/>
  <c r="K301" i="73" s="1"/>
  <c r="K93" i="73"/>
  <c r="K125" i="73" s="1"/>
  <c r="K260" i="73" s="1"/>
  <c r="K305" i="73" s="1"/>
  <c r="K97" i="73"/>
  <c r="K129" i="73" s="1"/>
  <c r="K264" i="73" s="1"/>
  <c r="K309" i="73" s="1"/>
  <c r="L222" i="73"/>
  <c r="L101" i="73"/>
  <c r="X43" i="47"/>
  <c r="J11" i="48" s="1"/>
  <c r="X47" i="47"/>
  <c r="J15" i="48" s="1"/>
  <c r="X44" i="47"/>
  <c r="J12" i="48" s="1"/>
  <c r="X48" i="47"/>
  <c r="J16" i="48" s="1"/>
  <c r="X45" i="47"/>
  <c r="J13" i="48" s="1"/>
  <c r="X46" i="47"/>
  <c r="J14" i="48" s="1"/>
  <c r="R44" i="47"/>
  <c r="R48" i="47"/>
  <c r="R45" i="47"/>
  <c r="R46" i="47"/>
  <c r="R43" i="47"/>
  <c r="R47" i="47"/>
  <c r="D11" i="11"/>
  <c r="D55" i="11" s="1"/>
  <c r="D60" i="11" s="1"/>
  <c r="D62" i="11" s="1"/>
  <c r="D64" i="11" s="1"/>
  <c r="H131" i="73"/>
  <c r="H138" i="73"/>
  <c r="Q172" i="52"/>
  <c r="Q198" i="52" s="1"/>
  <c r="Q180" i="52"/>
  <c r="Q188" i="52"/>
  <c r="Q196" i="52"/>
  <c r="Q179" i="52"/>
  <c r="Q187" i="52"/>
  <c r="Q195" i="52"/>
  <c r="G27" i="126"/>
  <c r="D101" i="241"/>
  <c r="D104" i="241" s="1"/>
  <c r="M64" i="73"/>
  <c r="M68" i="73"/>
  <c r="M78" i="73"/>
  <c r="M82" i="73"/>
  <c r="M114" i="73" s="1"/>
  <c r="M249" i="73" s="1"/>
  <c r="M294" i="73" s="1"/>
  <c r="M86" i="73"/>
  <c r="M118" i="73" s="1"/>
  <c r="M253" i="73" s="1"/>
  <c r="M298" i="73" s="1"/>
  <c r="M90" i="73"/>
  <c r="M122" i="73" s="1"/>
  <c r="M257" i="73" s="1"/>
  <c r="M302" i="73" s="1"/>
  <c r="M94" i="73"/>
  <c r="M126" i="73" s="1"/>
  <c r="M261" i="73" s="1"/>
  <c r="M306" i="73" s="1"/>
  <c r="M98" i="73"/>
  <c r="M130" i="73" s="1"/>
  <c r="M265" i="73" s="1"/>
  <c r="M310" i="73" s="1"/>
  <c r="M62" i="73"/>
  <c r="M65" i="73"/>
  <c r="M77" i="73"/>
  <c r="M81" i="73"/>
  <c r="M85" i="73"/>
  <c r="M117" i="73" s="1"/>
  <c r="M252" i="73" s="1"/>
  <c r="M297" i="73" s="1"/>
  <c r="M89" i="73"/>
  <c r="M121" i="73" s="1"/>
  <c r="M256" i="73" s="1"/>
  <c r="M301" i="73" s="1"/>
  <c r="M93" i="73"/>
  <c r="M125" i="73" s="1"/>
  <c r="M260" i="73" s="1"/>
  <c r="M305" i="73" s="1"/>
  <c r="M97" i="73"/>
  <c r="M129" i="73" s="1"/>
  <c r="M264" i="73" s="1"/>
  <c r="M309" i="73" s="1"/>
  <c r="M66" i="73"/>
  <c r="M76" i="73"/>
  <c r="M80" i="73"/>
  <c r="M84" i="73"/>
  <c r="M116" i="73" s="1"/>
  <c r="M251" i="73" s="1"/>
  <c r="M296" i="73" s="1"/>
  <c r="M88" i="73"/>
  <c r="M120" i="73" s="1"/>
  <c r="M255" i="73" s="1"/>
  <c r="M300" i="73" s="1"/>
  <c r="M92" i="73"/>
  <c r="M124" i="73" s="1"/>
  <c r="M259" i="73" s="1"/>
  <c r="M304" i="73" s="1"/>
  <c r="M96" i="73"/>
  <c r="M128" i="73" s="1"/>
  <c r="M263" i="73" s="1"/>
  <c r="M308" i="73" s="1"/>
  <c r="M63" i="73"/>
  <c r="M67" i="73"/>
  <c r="M75" i="73"/>
  <c r="M79" i="73"/>
  <c r="M83" i="73"/>
  <c r="M115" i="73" s="1"/>
  <c r="M250" i="73" s="1"/>
  <c r="M295" i="73" s="1"/>
  <c r="M87" i="73"/>
  <c r="M119" i="73" s="1"/>
  <c r="M254" i="73" s="1"/>
  <c r="M299" i="73" s="1"/>
  <c r="M91" i="73"/>
  <c r="M123" i="73" s="1"/>
  <c r="M258" i="73" s="1"/>
  <c r="M303" i="73" s="1"/>
  <c r="M95" i="73"/>
  <c r="M127" i="73" s="1"/>
  <c r="M262" i="73" s="1"/>
  <c r="M307" i="73" s="1"/>
  <c r="M99" i="73"/>
  <c r="M103" i="73"/>
  <c r="P173" i="241"/>
  <c r="P175" i="241"/>
  <c r="P177" i="241"/>
  <c r="P179" i="241"/>
  <c r="P181" i="241"/>
  <c r="P183" i="241"/>
  <c r="P185" i="241"/>
  <c r="P187" i="241"/>
  <c r="P189" i="241"/>
  <c r="P191" i="241"/>
  <c r="P193" i="241"/>
  <c r="P195" i="241"/>
  <c r="P172" i="241"/>
  <c r="P198" i="241" s="1"/>
  <c r="P174" i="241"/>
  <c r="P176" i="241"/>
  <c r="P178" i="241"/>
  <c r="P180" i="241"/>
  <c r="P182" i="241"/>
  <c r="P184" i="241"/>
  <c r="P186" i="241"/>
  <c r="P188" i="241"/>
  <c r="P190" i="241"/>
  <c r="P192" i="241"/>
  <c r="P194" i="241"/>
  <c r="P196" i="241"/>
  <c r="G98" i="241"/>
  <c r="G264" i="241" s="1"/>
  <c r="G262" i="241"/>
  <c r="K10" i="245" s="1"/>
  <c r="S25" i="249"/>
  <c r="S38" i="249"/>
  <c r="Y38" i="249"/>
  <c r="S22" i="249"/>
  <c r="Y22" i="249"/>
  <c r="S39" i="249"/>
  <c r="Y39" i="249"/>
  <c r="S23" i="249"/>
  <c r="S36" i="249"/>
  <c r="Y36" i="249"/>
  <c r="S20" i="249"/>
  <c r="K71" i="133"/>
  <c r="O11" i="249"/>
  <c r="O15" i="249"/>
  <c r="O19" i="249"/>
  <c r="O23" i="249"/>
  <c r="O27" i="249"/>
  <c r="O31" i="249"/>
  <c r="O35" i="249"/>
  <c r="O39" i="249"/>
  <c r="O10" i="249"/>
  <c r="O14" i="249"/>
  <c r="O18" i="249"/>
  <c r="O22" i="249"/>
  <c r="O26" i="249"/>
  <c r="O30" i="249"/>
  <c r="O34" i="249"/>
  <c r="O38" i="249"/>
  <c r="O48" i="249"/>
  <c r="O50" i="249"/>
  <c r="O13" i="249"/>
  <c r="O17" i="249"/>
  <c r="O21" i="249"/>
  <c r="O25" i="249"/>
  <c r="O29" i="249"/>
  <c r="O33" i="249"/>
  <c r="O37" i="249"/>
  <c r="O12" i="249"/>
  <c r="O16" i="249"/>
  <c r="O20" i="249"/>
  <c r="O24" i="249"/>
  <c r="O28" i="249"/>
  <c r="O32" i="249"/>
  <c r="O36" i="249"/>
  <c r="O6" i="250"/>
  <c r="G16" i="11"/>
  <c r="G56" i="11" s="1"/>
  <c r="O10" i="245"/>
  <c r="C30" i="229"/>
  <c r="F29" i="229"/>
  <c r="J92" i="241"/>
  <c r="K15" i="241"/>
  <c r="K140" i="241" s="1"/>
  <c r="J108" i="241"/>
  <c r="J170" i="241"/>
  <c r="J204" i="241" s="1"/>
  <c r="J233" i="241" s="1"/>
  <c r="G175" i="52" l="1"/>
  <c r="G189" i="52"/>
  <c r="D27" i="4"/>
  <c r="S269" i="73"/>
  <c r="Q256" i="73"/>
  <c r="S256" i="73" s="1"/>
  <c r="Q255" i="73"/>
  <c r="S255" i="73" s="1"/>
  <c r="Q252" i="73"/>
  <c r="S252" i="73" s="1"/>
  <c r="Q253" i="73"/>
  <c r="S253" i="73" s="1"/>
  <c r="Q251" i="73"/>
  <c r="S251" i="73" s="1"/>
  <c r="Q265" i="73"/>
  <c r="S265" i="73" s="1"/>
  <c r="Q249" i="73"/>
  <c r="S249" i="73" s="1"/>
  <c r="Q254" i="73"/>
  <c r="S254" i="73" s="1"/>
  <c r="Q250" i="73"/>
  <c r="S250" i="73" s="1"/>
  <c r="E137" i="73"/>
  <c r="E140" i="73" s="1"/>
  <c r="E266" i="73"/>
  <c r="E311" i="73" s="1"/>
  <c r="H137" i="73"/>
  <c r="H140" i="73" s="1"/>
  <c r="H266" i="73"/>
  <c r="H311" i="73" s="1"/>
  <c r="L137" i="73"/>
  <c r="L140" i="73" s="1"/>
  <c r="L144" i="73" s="1"/>
  <c r="L148" i="73" s="1"/>
  <c r="L266" i="73"/>
  <c r="L311" i="73" s="1"/>
  <c r="I137" i="73"/>
  <c r="I140" i="73" s="1"/>
  <c r="I266" i="73"/>
  <c r="I311" i="73" s="1"/>
  <c r="D137" i="73"/>
  <c r="D140" i="73" s="1"/>
  <c r="D266" i="73"/>
  <c r="D311" i="73" s="1"/>
  <c r="E247" i="73"/>
  <c r="E292" i="73" s="1"/>
  <c r="E248" i="73"/>
  <c r="E293" i="73" s="1"/>
  <c r="H247" i="73"/>
  <c r="H292" i="73" s="1"/>
  <c r="H248" i="73"/>
  <c r="H293" i="73" s="1"/>
  <c r="L247" i="73"/>
  <c r="L292" i="73" s="1"/>
  <c r="L248" i="73"/>
  <c r="L293" i="73" s="1"/>
  <c r="I247" i="73"/>
  <c r="I292" i="73" s="1"/>
  <c r="I248" i="73"/>
  <c r="I293" i="73" s="1"/>
  <c r="D247" i="73"/>
  <c r="D292" i="73" s="1"/>
  <c r="D248" i="73"/>
  <c r="D293" i="73" s="1"/>
  <c r="H244" i="73"/>
  <c r="H289" i="73" s="1"/>
  <c r="H245" i="73"/>
  <c r="H290" i="73" s="1"/>
  <c r="I244" i="73"/>
  <c r="I289" i="73" s="1"/>
  <c r="I245" i="73"/>
  <c r="I290" i="73" s="1"/>
  <c r="L244" i="73"/>
  <c r="L289" i="73" s="1"/>
  <c r="L245" i="73"/>
  <c r="L290" i="73" s="1"/>
  <c r="E244" i="73"/>
  <c r="E289" i="73" s="1"/>
  <c r="E245" i="73"/>
  <c r="E290" i="73" s="1"/>
  <c r="D244" i="73"/>
  <c r="D289" i="73" s="1"/>
  <c r="D245" i="73"/>
  <c r="D290" i="73" s="1"/>
  <c r="H238" i="73"/>
  <c r="H283" i="73" s="1"/>
  <c r="H239" i="73"/>
  <c r="H284" i="73" s="1"/>
  <c r="E238" i="73"/>
  <c r="E283" i="73" s="1"/>
  <c r="E239" i="73"/>
  <c r="E284" i="73" s="1"/>
  <c r="I238" i="73"/>
  <c r="I283" i="73" s="1"/>
  <c r="I239" i="73"/>
  <c r="I284" i="73" s="1"/>
  <c r="L238" i="73"/>
  <c r="L283" i="73" s="1"/>
  <c r="L239" i="73"/>
  <c r="L284" i="73" s="1"/>
  <c r="D238" i="73"/>
  <c r="D283" i="73" s="1"/>
  <c r="D239" i="73"/>
  <c r="D284" i="73" s="1"/>
  <c r="D241" i="73"/>
  <c r="D286" i="73" s="1"/>
  <c r="D242" i="73"/>
  <c r="D287" i="73" s="1"/>
  <c r="M242" i="73"/>
  <c r="M287" i="73" s="1"/>
  <c r="K242" i="73"/>
  <c r="K287" i="73" s="1"/>
  <c r="G242" i="73"/>
  <c r="G287" i="73" s="1"/>
  <c r="F242" i="73"/>
  <c r="F287" i="73" s="1"/>
  <c r="J242" i="73"/>
  <c r="J287" i="73" s="1"/>
  <c r="I235" i="73"/>
  <c r="I280" i="73" s="1"/>
  <c r="I236" i="73"/>
  <c r="I281" i="73" s="1"/>
  <c r="H235" i="73"/>
  <c r="H280" i="73" s="1"/>
  <c r="H236" i="73"/>
  <c r="H281" i="73" s="1"/>
  <c r="L235" i="73"/>
  <c r="L280" i="73" s="1"/>
  <c r="L236" i="73"/>
  <c r="L281" i="73" s="1"/>
  <c r="E235" i="73"/>
  <c r="E280" i="73" s="1"/>
  <c r="E236" i="73"/>
  <c r="E281" i="73" s="1"/>
  <c r="D235" i="73"/>
  <c r="D280" i="73" s="1"/>
  <c r="D236" i="73"/>
  <c r="D281" i="73" s="1"/>
  <c r="I232" i="73"/>
  <c r="I277" i="73" s="1"/>
  <c r="I233" i="73"/>
  <c r="I278" i="73" s="1"/>
  <c r="L232" i="73"/>
  <c r="L277" i="73" s="1"/>
  <c r="L233" i="73"/>
  <c r="L278" i="73" s="1"/>
  <c r="E232" i="73"/>
  <c r="E277" i="73" s="1"/>
  <c r="E233" i="73"/>
  <c r="E278" i="73" s="1"/>
  <c r="H232" i="73"/>
  <c r="H277" i="73" s="1"/>
  <c r="H233" i="73"/>
  <c r="H278" i="73" s="1"/>
  <c r="D232" i="73"/>
  <c r="D277" i="73" s="1"/>
  <c r="H229" i="73"/>
  <c r="H274" i="73" s="1"/>
  <c r="I229" i="73"/>
  <c r="I274" i="73" s="1"/>
  <c r="E229" i="73"/>
  <c r="E274" i="73" s="1"/>
  <c r="L229" i="73"/>
  <c r="L274" i="73" s="1"/>
  <c r="D229" i="73"/>
  <c r="D274" i="73" s="1"/>
  <c r="O6" i="256"/>
  <c r="E16" i="11"/>
  <c r="K93" i="6"/>
  <c r="K94" i="6" s="1"/>
  <c r="L9" i="6"/>
  <c r="K191" i="241"/>
  <c r="D103" i="241"/>
  <c r="D106" i="241" s="1"/>
  <c r="R196" i="241"/>
  <c r="X43" i="244"/>
  <c r="R180" i="241"/>
  <c r="R183" i="241"/>
  <c r="R192" i="241"/>
  <c r="R176" i="241"/>
  <c r="R195" i="241"/>
  <c r="R179" i="241"/>
  <c r="R188" i="241"/>
  <c r="R172" i="241"/>
  <c r="R198" i="241" s="1"/>
  <c r="R191" i="241"/>
  <c r="R175" i="241"/>
  <c r="R184" i="241"/>
  <c r="R193" i="241"/>
  <c r="R185" i="241"/>
  <c r="R177" i="241"/>
  <c r="R194" i="241"/>
  <c r="R186" i="241"/>
  <c r="R178" i="241"/>
  <c r="K180" i="241"/>
  <c r="K173" i="241"/>
  <c r="R189" i="241"/>
  <c r="R181" i="241"/>
  <c r="R173" i="241"/>
  <c r="R190" i="241"/>
  <c r="R182" i="241"/>
  <c r="K196" i="241"/>
  <c r="K189" i="241"/>
  <c r="Q103" i="241"/>
  <c r="Q106" i="241" s="1"/>
  <c r="F25" i="11"/>
  <c r="Q193" i="52"/>
  <c r="Q185" i="52"/>
  <c r="Q177" i="52"/>
  <c r="Q194" i="52"/>
  <c r="Q186" i="52"/>
  <c r="Q178" i="52"/>
  <c r="Q191" i="52"/>
  <c r="Q183" i="52"/>
  <c r="Q175" i="52"/>
  <c r="Q192" i="52"/>
  <c r="Q184" i="52"/>
  <c r="Q176" i="52"/>
  <c r="Q189" i="52"/>
  <c r="Q181" i="52"/>
  <c r="Q173" i="52"/>
  <c r="Q190" i="52"/>
  <c r="Q182" i="52"/>
  <c r="E176" i="52"/>
  <c r="J140" i="52"/>
  <c r="J92" i="52"/>
  <c r="J170" i="52"/>
  <c r="J204" i="52" s="1"/>
  <c r="J232" i="52" s="1"/>
  <c r="K15" i="52"/>
  <c r="J108" i="52"/>
  <c r="P176" i="52"/>
  <c r="E183" i="52"/>
  <c r="P193" i="52"/>
  <c r="E175" i="52"/>
  <c r="P185" i="52"/>
  <c r="E192" i="52"/>
  <c r="P192" i="52"/>
  <c r="P184" i="52"/>
  <c r="P177" i="52"/>
  <c r="E191" i="52"/>
  <c r="E184" i="52"/>
  <c r="E189" i="52"/>
  <c r="E181" i="52"/>
  <c r="E173" i="52"/>
  <c r="E190" i="52"/>
  <c r="E182" i="52"/>
  <c r="E174" i="52"/>
  <c r="E195" i="52"/>
  <c r="E187" i="52"/>
  <c r="E179" i="52"/>
  <c r="E196" i="52"/>
  <c r="E188" i="52"/>
  <c r="E180" i="52"/>
  <c r="E172" i="52"/>
  <c r="E198" i="52" s="1"/>
  <c r="F104" i="52"/>
  <c r="F106" i="52" s="1"/>
  <c r="F172" i="52" s="1"/>
  <c r="F198" i="52" s="1"/>
  <c r="G196" i="52"/>
  <c r="E193" i="52"/>
  <c r="E185" i="52"/>
  <c r="E177" i="52"/>
  <c r="E194" i="52"/>
  <c r="E186" i="52"/>
  <c r="G188" i="52"/>
  <c r="G181" i="52"/>
  <c r="H260" i="52"/>
  <c r="H98" i="52"/>
  <c r="H103" i="52" s="1"/>
  <c r="H106" i="52" s="1"/>
  <c r="S173" i="52"/>
  <c r="S187" i="52"/>
  <c r="S178" i="52"/>
  <c r="S194" i="52"/>
  <c r="S177" i="52"/>
  <c r="S193" i="52"/>
  <c r="S184" i="52"/>
  <c r="S176" i="52"/>
  <c r="S179" i="52"/>
  <c r="S195" i="52"/>
  <c r="S186" i="52"/>
  <c r="S185" i="52"/>
  <c r="S192" i="52"/>
  <c r="P182" i="52"/>
  <c r="P191" i="52"/>
  <c r="P175" i="52"/>
  <c r="P196" i="52"/>
  <c r="P188" i="52"/>
  <c r="P180" i="52"/>
  <c r="P172" i="52"/>
  <c r="P198" i="52" s="1"/>
  <c r="P189" i="52"/>
  <c r="P181" i="52"/>
  <c r="P173" i="52"/>
  <c r="G180" i="52"/>
  <c r="G173" i="52"/>
  <c r="S190" i="52"/>
  <c r="S182" i="52"/>
  <c r="S174" i="52"/>
  <c r="S191" i="52"/>
  <c r="S183" i="52"/>
  <c r="S175" i="52"/>
  <c r="P190" i="52"/>
  <c r="P174" i="52"/>
  <c r="P183" i="52"/>
  <c r="P194" i="52"/>
  <c r="P186" i="52"/>
  <c r="P178" i="52"/>
  <c r="P195" i="52"/>
  <c r="P187" i="52"/>
  <c r="G172" i="52"/>
  <c r="G198" i="52" s="1"/>
  <c r="S196" i="52"/>
  <c r="S188" i="52"/>
  <c r="S180" i="52"/>
  <c r="S172" i="52"/>
  <c r="S198" i="52" s="1"/>
  <c r="S189" i="52"/>
  <c r="S181" i="52"/>
  <c r="G186" i="52"/>
  <c r="G178" i="52"/>
  <c r="G195" i="52"/>
  <c r="G179" i="52"/>
  <c r="G194" i="52"/>
  <c r="G192" i="52"/>
  <c r="G184" i="52"/>
  <c r="G176" i="52"/>
  <c r="G193" i="52"/>
  <c r="G185" i="52"/>
  <c r="G177" i="52"/>
  <c r="G187" i="52"/>
  <c r="G190" i="52"/>
  <c r="G182" i="52"/>
  <c r="G174" i="52"/>
  <c r="G191" i="52"/>
  <c r="G183" i="52"/>
  <c r="F195" i="52"/>
  <c r="K190" i="241"/>
  <c r="K174" i="241"/>
  <c r="K183" i="241"/>
  <c r="K188" i="241"/>
  <c r="K172" i="241"/>
  <c r="K198" i="241" s="1"/>
  <c r="K181" i="241"/>
  <c r="M103" i="241"/>
  <c r="M106" i="241" s="1"/>
  <c r="M176" i="241" s="1"/>
  <c r="X45" i="244"/>
  <c r="X46" i="244"/>
  <c r="X44" i="244"/>
  <c r="X41" i="244"/>
  <c r="X42" i="244"/>
  <c r="L182" i="73"/>
  <c r="L186" i="73" s="1"/>
  <c r="L188" i="73" s="1"/>
  <c r="N189" i="52"/>
  <c r="N181" i="52"/>
  <c r="N173" i="52"/>
  <c r="N190" i="52"/>
  <c r="N182" i="52"/>
  <c r="N174" i="52"/>
  <c r="N191" i="52"/>
  <c r="N183" i="52"/>
  <c r="N175" i="52"/>
  <c r="N192" i="52"/>
  <c r="N184" i="52"/>
  <c r="N176" i="52"/>
  <c r="G103" i="241"/>
  <c r="G106" i="241" s="1"/>
  <c r="K194" i="241"/>
  <c r="K186" i="241"/>
  <c r="K178" i="241"/>
  <c r="K195" i="241"/>
  <c r="K187" i="241"/>
  <c r="K179" i="241"/>
  <c r="N195" i="52"/>
  <c r="N187" i="52"/>
  <c r="N179" i="52"/>
  <c r="N196" i="52"/>
  <c r="N188" i="52"/>
  <c r="N180" i="52"/>
  <c r="N172" i="52"/>
  <c r="N198" i="52" s="1"/>
  <c r="J103" i="241"/>
  <c r="J106" i="241" s="1"/>
  <c r="K192" i="241"/>
  <c r="K184" i="241"/>
  <c r="K176" i="241"/>
  <c r="K193" i="241"/>
  <c r="K185" i="241"/>
  <c r="N193" i="52"/>
  <c r="N185" i="52"/>
  <c r="N177" i="52"/>
  <c r="N194" i="52"/>
  <c r="N186" i="52"/>
  <c r="M108" i="73"/>
  <c r="K108" i="73"/>
  <c r="F111" i="73"/>
  <c r="F241" i="73" s="1"/>
  <c r="F286" i="73" s="1"/>
  <c r="M112" i="73"/>
  <c r="K112" i="73"/>
  <c r="M110" i="73"/>
  <c r="J110" i="73"/>
  <c r="E182" i="73"/>
  <c r="E186" i="73" s="1"/>
  <c r="E188" i="73" s="1"/>
  <c r="G108" i="73"/>
  <c r="J113" i="73"/>
  <c r="K113" i="73"/>
  <c r="G110" i="73"/>
  <c r="G113" i="73"/>
  <c r="J111" i="73"/>
  <c r="J241" i="73" s="1"/>
  <c r="J286" i="73" s="1"/>
  <c r="M111" i="73"/>
  <c r="M241" i="73" s="1"/>
  <c r="M286" i="73" s="1"/>
  <c r="M109" i="73"/>
  <c r="K111" i="73"/>
  <c r="K241" i="73" s="1"/>
  <c r="K286" i="73" s="1"/>
  <c r="D96" i="6"/>
  <c r="D97" i="6"/>
  <c r="D98" i="6"/>
  <c r="D99" i="6"/>
  <c r="D100" i="6"/>
  <c r="D101" i="6"/>
  <c r="D102" i="6"/>
  <c r="D103" i="6"/>
  <c r="D104" i="6"/>
  <c r="D105" i="6"/>
  <c r="O37" i="245"/>
  <c r="O33" i="245"/>
  <c r="O29" i="245"/>
  <c r="O25" i="245"/>
  <c r="O21" i="245"/>
  <c r="O17" i="245"/>
  <c r="O36" i="245"/>
  <c r="O32" i="245"/>
  <c r="O28" i="245"/>
  <c r="O24" i="245"/>
  <c r="O20" i="245"/>
  <c r="O16" i="245"/>
  <c r="O39" i="245"/>
  <c r="O35" i="245"/>
  <c r="O31" i="245"/>
  <c r="O27" i="245"/>
  <c r="O23" i="245"/>
  <c r="O19" i="245"/>
  <c r="O15" i="245"/>
  <c r="O38" i="245"/>
  <c r="O34" i="245"/>
  <c r="O30" i="245"/>
  <c r="O26" i="245"/>
  <c r="O22" i="245"/>
  <c r="O18" i="245"/>
  <c r="T39" i="249"/>
  <c r="L15" i="241"/>
  <c r="L140" i="241" s="1"/>
  <c r="K108" i="241"/>
  <c r="K92" i="241"/>
  <c r="K170" i="241"/>
  <c r="K204" i="241" s="1"/>
  <c r="K233" i="241" s="1"/>
  <c r="M222" i="73"/>
  <c r="D32" i="126"/>
  <c r="D33" i="126"/>
  <c r="F33" i="126" s="1"/>
  <c r="F57" i="126" s="1"/>
  <c r="L47" i="126" s="1"/>
  <c r="N6" i="257"/>
  <c r="D15" i="11"/>
  <c r="K107" i="73"/>
  <c r="K230" i="73" s="1"/>
  <c r="K275" i="73" s="1"/>
  <c r="K70" i="73"/>
  <c r="K72" i="73" s="1"/>
  <c r="U24" i="256"/>
  <c r="W24" i="256" s="1"/>
  <c r="V24" i="256"/>
  <c r="G222" i="73"/>
  <c r="G109" i="73"/>
  <c r="G101" i="73"/>
  <c r="T24" i="249"/>
  <c r="T27" i="249"/>
  <c r="S41" i="249"/>
  <c r="S42" i="249"/>
  <c r="S43" i="249"/>
  <c r="S44" i="249"/>
  <c r="S45" i="249"/>
  <c r="S46" i="249"/>
  <c r="T10" i="249"/>
  <c r="T13" i="249"/>
  <c r="U22" i="256"/>
  <c r="W22" i="256" s="1"/>
  <c r="V22" i="256"/>
  <c r="E106" i="241"/>
  <c r="V41" i="244"/>
  <c r="V42" i="244"/>
  <c r="V43" i="244"/>
  <c r="V44" i="244"/>
  <c r="V45" i="244"/>
  <c r="V46" i="244"/>
  <c r="D133" i="73"/>
  <c r="D134" i="73" s="1"/>
  <c r="D159" i="73"/>
  <c r="D163" i="73" s="1"/>
  <c r="D165" i="73" s="1"/>
  <c r="S37" i="250"/>
  <c r="Y37" i="250"/>
  <c r="S29" i="250"/>
  <c r="Y29" i="250"/>
  <c r="S38" i="250"/>
  <c r="Y38" i="250"/>
  <c r="S22" i="250"/>
  <c r="Y22" i="250"/>
  <c r="S36" i="250"/>
  <c r="Y36" i="250"/>
  <c r="S20" i="250"/>
  <c r="S21" i="250"/>
  <c r="Y21" i="250"/>
  <c r="I133" i="73"/>
  <c r="I134" i="73" s="1"/>
  <c r="I159" i="73"/>
  <c r="I163" i="73" s="1"/>
  <c r="I165" i="73" s="1"/>
  <c r="L36" i="245"/>
  <c r="L32" i="245"/>
  <c r="L28" i="245"/>
  <c r="L24" i="245"/>
  <c r="L20" i="245"/>
  <c r="L16" i="245"/>
  <c r="L39" i="245"/>
  <c r="L35" i="245"/>
  <c r="L31" i="245"/>
  <c r="L27" i="245"/>
  <c r="L23" i="245"/>
  <c r="L19" i="245"/>
  <c r="L15" i="245"/>
  <c r="L38" i="245"/>
  <c r="L34" i="245"/>
  <c r="L30" i="245"/>
  <c r="L26" i="245"/>
  <c r="L22" i="245"/>
  <c r="L18" i="245"/>
  <c r="L37" i="245"/>
  <c r="L33" i="245"/>
  <c r="L29" i="245"/>
  <c r="L25" i="245"/>
  <c r="L21" i="245"/>
  <c r="L17" i="245"/>
  <c r="F110" i="73"/>
  <c r="F138" i="73"/>
  <c r="F131" i="73"/>
  <c r="F108" i="73"/>
  <c r="M182" i="241"/>
  <c r="L173" i="241"/>
  <c r="L175" i="241"/>
  <c r="L177" i="241"/>
  <c r="L179" i="241"/>
  <c r="L181" i="241"/>
  <c r="L183" i="241"/>
  <c r="L185" i="241"/>
  <c r="L187" i="241"/>
  <c r="L189" i="241"/>
  <c r="L191" i="241"/>
  <c r="L193" i="241"/>
  <c r="L195" i="241"/>
  <c r="L172" i="241"/>
  <c r="L198" i="241" s="1"/>
  <c r="L174" i="241"/>
  <c r="L176" i="241"/>
  <c r="L178" i="241"/>
  <c r="L180" i="241"/>
  <c r="L182" i="241"/>
  <c r="L184" i="241"/>
  <c r="L186" i="241"/>
  <c r="L188" i="241"/>
  <c r="L190" i="241"/>
  <c r="L192" i="241"/>
  <c r="L194" i="241"/>
  <c r="L196" i="241"/>
  <c r="V35" i="256"/>
  <c r="U35" i="256"/>
  <c r="W35" i="256" s="1"/>
  <c r="J222" i="73"/>
  <c r="J109" i="73"/>
  <c r="J101" i="73"/>
  <c r="U41" i="12"/>
  <c r="U42" i="12"/>
  <c r="U43" i="12"/>
  <c r="U44" i="12"/>
  <c r="U45" i="12"/>
  <c r="U46" i="12"/>
  <c r="W10" i="12"/>
  <c r="X10" i="12" s="1"/>
  <c r="U34" i="256"/>
  <c r="W34" i="256" s="1"/>
  <c r="V34" i="256"/>
  <c r="Y34" i="256" s="1"/>
  <c r="V38" i="245"/>
  <c r="V34" i="245"/>
  <c r="V30" i="245"/>
  <c r="V26" i="245"/>
  <c r="V22" i="245"/>
  <c r="V18" i="245"/>
  <c r="V37" i="245"/>
  <c r="V33" i="245"/>
  <c r="V29" i="245"/>
  <c r="V25" i="245"/>
  <c r="V21" i="245"/>
  <c r="V17" i="245"/>
  <c r="V36" i="245"/>
  <c r="V32" i="245"/>
  <c r="V28" i="245"/>
  <c r="V24" i="245"/>
  <c r="V20" i="245"/>
  <c r="V16" i="245"/>
  <c r="V39" i="245"/>
  <c r="V35" i="245"/>
  <c r="V31" i="245"/>
  <c r="V27" i="245"/>
  <c r="V23" i="245"/>
  <c r="V19" i="245"/>
  <c r="V15" i="245"/>
  <c r="H182" i="73"/>
  <c r="H186" i="73" s="1"/>
  <c r="H188" i="73" s="1"/>
  <c r="Q45" i="172"/>
  <c r="H21" i="48" s="1"/>
  <c r="Q46" i="172"/>
  <c r="H22" i="48" s="1"/>
  <c r="Q43" i="172"/>
  <c r="H19" i="48" s="1"/>
  <c r="Q47" i="172"/>
  <c r="H23" i="48" s="1"/>
  <c r="Q44" i="172"/>
  <c r="H20" i="48" s="1"/>
  <c r="Q48" i="172"/>
  <c r="H24" i="48" s="1"/>
  <c r="J19" i="133"/>
  <c r="K18" i="133"/>
  <c r="B18" i="133" s="1"/>
  <c r="G18" i="133" s="1"/>
  <c r="B3" i="6" s="1"/>
  <c r="O28" i="6"/>
  <c r="D182" i="73"/>
  <c r="D186" i="73" s="1"/>
  <c r="D188" i="73" s="1"/>
  <c r="T36" i="249"/>
  <c r="T38" i="249"/>
  <c r="C31" i="229"/>
  <c r="F30" i="229"/>
  <c r="G30" i="229"/>
  <c r="G22" i="11"/>
  <c r="G23" i="11"/>
  <c r="G32" i="11"/>
  <c r="M138" i="73"/>
  <c r="M131" i="73"/>
  <c r="O12" i="250"/>
  <c r="O16" i="250"/>
  <c r="O20" i="250"/>
  <c r="O24" i="250"/>
  <c r="O11" i="250"/>
  <c r="O15" i="250"/>
  <c r="O19" i="250"/>
  <c r="O23" i="250"/>
  <c r="O27" i="250"/>
  <c r="O31" i="250"/>
  <c r="O35" i="250"/>
  <c r="O39" i="250"/>
  <c r="O13" i="250"/>
  <c r="O17" i="250"/>
  <c r="O21" i="250"/>
  <c r="O25" i="250"/>
  <c r="O29" i="250"/>
  <c r="O33" i="250"/>
  <c r="O37" i="250"/>
  <c r="O10" i="250"/>
  <c r="O18" i="250"/>
  <c r="O26" i="250"/>
  <c r="O28" i="250"/>
  <c r="O30" i="250"/>
  <c r="O32" i="250"/>
  <c r="O34" i="250"/>
  <c r="O36" i="250"/>
  <c r="O38" i="250"/>
  <c r="O14" i="250"/>
  <c r="O22" i="250"/>
  <c r="O48" i="250"/>
  <c r="O50" i="250"/>
  <c r="O41" i="249"/>
  <c r="O42" i="249"/>
  <c r="O43" i="249"/>
  <c r="O44" i="249"/>
  <c r="O45" i="249"/>
  <c r="O46" i="249"/>
  <c r="X20" i="249"/>
  <c r="T20" i="249"/>
  <c r="X23" i="249"/>
  <c r="T23" i="249"/>
  <c r="T22" i="249"/>
  <c r="X22" i="249"/>
  <c r="T25" i="249"/>
  <c r="K222" i="73"/>
  <c r="K109" i="73"/>
  <c r="K101" i="73"/>
  <c r="G112" i="73"/>
  <c r="G111" i="73"/>
  <c r="G241" i="73" s="1"/>
  <c r="G286" i="73" s="1"/>
  <c r="N172" i="241"/>
  <c r="N198" i="241" s="1"/>
  <c r="N174" i="241"/>
  <c r="N176" i="241"/>
  <c r="N178" i="241"/>
  <c r="N180" i="241"/>
  <c r="N182" i="241"/>
  <c r="N184" i="241"/>
  <c r="N186" i="241"/>
  <c r="N188" i="241"/>
  <c r="N190" i="241"/>
  <c r="N192" i="241"/>
  <c r="N194" i="241"/>
  <c r="N196" i="241"/>
  <c r="N173" i="241"/>
  <c r="N175" i="241"/>
  <c r="N177" i="241"/>
  <c r="N179" i="241"/>
  <c r="N181" i="241"/>
  <c r="N183" i="241"/>
  <c r="N185" i="241"/>
  <c r="N187" i="241"/>
  <c r="N189" i="241"/>
  <c r="N191" i="241"/>
  <c r="N193" i="241"/>
  <c r="N195" i="241"/>
  <c r="N38" i="245"/>
  <c r="N34" i="245"/>
  <c r="N30" i="245"/>
  <c r="N26" i="245"/>
  <c r="N22" i="245"/>
  <c r="N18" i="245"/>
  <c r="N37" i="245"/>
  <c r="N33" i="245"/>
  <c r="N29" i="245"/>
  <c r="N25" i="245"/>
  <c r="N21" i="245"/>
  <c r="N17" i="245"/>
  <c r="N36" i="245"/>
  <c r="N32" i="245"/>
  <c r="N28" i="245"/>
  <c r="N24" i="245"/>
  <c r="N20" i="245"/>
  <c r="N16" i="245"/>
  <c r="N39" i="245"/>
  <c r="N35" i="245"/>
  <c r="N31" i="245"/>
  <c r="N27" i="245"/>
  <c r="N23" i="245"/>
  <c r="N19" i="245"/>
  <c r="N15" i="245"/>
  <c r="S19" i="250"/>
  <c r="Y19" i="250"/>
  <c r="S35" i="250"/>
  <c r="Y35" i="250"/>
  <c r="S27" i="250"/>
  <c r="S34" i="250"/>
  <c r="S18" i="250"/>
  <c r="Y18" i="250"/>
  <c r="S32" i="250"/>
  <c r="S16" i="250"/>
  <c r="S17" i="250"/>
  <c r="C96" i="156"/>
  <c r="H34" i="39"/>
  <c r="D10" i="39" s="1"/>
  <c r="H10" i="39" s="1"/>
  <c r="H12" i="39" s="1"/>
  <c r="H14" i="39" s="1"/>
  <c r="O173" i="52"/>
  <c r="O175" i="52"/>
  <c r="O177" i="52"/>
  <c r="O179" i="52"/>
  <c r="O181" i="52"/>
  <c r="O183" i="52"/>
  <c r="O185" i="52"/>
  <c r="O187" i="52"/>
  <c r="O189" i="52"/>
  <c r="O191" i="52"/>
  <c r="O193" i="52"/>
  <c r="O195" i="52"/>
  <c r="O172" i="52"/>
  <c r="O198" i="52" s="1"/>
  <c r="O174" i="52"/>
  <c r="O176" i="52"/>
  <c r="O178" i="52"/>
  <c r="O180" i="52"/>
  <c r="O182" i="52"/>
  <c r="O184" i="52"/>
  <c r="O186" i="52"/>
  <c r="O188" i="52"/>
  <c r="O190" i="52"/>
  <c r="O192" i="52"/>
  <c r="O194" i="52"/>
  <c r="O196" i="52"/>
  <c r="H103" i="241"/>
  <c r="H106" i="241" s="1"/>
  <c r="T28" i="249"/>
  <c r="T31" i="249"/>
  <c r="T30" i="249"/>
  <c r="T33" i="249"/>
  <c r="F70" i="73"/>
  <c r="F72" i="73" s="1"/>
  <c r="F107" i="73"/>
  <c r="F230" i="73" s="1"/>
  <c r="F275" i="73" s="1"/>
  <c r="F113" i="73"/>
  <c r="M172" i="52"/>
  <c r="M198" i="52" s="1"/>
  <c r="M174" i="52"/>
  <c r="M176" i="52"/>
  <c r="M178" i="52"/>
  <c r="M180" i="52"/>
  <c r="M182" i="52"/>
  <c r="M184" i="52"/>
  <c r="M186" i="52"/>
  <c r="M188" i="52"/>
  <c r="M190" i="52"/>
  <c r="M192" i="52"/>
  <c r="M194" i="52"/>
  <c r="M196" i="52"/>
  <c r="M173" i="52"/>
  <c r="M175" i="52"/>
  <c r="M177" i="52"/>
  <c r="M179" i="52"/>
  <c r="M181" i="52"/>
  <c r="M183" i="52"/>
  <c r="M185" i="52"/>
  <c r="M187" i="52"/>
  <c r="M189" i="52"/>
  <c r="M191" i="52"/>
  <c r="M193" i="52"/>
  <c r="M195" i="52"/>
  <c r="G116" i="156"/>
  <c r="F116" i="156"/>
  <c r="J10" i="245"/>
  <c r="Y10" i="245" s="1"/>
  <c r="J112" i="73"/>
  <c r="V41" i="12"/>
  <c r="V42" i="12"/>
  <c r="V43" i="12"/>
  <c r="V44" i="12"/>
  <c r="V45" i="12"/>
  <c r="V46" i="12"/>
  <c r="T16" i="249"/>
  <c r="X16" i="249"/>
  <c r="T19" i="249"/>
  <c r="X19" i="249"/>
  <c r="T18" i="249"/>
  <c r="T21" i="249"/>
  <c r="I172" i="52"/>
  <c r="I198" i="52" s="1"/>
  <c r="I174" i="52"/>
  <c r="I176" i="52"/>
  <c r="I178" i="52"/>
  <c r="I180" i="52"/>
  <c r="I182" i="52"/>
  <c r="I184" i="52"/>
  <c r="I186" i="52"/>
  <c r="I188" i="52"/>
  <c r="I190" i="52"/>
  <c r="I192" i="52"/>
  <c r="I194" i="52"/>
  <c r="I196" i="52"/>
  <c r="I173" i="52"/>
  <c r="I175" i="52"/>
  <c r="I177" i="52"/>
  <c r="I179" i="52"/>
  <c r="I181" i="52"/>
  <c r="I183" i="52"/>
  <c r="I185" i="52"/>
  <c r="I187" i="52"/>
  <c r="I189" i="52"/>
  <c r="I191" i="52"/>
  <c r="I193" i="52"/>
  <c r="I195" i="52"/>
  <c r="L12" i="126"/>
  <c r="H31" i="11"/>
  <c r="H42" i="11" s="1"/>
  <c r="H20" i="11"/>
  <c r="H21" i="11" s="1"/>
  <c r="T43" i="172"/>
  <c r="F19" i="48" s="1"/>
  <c r="T47" i="172"/>
  <c r="F23" i="48" s="1"/>
  <c r="T44" i="172"/>
  <c r="F20" i="48" s="1"/>
  <c r="T48" i="172"/>
  <c r="F24" i="48" s="1"/>
  <c r="T45" i="172"/>
  <c r="F21" i="48" s="1"/>
  <c r="T46" i="172"/>
  <c r="F22" i="48" s="1"/>
  <c r="W44" i="172"/>
  <c r="N20" i="48" s="1"/>
  <c r="W48" i="172"/>
  <c r="N24" i="48" s="1"/>
  <c r="W45" i="172"/>
  <c r="N21" i="48" s="1"/>
  <c r="W46" i="172"/>
  <c r="N22" i="48" s="1"/>
  <c r="W43" i="172"/>
  <c r="N19" i="48" s="1"/>
  <c r="W47" i="172"/>
  <c r="N23" i="48" s="1"/>
  <c r="P10" i="245"/>
  <c r="E133" i="73"/>
  <c r="E134" i="73" s="1"/>
  <c r="E159" i="73"/>
  <c r="E163" i="73" s="1"/>
  <c r="E165" i="73" s="1"/>
  <c r="U38" i="256"/>
  <c r="W38" i="256" s="1"/>
  <c r="V38" i="256"/>
  <c r="K72" i="133"/>
  <c r="K37" i="245"/>
  <c r="K33" i="245"/>
  <c r="K29" i="245"/>
  <c r="K25" i="245"/>
  <c r="K21" i="245"/>
  <c r="K17" i="245"/>
  <c r="K36" i="245"/>
  <c r="K32" i="245"/>
  <c r="K28" i="245"/>
  <c r="K24" i="245"/>
  <c r="K20" i="245"/>
  <c r="K16" i="245"/>
  <c r="K39" i="245"/>
  <c r="K35" i="245"/>
  <c r="K31" i="245"/>
  <c r="K27" i="245"/>
  <c r="K23" i="245"/>
  <c r="K19" i="245"/>
  <c r="K15" i="245"/>
  <c r="K38" i="245"/>
  <c r="K34" i="245"/>
  <c r="K30" i="245"/>
  <c r="K26" i="245"/>
  <c r="K22" i="245"/>
  <c r="K18" i="245"/>
  <c r="M101" i="73"/>
  <c r="Y42" i="244"/>
  <c r="Y44" i="244"/>
  <c r="AB43" i="244" s="1"/>
  <c r="AB45" i="244" s="1"/>
  <c r="Y45" i="244"/>
  <c r="Y41" i="244"/>
  <c r="Y43" i="244"/>
  <c r="Y46" i="244"/>
  <c r="G131" i="73"/>
  <c r="G138" i="73"/>
  <c r="T11" i="249"/>
  <c r="X11" i="249"/>
  <c r="T26" i="249"/>
  <c r="T29" i="249"/>
  <c r="T36" i="245"/>
  <c r="T32" i="245"/>
  <c r="T28" i="245"/>
  <c r="T24" i="245"/>
  <c r="T20" i="245"/>
  <c r="T16" i="245"/>
  <c r="T39" i="245"/>
  <c r="T35" i="245"/>
  <c r="T31" i="245"/>
  <c r="T27" i="245"/>
  <c r="T23" i="245"/>
  <c r="T19" i="245"/>
  <c r="T15" i="245"/>
  <c r="T38" i="245"/>
  <c r="T34" i="245"/>
  <c r="T30" i="245"/>
  <c r="T26" i="245"/>
  <c r="T22" i="245"/>
  <c r="T18" i="245"/>
  <c r="T37" i="245"/>
  <c r="T33" i="245"/>
  <c r="T29" i="245"/>
  <c r="T25" i="245"/>
  <c r="T21" i="245"/>
  <c r="T17" i="245"/>
  <c r="H133" i="73"/>
  <c r="H134" i="73" s="1"/>
  <c r="H159" i="73"/>
  <c r="H163" i="73" s="1"/>
  <c r="H165" i="73" s="1"/>
  <c r="J172" i="241"/>
  <c r="J198" i="241" s="1"/>
  <c r="J174" i="241"/>
  <c r="J176" i="241"/>
  <c r="J178" i="241"/>
  <c r="J180" i="241"/>
  <c r="J182" i="241"/>
  <c r="J184" i="241"/>
  <c r="J186" i="241"/>
  <c r="J188" i="241"/>
  <c r="J190" i="241"/>
  <c r="J192" i="241"/>
  <c r="J194" i="241"/>
  <c r="J196" i="241"/>
  <c r="J173" i="241"/>
  <c r="J175" i="241"/>
  <c r="J177" i="241"/>
  <c r="J179" i="241"/>
  <c r="J181" i="241"/>
  <c r="J183" i="241"/>
  <c r="J185" i="241"/>
  <c r="J187" i="241"/>
  <c r="J189" i="241"/>
  <c r="J191" i="241"/>
  <c r="J193" i="241"/>
  <c r="J195" i="241"/>
  <c r="K173" i="52"/>
  <c r="K175" i="52"/>
  <c r="K177" i="52"/>
  <c r="K179" i="52"/>
  <c r="K181" i="52"/>
  <c r="K183" i="52"/>
  <c r="K185" i="52"/>
  <c r="K187" i="52"/>
  <c r="K189" i="52"/>
  <c r="K191" i="52"/>
  <c r="K193" i="52"/>
  <c r="K195" i="52"/>
  <c r="K172" i="52"/>
  <c r="K198" i="52" s="1"/>
  <c r="K174" i="52"/>
  <c r="K176" i="52"/>
  <c r="K178" i="52"/>
  <c r="K180" i="52"/>
  <c r="K182" i="52"/>
  <c r="K184" i="52"/>
  <c r="K186" i="52"/>
  <c r="K188" i="52"/>
  <c r="K190" i="52"/>
  <c r="K192" i="52"/>
  <c r="K194" i="52"/>
  <c r="K196" i="52"/>
  <c r="S11" i="250"/>
  <c r="S33" i="250"/>
  <c r="S23" i="250"/>
  <c r="S30" i="250"/>
  <c r="S14" i="250"/>
  <c r="S28" i="250"/>
  <c r="Y28" i="250"/>
  <c r="S12" i="250"/>
  <c r="S13" i="250"/>
  <c r="Y13" i="250"/>
  <c r="R39" i="245"/>
  <c r="R35" i="245"/>
  <c r="R31" i="245"/>
  <c r="R27" i="245"/>
  <c r="R23" i="245"/>
  <c r="R19" i="245"/>
  <c r="R15" i="245"/>
  <c r="R38" i="245"/>
  <c r="R34" i="245"/>
  <c r="R30" i="245"/>
  <c r="R26" i="245"/>
  <c r="R22" i="245"/>
  <c r="R18" i="245"/>
  <c r="R37" i="245"/>
  <c r="R33" i="245"/>
  <c r="R29" i="245"/>
  <c r="R25" i="245"/>
  <c r="R21" i="245"/>
  <c r="R17" i="245"/>
  <c r="R36" i="245"/>
  <c r="R32" i="245"/>
  <c r="R28" i="245"/>
  <c r="R24" i="245"/>
  <c r="R20" i="245"/>
  <c r="R16" i="245"/>
  <c r="D173" i="52"/>
  <c r="U173" i="52" s="1"/>
  <c r="D10" i="66" s="1"/>
  <c r="H10" i="66" s="1"/>
  <c r="D175" i="52"/>
  <c r="U175" i="52" s="1"/>
  <c r="D12" i="66" s="1"/>
  <c r="H12" i="66" s="1"/>
  <c r="D177" i="52"/>
  <c r="U177" i="52" s="1"/>
  <c r="D14" i="66" s="1"/>
  <c r="H14" i="66" s="1"/>
  <c r="D179" i="52"/>
  <c r="U179" i="52" s="1"/>
  <c r="D16" i="66" s="1"/>
  <c r="H16" i="66" s="1"/>
  <c r="D181" i="52"/>
  <c r="U181" i="52" s="1"/>
  <c r="D18" i="66" s="1"/>
  <c r="H18" i="66" s="1"/>
  <c r="D183" i="52"/>
  <c r="U183" i="52" s="1"/>
  <c r="D20" i="66" s="1"/>
  <c r="H20" i="66" s="1"/>
  <c r="D185" i="52"/>
  <c r="U185" i="52" s="1"/>
  <c r="D22" i="66" s="1"/>
  <c r="H22" i="66" s="1"/>
  <c r="D187" i="52"/>
  <c r="U187" i="52" s="1"/>
  <c r="D189" i="52"/>
  <c r="U189" i="52" s="1"/>
  <c r="D191" i="52"/>
  <c r="U191" i="52" s="1"/>
  <c r="D193" i="52"/>
  <c r="U193" i="52" s="1"/>
  <c r="D195" i="52"/>
  <c r="U195" i="52" s="1"/>
  <c r="D172" i="52"/>
  <c r="D174" i="52"/>
  <c r="U174" i="52" s="1"/>
  <c r="D11" i="66" s="1"/>
  <c r="H11" i="66" s="1"/>
  <c r="D176" i="52"/>
  <c r="U176" i="52" s="1"/>
  <c r="D13" i="66" s="1"/>
  <c r="H13" i="66" s="1"/>
  <c r="D178" i="52"/>
  <c r="U178" i="52" s="1"/>
  <c r="D15" i="66" s="1"/>
  <c r="H15" i="66" s="1"/>
  <c r="P5" i="66" s="1"/>
  <c r="P6" i="66" s="1"/>
  <c r="Q6" i="66" s="1"/>
  <c r="D14" i="248" s="1"/>
  <c r="D180" i="52"/>
  <c r="U180" i="52" s="1"/>
  <c r="D17" i="66" s="1"/>
  <c r="H17" i="66" s="1"/>
  <c r="D182" i="52"/>
  <c r="U182" i="52" s="1"/>
  <c r="D19" i="66" s="1"/>
  <c r="H19" i="66" s="1"/>
  <c r="D184" i="52"/>
  <c r="U184" i="52" s="1"/>
  <c r="D21" i="66" s="1"/>
  <c r="H21" i="66" s="1"/>
  <c r="D186" i="52"/>
  <c r="U186" i="52" s="1"/>
  <c r="D23" i="66" s="1"/>
  <c r="H23" i="66" s="1"/>
  <c r="D188" i="52"/>
  <c r="U188" i="52" s="1"/>
  <c r="D190" i="52"/>
  <c r="U190" i="52" s="1"/>
  <c r="D192" i="52"/>
  <c r="U192" i="52" s="1"/>
  <c r="D194" i="52"/>
  <c r="U194" i="52" s="1"/>
  <c r="D196" i="52"/>
  <c r="U196" i="52" s="1"/>
  <c r="D24" i="66" s="1"/>
  <c r="H24" i="66" s="1"/>
  <c r="M10" i="245"/>
  <c r="F222" i="73"/>
  <c r="F109" i="73"/>
  <c r="F101" i="73"/>
  <c r="R172" i="52"/>
  <c r="R198" i="52" s="1"/>
  <c r="R174" i="52"/>
  <c r="R176" i="52"/>
  <c r="R178" i="52"/>
  <c r="R180" i="52"/>
  <c r="R182" i="52"/>
  <c r="R184" i="52"/>
  <c r="R186" i="52"/>
  <c r="R188" i="52"/>
  <c r="R190" i="52"/>
  <c r="R192" i="52"/>
  <c r="R194" i="52"/>
  <c r="R196" i="52"/>
  <c r="R173" i="52"/>
  <c r="R175" i="52"/>
  <c r="R177" i="52"/>
  <c r="R179" i="52"/>
  <c r="R181" i="52"/>
  <c r="R183" i="52"/>
  <c r="R185" i="52"/>
  <c r="R187" i="52"/>
  <c r="R189" i="52"/>
  <c r="R191" i="52"/>
  <c r="R193" i="52"/>
  <c r="R195" i="52"/>
  <c r="V36" i="256"/>
  <c r="U36" i="256"/>
  <c r="W36" i="256" s="1"/>
  <c r="F103" i="241"/>
  <c r="F106" i="241" s="1"/>
  <c r="J138" i="73"/>
  <c r="J131" i="73"/>
  <c r="J108" i="73"/>
  <c r="H36" i="245"/>
  <c r="E36" i="245" s="1"/>
  <c r="H32" i="245"/>
  <c r="E32" i="245" s="1"/>
  <c r="H28" i="245"/>
  <c r="E28" i="245" s="1"/>
  <c r="H24" i="245"/>
  <c r="E24" i="245" s="1"/>
  <c r="H20" i="245"/>
  <c r="E20" i="245" s="1"/>
  <c r="H16" i="245"/>
  <c r="E16" i="245" s="1"/>
  <c r="H39" i="245"/>
  <c r="E39" i="245" s="1"/>
  <c r="H35" i="245"/>
  <c r="E35" i="245" s="1"/>
  <c r="H31" i="245"/>
  <c r="E31" i="245" s="1"/>
  <c r="H27" i="245"/>
  <c r="E27" i="245" s="1"/>
  <c r="H23" i="245"/>
  <c r="E23" i="245" s="1"/>
  <c r="H19" i="245"/>
  <c r="E19" i="245" s="1"/>
  <c r="H15" i="245"/>
  <c r="H38" i="245"/>
  <c r="E38" i="245" s="1"/>
  <c r="H34" i="245"/>
  <c r="E34" i="245" s="1"/>
  <c r="H30" i="245"/>
  <c r="E30" i="245" s="1"/>
  <c r="H26" i="245"/>
  <c r="E26" i="245" s="1"/>
  <c r="H22" i="245"/>
  <c r="E22" i="245" s="1"/>
  <c r="H18" i="245"/>
  <c r="E18" i="245" s="1"/>
  <c r="H37" i="245"/>
  <c r="E37" i="245" s="1"/>
  <c r="H33" i="245"/>
  <c r="E33" i="245" s="1"/>
  <c r="H29" i="245"/>
  <c r="E29" i="245" s="1"/>
  <c r="H25" i="245"/>
  <c r="E25" i="245" s="1"/>
  <c r="H21" i="245"/>
  <c r="E21" i="245" s="1"/>
  <c r="H17" i="245"/>
  <c r="E17" i="245" s="1"/>
  <c r="D28" i="229"/>
  <c r="D29" i="229"/>
  <c r="D33" i="229"/>
  <c r="D37" i="229"/>
  <c r="D30" i="229"/>
  <c r="H30" i="229" s="1"/>
  <c r="D34" i="229"/>
  <c r="D31" i="229"/>
  <c r="D35" i="229"/>
  <c r="D32" i="229"/>
  <c r="D36" i="229"/>
  <c r="D62" i="14"/>
  <c r="E62" i="14" s="1"/>
  <c r="D63" i="14"/>
  <c r="E63" i="14" s="1"/>
  <c r="D65" i="14"/>
  <c r="E65" i="14" s="1"/>
  <c r="U46" i="172"/>
  <c r="J22" i="48" s="1"/>
  <c r="U43" i="172"/>
  <c r="J19" i="48" s="1"/>
  <c r="U47" i="172"/>
  <c r="J23" i="48" s="1"/>
  <c r="U44" i="172"/>
  <c r="J20" i="48" s="1"/>
  <c r="U48" i="172"/>
  <c r="J24" i="48" s="1"/>
  <c r="U45" i="172"/>
  <c r="J21" i="48" s="1"/>
  <c r="O43" i="172"/>
  <c r="O47" i="172"/>
  <c r="O44" i="172"/>
  <c r="O48" i="172"/>
  <c r="O45" i="172"/>
  <c r="O46" i="172"/>
  <c r="S44" i="172"/>
  <c r="D20" i="48" s="1"/>
  <c r="S48" i="172"/>
  <c r="D24" i="48" s="1"/>
  <c r="S45" i="172"/>
  <c r="D21" i="48" s="1"/>
  <c r="S46" i="172"/>
  <c r="D22" i="48" s="1"/>
  <c r="S43" i="172"/>
  <c r="D19" i="48" s="1"/>
  <c r="S47" i="172"/>
  <c r="D23" i="48" s="1"/>
  <c r="L133" i="73"/>
  <c r="L134" i="73" s="1"/>
  <c r="L159" i="73"/>
  <c r="L163" i="73" s="1"/>
  <c r="L165" i="73" s="1"/>
  <c r="B17" i="232"/>
  <c r="G68" i="133"/>
  <c r="B3" i="173" s="1"/>
  <c r="U39" i="245"/>
  <c r="U35" i="245"/>
  <c r="U31" i="245"/>
  <c r="U27" i="245"/>
  <c r="U23" i="245"/>
  <c r="U19" i="245"/>
  <c r="U15" i="245"/>
  <c r="U38" i="245"/>
  <c r="U34" i="245"/>
  <c r="U30" i="245"/>
  <c r="U26" i="245"/>
  <c r="U22" i="245"/>
  <c r="U18" i="245"/>
  <c r="U37" i="245"/>
  <c r="U33" i="245"/>
  <c r="U29" i="245"/>
  <c r="U25" i="245"/>
  <c r="U21" i="245"/>
  <c r="U17" i="245"/>
  <c r="U36" i="245"/>
  <c r="U32" i="245"/>
  <c r="U28" i="245"/>
  <c r="U24" i="245"/>
  <c r="U20" i="245"/>
  <c r="U16" i="245"/>
  <c r="G173" i="241"/>
  <c r="G175" i="241"/>
  <c r="G177" i="241"/>
  <c r="G179" i="241"/>
  <c r="G181" i="241"/>
  <c r="G183" i="241"/>
  <c r="G185" i="241"/>
  <c r="G187" i="241"/>
  <c r="G189" i="241"/>
  <c r="G191" i="241"/>
  <c r="G193" i="241"/>
  <c r="G195" i="241"/>
  <c r="G172" i="241"/>
  <c r="G198" i="241" s="1"/>
  <c r="G174" i="241"/>
  <c r="G176" i="241"/>
  <c r="G178" i="241"/>
  <c r="G180" i="241"/>
  <c r="G182" i="241"/>
  <c r="G184" i="241"/>
  <c r="G186" i="241"/>
  <c r="G188" i="241"/>
  <c r="G190" i="241"/>
  <c r="G192" i="241"/>
  <c r="G194" i="241"/>
  <c r="G196" i="241"/>
  <c r="M70" i="73"/>
  <c r="M72" i="73" s="1"/>
  <c r="M107" i="73"/>
  <c r="M230" i="73" s="1"/>
  <c r="M275" i="73" s="1"/>
  <c r="M113" i="73"/>
  <c r="K110" i="73"/>
  <c r="K131" i="73"/>
  <c r="K138" i="73"/>
  <c r="G107" i="73"/>
  <c r="G230" i="73" s="1"/>
  <c r="G70" i="73"/>
  <c r="G72" i="73" s="1"/>
  <c r="F35" i="11"/>
  <c r="F36" i="11" s="1"/>
  <c r="F38" i="11" s="1"/>
  <c r="F66" i="11" s="1"/>
  <c r="F142" i="73" s="1"/>
  <c r="G142" i="73" s="1"/>
  <c r="I172" i="241"/>
  <c r="I198" i="241" s="1"/>
  <c r="I174" i="241"/>
  <c r="I176" i="241"/>
  <c r="I178" i="241"/>
  <c r="I180" i="241"/>
  <c r="I182" i="241"/>
  <c r="I184" i="241"/>
  <c r="I186" i="241"/>
  <c r="I188" i="241"/>
  <c r="I190" i="241"/>
  <c r="I192" i="241"/>
  <c r="I194" i="241"/>
  <c r="I196" i="241"/>
  <c r="I173" i="241"/>
  <c r="I175" i="241"/>
  <c r="I177" i="241"/>
  <c r="I179" i="241"/>
  <c r="I181" i="241"/>
  <c r="I183" i="241"/>
  <c r="I185" i="241"/>
  <c r="I187" i="241"/>
  <c r="I189" i="241"/>
  <c r="I191" i="241"/>
  <c r="I193" i="241"/>
  <c r="I195" i="241"/>
  <c r="V18" i="256"/>
  <c r="U18" i="256"/>
  <c r="W18" i="256" s="1"/>
  <c r="S173" i="241"/>
  <c r="S175" i="241"/>
  <c r="S177" i="241"/>
  <c r="S179" i="241"/>
  <c r="S181" i="241"/>
  <c r="S183" i="241"/>
  <c r="S185" i="241"/>
  <c r="S187" i="241"/>
  <c r="S189" i="241"/>
  <c r="S191" i="241"/>
  <c r="S193" i="241"/>
  <c r="S195" i="241"/>
  <c r="S172" i="241"/>
  <c r="S198" i="241" s="1"/>
  <c r="S174" i="241"/>
  <c r="S176" i="241"/>
  <c r="S178" i="241"/>
  <c r="S180" i="241"/>
  <c r="S182" i="241"/>
  <c r="S184" i="241"/>
  <c r="S186" i="241"/>
  <c r="S188" i="241"/>
  <c r="S190" i="241"/>
  <c r="S192" i="241"/>
  <c r="S194" i="241"/>
  <c r="S196" i="241"/>
  <c r="W10" i="244"/>
  <c r="U41" i="244"/>
  <c r="U43" i="244"/>
  <c r="U46" i="244"/>
  <c r="U45" i="244"/>
  <c r="U42" i="244"/>
  <c r="U44" i="244"/>
  <c r="S39" i="250"/>
  <c r="Y39" i="250"/>
  <c r="S31" i="250"/>
  <c r="S15" i="250"/>
  <c r="S26" i="250"/>
  <c r="S10" i="250"/>
  <c r="Q41" i="250"/>
  <c r="Q43" i="250"/>
  <c r="Q44" i="250"/>
  <c r="Q45" i="250"/>
  <c r="Q46" i="250"/>
  <c r="Q42" i="250"/>
  <c r="S24" i="250"/>
  <c r="Y24" i="250"/>
  <c r="S25" i="250"/>
  <c r="I182" i="73"/>
  <c r="I186" i="73" s="1"/>
  <c r="I188" i="73" s="1"/>
  <c r="T12" i="249"/>
  <c r="T15" i="249"/>
  <c r="T14" i="249"/>
  <c r="T17" i="249"/>
  <c r="F112" i="73"/>
  <c r="Q36" i="245"/>
  <c r="Q32" i="245"/>
  <c r="Q28" i="245"/>
  <c r="Q24" i="245"/>
  <c r="Q20" i="245"/>
  <c r="Q16" i="245"/>
  <c r="Q39" i="245"/>
  <c r="Q35" i="245"/>
  <c r="Q31" i="245"/>
  <c r="Q27" i="245"/>
  <c r="Q23" i="245"/>
  <c r="Q19" i="245"/>
  <c r="Q15" i="245"/>
  <c r="Q38" i="245"/>
  <c r="Q34" i="245"/>
  <c r="Q30" i="245"/>
  <c r="Q26" i="245"/>
  <c r="Q22" i="245"/>
  <c r="Q18" i="245"/>
  <c r="Q37" i="245"/>
  <c r="Q33" i="245"/>
  <c r="Q29" i="245"/>
  <c r="Q25" i="245"/>
  <c r="Q21" i="245"/>
  <c r="Q17" i="245"/>
  <c r="I39" i="245"/>
  <c r="I35" i="245"/>
  <c r="I31" i="245"/>
  <c r="I27" i="245"/>
  <c r="I23" i="245"/>
  <c r="I19" i="245"/>
  <c r="I15" i="245"/>
  <c r="I38" i="245"/>
  <c r="I34" i="245"/>
  <c r="I30" i="245"/>
  <c r="I26" i="245"/>
  <c r="I22" i="245"/>
  <c r="I18" i="245"/>
  <c r="I37" i="245"/>
  <c r="I33" i="245"/>
  <c r="I29" i="245"/>
  <c r="I25" i="245"/>
  <c r="I21" i="245"/>
  <c r="I17" i="245"/>
  <c r="I36" i="245"/>
  <c r="I32" i="245"/>
  <c r="I28" i="245"/>
  <c r="I24" i="245"/>
  <c r="I20" i="245"/>
  <c r="I16" i="245"/>
  <c r="U28" i="256"/>
  <c r="W28" i="256" s="1"/>
  <c r="V28" i="256"/>
  <c r="J70" i="73"/>
  <c r="J72" i="73" s="1"/>
  <c r="J107" i="73"/>
  <c r="J230" i="73" s="1"/>
  <c r="J275" i="73" s="1"/>
  <c r="T32" i="249"/>
  <c r="T35" i="249"/>
  <c r="X35" i="249"/>
  <c r="T34" i="249"/>
  <c r="X34" i="249"/>
  <c r="T37" i="249"/>
  <c r="N10" i="229"/>
  <c r="N12" i="251"/>
  <c r="N16" i="251"/>
  <c r="N11" i="251"/>
  <c r="N15" i="251"/>
  <c r="N19" i="251"/>
  <c r="N10" i="251"/>
  <c r="N14" i="251"/>
  <c r="N18" i="251"/>
  <c r="Q6" i="251"/>
  <c r="N13" i="251"/>
  <c r="N17" i="251"/>
  <c r="N21" i="251"/>
  <c r="N25" i="251"/>
  <c r="N29" i="251"/>
  <c r="N33" i="251"/>
  <c r="N37" i="251"/>
  <c r="N20" i="251"/>
  <c r="N24" i="251"/>
  <c r="N28" i="251"/>
  <c r="N32" i="251"/>
  <c r="N36" i="251"/>
  <c r="N23" i="251"/>
  <c r="N27" i="251"/>
  <c r="N31" i="251"/>
  <c r="N35" i="251"/>
  <c r="N39" i="251"/>
  <c r="N22" i="251"/>
  <c r="N26" i="251"/>
  <c r="N30" i="251"/>
  <c r="N34" i="251"/>
  <c r="N38" i="251"/>
  <c r="N48" i="251"/>
  <c r="N50" i="251"/>
  <c r="V45" i="172"/>
  <c r="L21" i="48" s="1"/>
  <c r="V46" i="172"/>
  <c r="L22" i="48" s="1"/>
  <c r="V43" i="172"/>
  <c r="L19" i="48" s="1"/>
  <c r="V47" i="172"/>
  <c r="L23" i="48" s="1"/>
  <c r="V44" i="172"/>
  <c r="L20" i="48" s="1"/>
  <c r="V48" i="172"/>
  <c r="L24" i="48" s="1"/>
  <c r="P46" i="172"/>
  <c r="P43" i="172"/>
  <c r="P47" i="172"/>
  <c r="P44" i="172"/>
  <c r="P48" i="172"/>
  <c r="P45" i="172"/>
  <c r="L70" i="133"/>
  <c r="B69" i="133"/>
  <c r="Q172" i="241"/>
  <c r="Q198" i="241" s="1"/>
  <c r="Q174" i="241"/>
  <c r="Q176" i="241"/>
  <c r="Q178" i="241"/>
  <c r="Q180" i="241"/>
  <c r="Q182" i="241"/>
  <c r="Q184" i="241"/>
  <c r="Q186" i="241"/>
  <c r="Q188" i="241"/>
  <c r="Q190" i="241"/>
  <c r="Q192" i="241"/>
  <c r="Q194" i="241"/>
  <c r="Q196" i="241"/>
  <c r="Q173" i="241"/>
  <c r="Q175" i="241"/>
  <c r="Q177" i="241"/>
  <c r="Q179" i="241"/>
  <c r="Q181" i="241"/>
  <c r="Q183" i="241"/>
  <c r="Q185" i="241"/>
  <c r="Q187" i="241"/>
  <c r="Q189" i="241"/>
  <c r="Q191" i="241"/>
  <c r="Q193" i="241"/>
  <c r="Q195" i="241"/>
  <c r="AE34" i="213"/>
  <c r="D30" i="213"/>
  <c r="AR29" i="213"/>
  <c r="N26" i="214"/>
  <c r="D14" i="214"/>
  <c r="N18" i="213"/>
  <c r="AF12" i="214"/>
  <c r="AS36" i="213"/>
  <c r="BE49" i="213"/>
  <c r="AS34" i="213"/>
  <c r="U25" i="214"/>
  <c r="T34" i="213"/>
  <c r="AV17" i="213"/>
  <c r="X19" i="214"/>
  <c r="AJ21" i="213"/>
  <c r="AG41" i="213"/>
  <c r="B19" i="214"/>
  <c r="C34" i="213"/>
  <c r="AG40" i="213"/>
  <c r="J44" i="213"/>
  <c r="AC31" i="213"/>
  <c r="Y27" i="214"/>
  <c r="BC31" i="213"/>
  <c r="T22" i="213"/>
  <c r="Q20" i="213"/>
  <c r="H24" i="213"/>
  <c r="V22" i="213"/>
  <c r="BA22" i="213"/>
  <c r="E37" i="213"/>
  <c r="N40" i="213"/>
  <c r="E25" i="213"/>
  <c r="H49" i="213"/>
  <c r="B24" i="214"/>
  <c r="Z26" i="214"/>
  <c r="BH22" i="213"/>
  <c r="J45" i="213"/>
  <c r="L16" i="213"/>
  <c r="U25" i="213"/>
  <c r="P29" i="214"/>
  <c r="AL22" i="213"/>
  <c r="U12" i="214"/>
  <c r="BQ33" i="213"/>
  <c r="AJ22" i="213"/>
  <c r="Z37" i="213"/>
  <c r="T40" i="213"/>
  <c r="K16" i="213"/>
  <c r="BE20" i="213"/>
  <c r="AK31" i="213"/>
  <c r="U16" i="214"/>
  <c r="X37" i="213"/>
  <c r="P33" i="213"/>
  <c r="N20" i="214"/>
  <c r="BB33" i="213"/>
  <c r="U20" i="214"/>
  <c r="AG19" i="213"/>
  <c r="BQ24" i="213"/>
  <c r="AQ31" i="213"/>
  <c r="AH18" i="213"/>
  <c r="C42" i="213"/>
  <c r="J34" i="213"/>
  <c r="W22" i="213"/>
  <c r="BQ23" i="213"/>
  <c r="C46" i="213"/>
  <c r="BE26" i="213"/>
  <c r="B15" i="214"/>
  <c r="M53" i="213"/>
  <c r="O24" i="214"/>
  <c r="BP40" i="213"/>
  <c r="J31" i="213"/>
  <c r="AA37" i="213"/>
  <c r="V18" i="213"/>
  <c r="AA22" i="213"/>
  <c r="H39" i="213"/>
  <c r="AJ29" i="214"/>
  <c r="BF23" i="213"/>
  <c r="BQ20" i="213"/>
  <c r="R38" i="213"/>
  <c r="D10" i="214"/>
  <c r="V19" i="213"/>
  <c r="AJ16" i="214"/>
  <c r="AQ38" i="213"/>
  <c r="AF33" i="213"/>
  <c r="AE21" i="213"/>
  <c r="C24" i="213"/>
  <c r="L18" i="213"/>
  <c r="U27" i="214"/>
  <c r="Y14" i="214"/>
  <c r="BD40" i="213"/>
  <c r="AG20" i="214"/>
  <c r="W31" i="213"/>
  <c r="C18" i="213"/>
  <c r="AD38" i="213"/>
  <c r="AP37" i="213"/>
  <c r="A29" i="213"/>
  <c r="F17" i="213"/>
  <c r="L23" i="213"/>
  <c r="AR17" i="213"/>
  <c r="V31" i="213"/>
  <c r="BC37" i="213"/>
  <c r="BN40" i="213"/>
  <c r="V41" i="213"/>
  <c r="Z34" i="213"/>
  <c r="K23" i="213"/>
  <c r="A35" i="213"/>
  <c r="U41" i="213"/>
  <c r="BC33" i="213"/>
  <c r="AE36" i="213"/>
  <c r="V11" i="214"/>
  <c r="C38" i="213"/>
  <c r="P37" i="213"/>
  <c r="C11" i="214"/>
  <c r="AE18" i="213"/>
  <c r="AA49" i="213"/>
  <c r="H19" i="213"/>
  <c r="AP34" i="213"/>
  <c r="E27" i="214"/>
  <c r="Z35" i="213"/>
  <c r="C37" i="213"/>
  <c r="AE38" i="213"/>
  <c r="V33" i="213"/>
  <c r="H16" i="213"/>
  <c r="AC48" i="213"/>
  <c r="D27" i="214"/>
  <c r="G12" i="214"/>
  <c r="BF31" i="213"/>
  <c r="AA23" i="213"/>
  <c r="P20" i="213"/>
  <c r="V18" i="214"/>
  <c r="AZ41" i="213"/>
  <c r="C18" i="214"/>
  <c r="J51" i="213"/>
  <c r="AE30" i="213"/>
  <c r="BF18" i="213"/>
  <c r="K44" i="213"/>
  <c r="L18" i="214"/>
  <c r="R42" i="213"/>
  <c r="AJ17" i="214"/>
  <c r="K35" i="213"/>
  <c r="U29" i="214"/>
  <c r="BE41" i="213"/>
  <c r="AS22" i="213"/>
  <c r="P11" i="214"/>
  <c r="A21" i="213"/>
  <c r="AK33" i="213"/>
  <c r="X21" i="214"/>
  <c r="BC42" i="213"/>
  <c r="AS21" i="213"/>
  <c r="G15" i="214"/>
  <c r="C17" i="214"/>
  <c r="X28" i="214"/>
  <c r="S34" i="213"/>
  <c r="BQ40" i="213"/>
  <c r="AX24" i="213"/>
  <c r="P23" i="214"/>
  <c r="BC32" i="213"/>
  <c r="BH24" i="213"/>
  <c r="G35" i="213"/>
  <c r="L27" i="213"/>
  <c r="A17" i="213"/>
  <c r="AR48" i="213"/>
  <c r="AR21" i="213"/>
  <c r="J37" i="213"/>
  <c r="AJ21" i="214"/>
  <c r="Q36" i="213"/>
  <c r="Y33" i="213"/>
  <c r="V51" i="213"/>
  <c r="H42" i="213"/>
  <c r="AQ21" i="213"/>
  <c r="P17" i="214"/>
  <c r="AA41" i="213"/>
  <c r="AG25" i="214"/>
  <c r="BB20" i="213"/>
  <c r="G30" i="213"/>
  <c r="BG19" i="213"/>
  <c r="AU38" i="213"/>
  <c r="BF17" i="213"/>
  <c r="AF20" i="214"/>
  <c r="T20" i="213"/>
  <c r="V14" i="214"/>
  <c r="AF20" i="213"/>
  <c r="BG17" i="213"/>
  <c r="AE23" i="213"/>
  <c r="U30" i="213"/>
  <c r="Y26" i="214"/>
  <c r="U24" i="214"/>
  <c r="U49" i="213"/>
  <c r="T41" i="213"/>
  <c r="H22" i="213"/>
  <c r="O23" i="214"/>
  <c r="AM34" i="213"/>
  <c r="W33" i="213"/>
  <c r="U22" i="213"/>
  <c r="AB38" i="213"/>
  <c r="Z17" i="214"/>
  <c r="BG37" i="213"/>
  <c r="AB22" i="213"/>
  <c r="P36" i="213"/>
  <c r="Z19" i="214"/>
  <c r="BB22" i="213"/>
  <c r="AP24" i="213"/>
  <c r="C41" i="213"/>
  <c r="AL33" i="213"/>
  <c r="AU31" i="213"/>
  <c r="BE17" i="213"/>
  <c r="C22" i="213"/>
  <c r="AD21" i="213"/>
  <c r="A34" i="213"/>
  <c r="Z17" i="213"/>
  <c r="A25" i="213"/>
  <c r="S30" i="213"/>
  <c r="A19" i="213"/>
  <c r="D15" i="214"/>
  <c r="AD40" i="213"/>
  <c r="AM35" i="213"/>
  <c r="F42" i="213"/>
  <c r="AM33" i="213"/>
  <c r="T36" i="213"/>
  <c r="AC32" i="213"/>
  <c r="U51" i="213"/>
  <c r="AS19" i="213"/>
  <c r="AC20" i="213"/>
  <c r="AL17" i="213"/>
  <c r="AD34" i="213"/>
  <c r="AC37" i="213"/>
  <c r="AQ17" i="213"/>
  <c r="J52" i="213"/>
  <c r="AO18" i="213"/>
  <c r="J16" i="213"/>
  <c r="H34" i="213"/>
  <c r="C39" i="213"/>
  <c r="A37" i="213"/>
  <c r="G20" i="213"/>
  <c r="E13" i="214"/>
  <c r="F28" i="214"/>
  <c r="BC41" i="213"/>
  <c r="Z16" i="214"/>
  <c r="C36" i="213"/>
  <c r="AX20" i="213"/>
  <c r="Y17" i="213"/>
  <c r="A48" i="213"/>
  <c r="AQ19" i="213"/>
  <c r="BE34" i="213"/>
  <c r="G48" i="213"/>
  <c r="I42" i="213"/>
  <c r="I38" i="213"/>
  <c r="G52" i="213"/>
  <c r="BM34" i="213"/>
  <c r="BE36" i="213"/>
  <c r="AR38" i="213"/>
  <c r="BE53" i="213"/>
  <c r="X22" i="213"/>
  <c r="AE31" i="213"/>
  <c r="Y38" i="213"/>
  <c r="D17" i="214"/>
  <c r="AE20" i="213"/>
  <c r="J20" i="213"/>
  <c r="D12" i="214"/>
  <c r="BD17" i="213"/>
  <c r="Q40" i="213"/>
  <c r="AC18" i="213"/>
  <c r="U31" i="213"/>
  <c r="AG23" i="213"/>
  <c r="AB24" i="213"/>
  <c r="BI20" i="213"/>
  <c r="AY24" i="213"/>
  <c r="E19" i="214"/>
  <c r="A47" i="213"/>
  <c r="B22" i="214"/>
  <c r="L47" i="213"/>
  <c r="N38" i="213"/>
  <c r="BE22" i="213"/>
  <c r="AF26" i="214"/>
  <c r="BJ23" i="213"/>
  <c r="G19" i="214"/>
  <c r="AM53" i="213"/>
  <c r="L24" i="213"/>
  <c r="BA37" i="213"/>
  <c r="AL40" i="213"/>
  <c r="BC19" i="213"/>
  <c r="F18" i="213"/>
  <c r="BO21" i="213"/>
  <c r="L20" i="213"/>
  <c r="I14" i="214"/>
  <c r="W52" i="213"/>
  <c r="BI33" i="213"/>
  <c r="AD20" i="213"/>
  <c r="C48" i="213"/>
  <c r="W41" i="213"/>
  <c r="V19" i="214"/>
  <c r="Y12" i="214"/>
  <c r="AV25" i="213"/>
  <c r="AO49" i="213"/>
  <c r="AW48" i="213"/>
  <c r="AL31" i="213"/>
  <c r="E41" i="213"/>
  <c r="BN30" i="213"/>
  <c r="N19" i="213"/>
  <c r="BE45" i="213"/>
  <c r="AG12" i="214"/>
  <c r="C35" i="213"/>
  <c r="O17" i="214"/>
  <c r="I22" i="213"/>
  <c r="Y22" i="214"/>
  <c r="AG28" i="214"/>
  <c r="BO18" i="213"/>
  <c r="BK33" i="213"/>
  <c r="AR35" i="213"/>
  <c r="AJ31" i="213"/>
  <c r="AJ48" i="213"/>
  <c r="R20" i="213"/>
  <c r="AU41" i="213"/>
  <c r="I24" i="213"/>
  <c r="BI24" i="213"/>
  <c r="AC30" i="213"/>
  <c r="W20" i="213"/>
  <c r="C21" i="213"/>
  <c r="BK24" i="213"/>
  <c r="AX40" i="213"/>
  <c r="H17" i="213"/>
  <c r="AZ31" i="213"/>
  <c r="M23" i="213"/>
  <c r="M25" i="213"/>
  <c r="AG21" i="213"/>
  <c r="AJ42" i="213"/>
  <c r="AB33" i="213"/>
  <c r="Y11" i="214"/>
  <c r="U34" i="213"/>
  <c r="BH33" i="213"/>
  <c r="AZ24" i="213"/>
  <c r="V36" i="213"/>
  <c r="BG16" i="213"/>
  <c r="BN16" i="213"/>
  <c r="P42" i="213"/>
  <c r="U26" i="213"/>
  <c r="AN22" i="213"/>
  <c r="L23" i="214"/>
  <c r="BL37" i="213"/>
  <c r="AJ10" i="214"/>
  <c r="AR23" i="213"/>
  <c r="N22" i="214"/>
  <c r="AJ40" i="213"/>
  <c r="AQ41" i="213"/>
  <c r="I19" i="214"/>
  <c r="AC34" i="213"/>
  <c r="G19" i="213"/>
  <c r="U17" i="214"/>
  <c r="Z15" i="214"/>
  <c r="BK22" i="213"/>
  <c r="N20" i="213"/>
  <c r="P21" i="214"/>
  <c r="F23" i="214"/>
  <c r="AS18" i="213"/>
  <c r="V23" i="214"/>
  <c r="D29" i="214"/>
  <c r="AU37" i="213"/>
  <c r="S37" i="213"/>
  <c r="C16" i="214"/>
  <c r="J47" i="213"/>
  <c r="W35" i="213"/>
  <c r="AI22" i="213"/>
  <c r="O20" i="213"/>
  <c r="BE37" i="213"/>
  <c r="U21" i="213"/>
  <c r="F22" i="214"/>
  <c r="BM37" i="213"/>
  <c r="BC40" i="213"/>
  <c r="H20" i="213"/>
  <c r="X22" i="214"/>
  <c r="N44" i="213"/>
  <c r="U24" i="213"/>
  <c r="AK42" i="213"/>
  <c r="K25" i="213"/>
  <c r="A40" i="213"/>
  <c r="AS53" i="213"/>
  <c r="B17" i="214"/>
  <c r="BD23" i="213"/>
  <c r="AE17" i="213"/>
  <c r="X17" i="213"/>
  <c r="AG23" i="214"/>
  <c r="BB23" i="213"/>
  <c r="BO22" i="213"/>
  <c r="BN17" i="213"/>
  <c r="AP39" i="213"/>
  <c r="BK40" i="213"/>
  <c r="W44" i="213"/>
  <c r="A42" i="213"/>
  <c r="N29" i="214"/>
  <c r="BN37" i="213"/>
  <c r="W24" i="213"/>
  <c r="AD37" i="213"/>
  <c r="BN42" i="213"/>
  <c r="R22" i="213"/>
  <c r="D37" i="213"/>
  <c r="AN19" i="213"/>
  <c r="V16" i="214"/>
  <c r="AH23" i="213"/>
  <c r="U27" i="213"/>
  <c r="AB17" i="213"/>
  <c r="AS38" i="213"/>
  <c r="AG37" i="213"/>
  <c r="R34" i="213"/>
  <c r="U23" i="213"/>
  <c r="R37" i="213"/>
  <c r="X26" i="214"/>
  <c r="C23" i="213"/>
  <c r="AE15" i="213"/>
  <c r="U17" i="213"/>
  <c r="G25" i="214"/>
  <c r="J22" i="213"/>
  <c r="A45" i="213"/>
  <c r="D22" i="214"/>
  <c r="O25" i="214"/>
  <c r="AC41" i="213"/>
  <c r="AP23" i="213"/>
  <c r="BO31" i="213"/>
  <c r="AC46" i="213"/>
  <c r="Z22" i="214"/>
  <c r="BH37" i="213"/>
  <c r="AG17" i="214"/>
  <c r="Y29" i="214"/>
  <c r="G33" i="213"/>
  <c r="K22" i="213"/>
  <c r="Z33" i="213"/>
  <c r="L21" i="213"/>
  <c r="BF41" i="213"/>
  <c r="BA18" i="213"/>
  <c r="BJ38" i="213"/>
  <c r="L42" i="213"/>
  <c r="BL20" i="213"/>
  <c r="T35" i="213"/>
  <c r="BI18" i="213"/>
  <c r="V40" i="213"/>
  <c r="AN37" i="213"/>
  <c r="AJ15" i="214"/>
  <c r="Y23" i="213"/>
  <c r="Z20" i="213"/>
  <c r="AA39" i="213"/>
  <c r="G36" i="213"/>
  <c r="V25" i="214"/>
  <c r="BD34" i="213"/>
  <c r="U14" i="214"/>
  <c r="N34" i="213"/>
  <c r="O24" i="213"/>
  <c r="BL42" i="213"/>
  <c r="T17" i="213"/>
  <c r="A18" i="213"/>
  <c r="BM24" i="213"/>
  <c r="BC30" i="213"/>
  <c r="AG27" i="214"/>
  <c r="N10" i="214"/>
  <c r="AI49" i="213"/>
  <c r="AJ18" i="213"/>
  <c r="P52" i="213"/>
  <c r="BC17" i="213"/>
  <c r="T24" i="213"/>
  <c r="V39" i="213"/>
  <c r="AA42" i="213"/>
  <c r="T21" i="213"/>
  <c r="W30" i="213"/>
  <c r="A20" i="213"/>
  <c r="B10" i="214"/>
  <c r="C14" i="214"/>
  <c r="W40" i="213"/>
  <c r="V29" i="214"/>
  <c r="D28" i="214"/>
  <c r="AS26" i="213"/>
  <c r="AI26" i="213"/>
  <c r="AM44" i="213"/>
  <c r="BF37" i="213"/>
  <c r="O15" i="214"/>
  <c r="C20" i="213"/>
  <c r="N21" i="214"/>
  <c r="AS46" i="213"/>
  <c r="BK25" i="213"/>
  <c r="AB35" i="213"/>
  <c r="C44" i="213"/>
  <c r="T33" i="213"/>
  <c r="I50" i="213"/>
  <c r="BB37" i="213"/>
  <c r="BL22" i="213"/>
  <c r="AA34" i="213"/>
  <c r="BG33" i="213"/>
  <c r="O12" i="214"/>
  <c r="S19" i="213"/>
  <c r="Y10" i="214"/>
  <c r="BD37" i="213"/>
  <c r="AI17" i="213"/>
  <c r="AB37" i="213"/>
  <c r="BC22" i="213"/>
  <c r="R40" i="213"/>
  <c r="Z23" i="214"/>
  <c r="T18" i="213"/>
  <c r="H23" i="213"/>
  <c r="V30" i="213"/>
  <c r="A30" i="213"/>
  <c r="AS25" i="213"/>
  <c r="C33" i="213"/>
  <c r="J18" i="213"/>
  <c r="AS24" i="213"/>
  <c r="AE39" i="213"/>
  <c r="I46" i="213"/>
  <c r="F27" i="214"/>
  <c r="BC24" i="213"/>
  <c r="AQ52" i="213"/>
  <c r="V10" i="214"/>
  <c r="R53" i="213"/>
  <c r="G26" i="214"/>
  <c r="AK41" i="213"/>
  <c r="AR33" i="213"/>
  <c r="L15" i="214"/>
  <c r="AC42" i="213"/>
  <c r="D24" i="214"/>
  <c r="N17" i="214"/>
  <c r="P20" i="214"/>
  <c r="AI36" i="213"/>
  <c r="BH46" i="213"/>
  <c r="AC17" i="213"/>
  <c r="AU33" i="213"/>
  <c r="AJ18" i="214"/>
  <c r="B23" i="214"/>
  <c r="X20" i="214"/>
  <c r="BB40" i="213"/>
  <c r="O14" i="214"/>
  <c r="P10" i="214"/>
  <c r="Y40" i="213"/>
  <c r="S20" i="213"/>
  <c r="AT20" i="213"/>
  <c r="E38" i="213"/>
  <c r="BP18" i="213"/>
  <c r="AP31" i="213"/>
  <c r="AY26" i="213"/>
  <c r="Z53" i="213"/>
  <c r="D24" i="213"/>
  <c r="AD42" i="213"/>
  <c r="Z13" i="214"/>
  <c r="AV33" i="213"/>
  <c r="AB40" i="213"/>
  <c r="M40" i="213"/>
  <c r="H41" i="213"/>
  <c r="U40" i="213"/>
  <c r="B21" i="214"/>
  <c r="Z25" i="214"/>
  <c r="G22" i="214"/>
  <c r="V12" i="214"/>
  <c r="N37" i="213"/>
  <c r="AF40" i="213"/>
  <c r="Y20" i="214"/>
  <c r="AZ35" i="213"/>
  <c r="BP16" i="213"/>
  <c r="BJ44" i="213"/>
  <c r="V24" i="214"/>
  <c r="BH17" i="213"/>
  <c r="W17" i="213"/>
  <c r="AC38" i="213"/>
  <c r="X23" i="213"/>
  <c r="X18" i="214"/>
  <c r="E18" i="214"/>
  <c r="F16" i="214"/>
  <c r="C52" i="213"/>
  <c r="BI22" i="213"/>
  <c r="AL37" i="213"/>
  <c r="AB41" i="213"/>
  <c r="L19" i="213"/>
  <c r="E39" i="213"/>
  <c r="BK30" i="213"/>
  <c r="BE31" i="213"/>
  <c r="Z41" i="213"/>
  <c r="AW17" i="213"/>
  <c r="BE47" i="213"/>
  <c r="I10" i="214"/>
  <c r="BJ37" i="213"/>
  <c r="BA41" i="213"/>
  <c r="F20" i="214"/>
  <c r="AW19" i="213"/>
  <c r="AN44" i="213"/>
  <c r="G32" i="213"/>
  <c r="BJ36" i="213"/>
  <c r="C12" i="214"/>
  <c r="AH20" i="213"/>
  <c r="AG20" i="213"/>
  <c r="Y19" i="213"/>
  <c r="AT40" i="213"/>
  <c r="AA51" i="213"/>
  <c r="BC35" i="213"/>
  <c r="Y25" i="214"/>
  <c r="A27" i="213"/>
  <c r="BJ33" i="213"/>
  <c r="AM25" i="213"/>
  <c r="BP30" i="213"/>
  <c r="AI15" i="213"/>
  <c r="AB42" i="213"/>
  <c r="AR19" i="213"/>
  <c r="P53" i="213"/>
  <c r="V28" i="214"/>
  <c r="BP22" i="213"/>
  <c r="S35" i="213"/>
  <c r="AG14" i="214"/>
  <c r="G16" i="214"/>
  <c r="B13" i="214"/>
  <c r="Q51" i="213"/>
  <c r="AL36" i="213"/>
  <c r="BL34" i="213"/>
  <c r="E19" i="213"/>
  <c r="AU34" i="213"/>
  <c r="AH41" i="213"/>
  <c r="Y41" i="213"/>
  <c r="AO19" i="213"/>
  <c r="AF31" i="213"/>
  <c r="N46" i="213"/>
  <c r="O17" i="213"/>
  <c r="F38" i="213"/>
  <c r="X52" i="213"/>
  <c r="N49" i="213"/>
  <c r="AI29" i="213"/>
  <c r="G21" i="214"/>
  <c r="P23" i="213"/>
  <c r="AF38" i="213"/>
  <c r="BF52" i="213"/>
  <c r="AP22" i="213"/>
  <c r="BM38" i="213"/>
  <c r="AF16" i="214"/>
  <c r="AM17" i="213"/>
  <c r="AO21" i="213"/>
  <c r="AA19" i="213"/>
  <c r="AF41" i="213"/>
  <c r="I25" i="214"/>
  <c r="BD38" i="213"/>
  <c r="AZ42" i="213"/>
  <c r="AQ30" i="213"/>
  <c r="R30" i="213"/>
  <c r="M30" i="213"/>
  <c r="AP16" i="213"/>
  <c r="AX27" i="213"/>
  <c r="AD23" i="213"/>
  <c r="K37" i="213"/>
  <c r="P12" i="214"/>
  <c r="BB24" i="213"/>
  <c r="I26" i="214"/>
  <c r="AE42" i="213"/>
  <c r="X53" i="213"/>
  <c r="AG30" i="213"/>
  <c r="AO33" i="213"/>
  <c r="E35" i="213"/>
  <c r="AK40" i="213"/>
  <c r="AK34" i="213"/>
  <c r="AP29" i="213"/>
  <c r="AU29" i="213"/>
  <c r="O28" i="214"/>
  <c r="AY19" i="213"/>
  <c r="E17" i="214"/>
  <c r="Z30" i="213"/>
  <c r="AZ30" i="213"/>
  <c r="AO35" i="213"/>
  <c r="AS42" i="213"/>
  <c r="AE22" i="213"/>
  <c r="T23" i="213"/>
  <c r="AT25" i="213"/>
  <c r="AL25" i="213"/>
  <c r="R49" i="213"/>
  <c r="I15" i="214"/>
  <c r="X23" i="214"/>
  <c r="AZ32" i="213"/>
  <c r="R51" i="213"/>
  <c r="N16" i="213"/>
  <c r="Y30" i="213"/>
  <c r="BO25" i="213"/>
  <c r="M19" i="213"/>
  <c r="P31" i="213"/>
  <c r="BM33" i="213"/>
  <c r="AL44" i="213"/>
  <c r="AI51" i="213"/>
  <c r="L17" i="214"/>
  <c r="AT22" i="213"/>
  <c r="U11" i="214"/>
  <c r="I44" i="213"/>
  <c r="AF15" i="214"/>
  <c r="X41" i="213"/>
  <c r="E17" i="213"/>
  <c r="R25" i="213"/>
  <c r="U13" i="214"/>
  <c r="J35" i="213"/>
  <c r="T42" i="213"/>
  <c r="F35" i="213"/>
  <c r="L10" i="214"/>
  <c r="BN21" i="213"/>
  <c r="K38" i="213"/>
  <c r="N25" i="213"/>
  <c r="A31" i="213"/>
  <c r="R17" i="213"/>
  <c r="AJ20" i="214"/>
  <c r="J32" i="213"/>
  <c r="AS45" i="213"/>
  <c r="BF22" i="213"/>
  <c r="AI31" i="213"/>
  <c r="U26" i="214"/>
  <c r="BF20" i="213"/>
  <c r="BE23" i="213"/>
  <c r="AY37" i="213"/>
  <c r="G20" i="214"/>
  <c r="A32" i="213"/>
  <c r="AY17" i="213"/>
  <c r="R18" i="213"/>
  <c r="G23" i="213"/>
  <c r="C19" i="214"/>
  <c r="E22" i="213"/>
  <c r="BE33" i="213"/>
  <c r="A39" i="213"/>
  <c r="I24" i="214"/>
  <c r="I21" i="213"/>
  <c r="C29" i="214"/>
  <c r="AR26" i="213"/>
  <c r="BF34" i="213"/>
  <c r="H38" i="213"/>
  <c r="AR41" i="213"/>
  <c r="X12" i="214"/>
  <c r="AY20" i="213"/>
  <c r="BF40" i="213"/>
  <c r="AH36" i="213"/>
  <c r="S45" i="213"/>
  <c r="AV42" i="213"/>
  <c r="P17" i="213"/>
  <c r="BC36" i="213"/>
  <c r="BG18" i="213"/>
  <c r="AO17" i="213"/>
  <c r="AU40" i="213"/>
  <c r="BI52" i="213"/>
  <c r="AL23" i="213"/>
  <c r="M50" i="213"/>
  <c r="AP42" i="213"/>
  <c r="Z10" i="214"/>
  <c r="K40" i="213"/>
  <c r="AE33" i="213"/>
  <c r="AM38" i="213"/>
  <c r="AY40" i="213"/>
  <c r="O36" i="213"/>
  <c r="O22" i="214"/>
  <c r="AG13" i="214"/>
  <c r="E25" i="214"/>
  <c r="B29" i="214"/>
  <c r="BC15" i="213"/>
  <c r="D48" i="213"/>
  <c r="U33" i="213"/>
  <c r="AZ33" i="213"/>
  <c r="AG29" i="214"/>
  <c r="U38" i="213"/>
  <c r="L35" i="213"/>
  <c r="Y22" i="213"/>
  <c r="F14" i="214"/>
  <c r="L14" i="214"/>
  <c r="I33" i="213"/>
  <c r="P16" i="213"/>
  <c r="V21" i="214"/>
  <c r="BG46" i="213"/>
  <c r="H35" i="213"/>
  <c r="AY21" i="213"/>
  <c r="AA38" i="213"/>
  <c r="M20" i="213"/>
  <c r="AA45" i="213"/>
  <c r="W38" i="213"/>
  <c r="AE35" i="213"/>
  <c r="BJ17" i="213"/>
  <c r="AL24" i="213"/>
  <c r="A16" i="213"/>
  <c r="BH41" i="213"/>
  <c r="N32" i="213"/>
  <c r="AO42" i="213"/>
  <c r="D50" i="213"/>
  <c r="AI20" i="213"/>
  <c r="BB31" i="213"/>
  <c r="AT33" i="213"/>
  <c r="AF51" i="213"/>
  <c r="R35" i="213"/>
  <c r="N41" i="213"/>
  <c r="H33" i="213"/>
  <c r="I17" i="214"/>
  <c r="AR22" i="213"/>
  <c r="AW46" i="213"/>
  <c r="AE32" i="213"/>
  <c r="BL32" i="213"/>
  <c r="AA48" i="213"/>
  <c r="AJ36" i="213"/>
  <c r="AT36" i="213"/>
  <c r="BF19" i="213"/>
  <c r="AJ35" i="213"/>
  <c r="M24" i="213"/>
  <c r="D38" i="213"/>
  <c r="H37" i="213"/>
  <c r="F25" i="214"/>
  <c r="J41" i="213"/>
  <c r="X25" i="214"/>
  <c r="J33" i="213"/>
  <c r="AC36" i="213"/>
  <c r="L16" i="214"/>
  <c r="AL52" i="213"/>
  <c r="W37" i="213"/>
  <c r="Y18" i="214"/>
  <c r="AF35" i="213"/>
  <c r="BG21" i="213"/>
  <c r="BQ26" i="213"/>
  <c r="AE19" i="213"/>
  <c r="O27" i="214"/>
  <c r="N21" i="213"/>
  <c r="E21" i="214"/>
  <c r="C22" i="214"/>
  <c r="AX34" i="213"/>
  <c r="A36" i="213"/>
  <c r="AJ22" i="214"/>
  <c r="AF19" i="214"/>
  <c r="AK17" i="213"/>
  <c r="E24" i="214"/>
  <c r="AL35" i="213"/>
  <c r="BN29" i="213"/>
  <c r="M34" i="213"/>
  <c r="BP24" i="213"/>
  <c r="N52" i="213"/>
  <c r="BL28" i="213"/>
  <c r="G21" i="213"/>
  <c r="BB17" i="213"/>
  <c r="AQ35" i="213"/>
  <c r="D22" i="213"/>
  <c r="S41" i="213"/>
  <c r="L19" i="214"/>
  <c r="BO44" i="213"/>
  <c r="Y13" i="214"/>
  <c r="AV20" i="213"/>
  <c r="AS23" i="213"/>
  <c r="AV24" i="213"/>
  <c r="R36" i="213"/>
  <c r="BL18" i="213"/>
  <c r="BH25" i="213"/>
  <c r="AI16" i="213"/>
  <c r="Q17" i="213"/>
  <c r="BI16" i="213"/>
  <c r="AP26" i="213"/>
  <c r="AZ37" i="213"/>
  <c r="AR31" i="213"/>
  <c r="K19" i="213"/>
  <c r="I22" i="214"/>
  <c r="Y15" i="214"/>
  <c r="O22" i="213"/>
  <c r="V15" i="214"/>
  <c r="W53" i="213"/>
  <c r="AW37" i="213"/>
  <c r="AG51" i="213"/>
  <c r="L29" i="213"/>
  <c r="BF16" i="213"/>
  <c r="G17" i="213"/>
  <c r="O18" i="213"/>
  <c r="Z12" i="214"/>
  <c r="K34" i="213"/>
  <c r="D26" i="213"/>
  <c r="C31" i="213"/>
  <c r="BB38" i="213"/>
  <c r="P21" i="213"/>
  <c r="AV27" i="213"/>
  <c r="BJ26" i="213"/>
  <c r="BE51" i="213"/>
  <c r="V24" i="213"/>
  <c r="BF30" i="213"/>
  <c r="AV44" i="213"/>
  <c r="Q53" i="213"/>
  <c r="AN24" i="213"/>
  <c r="BJ20" i="213"/>
  <c r="G53" i="213"/>
  <c r="P44" i="213"/>
  <c r="BM25" i="213"/>
  <c r="AA20" i="213"/>
  <c r="AG32" i="213"/>
  <c r="AQ40" i="213"/>
  <c r="BN24" i="213"/>
  <c r="AL48" i="213"/>
  <c r="AD51" i="213"/>
  <c r="AT37" i="213"/>
  <c r="O30" i="213"/>
  <c r="AL49" i="213"/>
  <c r="AA52" i="213"/>
  <c r="E40" i="213"/>
  <c r="M29" i="213"/>
  <c r="V17" i="213"/>
  <c r="B16" i="214"/>
  <c r="D42" i="213"/>
  <c r="O16" i="214"/>
  <c r="G22" i="213"/>
  <c r="A33" i="213"/>
  <c r="Y16" i="214"/>
  <c r="BL40" i="213"/>
  <c r="BI19" i="213"/>
  <c r="AC23" i="213"/>
  <c r="BP33" i="213"/>
  <c r="BK19" i="213"/>
  <c r="AO20" i="213"/>
  <c r="T19" i="213"/>
  <c r="L20" i="214"/>
  <c r="BF44" i="213"/>
  <c r="A50" i="213"/>
  <c r="A49" i="213"/>
  <c r="AC19" i="213"/>
  <c r="H51" i="213"/>
  <c r="H18" i="213"/>
  <c r="AR52" i="213"/>
  <c r="AS33" i="213"/>
  <c r="AA24" i="213"/>
  <c r="BA23" i="213"/>
  <c r="F33" i="213"/>
  <c r="F18" i="214"/>
  <c r="BK23" i="213"/>
  <c r="G18" i="213"/>
  <c r="AQ18" i="213"/>
  <c r="AP20" i="213"/>
  <c r="D33" i="213"/>
  <c r="AA18" i="213"/>
  <c r="AC24" i="213"/>
  <c r="R23" i="213"/>
  <c r="BF33" i="213"/>
  <c r="U35" i="213"/>
  <c r="BM23" i="213"/>
  <c r="E26" i="214"/>
  <c r="AF21" i="214"/>
  <c r="AY18" i="213"/>
  <c r="AJ19" i="214"/>
  <c r="D46" i="213"/>
  <c r="G11" i="214"/>
  <c r="N23" i="214"/>
  <c r="N13" i="214"/>
  <c r="BB19" i="213"/>
  <c r="BO48" i="213"/>
  <c r="BP23" i="213"/>
  <c r="V15" i="213"/>
  <c r="AU23" i="213"/>
  <c r="L34" i="213"/>
  <c r="BI35" i="213"/>
  <c r="AP25" i="213"/>
  <c r="AP19" i="213"/>
  <c r="AN49" i="213"/>
  <c r="Q42" i="213"/>
  <c r="AR36" i="213"/>
  <c r="BD22" i="213"/>
  <c r="U19" i="213"/>
  <c r="AV38" i="213"/>
  <c r="BN22" i="213"/>
  <c r="G26" i="213"/>
  <c r="BH44" i="213"/>
  <c r="AR42" i="213"/>
  <c r="BE24" i="213"/>
  <c r="AS40" i="213"/>
  <c r="AK35" i="213"/>
  <c r="BH23" i="213"/>
  <c r="C10" i="214"/>
  <c r="BC38" i="213"/>
  <c r="E28" i="214"/>
  <c r="U22" i="214"/>
  <c r="BG20" i="213"/>
  <c r="AJ41" i="213"/>
  <c r="AQ48" i="213"/>
  <c r="BM20" i="213"/>
  <c r="AY35" i="213"/>
  <c r="AU24" i="213"/>
  <c r="AY41" i="213"/>
  <c r="V20" i="214"/>
  <c r="BD18" i="213"/>
  <c r="Q46" i="213"/>
  <c r="AW42" i="213"/>
  <c r="W34" i="213"/>
  <c r="AG36" i="213"/>
  <c r="P16" i="214"/>
  <c r="G41" i="213"/>
  <c r="AN21" i="213"/>
  <c r="J30" i="213"/>
  <c r="BI30" i="213"/>
  <c r="J36" i="213"/>
  <c r="U15" i="214"/>
  <c r="L29" i="214"/>
  <c r="D36" i="213"/>
  <c r="BN26" i="213"/>
  <c r="E18" i="213"/>
  <c r="BE21" i="213"/>
  <c r="H36" i="213"/>
  <c r="BK35" i="213"/>
  <c r="I41" i="213"/>
  <c r="BN20" i="213"/>
  <c r="AT21" i="213"/>
  <c r="AD45" i="213"/>
  <c r="C25" i="214"/>
  <c r="BE42" i="213"/>
  <c r="Q39" i="213"/>
  <c r="AH24" i="213"/>
  <c r="AN23" i="213"/>
  <c r="AY25" i="213"/>
  <c r="T44" i="213"/>
  <c r="BD44" i="213"/>
  <c r="R19" i="213"/>
  <c r="BA15" i="213"/>
  <c r="AT39" i="213"/>
  <c r="A46" i="213"/>
  <c r="BA31" i="213"/>
  <c r="P13" i="214"/>
  <c r="D11" i="214"/>
  <c r="AZ17" i="213"/>
  <c r="H32" i="213"/>
  <c r="BN23" i="213"/>
  <c r="BL17" i="213"/>
  <c r="BA20" i="213"/>
  <c r="V20" i="213"/>
  <c r="F32" i="213"/>
  <c r="D21" i="213"/>
  <c r="X16" i="214"/>
  <c r="E20" i="213"/>
  <c r="N25" i="214"/>
  <c r="BD19" i="213"/>
  <c r="AJ23" i="213"/>
  <c r="J48" i="213"/>
  <c r="BP35" i="213"/>
  <c r="J53" i="213"/>
  <c r="G42" i="213"/>
  <c r="AH22" i="213"/>
  <c r="F41" i="213"/>
  <c r="AK18" i="213"/>
  <c r="F19" i="213"/>
  <c r="AR40" i="213"/>
  <c r="P25" i="214"/>
  <c r="O18" i="214"/>
  <c r="X11" i="214"/>
  <c r="AJ13" i="214"/>
  <c r="N23" i="213"/>
  <c r="BK38" i="213"/>
  <c r="K18" i="213"/>
  <c r="I34" i="213"/>
  <c r="AM23" i="213"/>
  <c r="BP19" i="213"/>
  <c r="G40" i="213"/>
  <c r="O23" i="213"/>
  <c r="BM49" i="213"/>
  <c r="I36" i="213"/>
  <c r="N22" i="213"/>
  <c r="AF25" i="214"/>
  <c r="I16" i="213"/>
  <c r="U42" i="213"/>
  <c r="L26" i="213"/>
  <c r="AF10" i="214"/>
  <c r="BH49" i="213"/>
  <c r="AD41" i="213"/>
  <c r="F24" i="214"/>
  <c r="Q18" i="213"/>
  <c r="BM26" i="213"/>
  <c r="AZ34" i="213"/>
  <c r="T46" i="213"/>
  <c r="F19" i="214"/>
  <c r="U18" i="214"/>
  <c r="AC52" i="213"/>
  <c r="A22" i="213"/>
  <c r="V23" i="213"/>
  <c r="G24" i="214"/>
  <c r="AQ25" i="213"/>
  <c r="X16" i="213"/>
  <c r="BA34" i="213"/>
  <c r="AU21" i="213"/>
  <c r="F40" i="213"/>
  <c r="AF23" i="214"/>
  <c r="Y19" i="214"/>
  <c r="BP53" i="213"/>
  <c r="BH29" i="213"/>
  <c r="M17" i="213"/>
  <c r="Z38" i="213"/>
  <c r="R24" i="213"/>
  <c r="I20" i="213"/>
  <c r="AM37" i="213"/>
  <c r="BJ52" i="213"/>
  <c r="U20" i="213"/>
  <c r="AE48" i="213"/>
  <c r="AF34" i="213"/>
  <c r="BJ22" i="213"/>
  <c r="BK31" i="213"/>
  <c r="O41" i="213"/>
  <c r="BI51" i="213"/>
  <c r="G51" i="213"/>
  <c r="BA50" i="213"/>
  <c r="BJ29" i="213"/>
  <c r="AL29" i="213"/>
  <c r="U48" i="213"/>
  <c r="M47" i="213"/>
  <c r="BH45" i="213"/>
  <c r="AU45" i="213"/>
  <c r="BM29" i="213"/>
  <c r="E52" i="213"/>
  <c r="BA26" i="213"/>
  <c r="AH46" i="213"/>
  <c r="AA17" i="213"/>
  <c r="B27" i="214"/>
  <c r="AJ29" i="213"/>
  <c r="BL41" i="213"/>
  <c r="M41" i="213"/>
  <c r="L28" i="214"/>
  <c r="AO25" i="213"/>
  <c r="Y49" i="213"/>
  <c r="AJ26" i="213"/>
  <c r="AD48" i="213"/>
  <c r="AJ28" i="213"/>
  <c r="F20" i="213"/>
  <c r="AS44" i="213"/>
  <c r="BB32" i="213"/>
  <c r="M21" i="213"/>
  <c r="AU20" i="213"/>
  <c r="Y24" i="214"/>
  <c r="BF42" i="213"/>
  <c r="W16" i="213"/>
  <c r="AM18" i="213"/>
  <c r="K52" i="213"/>
  <c r="BL52" i="213"/>
  <c r="AH48" i="213"/>
  <c r="BP47" i="213"/>
  <c r="BL51" i="213"/>
  <c r="AF27" i="213"/>
  <c r="AB49" i="213"/>
  <c r="BJ16" i="213"/>
  <c r="BM47" i="213"/>
  <c r="AY45" i="213"/>
  <c r="V26" i="214"/>
  <c r="G16" i="213"/>
  <c r="BH27" i="213"/>
  <c r="BD45" i="213"/>
  <c r="BP20" i="213"/>
  <c r="BH34" i="213"/>
  <c r="AF27" i="214"/>
  <c r="AD17" i="213"/>
  <c r="AH53" i="213"/>
  <c r="AP35" i="213"/>
  <c r="X20" i="213"/>
  <c r="BA42" i="213"/>
  <c r="AW36" i="213"/>
  <c r="AB52" i="213"/>
  <c r="AP17" i="213"/>
  <c r="Z14" i="214"/>
  <c r="BO37" i="213"/>
  <c r="AN33" i="213"/>
  <c r="D51" i="213"/>
  <c r="BB46" i="213"/>
  <c r="BE35" i="213"/>
  <c r="AD44" i="213"/>
  <c r="BM41" i="213"/>
  <c r="R33" i="213"/>
  <c r="BO17" i="213"/>
  <c r="M15" i="213"/>
  <c r="AK48" i="213"/>
  <c r="BN31" i="213"/>
  <c r="BP25" i="213"/>
  <c r="AJ38" i="213"/>
  <c r="AN15" i="213"/>
  <c r="AB15" i="213"/>
  <c r="AY15" i="213"/>
  <c r="AZ40" i="213"/>
  <c r="AB21" i="213"/>
  <c r="BH18" i="213"/>
  <c r="D52" i="213"/>
  <c r="BA53" i="213"/>
  <c r="T51" i="213"/>
  <c r="AT35" i="213"/>
  <c r="AX29" i="213"/>
  <c r="AM48" i="213"/>
  <c r="M18" i="213"/>
  <c r="Y42" i="213"/>
  <c r="R47" i="213"/>
  <c r="BC51" i="213"/>
  <c r="V52" i="213"/>
  <c r="BN52" i="213"/>
  <c r="BH42" i="213"/>
  <c r="AG19" i="214"/>
  <c r="AB48" i="213"/>
  <c r="V49" i="213"/>
  <c r="AR30" i="213"/>
  <c r="AJ27" i="213"/>
  <c r="K45" i="213"/>
  <c r="AO47" i="213"/>
  <c r="D40" i="213"/>
  <c r="I15" i="213"/>
  <c r="V32" i="213"/>
  <c r="AY44" i="213"/>
  <c r="AX25" i="213"/>
  <c r="P30" i="213"/>
  <c r="O46" i="213"/>
  <c r="AX28" i="213"/>
  <c r="T47" i="213"/>
  <c r="W42" i="213"/>
  <c r="AM20" i="213"/>
  <c r="AS48" i="213"/>
  <c r="G17" i="214"/>
  <c r="AJ24" i="214"/>
  <c r="AU19" i="213"/>
  <c r="D18" i="214"/>
  <c r="K17" i="213"/>
  <c r="X21" i="213"/>
  <c r="AT32" i="213"/>
  <c r="F31" i="213"/>
  <c r="BD41" i="213"/>
  <c r="BC26" i="213"/>
  <c r="AV34" i="213"/>
  <c r="AF11" i="214"/>
  <c r="A53" i="213"/>
  <c r="BF32" i="213"/>
  <c r="AU51" i="213"/>
  <c r="BP26" i="213"/>
  <c r="G45" i="213"/>
  <c r="BB47" i="213"/>
  <c r="BJ47" i="213"/>
  <c r="U19" i="214"/>
  <c r="BQ47" i="213"/>
  <c r="AY28" i="213"/>
  <c r="C50" i="213"/>
  <c r="AA31" i="213"/>
  <c r="AE26" i="213"/>
  <c r="AB26" i="213"/>
  <c r="L15" i="213"/>
  <c r="BM40" i="213"/>
  <c r="X29" i="214"/>
  <c r="BH38" i="213"/>
  <c r="X40" i="213"/>
  <c r="AI34" i="213"/>
  <c r="U23" i="214"/>
  <c r="BQ25" i="213"/>
  <c r="AJ14" i="214"/>
  <c r="BF36" i="213"/>
  <c r="BL31" i="213"/>
  <c r="P39" i="213"/>
  <c r="AB44" i="213"/>
  <c r="BQ53" i="213"/>
  <c r="M48" i="213"/>
  <c r="A51" i="213"/>
  <c r="AC15" i="213"/>
  <c r="BN33" i="213"/>
  <c r="N53" i="213"/>
  <c r="BA17" i="213"/>
  <c r="AF29" i="214"/>
  <c r="AJ27" i="214"/>
  <c r="AM41" i="213"/>
  <c r="BD31" i="213"/>
  <c r="BF26" i="213"/>
  <c r="BO33" i="213"/>
  <c r="AK36" i="213"/>
  <c r="AZ49" i="213"/>
  <c r="AA26" i="213"/>
  <c r="S38" i="213"/>
  <c r="AG15" i="213"/>
  <c r="AK15" i="213"/>
  <c r="AF39" i="213"/>
  <c r="BE29" i="213"/>
  <c r="AH26" i="213"/>
  <c r="K49" i="213"/>
  <c r="AG17" i="213"/>
  <c r="B11" i="214"/>
  <c r="BB41" i="213"/>
  <c r="A41" i="213"/>
  <c r="AV36" i="213"/>
  <c r="AF29" i="213"/>
  <c r="AU42" i="213"/>
  <c r="AH35" i="213"/>
  <c r="AZ53" i="213"/>
  <c r="BK21" i="213"/>
  <c r="E26" i="213"/>
  <c r="E22" i="214"/>
  <c r="AH44" i="213"/>
  <c r="Z28" i="214"/>
  <c r="M35" i="213"/>
  <c r="V34" i="213"/>
  <c r="F12" i="214"/>
  <c r="BH20" i="213"/>
  <c r="I28" i="214"/>
  <c r="BE40" i="213"/>
  <c r="E23" i="213"/>
  <c r="L27" i="214"/>
  <c r="AJ23" i="214"/>
  <c r="BL33" i="213"/>
  <c r="BM19" i="213"/>
  <c r="F29" i="214"/>
  <c r="AG10" i="214"/>
  <c r="AJ25" i="214"/>
  <c r="AF46" i="213"/>
  <c r="F13" i="214"/>
  <c r="D19" i="214"/>
  <c r="AM40" i="213"/>
  <c r="Z20" i="214"/>
  <c r="D25" i="214"/>
  <c r="AB34" i="213"/>
  <c r="N24" i="214"/>
  <c r="O35" i="213"/>
  <c r="P15" i="214"/>
  <c r="J49" i="213"/>
  <c r="L26" i="214"/>
  <c r="AP44" i="213"/>
  <c r="AD36" i="213"/>
  <c r="K21" i="213"/>
  <c r="X42" i="213"/>
  <c r="BI31" i="213"/>
  <c r="R39" i="213"/>
  <c r="AG16" i="214"/>
  <c r="AX23" i="213"/>
  <c r="A26" i="213"/>
  <c r="BD42" i="213"/>
  <c r="BN35" i="213"/>
  <c r="BH26" i="213"/>
  <c r="G25" i="213"/>
  <c r="AW26" i="213"/>
  <c r="AG24" i="214"/>
  <c r="G29" i="214"/>
  <c r="Y20" i="213"/>
  <c r="P28" i="214"/>
  <c r="A28" i="213"/>
  <c r="AJ49" i="213"/>
  <c r="AA44" i="213"/>
  <c r="BL24" i="213"/>
  <c r="N30" i="213"/>
  <c r="AN41" i="213"/>
  <c r="I23" i="213"/>
  <c r="AN38" i="213"/>
  <c r="AH33" i="213"/>
  <c r="AW32" i="213"/>
  <c r="G39" i="213"/>
  <c r="BA29" i="213"/>
  <c r="V29" i="213"/>
  <c r="I21" i="214"/>
  <c r="BQ37" i="213"/>
  <c r="AG26" i="213"/>
  <c r="Y18" i="213"/>
  <c r="D16" i="214"/>
  <c r="BM51" i="213"/>
  <c r="AD33" i="213"/>
  <c r="E30" i="213"/>
  <c r="BE32" i="213"/>
  <c r="L38" i="213"/>
  <c r="AG52" i="213"/>
  <c r="AB25" i="213"/>
  <c r="K24" i="213"/>
  <c r="AQ29" i="213"/>
  <c r="AV15" i="213"/>
  <c r="Q48" i="213"/>
  <c r="AO31" i="213"/>
  <c r="C25" i="213"/>
  <c r="O37" i="213"/>
  <c r="AY51" i="213"/>
  <c r="R27" i="213"/>
  <c r="V27" i="213"/>
  <c r="BI36" i="213"/>
  <c r="H30" i="213"/>
  <c r="AV23" i="213"/>
  <c r="BM42" i="213"/>
  <c r="F23" i="213"/>
  <c r="O52" i="213"/>
  <c r="AM24" i="213"/>
  <c r="Y51" i="213"/>
  <c r="P32" i="213"/>
  <c r="BB49" i="213"/>
  <c r="BK44" i="213"/>
  <c r="D19" i="213"/>
  <c r="M31" i="213"/>
  <c r="BF51" i="213"/>
  <c r="AJ51" i="213"/>
  <c r="J42" i="213"/>
  <c r="A23" i="213"/>
  <c r="Y31" i="213"/>
  <c r="S42" i="213"/>
  <c r="AD16" i="213"/>
  <c r="Z50" i="213"/>
  <c r="G28" i="213"/>
  <c r="I45" i="213"/>
  <c r="AJ50" i="213"/>
  <c r="BM44" i="213"/>
  <c r="AW15" i="213"/>
  <c r="T26" i="213"/>
  <c r="AI52" i="213"/>
  <c r="Q52" i="213"/>
  <c r="AF47" i="213"/>
  <c r="X46" i="213"/>
  <c r="AY48" i="213"/>
  <c r="H29" i="213"/>
  <c r="BP21" i="213"/>
  <c r="AP30" i="213"/>
  <c r="AW31" i="213"/>
  <c r="AO37" i="213"/>
  <c r="T52" i="213"/>
  <c r="AT17" i="213"/>
  <c r="BM48" i="213"/>
  <c r="I29" i="214"/>
  <c r="BC44" i="213"/>
  <c r="L31" i="213"/>
  <c r="L33" i="213"/>
  <c r="D23" i="214"/>
  <c r="BN25" i="213"/>
  <c r="W49" i="213"/>
  <c r="BF21" i="213"/>
  <c r="AS17" i="213"/>
  <c r="Q29" i="213"/>
  <c r="N16" i="214"/>
  <c r="BP51" i="213"/>
  <c r="AZ21" i="213"/>
  <c r="BG32" i="213"/>
  <c r="BI39" i="213"/>
  <c r="AN39" i="213"/>
  <c r="AN48" i="213"/>
  <c r="BB51" i="213"/>
  <c r="W19" i="213"/>
  <c r="D31" i="213"/>
  <c r="BG35" i="213"/>
  <c r="BJ41" i="213"/>
  <c r="AC44" i="213"/>
  <c r="AH49" i="213"/>
  <c r="AF36" i="213"/>
  <c r="AZ22" i="213"/>
  <c r="AG33" i="213"/>
  <c r="L48" i="213"/>
  <c r="B14" i="214"/>
  <c r="D23" i="213"/>
  <c r="K53" i="213"/>
  <c r="BN45" i="213"/>
  <c r="BB28" i="213"/>
  <c r="X27" i="213"/>
  <c r="N47" i="213"/>
  <c r="AZ36" i="213"/>
  <c r="S50" i="213"/>
  <c r="AE28" i="213"/>
  <c r="X28" i="213"/>
  <c r="T53" i="213"/>
  <c r="S23" i="213"/>
  <c r="D17" i="213"/>
  <c r="BD35" i="213"/>
  <c r="AL16" i="213"/>
  <c r="AJ25" i="213"/>
  <c r="BP44" i="213"/>
  <c r="BJ53" i="213"/>
  <c r="S24" i="213"/>
  <c r="BL44" i="213"/>
  <c r="BH35" i="213"/>
  <c r="AP49" i="213"/>
  <c r="AD26" i="213"/>
  <c r="Y25" i="213"/>
  <c r="AB32" i="213"/>
  <c r="AE47" i="213"/>
  <c r="BO26" i="213"/>
  <c r="AJ47" i="213"/>
  <c r="BC48" i="213"/>
  <c r="BK17" i="213"/>
  <c r="K33" i="213"/>
  <c r="X17" i="214"/>
  <c r="J29" i="213"/>
  <c r="I23" i="214"/>
  <c r="Z18" i="214"/>
  <c r="Y53" i="213"/>
  <c r="AF28" i="214"/>
  <c r="BI29" i="213"/>
  <c r="AK32" i="213"/>
  <c r="AW41" i="213"/>
  <c r="AE46" i="213"/>
  <c r="AH17" i="213"/>
  <c r="AK26" i="213"/>
  <c r="AX32" i="213"/>
  <c r="BB34" i="213"/>
  <c r="AX17" i="213"/>
  <c r="AU28" i="213"/>
  <c r="AU27" i="213"/>
  <c r="AF18" i="214"/>
  <c r="F34" i="213"/>
  <c r="BM50" i="213"/>
  <c r="W28" i="213"/>
  <c r="BM36" i="213"/>
  <c r="W46" i="213"/>
  <c r="AF52" i="213"/>
  <c r="Y26" i="213"/>
  <c r="R41" i="213"/>
  <c r="Q31" i="213"/>
  <c r="AG38" i="213"/>
  <c r="O40" i="213"/>
  <c r="AO23" i="213"/>
  <c r="AO52" i="213"/>
  <c r="B20" i="214"/>
  <c r="C32" i="213"/>
  <c r="AF30" i="213"/>
  <c r="M49" i="213"/>
  <c r="AE44" i="213"/>
  <c r="AO34" i="213"/>
  <c r="BL19" i="213"/>
  <c r="BJ51" i="213"/>
  <c r="F51" i="213"/>
  <c r="AJ30" i="213"/>
  <c r="AR20" i="213"/>
  <c r="F26" i="214"/>
  <c r="BQ16" i="213"/>
  <c r="O21" i="213"/>
  <c r="AQ32" i="213"/>
  <c r="AN52" i="213"/>
  <c r="BD39" i="213"/>
  <c r="BE48" i="213"/>
  <c r="AJ11" i="214"/>
  <c r="BD32" i="213"/>
  <c r="AT24" i="213"/>
  <c r="U28" i="214"/>
  <c r="BD49" i="213"/>
  <c r="E51" i="213"/>
  <c r="N51" i="213"/>
  <c r="BO45" i="213"/>
  <c r="AU15" i="213"/>
  <c r="S48" i="213"/>
  <c r="AR15" i="213"/>
  <c r="X51" i="213"/>
  <c r="AD25" i="213"/>
  <c r="AZ18" i="213"/>
  <c r="N26" i="213"/>
  <c r="L25" i="213"/>
  <c r="AN26" i="213"/>
  <c r="AW20" i="213"/>
  <c r="BF46" i="213"/>
  <c r="AT38" i="213"/>
  <c r="AS51" i="213"/>
  <c r="AF21" i="213"/>
  <c r="BQ52" i="213"/>
  <c r="AV41" i="213"/>
  <c r="Z45" i="213"/>
  <c r="G23" i="214"/>
  <c r="BP38" i="213"/>
  <c r="AL20" i="213"/>
  <c r="AC40" i="213"/>
  <c r="D20" i="213"/>
  <c r="BI40" i="213"/>
  <c r="AA53" i="213"/>
  <c r="AP18" i="213"/>
  <c r="AF14" i="214"/>
  <c r="L22" i="213"/>
  <c r="AI18" i="213"/>
  <c r="AG48" i="213"/>
  <c r="AQ23" i="213"/>
  <c r="BM52" i="213"/>
  <c r="I16" i="214"/>
  <c r="T31" i="213"/>
  <c r="AV35" i="213"/>
  <c r="G18" i="214"/>
  <c r="C26" i="214"/>
  <c r="AP53" i="213"/>
  <c r="AF17" i="214"/>
  <c r="Z40" i="213"/>
  <c r="AF24" i="213"/>
  <c r="BQ22" i="213"/>
  <c r="AV37" i="213"/>
  <c r="BI34" i="213"/>
  <c r="AS30" i="213"/>
  <c r="BG44" i="213"/>
  <c r="I13" i="214"/>
  <c r="AF44" i="213"/>
  <c r="AT42" i="213"/>
  <c r="AK21" i="213"/>
  <c r="AP41" i="213"/>
  <c r="H40" i="213"/>
  <c r="M33" i="213"/>
  <c r="E29" i="214"/>
  <c r="BD52" i="213"/>
  <c r="J21" i="213"/>
  <c r="AU18" i="213"/>
  <c r="BF35" i="213"/>
  <c r="AX36" i="213"/>
  <c r="BM22" i="213"/>
  <c r="E15" i="214"/>
  <c r="E10" i="214"/>
  <c r="AF22" i="214"/>
  <c r="L24" i="214"/>
  <c r="M42" i="213"/>
  <c r="BA25" i="213"/>
  <c r="AL38" i="213"/>
  <c r="S21" i="213"/>
  <c r="N31" i="213"/>
  <c r="BC29" i="213"/>
  <c r="AE37" i="213"/>
  <c r="AY34" i="213"/>
  <c r="L22" i="214"/>
  <c r="AQ16" i="213"/>
  <c r="BO35" i="213"/>
  <c r="AJ28" i="214"/>
  <c r="AZ23" i="213"/>
  <c r="AX31" i="213"/>
  <c r="BM31" i="213"/>
  <c r="A38" i="213"/>
  <c r="AA30" i="213"/>
  <c r="AJ24" i="213"/>
  <c r="AI33" i="213"/>
  <c r="AX51" i="213"/>
  <c r="K36" i="213"/>
  <c r="X15" i="214"/>
  <c r="BD26" i="213"/>
  <c r="AY16" i="213"/>
  <c r="BJ31" i="213"/>
  <c r="F50" i="213"/>
  <c r="BI28" i="213"/>
  <c r="BA51" i="213"/>
  <c r="R44" i="213"/>
  <c r="AG44" i="213"/>
  <c r="AN32" i="213"/>
  <c r="AT27" i="213"/>
  <c r="N45" i="213"/>
  <c r="AG45" i="213"/>
  <c r="J50" i="213"/>
  <c r="P27" i="214"/>
  <c r="C15" i="214"/>
  <c r="C51" i="213"/>
  <c r="AR34" i="213"/>
  <c r="Q25" i="213"/>
  <c r="AY22" i="213"/>
  <c r="W29" i="213"/>
  <c r="I47" i="213"/>
  <c r="P28" i="213"/>
  <c r="BP28" i="213"/>
  <c r="E11" i="214"/>
  <c r="BD50" i="213"/>
  <c r="AF50" i="213"/>
  <c r="AX15" i="213"/>
  <c r="BK26" i="213"/>
  <c r="BO38" i="213"/>
  <c r="BB48" i="213"/>
  <c r="AN35" i="213"/>
  <c r="AO38" i="213"/>
  <c r="AZ25" i="213"/>
  <c r="AC39" i="213"/>
  <c r="AG53" i="213"/>
  <c r="AN25" i="213"/>
  <c r="BK39" i="213"/>
  <c r="AQ27" i="213"/>
  <c r="AI42" i="213"/>
  <c r="BI50" i="213"/>
  <c r="P26" i="213"/>
  <c r="E21" i="213"/>
  <c r="BK51" i="213"/>
  <c r="BE50" i="213"/>
  <c r="AV30" i="213"/>
  <c r="X10" i="214"/>
  <c r="AY31" i="213"/>
  <c r="AG35" i="213"/>
  <c r="BM30" i="213"/>
  <c r="Y34" i="213"/>
  <c r="D53" i="213"/>
  <c r="AB51" i="213"/>
  <c r="E16" i="214"/>
  <c r="I17" i="213"/>
  <c r="AP21" i="213"/>
  <c r="S52" i="213"/>
  <c r="BA49" i="213"/>
  <c r="AZ44" i="213"/>
  <c r="AN18" i="213"/>
  <c r="W21" i="213"/>
  <c r="C24" i="214"/>
  <c r="BE44" i="213"/>
  <c r="AC25" i="213"/>
  <c r="L52" i="213"/>
  <c r="AV32" i="213"/>
  <c r="AV31" i="213"/>
  <c r="AL39" i="213"/>
  <c r="AB39" i="213"/>
  <c r="P14" i="214"/>
  <c r="AM29" i="213"/>
  <c r="AH15" i="213"/>
  <c r="D45" i="213"/>
  <c r="AN40" i="213"/>
  <c r="I32" i="213"/>
  <c r="Z51" i="213"/>
  <c r="AJ19" i="213"/>
  <c r="AN30" i="213"/>
  <c r="BQ21" i="213"/>
  <c r="C17" i="213"/>
  <c r="Q47" i="213"/>
  <c r="BD53" i="213"/>
  <c r="AY23" i="213"/>
  <c r="T30" i="213"/>
  <c r="I49" i="213"/>
  <c r="AK37" i="213"/>
  <c r="BM17" i="213"/>
  <c r="AO39" i="213"/>
  <c r="BG31" i="213"/>
  <c r="BJ21" i="213"/>
  <c r="P40" i="213"/>
  <c r="BO49" i="213"/>
  <c r="AA15" i="213"/>
  <c r="BO34" i="213"/>
  <c r="BH39" i="213"/>
  <c r="J17" i="213"/>
  <c r="G28" i="214"/>
  <c r="BP15" i="213"/>
  <c r="K41" i="213"/>
  <c r="AA27" i="213"/>
  <c r="BH52" i="213"/>
  <c r="AS27" i="213"/>
  <c r="BI26" i="213"/>
  <c r="BP49" i="213"/>
  <c r="BK28" i="213"/>
  <c r="AZ51" i="213"/>
  <c r="AZ45" i="213"/>
  <c r="BI47" i="213"/>
  <c r="AN17" i="213"/>
  <c r="AY39" i="213"/>
  <c r="O29" i="214"/>
  <c r="V17" i="214"/>
  <c r="AO48" i="213"/>
  <c r="Z22" i="213"/>
  <c r="X27" i="214"/>
  <c r="AE41" i="213"/>
  <c r="X44" i="213"/>
  <c r="BC16" i="213"/>
  <c r="O51" i="213"/>
  <c r="N17" i="213"/>
  <c r="AW23" i="213"/>
  <c r="E31" i="213"/>
  <c r="AQ36" i="213"/>
  <c r="I37" i="213"/>
  <c r="AL34" i="213"/>
  <c r="AU25" i="213"/>
  <c r="Q30" i="213"/>
  <c r="L53" i="213"/>
  <c r="A52" i="213"/>
  <c r="BI17" i="213"/>
  <c r="BQ50" i="213"/>
  <c r="AK22" i="213"/>
  <c r="BI53" i="213"/>
  <c r="T29" i="213"/>
  <c r="BJ30" i="213"/>
  <c r="BQ15" i="213"/>
  <c r="O28" i="213"/>
  <c r="BG28" i="213"/>
  <c r="O26" i="214"/>
  <c r="AR25" i="213"/>
  <c r="AR37" i="213"/>
  <c r="M37" i="213"/>
  <c r="BH40" i="213"/>
  <c r="S51" i="213"/>
  <c r="Y28" i="214"/>
  <c r="AE25" i="213"/>
  <c r="AI48" i="213"/>
  <c r="AC49" i="213"/>
  <c r="P49" i="213"/>
  <c r="AD32" i="213"/>
  <c r="W51" i="213"/>
  <c r="X32" i="213"/>
  <c r="AL51" i="213"/>
  <c r="H52" i="213"/>
  <c r="U18" i="213"/>
  <c r="AR44" i="213"/>
  <c r="BC49" i="213"/>
  <c r="BG34" i="213"/>
  <c r="BM18" i="213"/>
  <c r="S29" i="213"/>
  <c r="AT19" i="213"/>
  <c r="Y21" i="213"/>
  <c r="BB44" i="213"/>
  <c r="AZ47" i="213"/>
  <c r="AI53" i="213"/>
  <c r="K31" i="213"/>
  <c r="W45" i="213"/>
  <c r="AS35" i="213"/>
  <c r="I20" i="214"/>
  <c r="M22" i="213"/>
  <c r="I48" i="213"/>
  <c r="L21" i="214"/>
  <c r="AB23" i="213"/>
  <c r="J23" i="213"/>
  <c r="BF38" i="213"/>
  <c r="AA21" i="213"/>
  <c r="V21" i="213"/>
  <c r="S36" i="213"/>
  <c r="AQ37" i="213"/>
  <c r="X13" i="214"/>
  <c r="AG34" i="213"/>
  <c r="F11" i="214"/>
  <c r="L40" i="213"/>
  <c r="W18" i="213"/>
  <c r="BF48" i="213"/>
  <c r="U21" i="214"/>
  <c r="AW35" i="213"/>
  <c r="BJ42" i="213"/>
  <c r="G34" i="213"/>
  <c r="AP40" i="213"/>
  <c r="U53" i="213"/>
  <c r="AW33" i="213"/>
  <c r="F30" i="213"/>
  <c r="AD49" i="213"/>
  <c r="X36" i="213"/>
  <c r="AU26" i="213"/>
  <c r="AQ33" i="213"/>
  <c r="E45" i="213"/>
  <c r="BH53" i="213"/>
  <c r="AA25" i="213"/>
  <c r="AR18" i="213"/>
  <c r="BJ34" i="213"/>
  <c r="G13" i="214"/>
  <c r="G44" i="213"/>
  <c r="H26" i="213"/>
  <c r="AL21" i="213"/>
  <c r="AC21" i="213"/>
  <c r="AL41" i="213"/>
  <c r="AH31" i="213"/>
  <c r="P38" i="213"/>
  <c r="AS37" i="213"/>
  <c r="J40" i="213"/>
  <c r="AE40" i="213"/>
  <c r="BC52" i="213"/>
  <c r="BK52" i="213"/>
  <c r="N18" i="214"/>
  <c r="AD30" i="213"/>
  <c r="V16" i="213"/>
  <c r="BL29" i="213"/>
  <c r="K50" i="213"/>
  <c r="AO24" i="213"/>
  <c r="BQ42" i="213"/>
  <c r="AG11" i="214"/>
  <c r="S18" i="213"/>
  <c r="BQ48" i="213"/>
  <c r="AQ44" i="213"/>
  <c r="AW38" i="213"/>
  <c r="AN31" i="213"/>
  <c r="AS32" i="213"/>
  <c r="H53" i="213"/>
  <c r="AI40" i="213"/>
  <c r="AP33" i="213"/>
  <c r="W32" i="213"/>
  <c r="X31" i="213"/>
  <c r="P48" i="213"/>
  <c r="AL18" i="213"/>
  <c r="AY38" i="213"/>
  <c r="AH39" i="213"/>
  <c r="BE27" i="213"/>
  <c r="AC16" i="213"/>
  <c r="AM50" i="213"/>
  <c r="Z29" i="213"/>
  <c r="Q49" i="213"/>
  <c r="S44" i="213"/>
  <c r="AF32" i="213"/>
  <c r="BN48" i="213"/>
  <c r="AT29" i="213"/>
  <c r="X47" i="213"/>
  <c r="G37" i="213"/>
  <c r="B28" i="214"/>
  <c r="K20" i="213"/>
  <c r="AK51" i="213"/>
  <c r="BP34" i="213"/>
  <c r="BI23" i="213"/>
  <c r="AQ24" i="213"/>
  <c r="AW40" i="213"/>
  <c r="AI50" i="213"/>
  <c r="BN47" i="213"/>
  <c r="F10" i="214"/>
  <c r="AT23" i="213"/>
  <c r="V38" i="213"/>
  <c r="BA19" i="213"/>
  <c r="AC53" i="213"/>
  <c r="AQ15" i="213"/>
  <c r="E23" i="214"/>
  <c r="BA48" i="213"/>
  <c r="AD53" i="213"/>
  <c r="BN27" i="213"/>
  <c r="AR28" i="213"/>
  <c r="AH38" i="213"/>
  <c r="AP50" i="213"/>
  <c r="AM49" i="213"/>
  <c r="AX45" i="213"/>
  <c r="R50" i="213"/>
  <c r="AU36" i="213"/>
  <c r="AN47" i="213"/>
  <c r="AP45" i="213"/>
  <c r="AW47" i="213"/>
  <c r="AU46" i="213"/>
  <c r="BF39" i="213"/>
  <c r="AG47" i="213"/>
  <c r="BD30" i="213"/>
  <c r="Q38" i="213"/>
  <c r="V35" i="213"/>
  <c r="BE38" i="213"/>
  <c r="X35" i="213"/>
  <c r="G24" i="213"/>
  <c r="L12" i="214"/>
  <c r="V53" i="213"/>
  <c r="AF13" i="214"/>
  <c r="AV53" i="213"/>
  <c r="AM51" i="213"/>
  <c r="AG24" i="213"/>
  <c r="S25" i="213"/>
  <c r="AH40" i="213"/>
  <c r="AO30" i="213"/>
  <c r="AZ28" i="213"/>
  <c r="BH50" i="213"/>
  <c r="AD46" i="213"/>
  <c r="H25" i="213"/>
  <c r="AU32" i="213"/>
  <c r="AZ46" i="213"/>
  <c r="BA21" i="213"/>
  <c r="Z24" i="214"/>
  <c r="X48" i="213"/>
  <c r="BI45" i="213"/>
  <c r="AJ52" i="213"/>
  <c r="BC20" i="213"/>
  <c r="AT34" i="213"/>
  <c r="AA32" i="213"/>
  <c r="AZ29" i="213"/>
  <c r="X25" i="213"/>
  <c r="G31" i="213"/>
  <c r="L37" i="213"/>
  <c r="AP32" i="213"/>
  <c r="W47" i="213"/>
  <c r="L45" i="213"/>
  <c r="AZ27" i="213"/>
  <c r="BD29" i="213"/>
  <c r="BM45" i="213"/>
  <c r="E32" i="213"/>
  <c r="I28" i="213"/>
  <c r="BF27" i="213"/>
  <c r="Z49" i="213"/>
  <c r="BE30" i="213"/>
  <c r="AG31" i="213"/>
  <c r="A44" i="213"/>
  <c r="L17" i="213"/>
  <c r="BQ18" i="213"/>
  <c r="AI19" i="213"/>
  <c r="G10" i="214"/>
  <c r="AM30" i="213"/>
  <c r="H27" i="213"/>
  <c r="K32" i="213"/>
  <c r="AF24" i="214"/>
  <c r="E12" i="214"/>
  <c r="AV16" i="213"/>
  <c r="Q27" i="213"/>
  <c r="AK47" i="213"/>
  <c r="BC28" i="213"/>
  <c r="AF48" i="213"/>
  <c r="AU53" i="213"/>
  <c r="L41" i="213"/>
  <c r="P24" i="214"/>
  <c r="Z42" i="213"/>
  <c r="F26" i="213"/>
  <c r="BA36" i="213"/>
  <c r="X30" i="213"/>
  <c r="P35" i="213"/>
  <c r="AX16" i="213"/>
  <c r="BO41" i="213"/>
  <c r="Z44" i="213"/>
  <c r="P15" i="213"/>
  <c r="AC35" i="213"/>
  <c r="AD15" i="213"/>
  <c r="N14" i="214"/>
  <c r="H47" i="213"/>
  <c r="J27" i="213"/>
  <c r="F25" i="213"/>
  <c r="AV39" i="213"/>
  <c r="AF26" i="213"/>
  <c r="AZ16" i="213"/>
  <c r="BI48" i="213"/>
  <c r="BP50" i="213"/>
  <c r="AZ48" i="213"/>
  <c r="U47" i="213"/>
  <c r="BK36" i="213"/>
  <c r="BM46" i="213"/>
  <c r="Q15" i="213"/>
  <c r="AH52" i="213"/>
  <c r="AO51" i="213"/>
  <c r="Q37" i="213"/>
  <c r="W39" i="213"/>
  <c r="AQ34" i="213"/>
  <c r="AI23" i="213"/>
  <c r="BI42" i="213"/>
  <c r="BN53" i="213"/>
  <c r="BG26" i="213"/>
  <c r="BG47" i="213"/>
  <c r="AW49" i="213"/>
  <c r="O11" i="214"/>
  <c r="AG25" i="213"/>
  <c r="BL38" i="213"/>
  <c r="BJ50" i="213"/>
  <c r="AW34" i="213"/>
  <c r="AI24" i="213"/>
  <c r="AM45" i="213"/>
  <c r="U39" i="213"/>
  <c r="C23" i="214"/>
  <c r="BK20" i="213"/>
  <c r="AA40" i="213"/>
  <c r="BQ17" i="213"/>
  <c r="AS49" i="213"/>
  <c r="AJ53" i="213"/>
  <c r="C29" i="213"/>
  <c r="AN27" i="213"/>
  <c r="AG29" i="213"/>
  <c r="AC50" i="213"/>
  <c r="AZ50" i="213"/>
  <c r="Y47" i="213"/>
  <c r="O38" i="213"/>
  <c r="Q35" i="213"/>
  <c r="BP42" i="213"/>
  <c r="G27" i="214"/>
  <c r="BK37" i="213"/>
  <c r="AF23" i="213"/>
  <c r="BP17" i="213"/>
  <c r="AB18" i="213"/>
  <c r="BJ49" i="213"/>
  <c r="BB25" i="213"/>
  <c r="Z28" i="213"/>
  <c r="B18" i="214"/>
  <c r="F21" i="213"/>
  <c r="BB15" i="213"/>
  <c r="P45" i="213"/>
  <c r="S31" i="213"/>
  <c r="AE27" i="213"/>
  <c r="AO27" i="213"/>
  <c r="X19" i="213"/>
  <c r="AC51" i="213"/>
  <c r="AC33" i="213"/>
  <c r="BD46" i="213"/>
  <c r="AM39" i="213"/>
  <c r="BM15" i="213"/>
  <c r="T15" i="213"/>
  <c r="D32" i="213"/>
  <c r="AM15" i="213"/>
  <c r="V27" i="214"/>
  <c r="AX38" i="213"/>
  <c r="F21" i="214"/>
  <c r="AK49" i="213"/>
  <c r="AS39" i="213"/>
  <c r="BP27" i="213"/>
  <c r="BQ45" i="213"/>
  <c r="AQ28" i="213"/>
  <c r="AJ44" i="213"/>
  <c r="D49" i="213"/>
  <c r="AU52" i="213"/>
  <c r="AR51" i="213"/>
  <c r="S28" i="213"/>
  <c r="AL28" i="213"/>
  <c r="AG49" i="213"/>
  <c r="AK30" i="213"/>
  <c r="AR46" i="213"/>
  <c r="AK50" i="213"/>
  <c r="AY36" i="213"/>
  <c r="BN46" i="213"/>
  <c r="AB31" i="213"/>
  <c r="E42" i="213"/>
  <c r="Q22" i="213"/>
  <c r="BD25" i="213"/>
  <c r="AG22" i="213"/>
  <c r="N39" i="213"/>
  <c r="AO44" i="213"/>
  <c r="BM39" i="213"/>
  <c r="AP36" i="213"/>
  <c r="AT28" i="213"/>
  <c r="AZ15" i="213"/>
  <c r="AT31" i="213"/>
  <c r="V28" i="213"/>
  <c r="BK47" i="213"/>
  <c r="BE39" i="213"/>
  <c r="T32" i="213"/>
  <c r="AO16" i="213"/>
  <c r="AK20" i="213"/>
  <c r="BA47" i="213"/>
  <c r="F24" i="213"/>
  <c r="B12" i="214"/>
  <c r="BF29" i="213"/>
  <c r="AM42" i="213"/>
  <c r="AR49" i="213"/>
  <c r="BQ34" i="213"/>
  <c r="AX39" i="213"/>
  <c r="BO42" i="213"/>
  <c r="AV29" i="213"/>
  <c r="BB30" i="213"/>
  <c r="BJ24" i="213"/>
  <c r="Q50" i="213"/>
  <c r="M45" i="213"/>
  <c r="AY32" i="213"/>
  <c r="BI27" i="213"/>
  <c r="H45" i="213"/>
  <c r="AM46" i="213"/>
  <c r="BJ28" i="213"/>
  <c r="BG40" i="213"/>
  <c r="BO47" i="213"/>
  <c r="O27" i="213"/>
  <c r="AF16" i="213"/>
  <c r="AV47" i="213"/>
  <c r="M16" i="213"/>
  <c r="AX41" i="213"/>
  <c r="BN50" i="213"/>
  <c r="BB50" i="213"/>
  <c r="AV45" i="213"/>
  <c r="Z31" i="213"/>
  <c r="AS20" i="213"/>
  <c r="BN44" i="213"/>
  <c r="BH32" i="213"/>
  <c r="BG49" i="213"/>
  <c r="AM52" i="213"/>
  <c r="W26" i="213"/>
  <c r="F52" i="213"/>
  <c r="N27" i="213"/>
  <c r="Z47" i="213"/>
  <c r="H44" i="213"/>
  <c r="H31" i="213"/>
  <c r="AM21" i="213"/>
  <c r="Z29" i="214"/>
  <c r="AX52" i="213"/>
  <c r="AL42" i="213"/>
  <c r="Y21" i="214"/>
  <c r="AH47" i="213"/>
  <c r="AS31" i="213"/>
  <c r="AR32" i="213"/>
  <c r="I39" i="213"/>
  <c r="BB45" i="213"/>
  <c r="BF28" i="213"/>
  <c r="O33" i="213"/>
  <c r="BB18" i="213"/>
  <c r="AG18" i="214"/>
  <c r="BG27" i="213"/>
  <c r="A15" i="213"/>
  <c r="N28" i="213"/>
  <c r="BJ45" i="213"/>
  <c r="I27" i="213"/>
  <c r="AD29" i="213"/>
  <c r="AH42" i="213"/>
  <c r="AH29" i="213"/>
  <c r="C15" i="213"/>
  <c r="Y45" i="213"/>
  <c r="Z48" i="213"/>
  <c r="P46" i="213"/>
  <c r="BI41" i="213"/>
  <c r="AT26" i="213"/>
  <c r="BB36" i="213"/>
  <c r="V50" i="213"/>
  <c r="AL53" i="213"/>
  <c r="AS28" i="213"/>
  <c r="U46" i="213"/>
  <c r="F47" i="213"/>
  <c r="BO19" i="213"/>
  <c r="AE49" i="213"/>
  <c r="N48" i="213"/>
  <c r="BL21" i="213"/>
  <c r="R48" i="213"/>
  <c r="BH19" i="213"/>
  <c r="E49" i="213"/>
  <c r="AH45" i="213"/>
  <c r="W36" i="213"/>
  <c r="BN38" i="213"/>
  <c r="S22" i="213"/>
  <c r="AB28" i="213"/>
  <c r="AU50" i="213"/>
  <c r="P26" i="214"/>
  <c r="Q34" i="213"/>
  <c r="AX37" i="213"/>
  <c r="AB19" i="213"/>
  <c r="AE24" i="213"/>
  <c r="AK25" i="213"/>
  <c r="D28" i="213"/>
  <c r="BJ35" i="213"/>
  <c r="BJ15" i="213"/>
  <c r="U29" i="213"/>
  <c r="O53" i="213"/>
  <c r="BH36" i="213"/>
  <c r="L25" i="214"/>
  <c r="N29" i="213"/>
  <c r="F49" i="213"/>
  <c r="AU35" i="213"/>
  <c r="BB29" i="213"/>
  <c r="AO22" i="213"/>
  <c r="AI45" i="213"/>
  <c r="AI27" i="213"/>
  <c r="BP36" i="213"/>
  <c r="AN53" i="213"/>
  <c r="AH16" i="213"/>
  <c r="C47" i="213"/>
  <c r="AB46" i="213"/>
  <c r="BG50" i="213"/>
  <c r="AF15" i="213"/>
  <c r="BO24" i="213"/>
  <c r="AJ37" i="213"/>
  <c r="X38" i="213"/>
  <c r="BQ41" i="213"/>
  <c r="BG36" i="213"/>
  <c r="BE16" i="213"/>
  <c r="BK48" i="213"/>
  <c r="BL15" i="213"/>
  <c r="J19" i="213"/>
  <c r="AE16" i="213"/>
  <c r="BM16" i="213"/>
  <c r="BL39" i="213"/>
  <c r="AA16" i="213"/>
  <c r="BD33" i="213"/>
  <c r="AD52" i="213"/>
  <c r="BL25" i="213"/>
  <c r="AD24" i="213"/>
  <c r="BQ31" i="213"/>
  <c r="BL49" i="213"/>
  <c r="BJ19" i="213"/>
  <c r="D39" i="213"/>
  <c r="AX53" i="213"/>
  <c r="BA52" i="213"/>
  <c r="U16" i="213"/>
  <c r="AK38" i="213"/>
  <c r="BQ39" i="213"/>
  <c r="Y37" i="213"/>
  <c r="F53" i="213"/>
  <c r="M28" i="213"/>
  <c r="R26" i="213"/>
  <c r="L51" i="213"/>
  <c r="BE25" i="213"/>
  <c r="AN28" i="213"/>
  <c r="Q26" i="213"/>
  <c r="AV28" i="213"/>
  <c r="Y15" i="213"/>
  <c r="L49" i="213"/>
  <c r="Y24" i="213"/>
  <c r="Z27" i="213"/>
  <c r="AZ20" i="213"/>
  <c r="N35" i="213"/>
  <c r="AE29" i="213"/>
  <c r="AK16" i="213"/>
  <c r="J46" i="213"/>
  <c r="V45" i="213"/>
  <c r="BA39" i="213"/>
  <c r="AM16" i="213"/>
  <c r="C28" i="213"/>
  <c r="BM35" i="213"/>
  <c r="BH31" i="213"/>
  <c r="AX18" i="213"/>
  <c r="AM26" i="213"/>
  <c r="BA32" i="213"/>
  <c r="AR45" i="213"/>
  <c r="BL46" i="213"/>
  <c r="BF15" i="213"/>
  <c r="AJ17" i="213"/>
  <c r="S53" i="213"/>
  <c r="BL26" i="213"/>
  <c r="AX46" i="213"/>
  <c r="E15" i="213"/>
  <c r="BM21" i="213"/>
  <c r="R29" i="213"/>
  <c r="BJ40" i="213"/>
  <c r="E50" i="213"/>
  <c r="AR27" i="213"/>
  <c r="D20" i="214"/>
  <c r="C30" i="213"/>
  <c r="AI30" i="213"/>
  <c r="X33" i="213"/>
  <c r="V26" i="213"/>
  <c r="X34" i="213"/>
  <c r="BJ39" i="213"/>
  <c r="AY50" i="213"/>
  <c r="BB27" i="213"/>
  <c r="BG41" i="213"/>
  <c r="E27" i="213"/>
  <c r="J26" i="213"/>
  <c r="I18" i="214"/>
  <c r="O48" i="213"/>
  <c r="E33" i="213"/>
  <c r="I19" i="213"/>
  <c r="AQ42" i="213"/>
  <c r="L39" i="213"/>
  <c r="AH19" i="213"/>
  <c r="BA27" i="213"/>
  <c r="U45" i="213"/>
  <c r="K26" i="213"/>
  <c r="AO15" i="213"/>
  <c r="D27" i="213"/>
  <c r="O21" i="214"/>
  <c r="AF49" i="213"/>
  <c r="AK27" i="213"/>
  <c r="AA46" i="213"/>
  <c r="AB45" i="213"/>
  <c r="AX48" i="213"/>
  <c r="AN46" i="213"/>
  <c r="F39" i="213"/>
  <c r="BH30" i="213"/>
  <c r="AG27" i="213"/>
  <c r="AG46" i="213"/>
  <c r="Q28" i="213"/>
  <c r="AD18" i="213"/>
  <c r="BC25" i="213"/>
  <c r="AY33" i="213"/>
  <c r="AI21" i="213"/>
  <c r="S16" i="213"/>
  <c r="BM28" i="213"/>
  <c r="BG23" i="213"/>
  <c r="AX21" i="213"/>
  <c r="BB16" i="213"/>
  <c r="BL47" i="213"/>
  <c r="AC45" i="213"/>
  <c r="N50" i="213"/>
  <c r="BF50" i="213"/>
  <c r="AF22" i="213"/>
  <c r="X26" i="213"/>
  <c r="BK32" i="213"/>
  <c r="C27" i="213"/>
  <c r="E46" i="213"/>
  <c r="AL50" i="213"/>
  <c r="Z39" i="213"/>
  <c r="R31" i="213"/>
  <c r="W15" i="213"/>
  <c r="O25" i="213"/>
  <c r="F46" i="213"/>
  <c r="AP51" i="213"/>
  <c r="AZ19" i="213"/>
  <c r="BE19" i="213"/>
  <c r="AS41" i="213"/>
  <c r="AF37" i="213"/>
  <c r="AD50" i="213"/>
  <c r="O15" i="213"/>
  <c r="AD28" i="213"/>
  <c r="BK53" i="213"/>
  <c r="AO40" i="213"/>
  <c r="X45" i="213"/>
  <c r="BL27" i="213"/>
  <c r="BK16" i="213"/>
  <c r="D34" i="213"/>
  <c r="AQ53" i="213"/>
  <c r="O32" i="213"/>
  <c r="C28" i="214"/>
  <c r="AI25" i="213"/>
  <c r="N28" i="214"/>
  <c r="AV21" i="213"/>
  <c r="N15" i="214"/>
  <c r="BP39" i="213"/>
  <c r="AN36" i="213"/>
  <c r="AH50" i="213"/>
  <c r="E16" i="213"/>
  <c r="AD47" i="213"/>
  <c r="AI44" i="213"/>
  <c r="AU49" i="213"/>
  <c r="M39" i="213"/>
  <c r="O19" i="213"/>
  <c r="BQ27" i="213"/>
  <c r="BG30" i="213"/>
  <c r="O13" i="214"/>
  <c r="BG39" i="213"/>
  <c r="K30" i="213"/>
  <c r="S33" i="213"/>
  <c r="T25" i="213"/>
  <c r="AF25" i="213"/>
  <c r="AV26" i="213"/>
  <c r="Q21" i="213"/>
  <c r="S47" i="213"/>
  <c r="BI46" i="213"/>
  <c r="AN42" i="213"/>
  <c r="AN34" i="213"/>
  <c r="AE45" i="213"/>
  <c r="C20" i="214"/>
  <c r="C13" i="214"/>
  <c r="D18" i="213"/>
  <c r="BK49" i="213"/>
  <c r="AU48" i="213"/>
  <c r="AG39" i="213"/>
  <c r="Q24" i="213"/>
  <c r="I31" i="213"/>
  <c r="AC22" i="213"/>
  <c r="AD22" i="213"/>
  <c r="AA36" i="213"/>
  <c r="N42" i="213"/>
  <c r="N12" i="214"/>
  <c r="BL35" i="213"/>
  <c r="O29" i="213"/>
  <c r="AZ38" i="213"/>
  <c r="T39" i="213"/>
  <c r="AW39" i="213"/>
  <c r="BN15" i="213"/>
  <c r="BB35" i="213"/>
  <c r="AB53" i="213"/>
  <c r="P47" i="213"/>
  <c r="BI44" i="213"/>
  <c r="AK45" i="213"/>
  <c r="BF24" i="213"/>
  <c r="AG26" i="214"/>
  <c r="R52" i="213"/>
  <c r="D25" i="213"/>
  <c r="BQ49" i="213"/>
  <c r="BO32" i="213"/>
  <c r="AN51" i="213"/>
  <c r="AI41" i="213"/>
  <c r="S49" i="213"/>
  <c r="AX19" i="213"/>
  <c r="V37" i="213"/>
  <c r="Y17" i="214"/>
  <c r="Q16" i="213"/>
  <c r="O34" i="213"/>
  <c r="E36" i="213"/>
  <c r="I27" i="214"/>
  <c r="Y44" i="213"/>
  <c r="AR16" i="213"/>
  <c r="AH30" i="213"/>
  <c r="AX42" i="213"/>
  <c r="C27" i="214"/>
  <c r="Z32" i="213"/>
  <c r="P24" i="213"/>
  <c r="AP48" i="213"/>
  <c r="I53" i="213"/>
  <c r="AI38" i="213"/>
  <c r="BF25" i="213"/>
  <c r="AH21" i="213"/>
  <c r="Y52" i="213"/>
  <c r="I35" i="213"/>
  <c r="AW52" i="213"/>
  <c r="BK41" i="213"/>
  <c r="L32" i="213"/>
  <c r="P19" i="214"/>
  <c r="D21" i="214"/>
  <c r="Y35" i="213"/>
  <c r="AV22" i="213"/>
  <c r="BH51" i="213"/>
  <c r="BK29" i="213"/>
  <c r="AK44" i="213"/>
  <c r="M32" i="213"/>
  <c r="N36" i="213"/>
  <c r="BO15" i="213"/>
  <c r="O44" i="213"/>
  <c r="BE18" i="213"/>
  <c r="BN32" i="213"/>
  <c r="AP52" i="213"/>
  <c r="BN28" i="213"/>
  <c r="P29" i="213"/>
  <c r="BI49" i="213"/>
  <c r="J38" i="213"/>
  <c r="AV49" i="213"/>
  <c r="P25" i="213"/>
  <c r="AH37" i="213"/>
  <c r="P51" i="213"/>
  <c r="AD39" i="213"/>
  <c r="AQ26" i="213"/>
  <c r="S39" i="213"/>
  <c r="BP52" i="213"/>
  <c r="AX30" i="213"/>
  <c r="Y48" i="213"/>
  <c r="AO36" i="213"/>
  <c r="BA46" i="213"/>
  <c r="AP15" i="213"/>
  <c r="BO39" i="213"/>
  <c r="E47" i="213"/>
  <c r="BD27" i="213"/>
  <c r="AY53" i="213"/>
  <c r="AD19" i="213"/>
  <c r="I18" i="213"/>
  <c r="U44" i="213"/>
  <c r="BB21" i="213"/>
  <c r="AF42" i="213"/>
  <c r="AI39" i="213"/>
  <c r="AI37" i="213"/>
  <c r="BQ35" i="213"/>
  <c r="BK46" i="213"/>
  <c r="BH28" i="213"/>
  <c r="BC53" i="213"/>
  <c r="AW44" i="213"/>
  <c r="H50" i="213"/>
  <c r="AJ12" i="214"/>
  <c r="AO29" i="213"/>
  <c r="BE28" i="213"/>
  <c r="BC39" i="213"/>
  <c r="AW28" i="213"/>
  <c r="AC29" i="213"/>
  <c r="AN50" i="213"/>
  <c r="AJ39" i="213"/>
  <c r="AC28" i="213"/>
  <c r="H21" i="213"/>
  <c r="BA28" i="213"/>
  <c r="Z23" i="213"/>
  <c r="J39" i="213"/>
  <c r="BI21" i="213"/>
  <c r="AP27" i="213"/>
  <c r="AO46" i="213"/>
  <c r="Q44" i="213"/>
  <c r="AW18" i="213"/>
  <c r="BD21" i="213"/>
  <c r="T37" i="213"/>
  <c r="A24" i="213"/>
  <c r="BB42" i="213"/>
  <c r="I52" i="213"/>
  <c r="BL53" i="213"/>
  <c r="BN18" i="213"/>
  <c r="AK39" i="213"/>
  <c r="AQ50" i="213"/>
  <c r="AH28" i="213"/>
  <c r="Z27" i="214"/>
  <c r="P19" i="213"/>
  <c r="BG15" i="213"/>
  <c r="BG52" i="213"/>
  <c r="Z26" i="213"/>
  <c r="BN41" i="213"/>
  <c r="BK42" i="213"/>
  <c r="X50" i="213"/>
  <c r="T45" i="213"/>
  <c r="X29" i="213"/>
  <c r="AW22" i="213"/>
  <c r="E29" i="213"/>
  <c r="AM19" i="213"/>
  <c r="BQ28" i="213"/>
  <c r="AG50" i="213"/>
  <c r="AH25" i="213"/>
  <c r="V46" i="213"/>
  <c r="O39" i="213"/>
  <c r="AE51" i="213"/>
  <c r="I25" i="213"/>
  <c r="BQ30" i="213"/>
  <c r="W23" i="213"/>
  <c r="G14" i="214"/>
  <c r="AO50" i="213"/>
  <c r="AX35" i="213"/>
  <c r="BB52" i="213"/>
  <c r="H15" i="213"/>
  <c r="BP31" i="213"/>
  <c r="BF47" i="213"/>
  <c r="AB16" i="213"/>
  <c r="AY46" i="213"/>
  <c r="BA40" i="213"/>
  <c r="R21" i="213"/>
  <c r="M38" i="213"/>
  <c r="E24" i="213"/>
  <c r="AQ45" i="213"/>
  <c r="BA35" i="213"/>
  <c r="AG15" i="214"/>
  <c r="AX33" i="213"/>
  <c r="AX50" i="213"/>
  <c r="AK29" i="213"/>
  <c r="AJ32" i="213"/>
  <c r="F45" i="213"/>
  <c r="BQ51" i="213"/>
  <c r="Y28" i="213"/>
  <c r="BA33" i="213"/>
  <c r="BI37" i="213"/>
  <c r="V42" i="213"/>
  <c r="AB30" i="213"/>
  <c r="BM27" i="213"/>
  <c r="BA38" i="213"/>
  <c r="AB47" i="213"/>
  <c r="AU22" i="213"/>
  <c r="AY47" i="213"/>
  <c r="U28" i="213"/>
  <c r="AE50" i="213"/>
  <c r="I29" i="213"/>
  <c r="C49" i="213"/>
  <c r="Y39" i="213"/>
  <c r="AE53" i="213"/>
  <c r="AW50" i="213"/>
  <c r="O31" i="213"/>
  <c r="BJ27" i="213"/>
  <c r="F27" i="213"/>
  <c r="U10" i="214"/>
  <c r="Q45" i="213"/>
  <c r="AU17" i="213"/>
  <c r="AX26" i="213"/>
  <c r="AG16" i="213"/>
  <c r="C21" i="214"/>
  <c r="AO32" i="213"/>
  <c r="AG18" i="213"/>
  <c r="AX22" i="213"/>
  <c r="BN49" i="213"/>
  <c r="AS16" i="213"/>
  <c r="O50" i="213"/>
  <c r="C45" i="213"/>
  <c r="G49" i="213"/>
  <c r="AY27" i="213"/>
  <c r="O49" i="213"/>
  <c r="AA50" i="213"/>
  <c r="BH15" i="213"/>
  <c r="D29" i="213"/>
  <c r="O45" i="213"/>
  <c r="AM28" i="213"/>
  <c r="AW25" i="213"/>
  <c r="T38" i="213"/>
  <c r="AM36" i="213"/>
  <c r="AQ22" i="213"/>
  <c r="E53" i="213"/>
  <c r="F28" i="213"/>
  <c r="Q32" i="213"/>
  <c r="BC21" i="213"/>
  <c r="BG53" i="213"/>
  <c r="AN45" i="213"/>
  <c r="AH27" i="213"/>
  <c r="Z11" i="214"/>
  <c r="AJ45" i="213"/>
  <c r="S27" i="213"/>
  <c r="AL15" i="213"/>
  <c r="J25" i="213"/>
  <c r="AH34" i="213"/>
  <c r="N33" i="213"/>
  <c r="K15" i="213"/>
  <c r="AR39" i="213"/>
  <c r="AV18" i="213"/>
  <c r="BL16" i="213"/>
  <c r="Z52" i="213"/>
  <c r="K42" i="213"/>
  <c r="AG42" i="213"/>
  <c r="V48" i="213"/>
  <c r="BM53" i="213"/>
  <c r="AY29" i="213"/>
  <c r="K28" i="213"/>
  <c r="AC47" i="213"/>
  <c r="B25" i="214"/>
  <c r="AT18" i="213"/>
  <c r="AW24" i="213"/>
  <c r="BP41" i="213"/>
  <c r="O47" i="213"/>
  <c r="AI28" i="213"/>
  <c r="BN51" i="213"/>
  <c r="BG22" i="213"/>
  <c r="S26" i="213"/>
  <c r="I30" i="213"/>
  <c r="BO53" i="213"/>
  <c r="R45" i="213"/>
  <c r="AI32" i="213"/>
  <c r="M44" i="213"/>
  <c r="AO28" i="213"/>
  <c r="AX44" i="213"/>
  <c r="G47" i="213"/>
  <c r="R16" i="213"/>
  <c r="BK45" i="213"/>
  <c r="E34" i="213"/>
  <c r="AK46" i="213"/>
  <c r="BN36" i="213"/>
  <c r="AP28" i="213"/>
  <c r="U50" i="213"/>
  <c r="BI38" i="213"/>
  <c r="F29" i="213"/>
  <c r="BC34" i="213"/>
  <c r="AO45" i="213"/>
  <c r="BN34" i="213"/>
  <c r="BF53" i="213"/>
  <c r="M46" i="213"/>
  <c r="BI32" i="213"/>
  <c r="AI47" i="213"/>
  <c r="BD24" i="213"/>
  <c r="AY30" i="213"/>
  <c r="BD28" i="213"/>
  <c r="BP37" i="213"/>
  <c r="N11" i="214"/>
  <c r="Z21" i="214"/>
  <c r="AW27" i="213"/>
  <c r="T50" i="213"/>
  <c r="BA16" i="213"/>
  <c r="AA28" i="213"/>
  <c r="F15" i="214"/>
  <c r="AP38" i="213"/>
  <c r="S15" i="213"/>
  <c r="AL45" i="213"/>
  <c r="BG51" i="213"/>
  <c r="W48" i="213"/>
  <c r="AO26" i="213"/>
  <c r="AK19" i="213"/>
  <c r="C26" i="213"/>
  <c r="BH16" i="213"/>
  <c r="BO46" i="213"/>
  <c r="AL47" i="213"/>
  <c r="AH51" i="213"/>
  <c r="AK24" i="213"/>
  <c r="Q41" i="213"/>
  <c r="S17" i="213"/>
  <c r="BQ38" i="213"/>
  <c r="AN16" i="213"/>
  <c r="V44" i="213"/>
  <c r="AL30" i="213"/>
  <c r="I12" i="214"/>
  <c r="P34" i="213"/>
  <c r="AA47" i="213"/>
  <c r="H28" i="213"/>
  <c r="X24" i="214"/>
  <c r="AT30" i="213"/>
  <c r="V47" i="213"/>
  <c r="AW45" i="213"/>
  <c r="AJ16" i="213"/>
  <c r="AS52" i="213"/>
  <c r="BD36" i="213"/>
  <c r="BG38" i="213"/>
  <c r="BG42" i="213"/>
  <c r="BJ18" i="213"/>
  <c r="AQ46" i="213"/>
  <c r="BG25" i="213"/>
  <c r="AM22" i="213"/>
  <c r="BC47" i="213"/>
  <c r="BO51" i="213"/>
  <c r="AH32" i="213"/>
  <c r="O10" i="214"/>
  <c r="AJ34" i="213"/>
  <c r="BL30" i="213"/>
  <c r="AS29" i="213"/>
  <c r="N15" i="213"/>
  <c r="BQ44" i="213"/>
  <c r="G27" i="213"/>
  <c r="R28" i="213"/>
  <c r="AF18" i="213"/>
  <c r="BO16" i="213"/>
  <c r="AK52" i="213"/>
  <c r="AI46" i="213"/>
  <c r="BB26" i="213"/>
  <c r="BF45" i="213"/>
  <c r="AB29" i="213"/>
  <c r="AW29" i="213"/>
  <c r="J28" i="213"/>
  <c r="BE52" i="213"/>
  <c r="AS15" i="213"/>
  <c r="AQ47" i="213"/>
  <c r="Y50" i="213"/>
  <c r="AV50" i="213"/>
  <c r="AT16" i="213"/>
  <c r="BI15" i="213"/>
  <c r="O42" i="213"/>
  <c r="BJ48" i="213"/>
  <c r="R15" i="213"/>
  <c r="Q19" i="213"/>
  <c r="AM31" i="213"/>
  <c r="BC46" i="213"/>
  <c r="F15" i="213"/>
  <c r="D13" i="214"/>
  <c r="AN29" i="213"/>
  <c r="AV46" i="213"/>
  <c r="U15" i="213"/>
  <c r="L46" i="213"/>
  <c r="BA24" i="213"/>
  <c r="AQ20" i="213"/>
  <c r="AR50" i="213"/>
  <c r="AA33" i="213"/>
  <c r="Q33" i="213"/>
  <c r="AW53" i="213"/>
  <c r="AL19" i="213"/>
  <c r="F44" i="213"/>
  <c r="I51" i="213"/>
  <c r="X39" i="213"/>
  <c r="BQ46" i="213"/>
  <c r="Z24" i="213"/>
  <c r="AU44" i="213"/>
  <c r="R46" i="213"/>
  <c r="P22" i="213"/>
  <c r="BB39" i="213"/>
  <c r="AB27" i="213"/>
  <c r="BP46" i="213"/>
  <c r="P41" i="213"/>
  <c r="T48" i="213"/>
  <c r="BO50" i="213"/>
  <c r="AC27" i="213"/>
  <c r="BQ36" i="213"/>
  <c r="C53" i="213"/>
  <c r="AU16" i="213"/>
  <c r="BO52" i="213"/>
  <c r="K47" i="213"/>
  <c r="AD27" i="213"/>
  <c r="BK18" i="213"/>
  <c r="AX47" i="213"/>
  <c r="BO30" i="213"/>
  <c r="D47" i="213"/>
  <c r="X15" i="213"/>
  <c r="AW51" i="213"/>
  <c r="N27" i="214"/>
  <c r="AR24" i="213"/>
  <c r="AV52" i="213"/>
  <c r="L11" i="214"/>
  <c r="D44" i="213"/>
  <c r="BP32" i="213"/>
  <c r="AM32" i="213"/>
  <c r="X24" i="213"/>
  <c r="G38" i="213"/>
  <c r="BP48" i="213"/>
  <c r="BM32" i="213"/>
  <c r="C16" i="213"/>
  <c r="M26" i="213"/>
  <c r="BH48" i="213"/>
  <c r="BD15" i="213"/>
  <c r="D41" i="213"/>
  <c r="BO40" i="213"/>
  <c r="BI25" i="213"/>
  <c r="BJ25" i="213"/>
  <c r="X18" i="213"/>
  <c r="T27" i="213"/>
  <c r="D16" i="213"/>
  <c r="G29" i="213"/>
  <c r="J15" i="213"/>
  <c r="V13" i="214"/>
  <c r="J24" i="213"/>
  <c r="F16" i="213"/>
  <c r="BD20" i="213"/>
  <c r="E44" i="213"/>
  <c r="P18" i="214"/>
  <c r="F36" i="213"/>
  <c r="AS50" i="213"/>
  <c r="AQ51" i="213"/>
  <c r="BJ46" i="213"/>
  <c r="BL50" i="213"/>
  <c r="C40" i="213"/>
  <c r="BK27" i="213"/>
  <c r="AM27" i="213"/>
  <c r="K39" i="213"/>
  <c r="U32" i="213"/>
  <c r="V25" i="213"/>
  <c r="L28" i="213"/>
  <c r="P27" i="213"/>
  <c r="O19" i="214"/>
  <c r="K46" i="213"/>
  <c r="BF49" i="213"/>
  <c r="AJ15" i="213"/>
  <c r="BC18" i="213"/>
  <c r="BO23" i="213"/>
  <c r="Z16" i="213"/>
  <c r="S46" i="213"/>
  <c r="AW30" i="213"/>
  <c r="AT15" i="213"/>
  <c r="M27" i="213"/>
  <c r="U36" i="213"/>
  <c r="Y36" i="213"/>
  <c r="AM47" i="213"/>
  <c r="AQ39" i="213"/>
  <c r="BA44" i="213"/>
  <c r="AB50" i="213"/>
  <c r="AD35" i="213"/>
  <c r="E20" i="214"/>
  <c r="AD31" i="213"/>
  <c r="BP29" i="213"/>
  <c r="AF17" i="213"/>
  <c r="D35" i="213"/>
  <c r="Z25" i="213"/>
  <c r="D15" i="213"/>
  <c r="AJ33" i="213"/>
  <c r="BQ29" i="213"/>
  <c r="AV48" i="213"/>
  <c r="Z18" i="213"/>
  <c r="BC23" i="213"/>
  <c r="W50" i="213"/>
  <c r="BK15" i="213"/>
  <c r="U37" i="213"/>
  <c r="AB36" i="213"/>
  <c r="BL45" i="213"/>
  <c r="AG21" i="214"/>
  <c r="Y46" i="213"/>
  <c r="K29" i="213"/>
  <c r="Z15" i="213"/>
  <c r="AF28" i="213"/>
  <c r="O20" i="214"/>
  <c r="Q23" i="213"/>
  <c r="K27" i="213"/>
  <c r="BL48" i="213"/>
  <c r="BD47" i="213"/>
  <c r="AU30" i="213"/>
  <c r="Y29" i="213"/>
  <c r="T49" i="213"/>
  <c r="U52" i="213"/>
  <c r="BN39" i="213"/>
  <c r="AV40" i="213"/>
  <c r="X14" i="214"/>
  <c r="AV19" i="213"/>
  <c r="BD16" i="213"/>
  <c r="W25" i="213"/>
  <c r="BA45" i="213"/>
  <c r="AR47" i="213"/>
  <c r="H46" i="213"/>
  <c r="AK23" i="213"/>
  <c r="AL32" i="213"/>
  <c r="F48" i="213"/>
  <c r="Y16" i="213"/>
  <c r="AI35" i="213"/>
  <c r="AY42" i="213"/>
  <c r="E14" i="214"/>
  <c r="BL36" i="213"/>
  <c r="BO29" i="213"/>
  <c r="BG45" i="213"/>
  <c r="L50" i="213"/>
  <c r="AP46" i="213"/>
  <c r="T28" i="213"/>
  <c r="BK34" i="213"/>
  <c r="N19" i="214"/>
  <c r="BC27" i="213"/>
  <c r="AU47" i="213"/>
  <c r="L44" i="213"/>
  <c r="R32" i="213"/>
  <c r="AA35" i="213"/>
  <c r="Y27" i="213"/>
  <c r="BG24" i="213"/>
  <c r="AF19" i="213"/>
  <c r="O26" i="213"/>
  <c r="E48" i="213"/>
  <c r="K48" i="213"/>
  <c r="AK28" i="213"/>
  <c r="BE46" i="213"/>
  <c r="BH47" i="213"/>
  <c r="W27" i="213"/>
  <c r="BQ19" i="213"/>
  <c r="H48" i="213"/>
  <c r="AW16" i="213"/>
  <c r="AQ49" i="213"/>
  <c r="BK50" i="213"/>
  <c r="AN20" i="213"/>
  <c r="Z46" i="213"/>
  <c r="BD48" i="213"/>
  <c r="BJ32" i="213"/>
  <c r="Y32" i="213"/>
  <c r="BB53" i="213"/>
  <c r="F37" i="213"/>
  <c r="AF53" i="213"/>
  <c r="I40" i="213"/>
  <c r="AK53" i="213"/>
  <c r="BA30" i="213"/>
  <c r="AZ26" i="213"/>
  <c r="Z21" i="213"/>
  <c r="AO41" i="213"/>
  <c r="AA29" i="213"/>
  <c r="G15" i="213"/>
  <c r="AE52" i="213"/>
  <c r="G46" i="213"/>
  <c r="BO28" i="213"/>
  <c r="AZ39" i="213"/>
  <c r="AR53" i="213"/>
  <c r="F22" i="213"/>
  <c r="BG48" i="213"/>
  <c r="AL46" i="213"/>
  <c r="N24" i="213"/>
  <c r="AS47" i="213"/>
  <c r="D26" i="214"/>
  <c r="AZ52" i="213"/>
  <c r="M36" i="213"/>
  <c r="BO27" i="213"/>
  <c r="AC26" i="213"/>
  <c r="K51" i="213"/>
  <c r="AJ46" i="213"/>
  <c r="M52" i="213"/>
  <c r="BC50" i="213"/>
  <c r="AX49" i="213"/>
  <c r="X49" i="213"/>
  <c r="S40" i="213"/>
  <c r="P18" i="213"/>
  <c r="AV51" i="213"/>
  <c r="AL27" i="213"/>
  <c r="Z36" i="213"/>
  <c r="BN19" i="213"/>
  <c r="AF45" i="213"/>
  <c r="BH21" i="213"/>
  <c r="I11" i="214"/>
  <c r="G50" i="213"/>
  <c r="F17" i="214"/>
  <c r="L13" i="214"/>
  <c r="Y23" i="214"/>
  <c r="L30" i="213"/>
  <c r="AO53" i="213"/>
  <c r="AU39" i="213"/>
  <c r="BL23" i="213"/>
  <c r="T16" i="213"/>
  <c r="V22" i="214"/>
  <c r="O16" i="213"/>
  <c r="AY52" i="213"/>
  <c r="BP45" i="213"/>
  <c r="BO20" i="213"/>
  <c r="AG22" i="214"/>
  <c r="L36" i="213"/>
  <c r="BD51" i="213"/>
  <c r="AJ26" i="214"/>
  <c r="AP47" i="213"/>
  <c r="AT41" i="213"/>
  <c r="BQ32" i="213"/>
  <c r="AG28" i="213"/>
  <c r="P50" i="213"/>
  <c r="BG29" i="213"/>
  <c r="AW21" i="213"/>
  <c r="I26" i="213"/>
  <c r="P22" i="214"/>
  <c r="M51" i="213"/>
  <c r="BO36" i="213"/>
  <c r="C19" i="213"/>
  <c r="S32" i="213"/>
  <c r="E28" i="213"/>
  <c r="AY49" i="213"/>
  <c r="BE15" i="213"/>
  <c r="AL26" i="213"/>
  <c r="AJ20" i="213"/>
  <c r="BC45" i="213"/>
  <c r="B26" i="214"/>
  <c r="AB20" i="213"/>
  <c r="Z19" i="213"/>
  <c r="S11" i="214" l="1"/>
  <c r="AD11" i="214"/>
  <c r="AC11" i="214"/>
  <c r="AB11" i="214"/>
  <c r="T11" i="214"/>
  <c r="R11" i="214"/>
  <c r="O50" i="214"/>
  <c r="AP5" i="57"/>
  <c r="AR5" i="57" s="1"/>
  <c r="P6" i="4" s="1"/>
  <c r="O48" i="214"/>
  <c r="O49" i="214"/>
  <c r="O51" i="214"/>
  <c r="O52" i="214"/>
  <c r="O47" i="214"/>
  <c r="AD12" i="214"/>
  <c r="T12" i="214"/>
  <c r="S12" i="214"/>
  <c r="R12" i="214"/>
  <c r="AC12" i="214"/>
  <c r="AB12" i="214"/>
  <c r="U49" i="214"/>
  <c r="U50" i="214"/>
  <c r="U52" i="214"/>
  <c r="U47" i="214"/>
  <c r="U51" i="214"/>
  <c r="U48" i="214"/>
  <c r="AD27" i="214"/>
  <c r="AB27" i="214"/>
  <c r="R27" i="214"/>
  <c r="AC27" i="214"/>
  <c r="S27" i="214"/>
  <c r="T27" i="214"/>
  <c r="AB18" i="214"/>
  <c r="AC18" i="214"/>
  <c r="R18" i="214"/>
  <c r="T18" i="214"/>
  <c r="S18" i="214"/>
  <c r="AD18" i="214"/>
  <c r="S20" i="214"/>
  <c r="AC20" i="214"/>
  <c r="R20" i="214"/>
  <c r="T20" i="214"/>
  <c r="AB20" i="214"/>
  <c r="AD20" i="214"/>
  <c r="X47" i="214"/>
  <c r="X52" i="214"/>
  <c r="X50" i="214"/>
  <c r="X51" i="214"/>
  <c r="X48" i="214"/>
  <c r="X49" i="214"/>
  <c r="S13" i="214"/>
  <c r="AC13" i="214"/>
  <c r="AB13" i="214"/>
  <c r="R13" i="214"/>
  <c r="T13" i="214"/>
  <c r="AD13" i="214"/>
  <c r="R16" i="214"/>
  <c r="AB16" i="214"/>
  <c r="T16" i="214"/>
  <c r="AD16" i="214"/>
  <c r="AC16" i="214"/>
  <c r="S16" i="214"/>
  <c r="T23" i="214"/>
  <c r="R23" i="214"/>
  <c r="AD23" i="214"/>
  <c r="AC23" i="214"/>
  <c r="S23" i="214"/>
  <c r="AB23" i="214"/>
  <c r="T29" i="214"/>
  <c r="AD29" i="214"/>
  <c r="R29" i="214"/>
  <c r="AB29" i="214"/>
  <c r="AC29" i="214"/>
  <c r="S29" i="214"/>
  <c r="AC21" i="214"/>
  <c r="T21" i="214"/>
  <c r="AB21" i="214"/>
  <c r="AD21" i="214"/>
  <c r="S21" i="214"/>
  <c r="R21" i="214"/>
  <c r="AG49" i="214"/>
  <c r="AG48" i="214"/>
  <c r="AG50" i="214"/>
  <c r="AG47" i="214"/>
  <c r="AG51" i="214"/>
  <c r="AG52" i="214"/>
  <c r="S28" i="214"/>
  <c r="AD28" i="214"/>
  <c r="AB28" i="214"/>
  <c r="R28" i="214"/>
  <c r="T28" i="214"/>
  <c r="AC28" i="214"/>
  <c r="AF52" i="214"/>
  <c r="AF48" i="214"/>
  <c r="AF51" i="214"/>
  <c r="AF47" i="214"/>
  <c r="AF49" i="214"/>
  <c r="AF50" i="214"/>
  <c r="AC22" i="214"/>
  <c r="AD22" i="214"/>
  <c r="AB22" i="214"/>
  <c r="T22" i="214"/>
  <c r="R22" i="214"/>
  <c r="S22" i="214"/>
  <c r="R17" i="214"/>
  <c r="S17" i="214"/>
  <c r="AD17" i="214"/>
  <c r="AC17" i="214"/>
  <c r="T17" i="214"/>
  <c r="AB17" i="214"/>
  <c r="Z49" i="214"/>
  <c r="Z52" i="214"/>
  <c r="Z48" i="214"/>
  <c r="Z47" i="214"/>
  <c r="Z50" i="214"/>
  <c r="Z51" i="214"/>
  <c r="T24" i="214"/>
  <c r="R24" i="214"/>
  <c r="AD24" i="214"/>
  <c r="AB24" i="214"/>
  <c r="S24" i="214"/>
  <c r="AC24" i="214"/>
  <c r="AC15" i="214"/>
  <c r="R15" i="214"/>
  <c r="AD15" i="214"/>
  <c r="T15" i="214"/>
  <c r="AB15" i="214"/>
  <c r="S15" i="214"/>
  <c r="S26" i="214"/>
  <c r="AD26" i="214"/>
  <c r="T26" i="214"/>
  <c r="AB26" i="214"/>
  <c r="AC26" i="214"/>
  <c r="R26" i="214"/>
  <c r="T25" i="214"/>
  <c r="AD25" i="214"/>
  <c r="AC25" i="214"/>
  <c r="AB25" i="214"/>
  <c r="S25" i="214"/>
  <c r="R25" i="214"/>
  <c r="AB10" i="214"/>
  <c r="S10" i="214"/>
  <c r="AC10" i="214"/>
  <c r="T10" i="214"/>
  <c r="AP3" i="57"/>
  <c r="AR3" i="57" s="1"/>
  <c r="P4" i="4" s="1"/>
  <c r="AD10" i="214"/>
  <c r="I50" i="214"/>
  <c r="I48" i="214"/>
  <c r="I52" i="214"/>
  <c r="I49" i="214"/>
  <c r="I47" i="214"/>
  <c r="R10" i="214"/>
  <c r="I51" i="214"/>
  <c r="P51" i="214"/>
  <c r="P52" i="214"/>
  <c r="P49" i="214"/>
  <c r="P47" i="214"/>
  <c r="P48" i="214"/>
  <c r="P50" i="214"/>
  <c r="V52" i="214"/>
  <c r="V51" i="214"/>
  <c r="V47" i="214"/>
  <c r="V50" i="214"/>
  <c r="V49" i="214"/>
  <c r="V48" i="214"/>
  <c r="Y49" i="214"/>
  <c r="Y51" i="214"/>
  <c r="Y50" i="214"/>
  <c r="Y47" i="214"/>
  <c r="Y52" i="214"/>
  <c r="Y48" i="214"/>
  <c r="N51" i="214"/>
  <c r="N50" i="214"/>
  <c r="AP4" i="57"/>
  <c r="AR4" i="57" s="1"/>
  <c r="P5" i="4" s="1"/>
  <c r="N52" i="214"/>
  <c r="N47" i="214"/>
  <c r="N48" i="214"/>
  <c r="N49" i="214"/>
  <c r="S19" i="214"/>
  <c r="T19" i="214"/>
  <c r="AC19" i="214"/>
  <c r="R19" i="214"/>
  <c r="AB19" i="214"/>
  <c r="AD19" i="214"/>
  <c r="AC14" i="214"/>
  <c r="S14" i="214"/>
  <c r="AB14" i="214"/>
  <c r="R14" i="214"/>
  <c r="T14" i="214"/>
  <c r="AD14" i="214"/>
  <c r="F183" i="52"/>
  <c r="M189" i="241"/>
  <c r="F189" i="52"/>
  <c r="G275" i="73"/>
  <c r="Q230" i="73" s="1"/>
  <c r="S230" i="73" s="1"/>
  <c r="Q242" i="73"/>
  <c r="S242" i="73" s="1"/>
  <c r="Q241" i="73"/>
  <c r="S241" i="73" s="1"/>
  <c r="J137" i="73"/>
  <c r="J140" i="73" s="1"/>
  <c r="J266" i="73"/>
  <c r="J311" i="73" s="1"/>
  <c r="K137" i="73"/>
  <c r="K140" i="73" s="1"/>
  <c r="K266" i="73"/>
  <c r="K311" i="73" s="1"/>
  <c r="M137" i="73"/>
  <c r="M140" i="73" s="1"/>
  <c r="M144" i="73" s="1"/>
  <c r="M148" i="73" s="1"/>
  <c r="M266" i="73"/>
  <c r="M311" i="73" s="1"/>
  <c r="F137" i="73"/>
  <c r="F140" i="73" s="1"/>
  <c r="F144" i="73" s="1"/>
  <c r="F148" i="73" s="1"/>
  <c r="F266" i="73"/>
  <c r="F311" i="73" s="1"/>
  <c r="G137" i="73"/>
  <c r="G140" i="73" s="1"/>
  <c r="G144" i="73" s="1"/>
  <c r="G148" i="73" s="1"/>
  <c r="G266" i="73"/>
  <c r="G311" i="73" s="1"/>
  <c r="K247" i="73"/>
  <c r="K292" i="73" s="1"/>
  <c r="K248" i="73"/>
  <c r="K293" i="73" s="1"/>
  <c r="J247" i="73"/>
  <c r="J292" i="73" s="1"/>
  <c r="J248" i="73"/>
  <c r="J293" i="73" s="1"/>
  <c r="G247" i="73"/>
  <c r="G292" i="73" s="1"/>
  <c r="G248" i="73"/>
  <c r="G293" i="73" s="1"/>
  <c r="M247" i="73"/>
  <c r="M292" i="73" s="1"/>
  <c r="M248" i="73"/>
  <c r="M293" i="73" s="1"/>
  <c r="F247" i="73"/>
  <c r="F292" i="73" s="1"/>
  <c r="F248" i="73"/>
  <c r="F293" i="73" s="1"/>
  <c r="K244" i="73"/>
  <c r="K289" i="73" s="1"/>
  <c r="K245" i="73"/>
  <c r="K290" i="73" s="1"/>
  <c r="M244" i="73"/>
  <c r="M289" i="73" s="1"/>
  <c r="M245" i="73"/>
  <c r="M290" i="73" s="1"/>
  <c r="F244" i="73"/>
  <c r="F289" i="73" s="1"/>
  <c r="F245" i="73"/>
  <c r="F290" i="73" s="1"/>
  <c r="G244" i="73"/>
  <c r="G289" i="73" s="1"/>
  <c r="G245" i="73"/>
  <c r="G290" i="73" s="1"/>
  <c r="J244" i="73"/>
  <c r="J289" i="73" s="1"/>
  <c r="J245" i="73"/>
  <c r="J290" i="73" s="1"/>
  <c r="G238" i="73"/>
  <c r="G283" i="73" s="1"/>
  <c r="G239" i="73"/>
  <c r="G284" i="73" s="1"/>
  <c r="J238" i="73"/>
  <c r="J283" i="73" s="1"/>
  <c r="J239" i="73"/>
  <c r="J284" i="73" s="1"/>
  <c r="K238" i="73"/>
  <c r="K283" i="73" s="1"/>
  <c r="K239" i="73"/>
  <c r="K284" i="73" s="1"/>
  <c r="F238" i="73"/>
  <c r="F283" i="73" s="1"/>
  <c r="F239" i="73"/>
  <c r="F284" i="73" s="1"/>
  <c r="M238" i="73"/>
  <c r="M283" i="73" s="1"/>
  <c r="M239" i="73"/>
  <c r="M284" i="73" s="1"/>
  <c r="J182" i="73"/>
  <c r="J186" i="73" s="1"/>
  <c r="J188" i="73" s="1"/>
  <c r="K235" i="73"/>
  <c r="K280" i="73" s="1"/>
  <c r="K236" i="73"/>
  <c r="K281" i="73" s="1"/>
  <c r="J235" i="73"/>
  <c r="J280" i="73" s="1"/>
  <c r="J236" i="73"/>
  <c r="J281" i="73" s="1"/>
  <c r="G235" i="73"/>
  <c r="G280" i="73" s="1"/>
  <c r="G236" i="73"/>
  <c r="G281" i="73" s="1"/>
  <c r="M235" i="73"/>
  <c r="M280" i="73" s="1"/>
  <c r="M236" i="73"/>
  <c r="M281" i="73" s="1"/>
  <c r="F235" i="73"/>
  <c r="F280" i="73" s="1"/>
  <c r="F236" i="73"/>
  <c r="F281" i="73" s="1"/>
  <c r="K232" i="73"/>
  <c r="K277" i="73" s="1"/>
  <c r="K233" i="73"/>
  <c r="K278" i="73" s="1"/>
  <c r="J232" i="73"/>
  <c r="J277" i="73" s="1"/>
  <c r="J233" i="73"/>
  <c r="J278" i="73" s="1"/>
  <c r="F232" i="73"/>
  <c r="F277" i="73" s="1"/>
  <c r="F233" i="73"/>
  <c r="F278" i="73" s="1"/>
  <c r="G232" i="73"/>
  <c r="G277" i="73" s="1"/>
  <c r="G233" i="73"/>
  <c r="G278" i="73" s="1"/>
  <c r="M232" i="73"/>
  <c r="M277" i="73" s="1"/>
  <c r="M233" i="73"/>
  <c r="M278" i="73" s="1"/>
  <c r="M229" i="73"/>
  <c r="M274" i="73" s="1"/>
  <c r="F229" i="73"/>
  <c r="F274" i="73" s="1"/>
  <c r="K229" i="73"/>
  <c r="K274" i="73" s="1"/>
  <c r="J229" i="73"/>
  <c r="J274" i="73" s="1"/>
  <c r="G229" i="73"/>
  <c r="G274" i="73" s="1"/>
  <c r="E56" i="11"/>
  <c r="E23" i="11"/>
  <c r="E32" i="11"/>
  <c r="E35" i="11" s="1"/>
  <c r="E36" i="11" s="1"/>
  <c r="E38" i="11" s="1"/>
  <c r="E22" i="11"/>
  <c r="O21" i="256"/>
  <c r="X21" i="256" s="1"/>
  <c r="O24" i="256"/>
  <c r="X24" i="256" s="1"/>
  <c r="O15" i="256"/>
  <c r="T15" i="256" s="1"/>
  <c r="O14" i="256"/>
  <c r="T14" i="256" s="1"/>
  <c r="O30" i="256"/>
  <c r="T30" i="256" s="1"/>
  <c r="O29" i="256"/>
  <c r="X29" i="256" s="1"/>
  <c r="O38" i="256"/>
  <c r="X38" i="256" s="1"/>
  <c r="O37" i="256"/>
  <c r="X37" i="256" s="1"/>
  <c r="O12" i="256"/>
  <c r="T12" i="256" s="1"/>
  <c r="O28" i="256"/>
  <c r="O19" i="256"/>
  <c r="X19" i="256" s="1"/>
  <c r="O18" i="256"/>
  <c r="O34" i="256"/>
  <c r="O31" i="256"/>
  <c r="T31" i="256" s="1"/>
  <c r="O48" i="256"/>
  <c r="O36" i="256"/>
  <c r="O13" i="256"/>
  <c r="X13" i="256" s="1"/>
  <c r="O16" i="256"/>
  <c r="T16" i="256" s="1"/>
  <c r="O32" i="256"/>
  <c r="T32" i="256" s="1"/>
  <c r="O23" i="256"/>
  <c r="T23" i="256" s="1"/>
  <c r="O22" i="256"/>
  <c r="X22" i="256" s="1"/>
  <c r="O39" i="256"/>
  <c r="X39" i="256" s="1"/>
  <c r="O33" i="256"/>
  <c r="T33" i="256" s="1"/>
  <c r="O50" i="256"/>
  <c r="O17" i="256"/>
  <c r="T17" i="256" s="1"/>
  <c r="O20" i="256"/>
  <c r="T20" i="256" s="1"/>
  <c r="O11" i="256"/>
  <c r="T11" i="256" s="1"/>
  <c r="O10" i="256"/>
  <c r="O26" i="256"/>
  <c r="T26" i="256" s="1"/>
  <c r="O27" i="256"/>
  <c r="T27" i="256" s="1"/>
  <c r="O35" i="256"/>
  <c r="O25" i="256"/>
  <c r="T25" i="256" s="1"/>
  <c r="M181" i="241"/>
  <c r="M174" i="241"/>
  <c r="M173" i="241"/>
  <c r="M9" i="6"/>
  <c r="L93" i="6"/>
  <c r="L94" i="6" s="1"/>
  <c r="M190" i="241"/>
  <c r="X18" i="256"/>
  <c r="M195" i="241"/>
  <c r="M187" i="241"/>
  <c r="M179" i="241"/>
  <c r="M196" i="241"/>
  <c r="M188" i="241"/>
  <c r="M180" i="241"/>
  <c r="M172" i="241"/>
  <c r="M198" i="241" s="1"/>
  <c r="M193" i="241"/>
  <c r="M185" i="241"/>
  <c r="M177" i="241"/>
  <c r="M194" i="241"/>
  <c r="M186" i="241"/>
  <c r="M178" i="241"/>
  <c r="M191" i="241"/>
  <c r="M183" i="241"/>
  <c r="M175" i="241"/>
  <c r="M192" i="241"/>
  <c r="M184" i="241"/>
  <c r="L193" i="73"/>
  <c r="L197" i="73" s="1"/>
  <c r="L199" i="73" s="1"/>
  <c r="G25" i="11"/>
  <c r="F184" i="52"/>
  <c r="F190" i="52"/>
  <c r="F196" i="52"/>
  <c r="F176" i="52"/>
  <c r="F182" i="52"/>
  <c r="F188" i="52"/>
  <c r="F191" i="52"/>
  <c r="F178" i="52"/>
  <c r="F186" i="52"/>
  <c r="F175" i="52"/>
  <c r="F185" i="52"/>
  <c r="F181" i="52"/>
  <c r="F174" i="52"/>
  <c r="F187" i="52"/>
  <c r="F180" i="52"/>
  <c r="F177" i="52"/>
  <c r="F192" i="52"/>
  <c r="F194" i="52"/>
  <c r="F173" i="52"/>
  <c r="F193" i="52"/>
  <c r="F179" i="52"/>
  <c r="K140" i="52"/>
  <c r="K108" i="52"/>
  <c r="K92" i="52"/>
  <c r="K170" i="52"/>
  <c r="K204" i="52" s="1"/>
  <c r="K232" i="52" s="1"/>
  <c r="L15" i="52"/>
  <c r="H179" i="52"/>
  <c r="H187" i="52"/>
  <c r="H195" i="52"/>
  <c r="H178" i="52"/>
  <c r="H186" i="52"/>
  <c r="H194" i="52"/>
  <c r="H173" i="52"/>
  <c r="H181" i="52"/>
  <c r="H189" i="52"/>
  <c r="H172" i="52"/>
  <c r="H198" i="52" s="1"/>
  <c r="H180" i="52"/>
  <c r="H188" i="52"/>
  <c r="H196" i="52"/>
  <c r="H177" i="52"/>
  <c r="H185" i="52"/>
  <c r="H193" i="52"/>
  <c r="H176" i="52"/>
  <c r="H184" i="52"/>
  <c r="H192" i="52"/>
  <c r="H175" i="52"/>
  <c r="H183" i="52"/>
  <c r="H191" i="52"/>
  <c r="H174" i="52"/>
  <c r="H182" i="52"/>
  <c r="H190" i="52"/>
  <c r="E15" i="245"/>
  <c r="E40" i="245" s="1"/>
  <c r="H43" i="245"/>
  <c r="G182" i="73"/>
  <c r="G186" i="73" s="1"/>
  <c r="G188" i="73" s="1"/>
  <c r="K182" i="73"/>
  <c r="K186" i="73" s="1"/>
  <c r="K188" i="73" s="1"/>
  <c r="D223" i="73"/>
  <c r="E193" i="73"/>
  <c r="E197" i="73" s="1"/>
  <c r="E199" i="73" s="1"/>
  <c r="D170" i="73"/>
  <c r="D174" i="73" s="1"/>
  <c r="D176" i="73" s="1"/>
  <c r="I170" i="73"/>
  <c r="I174" i="73" s="1"/>
  <c r="I176" i="73" s="1"/>
  <c r="H170" i="73"/>
  <c r="H174" i="73" s="1"/>
  <c r="H176" i="73" s="1"/>
  <c r="E170" i="73"/>
  <c r="E174" i="73" s="1"/>
  <c r="E176" i="73" s="1"/>
  <c r="B18" i="232"/>
  <c r="G69" i="133"/>
  <c r="B3" i="5" s="1"/>
  <c r="L71" i="133"/>
  <c r="B70" i="133"/>
  <c r="U17" i="249"/>
  <c r="W17" i="249" s="1"/>
  <c r="V17" i="249"/>
  <c r="W41" i="244"/>
  <c r="W42" i="244"/>
  <c r="W43" i="244"/>
  <c r="W44" i="244"/>
  <c r="W46" i="244"/>
  <c r="W45" i="244"/>
  <c r="M133" i="73"/>
  <c r="M134" i="73" s="1"/>
  <c r="M159" i="73"/>
  <c r="M163" i="73" s="1"/>
  <c r="M165" i="73" s="1"/>
  <c r="I29" i="229"/>
  <c r="J29" i="229"/>
  <c r="M29" i="229"/>
  <c r="N29" i="229"/>
  <c r="H29" i="229"/>
  <c r="L29" i="229"/>
  <c r="K29" i="229"/>
  <c r="O29" i="229"/>
  <c r="G29" i="229"/>
  <c r="P29" i="229"/>
  <c r="D198" i="52"/>
  <c r="U172" i="52"/>
  <c r="U26" i="249"/>
  <c r="W26" i="249" s="1"/>
  <c r="V26" i="249"/>
  <c r="H48" i="11"/>
  <c r="H49" i="11" s="1"/>
  <c r="H51" i="11" s="1"/>
  <c r="X41" i="12"/>
  <c r="X42" i="12"/>
  <c r="X43" i="12"/>
  <c r="X44" i="12"/>
  <c r="X45" i="12"/>
  <c r="X46" i="12"/>
  <c r="Y10" i="12"/>
  <c r="J38" i="245"/>
  <c r="J34" i="245"/>
  <c r="J30" i="245"/>
  <c r="J26" i="245"/>
  <c r="J22" i="245"/>
  <c r="J18" i="245"/>
  <c r="J37" i="245"/>
  <c r="J33" i="245"/>
  <c r="J29" i="245"/>
  <c r="J25" i="245"/>
  <c r="J21" i="245"/>
  <c r="J17" i="245"/>
  <c r="J36" i="245"/>
  <c r="J32" i="245"/>
  <c r="J28" i="245"/>
  <c r="J24" i="245"/>
  <c r="J20" i="245"/>
  <c r="J16" i="245"/>
  <c r="J39" i="245"/>
  <c r="J35" i="245"/>
  <c r="J31" i="245"/>
  <c r="J27" i="245"/>
  <c r="J23" i="245"/>
  <c r="J19" i="245"/>
  <c r="J15" i="245"/>
  <c r="F133" i="73"/>
  <c r="F134" i="73" s="1"/>
  <c r="F159" i="73"/>
  <c r="F163" i="73" s="1"/>
  <c r="F165" i="73" s="1"/>
  <c r="C93" i="156"/>
  <c r="U23" i="249"/>
  <c r="W23" i="249" s="1"/>
  <c r="V23" i="249"/>
  <c r="Y23" i="249" s="1"/>
  <c r="O30" i="229"/>
  <c r="J30" i="229"/>
  <c r="I30" i="229"/>
  <c r="H193" i="73"/>
  <c r="H197" i="73" s="1"/>
  <c r="H199" i="73" s="1"/>
  <c r="E172" i="241"/>
  <c r="E198" i="241" s="1"/>
  <c r="E174" i="241"/>
  <c r="E176" i="241"/>
  <c r="E178" i="241"/>
  <c r="E180" i="241"/>
  <c r="E182" i="241"/>
  <c r="E184" i="241"/>
  <c r="E186" i="241"/>
  <c r="E188" i="241"/>
  <c r="E190" i="241"/>
  <c r="E192" i="241"/>
  <c r="E194" i="241"/>
  <c r="E196" i="241"/>
  <c r="E173" i="241"/>
  <c r="E175" i="241"/>
  <c r="E177" i="241"/>
  <c r="E179" i="241"/>
  <c r="E181" i="241"/>
  <c r="E183" i="241"/>
  <c r="E185" i="241"/>
  <c r="E187" i="241"/>
  <c r="E189" i="241"/>
  <c r="E191" i="241"/>
  <c r="E193" i="241"/>
  <c r="E195" i="241"/>
  <c r="U13" i="249"/>
  <c r="W13" i="249" s="1"/>
  <c r="V13" i="249"/>
  <c r="V24" i="249"/>
  <c r="U24" i="249"/>
  <c r="W24" i="249" s="1"/>
  <c r="I6" i="14"/>
  <c r="D32" i="14" s="1"/>
  <c r="D31" i="11"/>
  <c r="D42" i="11" s="1"/>
  <c r="D20" i="11"/>
  <c r="D21" i="11" s="1"/>
  <c r="D173" i="241"/>
  <c r="U173" i="241" s="1"/>
  <c r="D175" i="241"/>
  <c r="U175" i="241" s="1"/>
  <c r="D177" i="241"/>
  <c r="U177" i="241" s="1"/>
  <c r="D179" i="241"/>
  <c r="U179" i="241" s="1"/>
  <c r="D181" i="241"/>
  <c r="U181" i="241" s="1"/>
  <c r="D183" i="241"/>
  <c r="U183" i="241" s="1"/>
  <c r="D185" i="241"/>
  <c r="U185" i="241" s="1"/>
  <c r="D187" i="241"/>
  <c r="U187" i="241" s="1"/>
  <c r="D30" i="245" s="1"/>
  <c r="D189" i="241"/>
  <c r="U189" i="241" s="1"/>
  <c r="D32" i="245" s="1"/>
  <c r="D191" i="241"/>
  <c r="U191" i="241" s="1"/>
  <c r="D34" i="245" s="1"/>
  <c r="D193" i="241"/>
  <c r="U193" i="241" s="1"/>
  <c r="D36" i="245" s="1"/>
  <c r="D195" i="241"/>
  <c r="U195" i="241" s="1"/>
  <c r="D38" i="245" s="1"/>
  <c r="D172" i="241"/>
  <c r="D174" i="241"/>
  <c r="U174" i="241" s="1"/>
  <c r="D176" i="241"/>
  <c r="U176" i="241" s="1"/>
  <c r="D178" i="241"/>
  <c r="U178" i="241" s="1"/>
  <c r="D180" i="241"/>
  <c r="U180" i="241" s="1"/>
  <c r="D182" i="241"/>
  <c r="U182" i="241" s="1"/>
  <c r="D184" i="241"/>
  <c r="U184" i="241" s="1"/>
  <c r="D186" i="241"/>
  <c r="U186" i="241" s="1"/>
  <c r="D188" i="241"/>
  <c r="U188" i="241" s="1"/>
  <c r="D31" i="245" s="1"/>
  <c r="D190" i="241"/>
  <c r="U190" i="241" s="1"/>
  <c r="D33" i="245" s="1"/>
  <c r="D192" i="241"/>
  <c r="U192" i="241" s="1"/>
  <c r="D35" i="245" s="1"/>
  <c r="D194" i="241"/>
  <c r="U194" i="241" s="1"/>
  <c r="D37" i="245" s="1"/>
  <c r="D196" i="241"/>
  <c r="U196" i="241" s="1"/>
  <c r="O10" i="229"/>
  <c r="U37" i="249"/>
  <c r="W37" i="249" s="1"/>
  <c r="V37" i="249"/>
  <c r="U35" i="249"/>
  <c r="W35" i="249" s="1"/>
  <c r="V35" i="249"/>
  <c r="X28" i="256"/>
  <c r="U14" i="249"/>
  <c r="W14" i="249" s="1"/>
  <c r="V14" i="249"/>
  <c r="I193" i="73"/>
  <c r="I197" i="73" s="1"/>
  <c r="I199" i="73" s="1"/>
  <c r="T24" i="250"/>
  <c r="S41" i="250"/>
  <c r="S42" i="250"/>
  <c r="S43" i="250"/>
  <c r="S44" i="250"/>
  <c r="S45" i="250"/>
  <c r="S46" i="250"/>
  <c r="T10" i="250"/>
  <c r="T15" i="250"/>
  <c r="T39" i="250"/>
  <c r="L170" i="73"/>
  <c r="L174" i="73" s="1"/>
  <c r="L176" i="73" s="1"/>
  <c r="N28" i="229"/>
  <c r="K28" i="229"/>
  <c r="G28" i="229"/>
  <c r="J28" i="229"/>
  <c r="P28" i="229"/>
  <c r="I28" i="229"/>
  <c r="L28" i="229"/>
  <c r="O28" i="229"/>
  <c r="M28" i="229"/>
  <c r="H28" i="229"/>
  <c r="F28" i="229"/>
  <c r="M39" i="245"/>
  <c r="M35" i="245"/>
  <c r="M31" i="245"/>
  <c r="M27" i="245"/>
  <c r="M23" i="245"/>
  <c r="M19" i="245"/>
  <c r="M15" i="245"/>
  <c r="M38" i="245"/>
  <c r="M34" i="245"/>
  <c r="M30" i="245"/>
  <c r="M26" i="245"/>
  <c r="M22" i="245"/>
  <c r="M18" i="245"/>
  <c r="M37" i="245"/>
  <c r="M33" i="245"/>
  <c r="M29" i="245"/>
  <c r="M25" i="245"/>
  <c r="M21" i="245"/>
  <c r="M17" i="245"/>
  <c r="M36" i="245"/>
  <c r="M32" i="245"/>
  <c r="M28" i="245"/>
  <c r="M24" i="245"/>
  <c r="M20" i="245"/>
  <c r="M16" i="245"/>
  <c r="T12" i="250"/>
  <c r="T14" i="250"/>
  <c r="X23" i="250"/>
  <c r="T23" i="250"/>
  <c r="X11" i="250"/>
  <c r="T11" i="250"/>
  <c r="K73" i="133"/>
  <c r="P37" i="245"/>
  <c r="P33" i="245"/>
  <c r="P29" i="245"/>
  <c r="P25" i="245"/>
  <c r="P21" i="245"/>
  <c r="P17" i="245"/>
  <c r="P36" i="245"/>
  <c r="P32" i="245"/>
  <c r="P28" i="245"/>
  <c r="P24" i="245"/>
  <c r="P20" i="245"/>
  <c r="P16" i="245"/>
  <c r="P39" i="245"/>
  <c r="P35" i="245"/>
  <c r="P31" i="245"/>
  <c r="P27" i="245"/>
  <c r="P23" i="245"/>
  <c r="P19" i="245"/>
  <c r="P15" i="245"/>
  <c r="P38" i="245"/>
  <c r="P34" i="245"/>
  <c r="P30" i="245"/>
  <c r="P26" i="245"/>
  <c r="P22" i="245"/>
  <c r="P18" i="245"/>
  <c r="U21" i="249"/>
  <c r="W21" i="249" s="1"/>
  <c r="V21" i="249"/>
  <c r="X21" i="249" s="1"/>
  <c r="U19" i="249"/>
  <c r="W19" i="249" s="1"/>
  <c r="V19" i="249"/>
  <c r="U30" i="249"/>
  <c r="W30" i="249" s="1"/>
  <c r="V30" i="249"/>
  <c r="V28" i="249"/>
  <c r="U28" i="249"/>
  <c r="W28" i="249" s="1"/>
  <c r="F96" i="156"/>
  <c r="G96" i="156"/>
  <c r="X16" i="250"/>
  <c r="T16" i="250"/>
  <c r="T18" i="250"/>
  <c r="T27" i="250"/>
  <c r="T19" i="250"/>
  <c r="X19" i="250"/>
  <c r="U25" i="249"/>
  <c r="W25" i="249" s="1"/>
  <c r="V25" i="249"/>
  <c r="G35" i="11"/>
  <c r="G36" i="11" s="1"/>
  <c r="G38" i="11" s="1"/>
  <c r="K30" i="229"/>
  <c r="P30" i="229"/>
  <c r="U38" i="249"/>
  <c r="W38" i="249" s="1"/>
  <c r="V38" i="249"/>
  <c r="D193" i="73"/>
  <c r="D197" i="73" s="1"/>
  <c r="D199" i="73" s="1"/>
  <c r="T21" i="250"/>
  <c r="T36" i="250"/>
  <c r="T38" i="250"/>
  <c r="T37" i="250"/>
  <c r="N11" i="257"/>
  <c r="N15" i="257"/>
  <c r="N19" i="257"/>
  <c r="N23" i="257"/>
  <c r="N27" i="257"/>
  <c r="N31" i="257"/>
  <c r="N35" i="257"/>
  <c r="N39" i="257"/>
  <c r="N10" i="257"/>
  <c r="N14" i="257"/>
  <c r="N18" i="257"/>
  <c r="N22" i="257"/>
  <c r="N26" i="257"/>
  <c r="N30" i="257"/>
  <c r="N34" i="257"/>
  <c r="N38" i="257"/>
  <c r="N48" i="257"/>
  <c r="N50" i="257"/>
  <c r="Q6" i="257"/>
  <c r="N13" i="257"/>
  <c r="N17" i="257"/>
  <c r="N21" i="257"/>
  <c r="N25" i="257"/>
  <c r="N29" i="257"/>
  <c r="N33" i="257"/>
  <c r="N37" i="257"/>
  <c r="N12" i="257"/>
  <c r="N16" i="257"/>
  <c r="N20" i="257"/>
  <c r="N24" i="257"/>
  <c r="N28" i="257"/>
  <c r="N32" i="257"/>
  <c r="N36" i="257"/>
  <c r="M15" i="241"/>
  <c r="M140" i="241" s="1"/>
  <c r="L92" i="241"/>
  <c r="L108" i="241"/>
  <c r="L170" i="241"/>
  <c r="L204" i="241" s="1"/>
  <c r="L233" i="241" s="1"/>
  <c r="N41" i="251"/>
  <c r="N42" i="251"/>
  <c r="N43" i="251"/>
  <c r="N44" i="251"/>
  <c r="N45" i="251"/>
  <c r="N46" i="251"/>
  <c r="V12" i="249"/>
  <c r="U12" i="249"/>
  <c r="W12" i="249" s="1"/>
  <c r="G159" i="73"/>
  <c r="G163" i="73" s="1"/>
  <c r="G165" i="73" s="1"/>
  <c r="G133" i="73"/>
  <c r="G134" i="73" s="1"/>
  <c r="U29" i="249"/>
  <c r="W29" i="249" s="1"/>
  <c r="V29" i="249"/>
  <c r="U18" i="249"/>
  <c r="W18" i="249" s="1"/>
  <c r="V18" i="249"/>
  <c r="H173" i="241"/>
  <c r="H175" i="241"/>
  <c r="H177" i="241"/>
  <c r="H179" i="241"/>
  <c r="H181" i="241"/>
  <c r="H183" i="241"/>
  <c r="H185" i="241"/>
  <c r="H187" i="241"/>
  <c r="H189" i="241"/>
  <c r="H191" i="241"/>
  <c r="H193" i="241"/>
  <c r="H195" i="241"/>
  <c r="H172" i="241"/>
  <c r="H198" i="241" s="1"/>
  <c r="H174" i="241"/>
  <c r="H176" i="241"/>
  <c r="H178" i="241"/>
  <c r="H180" i="241"/>
  <c r="H182" i="241"/>
  <c r="H184" i="241"/>
  <c r="H186" i="241"/>
  <c r="H188" i="241"/>
  <c r="H190" i="241"/>
  <c r="H192" i="241"/>
  <c r="H194" i="241"/>
  <c r="H196" i="241"/>
  <c r="V20" i="249"/>
  <c r="Y20" i="249" s="1"/>
  <c r="U20" i="249"/>
  <c r="W20" i="249" s="1"/>
  <c r="O41" i="250"/>
  <c r="O42" i="250"/>
  <c r="O43" i="250"/>
  <c r="O44" i="250"/>
  <c r="O45" i="250"/>
  <c r="O46" i="250"/>
  <c r="G31" i="229"/>
  <c r="K31" i="229"/>
  <c r="O31" i="229"/>
  <c r="H31" i="229"/>
  <c r="L31" i="229"/>
  <c r="P31" i="229"/>
  <c r="I31" i="229"/>
  <c r="M31" i="229"/>
  <c r="C32" i="229"/>
  <c r="F31" i="229"/>
  <c r="J31" i="229"/>
  <c r="N31" i="229"/>
  <c r="L30" i="229"/>
  <c r="R27" i="62"/>
  <c r="R35" i="62"/>
  <c r="R28" i="62"/>
  <c r="R36" i="62"/>
  <c r="R31" i="62"/>
  <c r="R32" i="62"/>
  <c r="R36" i="48"/>
  <c r="R43" i="48"/>
  <c r="R39" i="48"/>
  <c r="R44" i="48"/>
  <c r="R35" i="48"/>
  <c r="R40" i="48"/>
  <c r="J19" i="39"/>
  <c r="L10" i="4"/>
  <c r="U10" i="249"/>
  <c r="T41" i="249"/>
  <c r="T42" i="249"/>
  <c r="T43" i="249"/>
  <c r="T44" i="249"/>
  <c r="T45" i="249"/>
  <c r="T46" i="249"/>
  <c r="V10" i="249"/>
  <c r="U27" i="249"/>
  <c r="W27" i="249" s="1"/>
  <c r="V27" i="249"/>
  <c r="Q10" i="251"/>
  <c r="Q14" i="251"/>
  <c r="Q18" i="251"/>
  <c r="Q13" i="251"/>
  <c r="Q17" i="251"/>
  <c r="Q12" i="251"/>
  <c r="Q16" i="251"/>
  <c r="Q20" i="251"/>
  <c r="Q11" i="251"/>
  <c r="Q15" i="251"/>
  <c r="Q19" i="251"/>
  <c r="Q23" i="251"/>
  <c r="Q27" i="251"/>
  <c r="Q31" i="251"/>
  <c r="Q35" i="251"/>
  <c r="Q39" i="251"/>
  <c r="Q22" i="251"/>
  <c r="Q26" i="251"/>
  <c r="Q30" i="251"/>
  <c r="Q34" i="251"/>
  <c r="Q38" i="251"/>
  <c r="Q25" i="251"/>
  <c r="Q29" i="251"/>
  <c r="Q33" i="251"/>
  <c r="Q37" i="251"/>
  <c r="Q21" i="251"/>
  <c r="Q24" i="251"/>
  <c r="Q28" i="251"/>
  <c r="Q32" i="251"/>
  <c r="Q36" i="251"/>
  <c r="U34" i="249"/>
  <c r="W34" i="249" s="1"/>
  <c r="V34" i="249"/>
  <c r="Y34" i="249" s="1"/>
  <c r="V32" i="249"/>
  <c r="U32" i="249"/>
  <c r="W32" i="249" s="1"/>
  <c r="J133" i="73"/>
  <c r="J134" i="73" s="1"/>
  <c r="J159" i="73"/>
  <c r="J163" i="73" s="1"/>
  <c r="J165" i="73" s="1"/>
  <c r="U15" i="249"/>
  <c r="W15" i="249" s="1"/>
  <c r="V15" i="249"/>
  <c r="T25" i="250"/>
  <c r="T26" i="250"/>
  <c r="T31" i="250"/>
  <c r="M182" i="73"/>
  <c r="M186" i="73" s="1"/>
  <c r="M188" i="73" s="1"/>
  <c r="E64" i="14"/>
  <c r="E67" i="14" s="1"/>
  <c r="F172" i="241"/>
  <c r="F198" i="241" s="1"/>
  <c r="F174" i="241"/>
  <c r="F176" i="241"/>
  <c r="F178" i="241"/>
  <c r="F180" i="241"/>
  <c r="F182" i="241"/>
  <c r="F184" i="241"/>
  <c r="F186" i="241"/>
  <c r="F188" i="241"/>
  <c r="F190" i="241"/>
  <c r="F192" i="241"/>
  <c r="F194" i="241"/>
  <c r="F196" i="241"/>
  <c r="F173" i="241"/>
  <c r="F175" i="241"/>
  <c r="F177" i="241"/>
  <c r="F179" i="241"/>
  <c r="F181" i="241"/>
  <c r="F183" i="241"/>
  <c r="F185" i="241"/>
  <c r="F187" i="241"/>
  <c r="F189" i="241"/>
  <c r="F191" i="241"/>
  <c r="F193" i="241"/>
  <c r="F195" i="241"/>
  <c r="X36" i="256"/>
  <c r="T13" i="250"/>
  <c r="T28" i="250"/>
  <c r="T30" i="250"/>
  <c r="T33" i="250"/>
  <c r="U11" i="249"/>
  <c r="W11" i="249" s="1"/>
  <c r="V11" i="249"/>
  <c r="Y11" i="249" s="1"/>
  <c r="V16" i="249"/>
  <c r="Y16" i="249" s="1"/>
  <c r="U16" i="249"/>
  <c r="W16" i="249" s="1"/>
  <c r="F182" i="73"/>
  <c r="F186" i="73" s="1"/>
  <c r="F188" i="73" s="1"/>
  <c r="U33" i="249"/>
  <c r="W33" i="249" s="1"/>
  <c r="V33" i="249"/>
  <c r="U31" i="249"/>
  <c r="W31" i="249" s="1"/>
  <c r="V31" i="249"/>
  <c r="T17" i="250"/>
  <c r="T32" i="250"/>
  <c r="T34" i="250"/>
  <c r="X34" i="250"/>
  <c r="X35" i="250"/>
  <c r="T35" i="250"/>
  <c r="U22" i="249"/>
  <c r="W22" i="249" s="1"/>
  <c r="V22" i="249"/>
  <c r="N30" i="229"/>
  <c r="M30" i="229"/>
  <c r="V36" i="249"/>
  <c r="U36" i="249"/>
  <c r="W36" i="249" s="1"/>
  <c r="J20" i="133"/>
  <c r="K19" i="133"/>
  <c r="B19" i="133" s="1"/>
  <c r="G19" i="133" s="1"/>
  <c r="B3" i="229" s="1"/>
  <c r="W41" i="12"/>
  <c r="W42" i="12"/>
  <c r="W43" i="12"/>
  <c r="W44" i="12"/>
  <c r="W45" i="12"/>
  <c r="W46" i="12"/>
  <c r="T20" i="250"/>
  <c r="X20" i="250"/>
  <c r="T22" i="250"/>
  <c r="X22" i="250"/>
  <c r="T29" i="250"/>
  <c r="K159" i="73"/>
  <c r="K163" i="73" s="1"/>
  <c r="K165" i="73" s="1"/>
  <c r="K133" i="73"/>
  <c r="K134" i="73" s="1"/>
  <c r="F32" i="126"/>
  <c r="D34" i="126"/>
  <c r="U39" i="249"/>
  <c r="W39" i="249" s="1"/>
  <c r="V39" i="249"/>
  <c r="BR19" i="213"/>
  <c r="BR45" i="213"/>
  <c r="BR21" i="213"/>
  <c r="BR26" i="213"/>
  <c r="BR35" i="213"/>
  <c r="BR38" i="213"/>
  <c r="BR30" i="213"/>
  <c r="BR25" i="213"/>
  <c r="BR29" i="213"/>
  <c r="BR48" i="213"/>
  <c r="BR42" i="213"/>
  <c r="BR17" i="213"/>
  <c r="BR40" i="213"/>
  <c r="BR28" i="213"/>
  <c r="BR34" i="213"/>
  <c r="BR37" i="213"/>
  <c r="BR49" i="213"/>
  <c r="BR47" i="213"/>
  <c r="BR31" i="213"/>
  <c r="BR53" i="213"/>
  <c r="BR51" i="213"/>
  <c r="BR36" i="213"/>
  <c r="BR23" i="213"/>
  <c r="BR41" i="213"/>
  <c r="BR16" i="213"/>
  <c r="BR50" i="213"/>
  <c r="BR15" i="213"/>
  <c r="BR39" i="213"/>
  <c r="BR20" i="213"/>
  <c r="BR33" i="213"/>
  <c r="BR32" i="213"/>
  <c r="BR44" i="213"/>
  <c r="BR24" i="213"/>
  <c r="BR22" i="213"/>
  <c r="BR27" i="213"/>
  <c r="BR52" i="213"/>
  <c r="BR18" i="213"/>
  <c r="BR46" i="213"/>
  <c r="R51" i="214" l="1"/>
  <c r="AC49" i="214"/>
  <c r="AD49" i="214"/>
  <c r="R52" i="214"/>
  <c r="AB52" i="214"/>
  <c r="AD51" i="214"/>
  <c r="S51" i="214"/>
  <c r="R47" i="214"/>
  <c r="T51" i="214"/>
  <c r="AC47" i="214"/>
  <c r="Q3" i="4"/>
  <c r="D48" i="248" s="1"/>
  <c r="AB49" i="214"/>
  <c r="AD50" i="214"/>
  <c r="R49" i="214"/>
  <c r="S48" i="214"/>
  <c r="AD52" i="214"/>
  <c r="R50" i="214"/>
  <c r="R48" i="214"/>
  <c r="S52" i="214"/>
  <c r="T52" i="214"/>
  <c r="AC52" i="214"/>
  <c r="AB50" i="214"/>
  <c r="AD47" i="214"/>
  <c r="S47" i="214"/>
  <c r="S49" i="214"/>
  <c r="AB47" i="214"/>
  <c r="AC50" i="214"/>
  <c r="T49" i="214"/>
  <c r="AC48" i="214"/>
  <c r="AB51" i="214"/>
  <c r="AB48" i="214"/>
  <c r="T50" i="214"/>
  <c r="AC51" i="214"/>
  <c r="T47" i="214"/>
  <c r="AD48" i="214"/>
  <c r="S50" i="214"/>
  <c r="T48" i="214"/>
  <c r="V27" i="256"/>
  <c r="U27" i="256"/>
  <c r="W27" i="256" s="1"/>
  <c r="U32" i="256"/>
  <c r="W32" i="256" s="1"/>
  <c r="V32" i="256"/>
  <c r="X32" i="256" s="1"/>
  <c r="Y32" i="256" s="1"/>
  <c r="X27" i="249"/>
  <c r="Y27" i="249" s="1"/>
  <c r="X24" i="249"/>
  <c r="G66" i="11"/>
  <c r="H142" i="73" s="1"/>
  <c r="I142" i="73" s="1"/>
  <c r="I144" i="73" s="1"/>
  <c r="I148" i="73" s="1"/>
  <c r="Q247" i="73"/>
  <c r="S247" i="73" s="1"/>
  <c r="Q245" i="73"/>
  <c r="S245" i="73" s="1"/>
  <c r="Q248" i="73"/>
  <c r="S248" i="73" s="1"/>
  <c r="Q266" i="73"/>
  <c r="S266" i="73" s="1"/>
  <c r="Q239" i="73"/>
  <c r="S239" i="73" s="1"/>
  <c r="Q235" i="73"/>
  <c r="S235" i="73" s="1"/>
  <c r="Q233" i="73"/>
  <c r="S233" i="73" s="1"/>
  <c r="Q236" i="73"/>
  <c r="S236" i="73" s="1"/>
  <c r="Q238" i="73"/>
  <c r="S238" i="73" s="1"/>
  <c r="Q244" i="73"/>
  <c r="S244" i="73" s="1"/>
  <c r="Q232" i="73"/>
  <c r="S232" i="73" s="1"/>
  <c r="Q229" i="73"/>
  <c r="S229" i="73" s="1"/>
  <c r="J193" i="73"/>
  <c r="J197" i="73" s="1"/>
  <c r="J199" i="73" s="1"/>
  <c r="E25" i="11"/>
  <c r="E66" i="11" s="1"/>
  <c r="D142" i="73" s="1"/>
  <c r="U25" i="256"/>
  <c r="W25" i="256" s="1"/>
  <c r="V25" i="256"/>
  <c r="T10" i="256"/>
  <c r="O42" i="256"/>
  <c r="O46" i="256"/>
  <c r="O43" i="256"/>
  <c r="O44" i="256"/>
  <c r="O41" i="256"/>
  <c r="O45" i="256"/>
  <c r="V23" i="256"/>
  <c r="U23" i="256"/>
  <c r="W23" i="256" s="1"/>
  <c r="U14" i="256"/>
  <c r="W14" i="256" s="1"/>
  <c r="V14" i="256"/>
  <c r="U11" i="256"/>
  <c r="W11" i="256" s="1"/>
  <c r="V11" i="256"/>
  <c r="V33" i="256"/>
  <c r="U33" i="256"/>
  <c r="W33" i="256" s="1"/>
  <c r="V15" i="256"/>
  <c r="U15" i="256"/>
  <c r="W15" i="256" s="1"/>
  <c r="V20" i="256"/>
  <c r="U20" i="256"/>
  <c r="W20" i="256" s="1"/>
  <c r="U16" i="256"/>
  <c r="W16" i="256" s="1"/>
  <c r="V16" i="256"/>
  <c r="V31" i="256"/>
  <c r="U31" i="256"/>
  <c r="W31" i="256" s="1"/>
  <c r="U26" i="256"/>
  <c r="W26" i="256" s="1"/>
  <c r="V26" i="256"/>
  <c r="V17" i="256"/>
  <c r="U17" i="256"/>
  <c r="W17" i="256" s="1"/>
  <c r="V12" i="256"/>
  <c r="U12" i="256"/>
  <c r="W12" i="256" s="1"/>
  <c r="U30" i="256"/>
  <c r="W30" i="256" s="1"/>
  <c r="V30" i="256"/>
  <c r="N9" i="6"/>
  <c r="M93" i="6"/>
  <c r="M94" i="6" s="1"/>
  <c r="X33" i="249"/>
  <c r="Y33" i="249" s="1"/>
  <c r="X32" i="249"/>
  <c r="Y32" i="249" s="1"/>
  <c r="X18" i="249"/>
  <c r="X30" i="249"/>
  <c r="Y30" i="249" s="1"/>
  <c r="X14" i="249"/>
  <c r="Y14" i="249" s="1"/>
  <c r="X12" i="249"/>
  <c r="Y12" i="249" s="1"/>
  <c r="X17" i="249"/>
  <c r="Y17" i="249" s="1"/>
  <c r="X36" i="249"/>
  <c r="X31" i="249"/>
  <c r="Y31" i="249" s="1"/>
  <c r="X15" i="249"/>
  <c r="Y15" i="249" s="1"/>
  <c r="X29" i="249"/>
  <c r="X13" i="249"/>
  <c r="L140" i="52"/>
  <c r="L92" i="52"/>
  <c r="L170" i="52"/>
  <c r="L204" i="52" s="1"/>
  <c r="L232" i="52" s="1"/>
  <c r="M15" i="52"/>
  <c r="L108" i="52"/>
  <c r="H144" i="73"/>
  <c r="H148" i="73" s="1"/>
  <c r="X38" i="249"/>
  <c r="X37" i="249"/>
  <c r="X39" i="249"/>
  <c r="K193" i="73"/>
  <c r="K197" i="73" s="1"/>
  <c r="K199" i="73" s="1"/>
  <c r="G193" i="73"/>
  <c r="G197" i="73" s="1"/>
  <c r="G199" i="73" s="1"/>
  <c r="B189" i="73"/>
  <c r="K170" i="73"/>
  <c r="K174" i="73" s="1"/>
  <c r="K176" i="73" s="1"/>
  <c r="G170" i="73"/>
  <c r="G174" i="73" s="1"/>
  <c r="G176" i="73" s="1"/>
  <c r="B166" i="73"/>
  <c r="H11" i="40" s="1"/>
  <c r="M193" i="73"/>
  <c r="M197" i="73" s="1"/>
  <c r="M199" i="73" s="1"/>
  <c r="O134" i="73"/>
  <c r="D8" i="248" s="1"/>
  <c r="V30" i="250"/>
  <c r="U30" i="250"/>
  <c r="W30" i="250" s="1"/>
  <c r="V13" i="250"/>
  <c r="U13" i="250"/>
  <c r="W13" i="250" s="1"/>
  <c r="V26" i="250"/>
  <c r="U26" i="250"/>
  <c r="W26" i="250" s="1"/>
  <c r="S28" i="251"/>
  <c r="Y28" i="251"/>
  <c r="S33" i="251"/>
  <c r="S34" i="251"/>
  <c r="S39" i="251"/>
  <c r="Y39" i="251"/>
  <c r="S23" i="251"/>
  <c r="S20" i="251"/>
  <c r="S13" i="251"/>
  <c r="Y13" i="251"/>
  <c r="Q13" i="257"/>
  <c r="Q17" i="257"/>
  <c r="Q21" i="257"/>
  <c r="Q25" i="257"/>
  <c r="Q29" i="257"/>
  <c r="Q33" i="257"/>
  <c r="Q37" i="257"/>
  <c r="Q12" i="257"/>
  <c r="Q16" i="257"/>
  <c r="Q20" i="257"/>
  <c r="Q24" i="257"/>
  <c r="Q28" i="257"/>
  <c r="Q32" i="257"/>
  <c r="Q36" i="257"/>
  <c r="Q11" i="257"/>
  <c r="Q15" i="257"/>
  <c r="Q19" i="257"/>
  <c r="Q23" i="257"/>
  <c r="Q27" i="257"/>
  <c r="Q31" i="257"/>
  <c r="Q35" i="257"/>
  <c r="Q39" i="257"/>
  <c r="Q10" i="257"/>
  <c r="Q14" i="257"/>
  <c r="Q18" i="257"/>
  <c r="Q22" i="257"/>
  <c r="Q26" i="257"/>
  <c r="Q30" i="257"/>
  <c r="Q34" i="257"/>
  <c r="Q38" i="257"/>
  <c r="U37" i="250"/>
  <c r="W37" i="250" s="1"/>
  <c r="V37" i="250"/>
  <c r="U16" i="250"/>
  <c r="W16" i="250" s="1"/>
  <c r="V16" i="250"/>
  <c r="Y16" i="250" s="1"/>
  <c r="V14" i="250"/>
  <c r="U14" i="250"/>
  <c r="W14" i="250" s="1"/>
  <c r="U39" i="250"/>
  <c r="W39" i="250" s="1"/>
  <c r="V39" i="250"/>
  <c r="D27" i="245"/>
  <c r="D21" i="242"/>
  <c r="H21" i="242" s="1"/>
  <c r="D19" i="245"/>
  <c r="D13" i="242"/>
  <c r="H13" i="242" s="1"/>
  <c r="D28" i="245"/>
  <c r="D22" i="242"/>
  <c r="H22" i="242" s="1"/>
  <c r="D20" i="245"/>
  <c r="D14" i="242"/>
  <c r="H14" i="242" s="1"/>
  <c r="D48" i="11"/>
  <c r="D49" i="11" s="1"/>
  <c r="D51" i="11" s="1"/>
  <c r="F93" i="156"/>
  <c r="G93" i="156"/>
  <c r="X26" i="249"/>
  <c r="Y26" i="249" s="1"/>
  <c r="B19" i="232"/>
  <c r="G70" i="133"/>
  <c r="B3" i="2" s="1"/>
  <c r="E72" i="133"/>
  <c r="E20" i="232" s="1"/>
  <c r="U29" i="250"/>
  <c r="W29" i="250" s="1"/>
  <c r="V29" i="250"/>
  <c r="F53" i="126"/>
  <c r="F48" i="126"/>
  <c r="F34" i="126"/>
  <c r="G34" i="126" s="1"/>
  <c r="F47" i="126"/>
  <c r="F54" i="126"/>
  <c r="U20" i="250"/>
  <c r="W20" i="250" s="1"/>
  <c r="V20" i="250"/>
  <c r="Y20" i="250" s="1"/>
  <c r="J21" i="133"/>
  <c r="K20" i="133"/>
  <c r="B20" i="133" s="1"/>
  <c r="G20" i="133" s="1"/>
  <c r="B3" i="10" s="1"/>
  <c r="V34" i="250"/>
  <c r="Y34" i="250" s="1"/>
  <c r="U34" i="250"/>
  <c r="W34" i="250" s="1"/>
  <c r="V17" i="250"/>
  <c r="U17" i="250"/>
  <c r="W17" i="250" s="1"/>
  <c r="O6" i="251"/>
  <c r="H16" i="11"/>
  <c r="H56" i="11" s="1"/>
  <c r="U31" i="250"/>
  <c r="W31" i="250" s="1"/>
  <c r="V31" i="250"/>
  <c r="J170" i="73"/>
  <c r="J174" i="73" s="1"/>
  <c r="J176" i="73" s="1"/>
  <c r="S24" i="251"/>
  <c r="Y24" i="251"/>
  <c r="S29" i="251"/>
  <c r="Y29" i="251"/>
  <c r="S30" i="251"/>
  <c r="S35" i="251"/>
  <c r="Y35" i="251"/>
  <c r="S19" i="251"/>
  <c r="Y19" i="251"/>
  <c r="S16" i="251"/>
  <c r="S18" i="251"/>
  <c r="Y18" i="251"/>
  <c r="N15" i="241"/>
  <c r="N140" i="241" s="1"/>
  <c r="M108" i="241"/>
  <c r="M92" i="241"/>
  <c r="M170" i="241"/>
  <c r="M204" i="241" s="1"/>
  <c r="M233" i="241" s="1"/>
  <c r="V36" i="250"/>
  <c r="U36" i="250"/>
  <c r="W36" i="250" s="1"/>
  <c r="U27" i="250"/>
  <c r="W27" i="250" s="1"/>
  <c r="V27" i="250"/>
  <c r="X28" i="249"/>
  <c r="U23" i="250"/>
  <c r="W23" i="250" s="1"/>
  <c r="V23" i="250"/>
  <c r="Y23" i="250" s="1"/>
  <c r="V10" i="250"/>
  <c r="T42" i="250"/>
  <c r="U10" i="250"/>
  <c r="T41" i="250"/>
  <c r="T43" i="250"/>
  <c r="T44" i="250"/>
  <c r="T45" i="250"/>
  <c r="T46" i="250"/>
  <c r="U24" i="250"/>
  <c r="W24" i="250" s="1"/>
  <c r="V24" i="250"/>
  <c r="P10" i="229"/>
  <c r="H18" i="229" s="1"/>
  <c r="D25" i="245"/>
  <c r="D19" i="242"/>
  <c r="H19" i="242" s="1"/>
  <c r="D17" i="245"/>
  <c r="D11" i="242"/>
  <c r="H11" i="242" s="1"/>
  <c r="D26" i="245"/>
  <c r="D20" i="242"/>
  <c r="H20" i="242" s="1"/>
  <c r="D18" i="245"/>
  <c r="D12" i="242"/>
  <c r="H12" i="242" s="1"/>
  <c r="F170" i="73"/>
  <c r="F174" i="73" s="1"/>
  <c r="F176" i="73" s="1"/>
  <c r="M170" i="73"/>
  <c r="M174" i="73" s="1"/>
  <c r="M176" i="73" s="1"/>
  <c r="L72" i="133"/>
  <c r="B71" i="133"/>
  <c r="U35" i="250"/>
  <c r="W35" i="250" s="1"/>
  <c r="V35" i="250"/>
  <c r="V32" i="250"/>
  <c r="U32" i="250"/>
  <c r="W32" i="250" s="1"/>
  <c r="U33" i="250"/>
  <c r="W33" i="250" s="1"/>
  <c r="V33" i="250"/>
  <c r="V28" i="250"/>
  <c r="U28" i="250"/>
  <c r="W28" i="250" s="1"/>
  <c r="V25" i="250"/>
  <c r="U25" i="250"/>
  <c r="W25" i="250" s="1"/>
  <c r="S36" i="251"/>
  <c r="Y36" i="251"/>
  <c r="S21" i="251"/>
  <c r="Y21" i="251"/>
  <c r="S25" i="251"/>
  <c r="S26" i="251"/>
  <c r="S31" i="251"/>
  <c r="S15" i="251"/>
  <c r="S12" i="251"/>
  <c r="S14" i="251"/>
  <c r="U41" i="249"/>
  <c r="U42" i="249"/>
  <c r="U43" i="249"/>
  <c r="U44" i="249"/>
  <c r="U45" i="249"/>
  <c r="U46" i="249"/>
  <c r="W10" i="249"/>
  <c r="X10" i="249" s="1"/>
  <c r="Y10" i="249" s="1"/>
  <c r="N41" i="257"/>
  <c r="N42" i="257"/>
  <c r="N43" i="257"/>
  <c r="N44" i="257"/>
  <c r="N45" i="257"/>
  <c r="N46" i="257"/>
  <c r="V18" i="250"/>
  <c r="U18" i="250"/>
  <c r="W18" i="250" s="1"/>
  <c r="U12" i="250"/>
  <c r="W12" i="250" s="1"/>
  <c r="V12" i="250"/>
  <c r="D39" i="245"/>
  <c r="D24" i="242"/>
  <c r="H24" i="242" s="1"/>
  <c r="D23" i="245"/>
  <c r="D17" i="242"/>
  <c r="H17" i="242" s="1"/>
  <c r="D198" i="241"/>
  <c r="U172" i="241"/>
  <c r="D24" i="245"/>
  <c r="D18" i="242"/>
  <c r="H18" i="242" s="1"/>
  <c r="D16" i="245"/>
  <c r="D10" i="242"/>
  <c r="H10" i="242" s="1"/>
  <c r="D30" i="14"/>
  <c r="E30" i="14" s="1"/>
  <c r="D31" i="14"/>
  <c r="E31" i="14" s="1"/>
  <c r="D33" i="14"/>
  <c r="E33" i="14" s="1"/>
  <c r="U198" i="52"/>
  <c r="W198" i="52" s="1"/>
  <c r="D10" i="248" s="1"/>
  <c r="D9" i="66"/>
  <c r="V22" i="250"/>
  <c r="U22" i="250"/>
  <c r="W22" i="250" s="1"/>
  <c r="F193" i="73"/>
  <c r="F197" i="73" s="1"/>
  <c r="F199" i="73" s="1"/>
  <c r="S32" i="251"/>
  <c r="S37" i="251"/>
  <c r="Y37" i="251"/>
  <c r="S38" i="251"/>
  <c r="Y38" i="251"/>
  <c r="S22" i="251"/>
  <c r="Y22" i="251"/>
  <c r="S27" i="251"/>
  <c r="S11" i="251"/>
  <c r="S17" i="251"/>
  <c r="S10" i="251"/>
  <c r="Q41" i="251"/>
  <c r="Q42" i="251"/>
  <c r="Q43" i="251"/>
  <c r="Q44" i="251"/>
  <c r="Q45" i="251"/>
  <c r="Q46" i="251"/>
  <c r="V41" i="249"/>
  <c r="V42" i="249"/>
  <c r="V43" i="249"/>
  <c r="V44" i="249"/>
  <c r="V45" i="249"/>
  <c r="V46" i="249"/>
  <c r="F32" i="229"/>
  <c r="J32" i="229"/>
  <c r="N32" i="229"/>
  <c r="G32" i="229"/>
  <c r="K32" i="229"/>
  <c r="O32" i="229"/>
  <c r="H32" i="229"/>
  <c r="L32" i="229"/>
  <c r="P32" i="229"/>
  <c r="I32" i="229"/>
  <c r="M32" i="229"/>
  <c r="C33" i="229"/>
  <c r="V38" i="250"/>
  <c r="U38" i="250"/>
  <c r="W38" i="250" s="1"/>
  <c r="V21" i="250"/>
  <c r="U21" i="250"/>
  <c r="W21" i="250" s="1"/>
  <c r="X25" i="249"/>
  <c r="U19" i="250"/>
  <c r="W19" i="250" s="1"/>
  <c r="V19" i="250"/>
  <c r="U11" i="250"/>
  <c r="W11" i="250" s="1"/>
  <c r="V11" i="250"/>
  <c r="Y11" i="250" s="1"/>
  <c r="U15" i="250"/>
  <c r="W15" i="250" s="1"/>
  <c r="V15" i="250"/>
  <c r="D29" i="245"/>
  <c r="D23" i="242"/>
  <c r="H23" i="242" s="1"/>
  <c r="D21" i="245"/>
  <c r="D15" i="242"/>
  <c r="H15" i="242" s="1"/>
  <c r="D22" i="245"/>
  <c r="D16" i="242"/>
  <c r="H16" i="242" s="1"/>
  <c r="J28" i="48"/>
  <c r="J20" i="62" s="1"/>
  <c r="D62" i="6"/>
  <c r="I70" i="6"/>
  <c r="D16" i="248" s="1"/>
  <c r="G69" i="6"/>
  <c r="D18" i="248" s="1"/>
  <c r="F70" i="6"/>
  <c r="Y41" i="12"/>
  <c r="Y42" i="12"/>
  <c r="Y43" i="12"/>
  <c r="Y44" i="12"/>
  <c r="AB43" i="12" s="1"/>
  <c r="AB45" i="12" s="1"/>
  <c r="Y45" i="12"/>
  <c r="Y46" i="12"/>
  <c r="X38" i="250" l="1"/>
  <c r="X24" i="250"/>
  <c r="X27" i="256"/>
  <c r="Y27" i="256" s="1"/>
  <c r="X27" i="250"/>
  <c r="Y27" i="250" s="1"/>
  <c r="X21" i="250"/>
  <c r="S268" i="73"/>
  <c r="S271" i="73" s="1"/>
  <c r="X12" i="256"/>
  <c r="Y12" i="256" s="1"/>
  <c r="X15" i="256"/>
  <c r="Y15" i="256" s="1"/>
  <c r="X23" i="256"/>
  <c r="Y23" i="256" s="1"/>
  <c r="X25" i="256"/>
  <c r="Y25" i="256" s="1"/>
  <c r="E142" i="73"/>
  <c r="E144" i="73" s="1"/>
  <c r="E148" i="73" s="1"/>
  <c r="D144" i="73"/>
  <c r="D148" i="73" s="1"/>
  <c r="X17" i="256"/>
  <c r="Y17" i="256" s="1"/>
  <c r="X14" i="256"/>
  <c r="Y14" i="256" s="1"/>
  <c r="X31" i="256"/>
  <c r="Y31" i="256" s="1"/>
  <c r="X20" i="256"/>
  <c r="Y20" i="256" s="1"/>
  <c r="X33" i="256"/>
  <c r="Y33" i="256" s="1"/>
  <c r="N18" i="229"/>
  <c r="X26" i="256"/>
  <c r="Y26" i="256" s="1"/>
  <c r="X16" i="256"/>
  <c r="Y16" i="256" s="1"/>
  <c r="X11" i="256"/>
  <c r="Y11" i="256" s="1"/>
  <c r="T42" i="256"/>
  <c r="T46" i="256"/>
  <c r="V10" i="256"/>
  <c r="T43" i="256"/>
  <c r="U10" i="256"/>
  <c r="T44" i="256"/>
  <c r="T41" i="256"/>
  <c r="T45" i="256"/>
  <c r="F18" i="229"/>
  <c r="K18" i="229"/>
  <c r="X30" i="256"/>
  <c r="Y30" i="256" s="1"/>
  <c r="L18" i="229"/>
  <c r="O18" i="229"/>
  <c r="G18" i="229"/>
  <c r="O9" i="6"/>
  <c r="O93" i="6" s="1"/>
  <c r="N93" i="6"/>
  <c r="X18" i="250"/>
  <c r="X39" i="250"/>
  <c r="X37" i="250"/>
  <c r="X29" i="250"/>
  <c r="X30" i="250"/>
  <c r="Y30" i="250" s="1"/>
  <c r="X15" i="250"/>
  <c r="Y15" i="250" s="1"/>
  <c r="X12" i="250"/>
  <c r="Y12" i="250" s="1"/>
  <c r="X17" i="250"/>
  <c r="Y17" i="250" s="1"/>
  <c r="X13" i="250"/>
  <c r="M140" i="52"/>
  <c r="M170" i="52"/>
  <c r="M204" i="52" s="1"/>
  <c r="M232" i="52" s="1"/>
  <c r="N15" i="52"/>
  <c r="M108" i="52"/>
  <c r="M92" i="52"/>
  <c r="X25" i="250"/>
  <c r="Y25" i="250" s="1"/>
  <c r="X31" i="250"/>
  <c r="Y31" i="250" s="1"/>
  <c r="X28" i="250"/>
  <c r="X32" i="250"/>
  <c r="Y32" i="250" s="1"/>
  <c r="X36" i="250"/>
  <c r="B200" i="73"/>
  <c r="D203" i="73" s="1"/>
  <c r="F203" i="73" s="1"/>
  <c r="Q20" i="73" s="1"/>
  <c r="S41" i="251"/>
  <c r="S42" i="251"/>
  <c r="S43" i="251"/>
  <c r="S44" i="251"/>
  <c r="S45" i="251"/>
  <c r="S46" i="251"/>
  <c r="X11" i="251"/>
  <c r="T11" i="251"/>
  <c r="T22" i="251"/>
  <c r="X22" i="251"/>
  <c r="T37" i="251"/>
  <c r="H9" i="66"/>
  <c r="D26" i="66"/>
  <c r="D32" i="66" s="1"/>
  <c r="D12" i="248" s="1"/>
  <c r="E32" i="14"/>
  <c r="E35" i="14" s="1"/>
  <c r="X33" i="250"/>
  <c r="Y33" i="250" s="1"/>
  <c r="L73" i="133"/>
  <c r="B73" i="133" s="1"/>
  <c r="G73" i="133" s="1"/>
  <c r="B72" i="133"/>
  <c r="M18" i="229"/>
  <c r="I18" i="229"/>
  <c r="P18" i="229"/>
  <c r="J18" i="229"/>
  <c r="W10" i="250"/>
  <c r="X10" i="250" s="1"/>
  <c r="Y10" i="250" s="1"/>
  <c r="U41" i="250"/>
  <c r="U42" i="250"/>
  <c r="U43" i="250"/>
  <c r="U44" i="250"/>
  <c r="U45" i="250"/>
  <c r="U46" i="250"/>
  <c r="K21" i="133"/>
  <c r="B21" i="133" s="1"/>
  <c r="G21" i="133" s="1"/>
  <c r="B3" i="8" s="1"/>
  <c r="J24" i="133"/>
  <c r="L13" i="126"/>
  <c r="L14" i="126" s="1"/>
  <c r="L45" i="126"/>
  <c r="F58" i="126"/>
  <c r="S34" i="257"/>
  <c r="S18" i="257"/>
  <c r="Y18" i="257"/>
  <c r="S35" i="257"/>
  <c r="Y35" i="257"/>
  <c r="S19" i="257"/>
  <c r="Y19" i="257"/>
  <c r="S32" i="257"/>
  <c r="S16" i="257"/>
  <c r="S29" i="257"/>
  <c r="Y29" i="257"/>
  <c r="S13" i="257"/>
  <c r="Y13" i="257"/>
  <c r="X20" i="251"/>
  <c r="T20" i="251"/>
  <c r="T39" i="251"/>
  <c r="X26" i="250"/>
  <c r="Y26" i="250" s="1"/>
  <c r="J27" i="62"/>
  <c r="J35" i="62"/>
  <c r="J31" i="62"/>
  <c r="J35" i="48"/>
  <c r="J43" i="48"/>
  <c r="J39" i="48"/>
  <c r="G62" i="6"/>
  <c r="K62" i="6"/>
  <c r="O62" i="6"/>
  <c r="F72" i="6" s="1"/>
  <c r="H62" i="6"/>
  <c r="L62" i="6"/>
  <c r="I62" i="6"/>
  <c r="M62" i="6"/>
  <c r="F62" i="6"/>
  <c r="J62" i="6"/>
  <c r="N62" i="6"/>
  <c r="Y25" i="249"/>
  <c r="X44" i="249"/>
  <c r="X41" i="249"/>
  <c r="X45" i="249"/>
  <c r="X42" i="249"/>
  <c r="X46" i="249"/>
  <c r="X43" i="249"/>
  <c r="W41" i="249"/>
  <c r="W42" i="249"/>
  <c r="W43" i="249"/>
  <c r="W44" i="249"/>
  <c r="W45" i="249"/>
  <c r="W46" i="249"/>
  <c r="T21" i="251"/>
  <c r="T18" i="251"/>
  <c r="T19" i="251"/>
  <c r="X19" i="251"/>
  <c r="T24" i="251"/>
  <c r="H22" i="11"/>
  <c r="H23" i="11"/>
  <c r="H32" i="11"/>
  <c r="S30" i="257"/>
  <c r="S14" i="257"/>
  <c r="S31" i="257"/>
  <c r="S15" i="257"/>
  <c r="S28" i="257"/>
  <c r="Y28" i="257"/>
  <c r="S12" i="257"/>
  <c r="S25" i="257"/>
  <c r="T38" i="251"/>
  <c r="D15" i="245"/>
  <c r="D9" i="242"/>
  <c r="U198" i="241"/>
  <c r="W198" i="241" s="1"/>
  <c r="B177" i="73"/>
  <c r="H13" i="40" s="1"/>
  <c r="V42" i="250"/>
  <c r="V44" i="250"/>
  <c r="V45" i="250"/>
  <c r="V46" i="250"/>
  <c r="V41" i="250"/>
  <c r="V43" i="250"/>
  <c r="O13" i="251"/>
  <c r="O17" i="251"/>
  <c r="T17" i="251" s="1"/>
  <c r="O12" i="251"/>
  <c r="O16" i="251"/>
  <c r="O20" i="251"/>
  <c r="O11" i="251"/>
  <c r="O15" i="251"/>
  <c r="T15" i="251" s="1"/>
  <c r="O19" i="251"/>
  <c r="O10" i="251"/>
  <c r="T10" i="251" s="1"/>
  <c r="O14" i="251"/>
  <c r="T14" i="251" s="1"/>
  <c r="O18" i="251"/>
  <c r="O22" i="251"/>
  <c r="O26" i="251"/>
  <c r="T26" i="251" s="1"/>
  <c r="O30" i="251"/>
  <c r="T30" i="251" s="1"/>
  <c r="O34" i="251"/>
  <c r="O38" i="251"/>
  <c r="O48" i="251"/>
  <c r="O50" i="251"/>
  <c r="O25" i="251"/>
  <c r="T25" i="251" s="1"/>
  <c r="O29" i="251"/>
  <c r="O33" i="251"/>
  <c r="T33" i="251" s="1"/>
  <c r="O37" i="251"/>
  <c r="O21" i="251"/>
  <c r="O24" i="251"/>
  <c r="O28" i="251"/>
  <c r="O32" i="251"/>
  <c r="T32" i="251" s="1"/>
  <c r="O36" i="251"/>
  <c r="O23" i="251"/>
  <c r="O27" i="251"/>
  <c r="T27" i="251" s="1"/>
  <c r="O31" i="251"/>
  <c r="T31" i="251" s="1"/>
  <c r="O35" i="251"/>
  <c r="O39" i="251"/>
  <c r="X14" i="250"/>
  <c r="S26" i="257"/>
  <c r="S10" i="257"/>
  <c r="Q41" i="257"/>
  <c r="Q42" i="257"/>
  <c r="Q43" i="257"/>
  <c r="Q44" i="257"/>
  <c r="Q45" i="257"/>
  <c r="Q46" i="257"/>
  <c r="S27" i="257"/>
  <c r="S11" i="257"/>
  <c r="S24" i="257"/>
  <c r="Y24" i="257"/>
  <c r="S37" i="257"/>
  <c r="Y37" i="257"/>
  <c r="S21" i="257"/>
  <c r="Y21" i="257"/>
  <c r="T13" i="251"/>
  <c r="T23" i="251"/>
  <c r="X23" i="251"/>
  <c r="T34" i="251"/>
  <c r="X34" i="251"/>
  <c r="T28" i="251"/>
  <c r="I33" i="229"/>
  <c r="M33" i="229"/>
  <c r="C34" i="229"/>
  <c r="F33" i="229"/>
  <c r="J33" i="229"/>
  <c r="N33" i="229"/>
  <c r="G33" i="229"/>
  <c r="K33" i="229"/>
  <c r="O33" i="229"/>
  <c r="H33" i="229"/>
  <c r="L33" i="229"/>
  <c r="P33" i="229"/>
  <c r="T12" i="251"/>
  <c r="T36" i="251"/>
  <c r="B20" i="232"/>
  <c r="G71" i="133"/>
  <c r="E73" i="133"/>
  <c r="E21" i="232" s="1"/>
  <c r="N92" i="241"/>
  <c r="O15" i="241"/>
  <c r="O140" i="241" s="1"/>
  <c r="N170" i="241"/>
  <c r="N204" i="241" s="1"/>
  <c r="N233" i="241" s="1"/>
  <c r="N108" i="241"/>
  <c r="T16" i="251"/>
  <c r="X16" i="251"/>
  <c r="T35" i="251"/>
  <c r="X35" i="251"/>
  <c r="T29" i="251"/>
  <c r="R23" i="62"/>
  <c r="R24" i="62"/>
  <c r="R31" i="48"/>
  <c r="R32" i="48"/>
  <c r="M3" i="10"/>
  <c r="L46" i="126"/>
  <c r="S38" i="257"/>
  <c r="Y38" i="257"/>
  <c r="S22" i="257"/>
  <c r="Y22" i="257"/>
  <c r="S39" i="257"/>
  <c r="Y39" i="257"/>
  <c r="S23" i="257"/>
  <c r="S36" i="257"/>
  <c r="Y36" i="257"/>
  <c r="S20" i="257"/>
  <c r="S33" i="257"/>
  <c r="S17" i="257"/>
  <c r="S270" i="73" l="1"/>
  <c r="R10" i="4"/>
  <c r="R11" i="4" s="1"/>
  <c r="V41" i="256"/>
  <c r="V45" i="256"/>
  <c r="V42" i="256"/>
  <c r="V46" i="256"/>
  <c r="V43" i="256"/>
  <c r="V44" i="256"/>
  <c r="U42" i="256"/>
  <c r="U46" i="256"/>
  <c r="U44" i="256"/>
  <c r="U43" i="256"/>
  <c r="U45" i="256"/>
  <c r="W10" i="256"/>
  <c r="U41" i="256"/>
  <c r="N94" i="6"/>
  <c r="O94" i="6"/>
  <c r="B96" i="6" a="1"/>
  <c r="H25" i="11"/>
  <c r="N140" i="52"/>
  <c r="N108" i="52"/>
  <c r="N92" i="52"/>
  <c r="N170" i="52"/>
  <c r="N204" i="52" s="1"/>
  <c r="N232" i="52" s="1"/>
  <c r="O15" i="52"/>
  <c r="R18" i="229"/>
  <c r="U25" i="251"/>
  <c r="W25" i="251" s="1"/>
  <c r="V25" i="251"/>
  <c r="V14" i="251"/>
  <c r="U14" i="251"/>
  <c r="W14" i="251" s="1"/>
  <c r="U33" i="251"/>
  <c r="W33" i="251" s="1"/>
  <c r="V33" i="251"/>
  <c r="U26" i="251"/>
  <c r="W26" i="251" s="1"/>
  <c r="V26" i="251"/>
  <c r="U36" i="251"/>
  <c r="W36" i="251" s="1"/>
  <c r="V36" i="251"/>
  <c r="T17" i="257"/>
  <c r="X17" i="257"/>
  <c r="X20" i="257"/>
  <c r="T20" i="257"/>
  <c r="T23" i="257"/>
  <c r="X23" i="257"/>
  <c r="T22" i="257"/>
  <c r="X22" i="257"/>
  <c r="V35" i="251"/>
  <c r="U35" i="251"/>
  <c r="W35" i="251" s="1"/>
  <c r="V31" i="251"/>
  <c r="U31" i="251"/>
  <c r="W31" i="251" s="1"/>
  <c r="U34" i="251"/>
  <c r="W34" i="251" s="1"/>
  <c r="V34" i="251"/>
  <c r="U13" i="251"/>
  <c r="W13" i="251" s="1"/>
  <c r="V13" i="251"/>
  <c r="X13" i="251" s="1"/>
  <c r="T37" i="257"/>
  <c r="X11" i="257"/>
  <c r="T11" i="257"/>
  <c r="V27" i="251"/>
  <c r="U27" i="251"/>
  <c r="W27" i="251" s="1"/>
  <c r="T12" i="257"/>
  <c r="X12" i="257"/>
  <c r="J23" i="62"/>
  <c r="J31" i="48"/>
  <c r="J40" i="48"/>
  <c r="L39" i="48"/>
  <c r="N39" i="48"/>
  <c r="J36" i="62"/>
  <c r="L35" i="62"/>
  <c r="N35" i="62"/>
  <c r="T29" i="257"/>
  <c r="T35" i="257"/>
  <c r="X35" i="257"/>
  <c r="X34" i="257"/>
  <c r="T34" i="257"/>
  <c r="B21" i="232"/>
  <c r="G72" i="133"/>
  <c r="U11" i="251"/>
  <c r="W11" i="251" s="1"/>
  <c r="V11" i="251"/>
  <c r="Y14" i="250"/>
  <c r="X44" i="250"/>
  <c r="X41" i="250"/>
  <c r="X45" i="250"/>
  <c r="X43" i="250"/>
  <c r="X46" i="250"/>
  <c r="X42" i="250"/>
  <c r="H9" i="242"/>
  <c r="D26" i="242"/>
  <c r="D32" i="242" s="1"/>
  <c r="U32" i="251"/>
  <c r="W32" i="251" s="1"/>
  <c r="V32" i="251"/>
  <c r="U30" i="251"/>
  <c r="W30" i="251" s="1"/>
  <c r="V30" i="251"/>
  <c r="V18" i="251"/>
  <c r="U18" i="251"/>
  <c r="W18" i="251" s="1"/>
  <c r="U21" i="251"/>
  <c r="W21" i="251" s="1"/>
  <c r="V21" i="251"/>
  <c r="U15" i="251"/>
  <c r="W15" i="251" s="1"/>
  <c r="V15" i="251"/>
  <c r="Y44" i="249"/>
  <c r="AB43" i="249" s="1"/>
  <c r="AB45" i="249" s="1"/>
  <c r="Y41" i="249"/>
  <c r="Y45" i="249"/>
  <c r="Y42" i="249"/>
  <c r="Y46" i="249"/>
  <c r="Y43" i="249"/>
  <c r="J44" i="48"/>
  <c r="L43" i="48"/>
  <c r="N43" i="48"/>
  <c r="J28" i="62"/>
  <c r="L27" i="62"/>
  <c r="N27" i="62"/>
  <c r="K24" i="133"/>
  <c r="B24" i="133" s="1"/>
  <c r="G24" i="133" s="1"/>
  <c r="B3" i="39" s="1"/>
  <c r="J25" i="133"/>
  <c r="W41" i="250"/>
  <c r="W42" i="250"/>
  <c r="W43" i="250"/>
  <c r="W44" i="250"/>
  <c r="W45" i="250"/>
  <c r="W46" i="250"/>
  <c r="D16" i="11"/>
  <c r="D56" i="11" s="1"/>
  <c r="O6" i="257"/>
  <c r="U37" i="251"/>
  <c r="W37" i="251" s="1"/>
  <c r="V37" i="251"/>
  <c r="Y11" i="251"/>
  <c r="P15" i="241"/>
  <c r="P140" i="241" s="1"/>
  <c r="O108" i="241"/>
  <c r="O92" i="241"/>
  <c r="O170" i="241"/>
  <c r="O204" i="241" s="1"/>
  <c r="O233" i="241" s="1"/>
  <c r="T36" i="257"/>
  <c r="T39" i="257"/>
  <c r="T38" i="257"/>
  <c r="U29" i="251"/>
  <c r="W29" i="251" s="1"/>
  <c r="V29" i="251"/>
  <c r="U16" i="251"/>
  <c r="W16" i="251" s="1"/>
  <c r="V16" i="251"/>
  <c r="Y16" i="251" s="1"/>
  <c r="U12" i="251"/>
  <c r="W12" i="251" s="1"/>
  <c r="V12" i="251"/>
  <c r="H34" i="229"/>
  <c r="L34" i="229"/>
  <c r="P34" i="229"/>
  <c r="I34" i="229"/>
  <c r="M34" i="229"/>
  <c r="C35" i="229"/>
  <c r="F34" i="229"/>
  <c r="J34" i="229"/>
  <c r="N34" i="229"/>
  <c r="G34" i="229"/>
  <c r="K34" i="229"/>
  <c r="O34" i="229"/>
  <c r="U28" i="251"/>
  <c r="W28" i="251" s="1"/>
  <c r="V28" i="251"/>
  <c r="V23" i="251"/>
  <c r="Y23" i="251" s="1"/>
  <c r="U23" i="251"/>
  <c r="W23" i="251" s="1"/>
  <c r="T21" i="257"/>
  <c r="T24" i="257"/>
  <c r="S41" i="257"/>
  <c r="S42" i="257"/>
  <c r="S43" i="257"/>
  <c r="S44" i="257"/>
  <c r="S45" i="257"/>
  <c r="S46" i="257"/>
  <c r="T10" i="257"/>
  <c r="X10" i="257"/>
  <c r="D40" i="245"/>
  <c r="U17" i="251"/>
  <c r="W17" i="251" s="1"/>
  <c r="V17" i="251"/>
  <c r="T28" i="257"/>
  <c r="U24" i="251"/>
  <c r="W24" i="251" s="1"/>
  <c r="V24" i="251"/>
  <c r="J36" i="48"/>
  <c r="L35" i="48"/>
  <c r="N35" i="48"/>
  <c r="V39" i="251"/>
  <c r="U39" i="251"/>
  <c r="W39" i="251" s="1"/>
  <c r="T13" i="257"/>
  <c r="X13" i="257"/>
  <c r="T16" i="257"/>
  <c r="X16" i="257"/>
  <c r="T19" i="257"/>
  <c r="X19" i="257"/>
  <c r="T18" i="257"/>
  <c r="R40" i="62"/>
  <c r="R51" i="48"/>
  <c r="R49" i="62"/>
  <c r="R50" i="48"/>
  <c r="L9" i="40"/>
  <c r="L3" i="8"/>
  <c r="L20" i="4"/>
  <c r="L19" i="4" s="1"/>
  <c r="Y34" i="251"/>
  <c r="O41" i="251"/>
  <c r="O42" i="251"/>
  <c r="O43" i="251"/>
  <c r="O44" i="251"/>
  <c r="O45" i="251"/>
  <c r="O46" i="251"/>
  <c r="J21" i="40"/>
  <c r="U38" i="251"/>
  <c r="W38" i="251" s="1"/>
  <c r="V38" i="251"/>
  <c r="H35" i="11"/>
  <c r="H36" i="11" s="1"/>
  <c r="H38" i="11" s="1"/>
  <c r="H66" i="11" s="1"/>
  <c r="J142" i="73" s="1"/>
  <c r="U19" i="251"/>
  <c r="W19" i="251" s="1"/>
  <c r="V19" i="251"/>
  <c r="J32" i="62"/>
  <c r="L31" i="62"/>
  <c r="N31" i="62"/>
  <c r="U20" i="251"/>
  <c r="W20" i="251" s="1"/>
  <c r="V20" i="251"/>
  <c r="Y20" i="251" s="1"/>
  <c r="L48" i="126"/>
  <c r="U22" i="251"/>
  <c r="W22" i="251" s="1"/>
  <c r="V22" i="251"/>
  <c r="V10" i="251"/>
  <c r="U10" i="251"/>
  <c r="T41" i="251"/>
  <c r="T42" i="251"/>
  <c r="T43" i="251"/>
  <c r="T44" i="251"/>
  <c r="T45" i="251"/>
  <c r="T46" i="251"/>
  <c r="X27" i="251" l="1"/>
  <c r="Y27" i="251" s="1"/>
  <c r="X10" i="256"/>
  <c r="W42" i="256"/>
  <c r="W46" i="256"/>
  <c r="W43" i="256"/>
  <c r="W44" i="256"/>
  <c r="W41" i="256"/>
  <c r="W45" i="256"/>
  <c r="B98" i="6"/>
  <c r="B102" i="6"/>
  <c r="B96" i="6"/>
  <c r="B97" i="6"/>
  <c r="B101" i="6"/>
  <c r="B105" i="6"/>
  <c r="B99" i="6"/>
  <c r="B103" i="6"/>
  <c r="B100" i="6"/>
  <c r="B104" i="6"/>
  <c r="X18" i="251"/>
  <c r="X24" i="251"/>
  <c r="X36" i="251"/>
  <c r="X12" i="251"/>
  <c r="Y12" i="251" s="1"/>
  <c r="X29" i="251"/>
  <c r="X15" i="251"/>
  <c r="Y15" i="251" s="1"/>
  <c r="X32" i="251"/>
  <c r="Y32" i="251" s="1"/>
  <c r="X17" i="251"/>
  <c r="Y17" i="251" s="1"/>
  <c r="X30" i="251"/>
  <c r="Y30" i="251" s="1"/>
  <c r="O140" i="52"/>
  <c r="O92" i="52"/>
  <c r="O170" i="52"/>
  <c r="O204" i="52" s="1"/>
  <c r="O232" i="52" s="1"/>
  <c r="P15" i="52"/>
  <c r="O108" i="52"/>
  <c r="X14" i="251"/>
  <c r="Y14" i="251" s="1"/>
  <c r="X37" i="251"/>
  <c r="X39" i="251"/>
  <c r="X25" i="251"/>
  <c r="Y25" i="251" s="1"/>
  <c r="K142" i="73"/>
  <c r="K144" i="73" s="1"/>
  <c r="K148" i="73" s="1"/>
  <c r="J144" i="73"/>
  <c r="J148" i="73" s="1"/>
  <c r="N32" i="62"/>
  <c r="L32" i="62"/>
  <c r="X38" i="251"/>
  <c r="U18" i="257"/>
  <c r="W18" i="257" s="1"/>
  <c r="V18" i="257"/>
  <c r="L36" i="48"/>
  <c r="N36" i="48"/>
  <c r="U28" i="257"/>
  <c r="W28" i="257" s="1"/>
  <c r="V28" i="257"/>
  <c r="V21" i="257"/>
  <c r="U21" i="257"/>
  <c r="W21" i="257" s="1"/>
  <c r="X28" i="251"/>
  <c r="G35" i="229"/>
  <c r="K35" i="229"/>
  <c r="O35" i="229"/>
  <c r="H35" i="229"/>
  <c r="L35" i="229"/>
  <c r="P35" i="229"/>
  <c r="I35" i="229"/>
  <c r="M35" i="229"/>
  <c r="C36" i="229"/>
  <c r="F35" i="229"/>
  <c r="J35" i="229"/>
  <c r="N35" i="229"/>
  <c r="U38" i="257"/>
  <c r="W38" i="257" s="1"/>
  <c r="V38" i="257"/>
  <c r="U36" i="257"/>
  <c r="W36" i="257" s="1"/>
  <c r="V36" i="257"/>
  <c r="N28" i="62"/>
  <c r="L28" i="62"/>
  <c r="X21" i="251"/>
  <c r="U34" i="257"/>
  <c r="W34" i="257" s="1"/>
  <c r="V34" i="257"/>
  <c r="Y34" i="257" s="1"/>
  <c r="J24" i="62"/>
  <c r="N23" i="62"/>
  <c r="L23" i="62"/>
  <c r="U22" i="257"/>
  <c r="W22" i="257" s="1"/>
  <c r="V22" i="257"/>
  <c r="X26" i="251"/>
  <c r="Y26" i="251" s="1"/>
  <c r="U16" i="257"/>
  <c r="W16" i="257" s="1"/>
  <c r="V16" i="257"/>
  <c r="Y16" i="257" s="1"/>
  <c r="U10" i="257"/>
  <c r="V10" i="257"/>
  <c r="Y10" i="257" s="1"/>
  <c r="O12" i="257"/>
  <c r="O16" i="257"/>
  <c r="O20" i="257"/>
  <c r="O24" i="257"/>
  <c r="O28" i="257"/>
  <c r="O32" i="257"/>
  <c r="T32" i="257" s="1"/>
  <c r="U32" i="257" s="1"/>
  <c r="W32" i="257" s="1"/>
  <c r="O36" i="257"/>
  <c r="O11" i="257"/>
  <c r="O15" i="257"/>
  <c r="T15" i="257" s="1"/>
  <c r="O19" i="257"/>
  <c r="O23" i="257"/>
  <c r="O27" i="257"/>
  <c r="T27" i="257" s="1"/>
  <c r="V27" i="257" s="1"/>
  <c r="O31" i="257"/>
  <c r="T31" i="257" s="1"/>
  <c r="O35" i="257"/>
  <c r="O39" i="257"/>
  <c r="O10" i="257"/>
  <c r="O14" i="257"/>
  <c r="T14" i="257" s="1"/>
  <c r="O18" i="257"/>
  <c r="O22" i="257"/>
  <c r="O26" i="257"/>
  <c r="T26" i="257" s="1"/>
  <c r="O30" i="257"/>
  <c r="T30" i="257" s="1"/>
  <c r="O34" i="257"/>
  <c r="O38" i="257"/>
  <c r="O48" i="257"/>
  <c r="O50" i="257"/>
  <c r="O13" i="257"/>
  <c r="O17" i="257"/>
  <c r="O21" i="257"/>
  <c r="O25" i="257"/>
  <c r="T25" i="257" s="1"/>
  <c r="O29" i="257"/>
  <c r="O33" i="257"/>
  <c r="T33" i="257" s="1"/>
  <c r="O37" i="257"/>
  <c r="K25" i="133"/>
  <c r="B25" i="133" s="1"/>
  <c r="G25" i="133" s="1"/>
  <c r="B3" i="41" s="1"/>
  <c r="J25" i="39" s="1"/>
  <c r="J26" i="133"/>
  <c r="U12" i="257"/>
  <c r="W12" i="257" s="1"/>
  <c r="V12" i="257"/>
  <c r="Y12" i="257" s="1"/>
  <c r="U11" i="257"/>
  <c r="W11" i="257" s="1"/>
  <c r="V11" i="257"/>
  <c r="Y11" i="257" s="1"/>
  <c r="W10" i="251"/>
  <c r="X10" i="251" s="1"/>
  <c r="Y10" i="251" s="1"/>
  <c r="U41" i="251"/>
  <c r="U42" i="251"/>
  <c r="U43" i="251"/>
  <c r="U44" i="251"/>
  <c r="U45" i="251"/>
  <c r="U46" i="251"/>
  <c r="F25" i="245"/>
  <c r="G25" i="245" s="1"/>
  <c r="F39" i="245"/>
  <c r="K12" i="243" s="1"/>
  <c r="F27" i="245"/>
  <c r="G27" i="245" s="1"/>
  <c r="F15" i="245"/>
  <c r="F36" i="245"/>
  <c r="G36" i="245" s="1"/>
  <c r="F37" i="245"/>
  <c r="G37" i="245" s="1"/>
  <c r="F24" i="245"/>
  <c r="F18" i="245"/>
  <c r="G18" i="245" s="1"/>
  <c r="F28" i="245"/>
  <c r="F29" i="245"/>
  <c r="G29" i="245" s="1"/>
  <c r="F16" i="245"/>
  <c r="G16" i="245" s="1"/>
  <c r="F17" i="245"/>
  <c r="G17" i="245" s="1"/>
  <c r="F30" i="245"/>
  <c r="G30" i="245" s="1"/>
  <c r="F34" i="245"/>
  <c r="G34" i="245" s="1"/>
  <c r="F22" i="245"/>
  <c r="F32" i="245"/>
  <c r="G32" i="245" s="1"/>
  <c r="F33" i="245"/>
  <c r="G33" i="245" s="1"/>
  <c r="F31" i="245"/>
  <c r="G31" i="245" s="1"/>
  <c r="F19" i="245"/>
  <c r="G19" i="245" s="1"/>
  <c r="F23" i="245"/>
  <c r="G23" i="245" s="1"/>
  <c r="F38" i="245"/>
  <c r="G38" i="245" s="1"/>
  <c r="F26" i="245"/>
  <c r="G26" i="245" s="1"/>
  <c r="F20" i="245"/>
  <c r="G20" i="245" s="1"/>
  <c r="F21" i="245"/>
  <c r="G21" i="245" s="1"/>
  <c r="F35" i="245"/>
  <c r="G35" i="245" s="1"/>
  <c r="F40" i="245"/>
  <c r="G22" i="245"/>
  <c r="G28" i="245"/>
  <c r="G24" i="245"/>
  <c r="D22" i="11"/>
  <c r="D23" i="11"/>
  <c r="D32" i="11"/>
  <c r="Y43" i="250"/>
  <c r="Y44" i="250"/>
  <c r="AB43" i="250" s="1"/>
  <c r="AB45" i="250" s="1"/>
  <c r="Y41" i="250"/>
  <c r="Y45" i="250"/>
  <c r="Y42" i="250"/>
  <c r="Y46" i="250"/>
  <c r="L40" i="48"/>
  <c r="N40" i="48"/>
  <c r="X31" i="251"/>
  <c r="Y31" i="251" s="1"/>
  <c r="U23" i="257"/>
  <c r="W23" i="257" s="1"/>
  <c r="V23" i="257"/>
  <c r="Y23" i="257" s="1"/>
  <c r="V17" i="257"/>
  <c r="Y17" i="257" s="1"/>
  <c r="U17" i="257"/>
  <c r="W17" i="257" s="1"/>
  <c r="X33" i="251"/>
  <c r="Y33" i="251" s="1"/>
  <c r="V41" i="251"/>
  <c r="V42" i="251"/>
  <c r="V43" i="251"/>
  <c r="V44" i="251"/>
  <c r="V45" i="251"/>
  <c r="V46" i="251"/>
  <c r="U19" i="257"/>
  <c r="W19" i="257" s="1"/>
  <c r="V19" i="257"/>
  <c r="V13" i="257"/>
  <c r="U13" i="257"/>
  <c r="W13" i="257" s="1"/>
  <c r="U30" i="257"/>
  <c r="W30" i="257" s="1"/>
  <c r="V30" i="257"/>
  <c r="U24" i="257"/>
  <c r="W24" i="257" s="1"/>
  <c r="V24" i="257"/>
  <c r="U39" i="257"/>
  <c r="W39" i="257" s="1"/>
  <c r="V39" i="257"/>
  <c r="Q15" i="241"/>
  <c r="Q140" i="241" s="1"/>
  <c r="P92" i="241"/>
  <c r="P170" i="241"/>
  <c r="P204" i="241" s="1"/>
  <c r="P233" i="241" s="1"/>
  <c r="P108" i="241"/>
  <c r="L44" i="48"/>
  <c r="N44" i="48"/>
  <c r="U35" i="257"/>
  <c r="W35" i="257" s="1"/>
  <c r="V35" i="257"/>
  <c r="V29" i="257"/>
  <c r="U29" i="257"/>
  <c r="W29" i="257" s="1"/>
  <c r="N36" i="62"/>
  <c r="L36" i="62"/>
  <c r="J32" i="48"/>
  <c r="L31" i="48"/>
  <c r="N31" i="48"/>
  <c r="U15" i="257"/>
  <c r="W15" i="257" s="1"/>
  <c r="V15" i="257"/>
  <c r="V37" i="257"/>
  <c r="U37" i="257"/>
  <c r="W37" i="257" s="1"/>
  <c r="U20" i="257"/>
  <c r="W20" i="257" s="1"/>
  <c r="V20" i="257"/>
  <c r="Y20" i="257" s="1"/>
  <c r="X27" i="257" l="1"/>
  <c r="Y27" i="257" s="1"/>
  <c r="U27" i="257"/>
  <c r="W27" i="257" s="1"/>
  <c r="X29" i="257"/>
  <c r="Y10" i="256"/>
  <c r="X44" i="256"/>
  <c r="X46" i="256"/>
  <c r="X42" i="256"/>
  <c r="X45" i="256"/>
  <c r="X43" i="256"/>
  <c r="X41" i="256"/>
  <c r="H103" i="6"/>
  <c r="J103" i="6"/>
  <c r="L103" i="6"/>
  <c r="G103" i="6"/>
  <c r="K103" i="6"/>
  <c r="I103" i="6"/>
  <c r="F103" i="6"/>
  <c r="F97" i="6"/>
  <c r="F99" i="6"/>
  <c r="G99" i="6"/>
  <c r="H99" i="6"/>
  <c r="F96" i="6"/>
  <c r="M104" i="6"/>
  <c r="K104" i="6"/>
  <c r="H104" i="6"/>
  <c r="F104" i="6"/>
  <c r="L104" i="6"/>
  <c r="J104" i="6"/>
  <c r="I104" i="6"/>
  <c r="G104" i="6"/>
  <c r="M105" i="6"/>
  <c r="G105" i="6"/>
  <c r="H105" i="6"/>
  <c r="F105" i="6"/>
  <c r="K105" i="6"/>
  <c r="L105" i="6"/>
  <c r="J105" i="6"/>
  <c r="I105" i="6"/>
  <c r="N105" i="6"/>
  <c r="J102" i="6"/>
  <c r="K102" i="6"/>
  <c r="H102" i="6"/>
  <c r="G102" i="6"/>
  <c r="I102" i="6"/>
  <c r="F102" i="6"/>
  <c r="G100" i="6"/>
  <c r="H100" i="6"/>
  <c r="I100" i="6"/>
  <c r="F100" i="6"/>
  <c r="J100" i="6" s="1"/>
  <c r="K100" i="6" s="1"/>
  <c r="F101" i="6"/>
  <c r="J101" i="6"/>
  <c r="H101" i="6"/>
  <c r="G101" i="6"/>
  <c r="I101" i="6"/>
  <c r="G98" i="6"/>
  <c r="F98" i="6"/>
  <c r="X15" i="257"/>
  <c r="Y15" i="257" s="1"/>
  <c r="X30" i="257"/>
  <c r="Y30" i="257" s="1"/>
  <c r="V32" i="257"/>
  <c r="X36" i="257"/>
  <c r="X24" i="257"/>
  <c r="X18" i="257"/>
  <c r="P140" i="52"/>
  <c r="P92" i="52"/>
  <c r="P170" i="52"/>
  <c r="P204" i="52" s="1"/>
  <c r="P232" i="52" s="1"/>
  <c r="Q15" i="52"/>
  <c r="P108" i="52"/>
  <c r="D25" i="11"/>
  <c r="Y44" i="251"/>
  <c r="AB43" i="251" s="1"/>
  <c r="AB45" i="251" s="1"/>
  <c r="T44" i="257"/>
  <c r="X37" i="257"/>
  <c r="U26" i="257"/>
  <c r="W26" i="257" s="1"/>
  <c r="V26" i="257"/>
  <c r="O41" i="257"/>
  <c r="O42" i="257"/>
  <c r="O43" i="257"/>
  <c r="O44" i="257"/>
  <c r="O45" i="257"/>
  <c r="O46" i="257"/>
  <c r="T46" i="257"/>
  <c r="T42" i="257"/>
  <c r="X44" i="251"/>
  <c r="X41" i="251"/>
  <c r="X45" i="251"/>
  <c r="X42" i="251"/>
  <c r="X46" i="251"/>
  <c r="X43" i="251"/>
  <c r="X28" i="257"/>
  <c r="Y43" i="251"/>
  <c r="N32" i="48"/>
  <c r="N46" i="48" s="1"/>
  <c r="N48" i="48" s="1"/>
  <c r="L32" i="48"/>
  <c r="L46" i="48" s="1"/>
  <c r="L48" i="48" s="1"/>
  <c r="R15" i="241"/>
  <c r="R140" i="241" s="1"/>
  <c r="Q108" i="241"/>
  <c r="Q92" i="241"/>
  <c r="Q170" i="241"/>
  <c r="Q204" i="241" s="1"/>
  <c r="Q233" i="241" s="1"/>
  <c r="D35" i="11"/>
  <c r="D36" i="11" s="1"/>
  <c r="D38" i="11" s="1"/>
  <c r="K40" i="243"/>
  <c r="K42" i="243" s="1"/>
  <c r="K43" i="243" s="1"/>
  <c r="K45" i="243" s="1"/>
  <c r="K47" i="243" s="1"/>
  <c r="J24" i="242" s="1"/>
  <c r="L24" i="242" s="1"/>
  <c r="K14" i="243"/>
  <c r="K15" i="243" s="1"/>
  <c r="K27" i="243"/>
  <c r="K29" i="243" s="1"/>
  <c r="K30" i="243" s="1"/>
  <c r="K32" i="243" s="1"/>
  <c r="V33" i="257"/>
  <c r="U33" i="257"/>
  <c r="W33" i="257" s="1"/>
  <c r="T45" i="257"/>
  <c r="T41" i="257"/>
  <c r="Y46" i="251"/>
  <c r="Y42" i="251"/>
  <c r="X39" i="257"/>
  <c r="G39" i="245"/>
  <c r="W41" i="251"/>
  <c r="W42" i="251"/>
  <c r="W43" i="251"/>
  <c r="W44" i="251"/>
  <c r="W45" i="251"/>
  <c r="W46" i="251"/>
  <c r="K26" i="133"/>
  <c r="B26" i="133" s="1"/>
  <c r="G26" i="133" s="1"/>
  <c r="B3" i="40" s="1"/>
  <c r="B217" i="73" s="1"/>
  <c r="J27" i="133"/>
  <c r="W10" i="257"/>
  <c r="X38" i="257"/>
  <c r="X21" i="257"/>
  <c r="Y45" i="251"/>
  <c r="Y41" i="251"/>
  <c r="B154" i="73"/>
  <c r="D12" i="243" a="1"/>
  <c r="G15" i="245"/>
  <c r="G40" i="245" s="1"/>
  <c r="G43" i="245" s="1"/>
  <c r="Y4" i="245" s="1"/>
  <c r="D46" i="248" s="1"/>
  <c r="V25" i="257"/>
  <c r="U25" i="257"/>
  <c r="W25" i="257" s="1"/>
  <c r="U14" i="257"/>
  <c r="W14" i="257" s="1"/>
  <c r="V14" i="257"/>
  <c r="U31" i="257"/>
  <c r="W31" i="257" s="1"/>
  <c r="V31" i="257"/>
  <c r="T43" i="257"/>
  <c r="N24" i="62"/>
  <c r="N38" i="62" s="1"/>
  <c r="N42" i="62" s="1"/>
  <c r="N45" i="62" s="1"/>
  <c r="N47" i="62" s="1"/>
  <c r="N51" i="62" s="1"/>
  <c r="N53" i="62" s="1"/>
  <c r="F15" i="4" s="1"/>
  <c r="L24" i="62"/>
  <c r="L38" i="62" s="1"/>
  <c r="L42" i="62" s="1"/>
  <c r="L45" i="62" s="1"/>
  <c r="L47" i="62" s="1"/>
  <c r="L51" i="62" s="1"/>
  <c r="L53" i="62" s="1"/>
  <c r="D15" i="4" s="1"/>
  <c r="F36" i="229"/>
  <c r="J36" i="229"/>
  <c r="N36" i="229"/>
  <c r="G36" i="229"/>
  <c r="K36" i="229"/>
  <c r="O36" i="229"/>
  <c r="H36" i="229"/>
  <c r="L36" i="229"/>
  <c r="P36" i="229"/>
  <c r="I36" i="229"/>
  <c r="M36" i="229"/>
  <c r="C37" i="229"/>
  <c r="H98" i="6" l="1"/>
  <c r="G96" i="6"/>
  <c r="H96" i="6" s="1"/>
  <c r="I96" i="6" s="1"/>
  <c r="J96" i="6" s="1"/>
  <c r="M103" i="6"/>
  <c r="O105" i="6"/>
  <c r="Y42" i="256"/>
  <c r="Y41" i="256"/>
  <c r="Y43" i="256"/>
  <c r="Y44" i="256"/>
  <c r="AB43" i="256" s="1"/>
  <c r="AB45" i="256" s="1"/>
  <c r="Y46" i="256"/>
  <c r="Y45" i="256"/>
  <c r="N104" i="6"/>
  <c r="O104" i="6" s="1"/>
  <c r="X14" i="257"/>
  <c r="L102" i="6"/>
  <c r="M102" i="6" s="1"/>
  <c r="N102" i="6" s="1"/>
  <c r="O102" i="6" s="1"/>
  <c r="I98" i="6"/>
  <c r="J98" i="6" s="1"/>
  <c r="K98" i="6" s="1"/>
  <c r="N103" i="6"/>
  <c r="O103" i="6" s="1"/>
  <c r="L100" i="6"/>
  <c r="F107" i="6"/>
  <c r="F52" i="6" s="1"/>
  <c r="F33" i="6" s="1"/>
  <c r="F35" i="6" s="1"/>
  <c r="K101" i="6"/>
  <c r="I99" i="6"/>
  <c r="G97" i="6"/>
  <c r="X26" i="257"/>
  <c r="Y26" i="257" s="1"/>
  <c r="D66" i="11"/>
  <c r="J24" i="66" s="1"/>
  <c r="L24" i="66" s="1"/>
  <c r="F28" i="4" s="1"/>
  <c r="X32" i="257"/>
  <c r="Y32" i="257" s="1"/>
  <c r="Q140" i="52"/>
  <c r="Q170" i="52"/>
  <c r="Q204" i="52" s="1"/>
  <c r="Q232" i="52" s="1"/>
  <c r="R15" i="52"/>
  <c r="Q108" i="52"/>
  <c r="Q92" i="52"/>
  <c r="X31" i="257"/>
  <c r="Y31" i="257" s="1"/>
  <c r="H15" i="4"/>
  <c r="N15" i="4" s="1"/>
  <c r="O15" i="4" s="1"/>
  <c r="L53" i="48"/>
  <c r="D13" i="4"/>
  <c r="K16" i="243"/>
  <c r="K17" i="243"/>
  <c r="Y14" i="257"/>
  <c r="I37" i="229"/>
  <c r="M37" i="229"/>
  <c r="C38" i="229"/>
  <c r="F37" i="229"/>
  <c r="J37" i="229"/>
  <c r="N37" i="229"/>
  <c r="G37" i="229"/>
  <c r="K37" i="229"/>
  <c r="O37" i="229"/>
  <c r="H37" i="229"/>
  <c r="L37" i="229"/>
  <c r="P37" i="229"/>
  <c r="V45" i="257"/>
  <c r="V41" i="257"/>
  <c r="U46" i="257"/>
  <c r="U42" i="257"/>
  <c r="D11" i="236"/>
  <c r="C25" i="236" s="1"/>
  <c r="U21" i="73"/>
  <c r="N53" i="48"/>
  <c r="F13" i="4"/>
  <c r="U45" i="257"/>
  <c r="U41" i="257"/>
  <c r="V44" i="257"/>
  <c r="V43" i="257"/>
  <c r="X25" i="257"/>
  <c r="Y25" i="257" s="1"/>
  <c r="Q21" i="73"/>
  <c r="F27" i="4"/>
  <c r="D224" i="73"/>
  <c r="D17" i="40" s="1"/>
  <c r="H17" i="40" s="1"/>
  <c r="U44" i="257"/>
  <c r="W41" i="257"/>
  <c r="W42" i="257"/>
  <c r="W43" i="257"/>
  <c r="W44" i="257"/>
  <c r="W45" i="257"/>
  <c r="W46" i="257"/>
  <c r="X33" i="257"/>
  <c r="Y33" i="257" s="1"/>
  <c r="R92" i="241"/>
  <c r="S15" i="241"/>
  <c r="S140" i="241" s="1"/>
  <c r="R108" i="241"/>
  <c r="R170" i="241"/>
  <c r="R204" i="241" s="1"/>
  <c r="R233" i="241" s="1"/>
  <c r="V46" i="257"/>
  <c r="V42" i="257"/>
  <c r="F12" i="243"/>
  <c r="J12" i="243"/>
  <c r="G12" i="243"/>
  <c r="D12" i="243"/>
  <c r="H12" i="243"/>
  <c r="E12" i="243"/>
  <c r="I12" i="243"/>
  <c r="U43" i="257"/>
  <c r="K27" i="133"/>
  <c r="B27" i="133" s="1"/>
  <c r="G27" i="133" s="1"/>
  <c r="B3" i="38" s="1"/>
  <c r="J30" i="133"/>
  <c r="H97" i="6" l="1"/>
  <c r="H107" i="6" s="1"/>
  <c r="H52" i="6" s="1"/>
  <c r="H33" i="6" s="1"/>
  <c r="H35" i="6" s="1"/>
  <c r="M100" i="6"/>
  <c r="N100" i="6" s="1"/>
  <c r="J99" i="6"/>
  <c r="K96" i="6"/>
  <c r="G107" i="6"/>
  <c r="G52" i="6" s="1"/>
  <c r="G33" i="6" s="1"/>
  <c r="G35" i="6" s="1"/>
  <c r="L101" i="6"/>
  <c r="M101" i="6" s="1"/>
  <c r="F41" i="6"/>
  <c r="F40" i="6"/>
  <c r="F36" i="6"/>
  <c r="S21" i="73"/>
  <c r="R140" i="52"/>
  <c r="R92" i="52"/>
  <c r="S15" i="52"/>
  <c r="R108" i="52"/>
  <c r="R170" i="52"/>
  <c r="R204" i="52" s="1"/>
  <c r="R232" i="52" s="1"/>
  <c r="K19" i="243"/>
  <c r="F30" i="4"/>
  <c r="O31" i="4" s="1"/>
  <c r="D38" i="248" s="1"/>
  <c r="I14" i="243"/>
  <c r="I15" i="243" s="1"/>
  <c r="I27" i="243"/>
  <c r="I29" i="243" s="1"/>
  <c r="I30" i="243" s="1"/>
  <c r="I32" i="243" s="1"/>
  <c r="I40" i="243"/>
  <c r="I42" i="243" s="1"/>
  <c r="I43" i="243" s="1"/>
  <c r="I45" i="243" s="1"/>
  <c r="I47" i="243" s="1"/>
  <c r="G40" i="243"/>
  <c r="G42" i="243" s="1"/>
  <c r="G43" i="243" s="1"/>
  <c r="G45" i="243" s="1"/>
  <c r="G47" i="243" s="1"/>
  <c r="G14" i="243"/>
  <c r="G15" i="243" s="1"/>
  <c r="G27" i="243"/>
  <c r="G29" i="243" s="1"/>
  <c r="G30" i="243" s="1"/>
  <c r="G32" i="243" s="1"/>
  <c r="X46" i="257"/>
  <c r="Y44" i="257"/>
  <c r="AB43" i="257" s="1"/>
  <c r="AB45" i="257" s="1"/>
  <c r="Y41" i="257"/>
  <c r="Y45" i="257"/>
  <c r="Y42" i="257"/>
  <c r="Y46" i="257"/>
  <c r="Y43" i="257"/>
  <c r="J31" i="133"/>
  <c r="K30" i="133"/>
  <c r="B30" i="133" s="1"/>
  <c r="G30" i="133" s="1"/>
  <c r="B3" i="48" s="1"/>
  <c r="L13" i="4" s="1"/>
  <c r="E14" i="243"/>
  <c r="E15" i="243" s="1"/>
  <c r="E27" i="243"/>
  <c r="E29" i="243" s="1"/>
  <c r="E30" i="243" s="1"/>
  <c r="E32" i="243" s="1"/>
  <c r="E40" i="243"/>
  <c r="E42" i="243" s="1"/>
  <c r="E43" i="243" s="1"/>
  <c r="E45" i="243" s="1"/>
  <c r="E47" i="243" s="1"/>
  <c r="J14" i="243"/>
  <c r="J15" i="243" s="1"/>
  <c r="J27" i="243"/>
  <c r="J29" i="243" s="1"/>
  <c r="J30" i="243" s="1"/>
  <c r="J32" i="243" s="1"/>
  <c r="J40" i="243"/>
  <c r="J42" i="243" s="1"/>
  <c r="J43" i="243" s="1"/>
  <c r="J45" i="243" s="1"/>
  <c r="J47" i="243" s="1"/>
  <c r="H19" i="40"/>
  <c r="J19" i="40" s="1"/>
  <c r="X42" i="257"/>
  <c r="H27" i="243"/>
  <c r="H29" i="243" s="1"/>
  <c r="H30" i="243" s="1"/>
  <c r="H32" i="243" s="1"/>
  <c r="H40" i="243"/>
  <c r="H42" i="243" s="1"/>
  <c r="H43" i="243" s="1"/>
  <c r="H45" i="243" s="1"/>
  <c r="H47" i="243" s="1"/>
  <c r="H14" i="243"/>
  <c r="H15" i="243" s="1"/>
  <c r="F14" i="243"/>
  <c r="F15" i="243" s="1"/>
  <c r="F27" i="243"/>
  <c r="F29" i="243" s="1"/>
  <c r="F30" i="243" s="1"/>
  <c r="F32" i="243" s="1"/>
  <c r="F40" i="243"/>
  <c r="F42" i="243" s="1"/>
  <c r="F43" i="243" s="1"/>
  <c r="F45" i="243" s="1"/>
  <c r="F47" i="243" s="1"/>
  <c r="L98" i="6"/>
  <c r="X44" i="257"/>
  <c r="X45" i="257"/>
  <c r="H13" i="4"/>
  <c r="N13" i="4" s="1"/>
  <c r="O13" i="4" s="1"/>
  <c r="D27" i="243"/>
  <c r="D29" i="243" s="1"/>
  <c r="D30" i="243" s="1"/>
  <c r="D32" i="243" s="1"/>
  <c r="D40" i="243"/>
  <c r="D42" i="243" s="1"/>
  <c r="D43" i="243" s="1"/>
  <c r="D45" i="243" s="1"/>
  <c r="D47" i="243" s="1"/>
  <c r="D14" i="243"/>
  <c r="D15" i="243" s="1"/>
  <c r="S108" i="241"/>
  <c r="S92" i="241"/>
  <c r="S170" i="241"/>
  <c r="S204" i="241" s="1"/>
  <c r="S233" i="241" s="1"/>
  <c r="I38" i="229"/>
  <c r="I40" i="229" s="1"/>
  <c r="I42" i="229" s="1"/>
  <c r="M38" i="229"/>
  <c r="M40" i="229" s="1"/>
  <c r="M42" i="229" s="1"/>
  <c r="F38" i="229"/>
  <c r="F40" i="229" s="1"/>
  <c r="F42" i="229" s="1"/>
  <c r="J38" i="229"/>
  <c r="J40" i="229" s="1"/>
  <c r="J42" i="229" s="1"/>
  <c r="N38" i="229"/>
  <c r="N40" i="229" s="1"/>
  <c r="N42" i="229" s="1"/>
  <c r="G38" i="229"/>
  <c r="G40" i="229" s="1"/>
  <c r="G42" i="229" s="1"/>
  <c r="K38" i="229"/>
  <c r="K40" i="229" s="1"/>
  <c r="K42" i="229" s="1"/>
  <c r="O38" i="229"/>
  <c r="O40" i="229" s="1"/>
  <c r="O42" i="229" s="1"/>
  <c r="H38" i="229"/>
  <c r="H40" i="229" s="1"/>
  <c r="H42" i="229" s="1"/>
  <c r="L38" i="229"/>
  <c r="L40" i="229" s="1"/>
  <c r="L42" i="229" s="1"/>
  <c r="P38" i="229"/>
  <c r="P40" i="229" s="1"/>
  <c r="X43" i="257"/>
  <c r="X41" i="257"/>
  <c r="F45" i="6" l="1"/>
  <c r="F47" i="6" s="1"/>
  <c r="F49" i="6" s="1"/>
  <c r="F55" i="6" s="1"/>
  <c r="F59" i="6" s="1"/>
  <c r="F64" i="6" s="1"/>
  <c r="N101" i="6"/>
  <c r="O101" i="6" s="1"/>
  <c r="K99" i="6"/>
  <c r="I97" i="6"/>
  <c r="F43" i="6"/>
  <c r="G39" i="6" s="1"/>
  <c r="G36" i="6"/>
  <c r="G41" i="6"/>
  <c r="G40" i="6"/>
  <c r="L96" i="6"/>
  <c r="O100" i="6"/>
  <c r="H40" i="6"/>
  <c r="H36" i="6"/>
  <c r="H41" i="6"/>
  <c r="S140" i="52"/>
  <c r="S108" i="52"/>
  <c r="S170" i="52"/>
  <c r="S204" i="52" s="1"/>
  <c r="S232" i="52" s="1"/>
  <c r="S92" i="52"/>
  <c r="H17" i="4"/>
  <c r="N10" i="4"/>
  <c r="O10" i="4" s="1"/>
  <c r="O7" i="4" s="1"/>
  <c r="D40" i="248" s="1"/>
  <c r="C19" i="156"/>
  <c r="G19" i="156" s="1"/>
  <c r="F38" i="4"/>
  <c r="C20" i="156" s="1"/>
  <c r="G20" i="156" s="1"/>
  <c r="I16" i="243"/>
  <c r="I17" i="243"/>
  <c r="D16" i="243"/>
  <c r="D17" i="243"/>
  <c r="F16" i="243"/>
  <c r="F17" i="243"/>
  <c r="H17" i="243"/>
  <c r="H16" i="243"/>
  <c r="J32" i="133"/>
  <c r="K31" i="133"/>
  <c r="B31" i="133" s="1"/>
  <c r="G31" i="133" s="1"/>
  <c r="B3" i="47" s="1"/>
  <c r="M98" i="6"/>
  <c r="J17" i="243"/>
  <c r="J16" i="243"/>
  <c r="E16" i="243"/>
  <c r="E17" i="243"/>
  <c r="G16" i="243"/>
  <c r="G17" i="243"/>
  <c r="G45" i="6" l="1"/>
  <c r="G47" i="6" s="1"/>
  <c r="G49" i="6" s="1"/>
  <c r="G55" i="6" s="1"/>
  <c r="G59" i="6" s="1"/>
  <c r="G64" i="6" s="1"/>
  <c r="G43" i="6"/>
  <c r="H39" i="6" s="1"/>
  <c r="H43" i="6" s="1"/>
  <c r="I39" i="6" s="1"/>
  <c r="H45" i="6"/>
  <c r="H47" i="6" s="1"/>
  <c r="H49" i="6" s="1"/>
  <c r="H55" i="6" s="1"/>
  <c r="H59" i="6" s="1"/>
  <c r="H64" i="6" s="1"/>
  <c r="M96" i="6"/>
  <c r="N96" i="6" s="1"/>
  <c r="O96" i="6" s="1"/>
  <c r="I107" i="6"/>
  <c r="I52" i="6" s="1"/>
  <c r="I33" i="6" s="1"/>
  <c r="I35" i="6" s="1"/>
  <c r="J97" i="6"/>
  <c r="J107" i="6" s="1"/>
  <c r="J52" i="6" s="1"/>
  <c r="J33" i="6" s="1"/>
  <c r="J35" i="6" s="1"/>
  <c r="L99" i="6"/>
  <c r="M99" i="6" s="1"/>
  <c r="N99" i="6" s="1"/>
  <c r="O99" i="6" s="1"/>
  <c r="G19" i="243"/>
  <c r="H22" i="4"/>
  <c r="N22" i="4" s="1"/>
  <c r="O27" i="4" s="1"/>
  <c r="D42" i="248" s="1"/>
  <c r="K48" i="249"/>
  <c r="T48" i="249" s="1"/>
  <c r="K48" i="257"/>
  <c r="T48" i="257" s="1"/>
  <c r="K48" i="250"/>
  <c r="T48" i="250" s="1"/>
  <c r="K48" i="256"/>
  <c r="T48" i="256" s="1"/>
  <c r="K48" i="251"/>
  <c r="T48" i="251" s="1"/>
  <c r="K48" i="12"/>
  <c r="K50" i="12" s="1"/>
  <c r="K48" i="244"/>
  <c r="K50" i="244" s="1"/>
  <c r="I50" i="244" s="1"/>
  <c r="R44" i="4" s="1"/>
  <c r="C12" i="156"/>
  <c r="G12" i="156" s="1"/>
  <c r="F19" i="156"/>
  <c r="E19" i="243"/>
  <c r="I19" i="243"/>
  <c r="H19" i="243"/>
  <c r="D19" i="243"/>
  <c r="N98" i="6"/>
  <c r="J19" i="243"/>
  <c r="F19" i="243"/>
  <c r="J33" i="133"/>
  <c r="K32" i="133"/>
  <c r="B32" i="133" s="1"/>
  <c r="G32" i="133" s="1"/>
  <c r="B3" i="172" s="1"/>
  <c r="AB46" i="12" l="1"/>
  <c r="I50" i="12"/>
  <c r="J36" i="6"/>
  <c r="J40" i="6"/>
  <c r="I40" i="6"/>
  <c r="I41" i="6" s="1"/>
  <c r="I36" i="6"/>
  <c r="K97" i="6"/>
  <c r="K50" i="249"/>
  <c r="K50" i="251"/>
  <c r="K50" i="256"/>
  <c r="K50" i="250"/>
  <c r="K50" i="257"/>
  <c r="T48" i="12"/>
  <c r="U48" i="12" s="1"/>
  <c r="W48" i="12" s="1"/>
  <c r="C15" i="156"/>
  <c r="F15" i="156" s="1"/>
  <c r="F12" i="156"/>
  <c r="T48" i="244"/>
  <c r="V48" i="244" s="1"/>
  <c r="U48" i="249"/>
  <c r="W48" i="249" s="1"/>
  <c r="V48" i="249"/>
  <c r="T50" i="244"/>
  <c r="T50" i="12"/>
  <c r="V48" i="251"/>
  <c r="U48" i="251"/>
  <c r="W48" i="251" s="1"/>
  <c r="U48" i="256"/>
  <c r="W48" i="256" s="1"/>
  <c r="V48" i="256"/>
  <c r="U48" i="250"/>
  <c r="W48" i="250" s="1"/>
  <c r="V48" i="250"/>
  <c r="U48" i="257"/>
  <c r="W48" i="257" s="1"/>
  <c r="V48" i="257"/>
  <c r="J34" i="133"/>
  <c r="K33" i="133"/>
  <c r="B33" i="133" s="1"/>
  <c r="G33" i="133" s="1"/>
  <c r="B3" i="53" s="1"/>
  <c r="O98" i="6"/>
  <c r="R37" i="4" l="1"/>
  <c r="AB46" i="251"/>
  <c r="I50" i="251"/>
  <c r="AB46" i="250"/>
  <c r="I50" i="250"/>
  <c r="AB46" i="249"/>
  <c r="I50" i="249"/>
  <c r="R40" i="4" s="1"/>
  <c r="AB46" i="256"/>
  <c r="I50" i="256"/>
  <c r="AB46" i="257"/>
  <c r="I50" i="257"/>
  <c r="I45" i="6"/>
  <c r="I47" i="6" s="1"/>
  <c r="I49" i="6" s="1"/>
  <c r="I55" i="6" s="1"/>
  <c r="I59" i="6" s="1"/>
  <c r="I64" i="6" s="1"/>
  <c r="I43" i="6"/>
  <c r="J39" i="6" s="1"/>
  <c r="J41" i="6" s="1"/>
  <c r="J43" i="6" s="1"/>
  <c r="K39" i="6" s="1"/>
  <c r="K107" i="6"/>
  <c r="K52" i="6" s="1"/>
  <c r="K33" i="6" s="1"/>
  <c r="K35" i="6" s="1"/>
  <c r="L97" i="6"/>
  <c r="T50" i="249"/>
  <c r="V50" i="249" s="1"/>
  <c r="T50" i="250"/>
  <c r="U50" i="250" s="1"/>
  <c r="W50" i="250" s="1"/>
  <c r="T50" i="251"/>
  <c r="U50" i="251" s="1"/>
  <c r="W50" i="251" s="1"/>
  <c r="T50" i="256"/>
  <c r="V50" i="256" s="1"/>
  <c r="T50" i="257"/>
  <c r="V50" i="257" s="1"/>
  <c r="U48" i="244"/>
  <c r="W48" i="244" s="1"/>
  <c r="X48" i="244" s="1"/>
  <c r="Y48" i="244" s="1"/>
  <c r="AB41" i="244" s="1"/>
  <c r="AB44" i="244" s="1"/>
  <c r="AB47" i="244" s="1"/>
  <c r="D28" i="248" s="1"/>
  <c r="V48" i="12"/>
  <c r="X48" i="12" s="1"/>
  <c r="Y48" i="12" s="1"/>
  <c r="C32" i="156" s="1"/>
  <c r="G15" i="156"/>
  <c r="X48" i="249"/>
  <c r="Y48" i="249" s="1"/>
  <c r="AB41" i="249" s="1"/>
  <c r="AB44" i="249" s="1"/>
  <c r="X48" i="256"/>
  <c r="Y48" i="256" s="1"/>
  <c r="AB41" i="256" s="1"/>
  <c r="AB44" i="256" s="1"/>
  <c r="X48" i="250"/>
  <c r="Y48" i="250" s="1"/>
  <c r="AB41" i="250" s="1"/>
  <c r="AB44" i="250" s="1"/>
  <c r="U50" i="12"/>
  <c r="W50" i="12" s="1"/>
  <c r="V50" i="12"/>
  <c r="K34" i="133"/>
  <c r="B34" i="133" s="1"/>
  <c r="G34" i="133" s="1"/>
  <c r="B3" i="15" s="1"/>
  <c r="J37" i="133"/>
  <c r="X48" i="257"/>
  <c r="Y48" i="257" s="1"/>
  <c r="AB41" i="257" s="1"/>
  <c r="AB44" i="257" s="1"/>
  <c r="X48" i="251"/>
  <c r="Y48" i="251" s="1"/>
  <c r="AB41" i="251" s="1"/>
  <c r="AB44" i="251" s="1"/>
  <c r="U50" i="244"/>
  <c r="W50" i="244" s="1"/>
  <c r="V50" i="244"/>
  <c r="R42" i="4" l="1"/>
  <c r="R41" i="4"/>
  <c r="R39" i="4"/>
  <c r="R38" i="4"/>
  <c r="U50" i="249"/>
  <c r="W50" i="249" s="1"/>
  <c r="X50" i="249" s="1"/>
  <c r="J45" i="6"/>
  <c r="J47" i="6" s="1"/>
  <c r="J49" i="6" s="1"/>
  <c r="J55" i="6" s="1"/>
  <c r="J59" i="6" s="1"/>
  <c r="J64" i="6" s="1"/>
  <c r="K36" i="6"/>
  <c r="K40" i="6"/>
  <c r="K41" i="6" s="1"/>
  <c r="K45" i="6" s="1"/>
  <c r="K47" i="6" s="1"/>
  <c r="K49" i="6" s="1"/>
  <c r="K55" i="6" s="1"/>
  <c r="K59" i="6" s="1"/>
  <c r="K64" i="6" s="1"/>
  <c r="M97" i="6"/>
  <c r="L107" i="6"/>
  <c r="L52" i="6" s="1"/>
  <c r="L33" i="6" s="1"/>
  <c r="L35" i="6" s="1"/>
  <c r="V50" i="251"/>
  <c r="X50" i="251" s="1"/>
  <c r="V50" i="250"/>
  <c r="X50" i="250" s="1"/>
  <c r="U50" i="256"/>
  <c r="W50" i="256" s="1"/>
  <c r="X50" i="256" s="1"/>
  <c r="U50" i="257"/>
  <c r="W50" i="257" s="1"/>
  <c r="X50" i="257" s="1"/>
  <c r="AB47" i="251"/>
  <c r="D36" i="248" s="1"/>
  <c r="AB47" i="250"/>
  <c r="D34" i="248" s="1"/>
  <c r="AB47" i="249"/>
  <c r="D32" i="248" s="1"/>
  <c r="AB47" i="256"/>
  <c r="D30" i="248" s="1"/>
  <c r="AB47" i="257"/>
  <c r="D26" i="248" s="1"/>
  <c r="AB41" i="12"/>
  <c r="AB44" i="12" s="1"/>
  <c r="X50" i="12"/>
  <c r="F32" i="156"/>
  <c r="G32" i="156"/>
  <c r="X50" i="244"/>
  <c r="K37" i="133"/>
  <c r="B37" i="133" s="1"/>
  <c r="G37" i="133" s="1"/>
  <c r="B3" i="62" s="1"/>
  <c r="L15" i="4" s="1"/>
  <c r="J38" i="133"/>
  <c r="K43" i="6" l="1"/>
  <c r="L39" i="6" s="1"/>
  <c r="L40" i="6"/>
  <c r="L36" i="6"/>
  <c r="M107" i="6"/>
  <c r="M52" i="6" s="1"/>
  <c r="M33" i="6" s="1"/>
  <c r="M35" i="6" s="1"/>
  <c r="N97" i="6"/>
  <c r="AB47" i="12"/>
  <c r="D24" i="248" s="1"/>
  <c r="I9" i="1" s="1"/>
  <c r="K38" i="133"/>
  <c r="B38" i="133" s="1"/>
  <c r="G38" i="133" s="1"/>
  <c r="B3" i="57" s="1"/>
  <c r="B45" i="189" s="1"/>
  <c r="J39" i="133"/>
  <c r="L41" i="6" l="1"/>
  <c r="L45" i="6" s="1"/>
  <c r="L47" i="6" s="1"/>
  <c r="L49" i="6" s="1"/>
  <c r="L55" i="6" s="1"/>
  <c r="L59" i="6" s="1"/>
  <c r="L64" i="6" s="1"/>
  <c r="O97" i="6"/>
  <c r="O107" i="6" s="1"/>
  <c r="O52" i="6" s="1"/>
  <c r="O33" i="6" s="1"/>
  <c r="O35" i="6" s="1"/>
  <c r="N107" i="6"/>
  <c r="N52" i="6" s="1"/>
  <c r="N33" i="6" s="1"/>
  <c r="N35" i="6" s="1"/>
  <c r="M40" i="6"/>
  <c r="M36" i="6"/>
  <c r="K39" i="133"/>
  <c r="B39" i="133" s="1"/>
  <c r="G39" i="133" s="1"/>
  <c r="B3" i="59" s="1"/>
  <c r="J42" i="133"/>
  <c r="L43" i="6" l="1"/>
  <c r="M39" i="6" s="1"/>
  <c r="M41" i="6" s="1"/>
  <c r="M45" i="6" s="1"/>
  <c r="M47" i="6" s="1"/>
  <c r="M49" i="6" s="1"/>
  <c r="M55" i="6" s="1"/>
  <c r="M59" i="6" s="1"/>
  <c r="M64" i="6" s="1"/>
  <c r="N40" i="6"/>
  <c r="N36" i="6"/>
  <c r="O36" i="6"/>
  <c r="O40" i="6"/>
  <c r="J43" i="133"/>
  <c r="K42" i="133"/>
  <c r="B42" i="133" s="1"/>
  <c r="G42" i="133" s="1"/>
  <c r="B3" i="63" s="1"/>
  <c r="M43" i="6" l="1"/>
  <c r="N39" i="6" s="1"/>
  <c r="N41" i="6" s="1"/>
  <c r="C17" i="236"/>
  <c r="L15" i="40"/>
  <c r="K43" i="133"/>
  <c r="B43" i="133" s="1"/>
  <c r="G43" i="133" s="1"/>
  <c r="B3" i="64" s="1"/>
  <c r="J46" i="133"/>
  <c r="N45" i="6" l="1"/>
  <c r="N47" i="6" s="1"/>
  <c r="N49" i="6" s="1"/>
  <c r="N55" i="6" s="1"/>
  <c r="N59" i="6" s="1"/>
  <c r="N64" i="6" s="1"/>
  <c r="N43" i="6"/>
  <c r="O39" i="6" s="1"/>
  <c r="O41" i="6" s="1"/>
  <c r="O45" i="6" s="1"/>
  <c r="O47" i="6" s="1"/>
  <c r="O49" i="6" s="1"/>
  <c r="O55" i="6" s="1"/>
  <c r="O59" i="6" s="1"/>
  <c r="F67" i="6" s="1"/>
  <c r="F71" i="6" s="1"/>
  <c r="F73" i="6" s="1"/>
  <c r="F77" i="6" s="1"/>
  <c r="K46" i="133"/>
  <c r="B46" i="133" s="1"/>
  <c r="G46" i="133" s="1"/>
  <c r="B3" i="11" s="1"/>
  <c r="B29" i="66" s="1"/>
  <c r="J47" i="133"/>
  <c r="O64" i="6" l="1"/>
  <c r="F76" i="6" s="1"/>
  <c r="F79" i="6" s="1"/>
  <c r="J67" i="6" s="1"/>
  <c r="O43" i="6"/>
  <c r="J48" i="133"/>
  <c r="K47" i="133"/>
  <c r="B47" i="133" s="1"/>
  <c r="G47" i="133" s="1"/>
  <c r="B3" i="12" s="1"/>
  <c r="J49" i="133" l="1"/>
  <c r="K48" i="133"/>
  <c r="B48" i="133" s="1"/>
  <c r="G48" i="133" s="1"/>
  <c r="B3" i="257" s="1"/>
  <c r="Q77" i="6"/>
  <c r="E11" i="52"/>
  <c r="Q76" i="6"/>
  <c r="Q79" i="6" l="1"/>
  <c r="J50" i="133"/>
  <c r="K49" i="133"/>
  <c r="B49" i="133" s="1"/>
  <c r="G49" i="133" s="1"/>
  <c r="B3" i="256" s="1"/>
  <c r="J51" i="133" l="1"/>
  <c r="K50" i="133"/>
  <c r="B50" i="133" s="1"/>
  <c r="G50" i="133" s="1"/>
  <c r="B3" i="249" s="1"/>
  <c r="J52" i="133" l="1"/>
  <c r="K51" i="133"/>
  <c r="B51" i="133" s="1"/>
  <c r="G51" i="133" s="1"/>
  <c r="B3" i="250" s="1"/>
  <c r="J53" i="133" l="1"/>
  <c r="K52" i="133"/>
  <c r="B52" i="133" s="1"/>
  <c r="G52" i="133" s="1"/>
  <c r="B3" i="251" s="1"/>
  <c r="B71" i="11" s="1"/>
  <c r="J54" i="133" l="1"/>
  <c r="K53" i="133"/>
  <c r="B53" i="133" s="1"/>
  <c r="G53" i="133" s="1"/>
  <c r="B3" i="13" s="1"/>
  <c r="J55" i="133" l="1"/>
  <c r="K54" i="133"/>
  <c r="B54" i="133" s="1"/>
  <c r="G54" i="133" s="1"/>
  <c r="B3" i="14" s="1"/>
  <c r="E12" i="52" l="1"/>
  <c r="E12" i="241"/>
  <c r="J56" i="133"/>
  <c r="K55" i="133"/>
  <c r="B55" i="133" s="1"/>
  <c r="G55" i="133" s="1"/>
  <c r="B3" i="217" s="1"/>
  <c r="M10" i="243"/>
  <c r="M26" i="243" s="1"/>
  <c r="J16" i="11"/>
  <c r="J30" i="39"/>
  <c r="K56" i="133" l="1"/>
  <c r="B56" i="133" s="1"/>
  <c r="G56" i="133" s="1"/>
  <c r="B3" i="235" s="1"/>
  <c r="J57" i="133"/>
  <c r="K57" i="133" s="1"/>
  <c r="B57" i="133" s="1"/>
  <c r="G57" i="133" s="1"/>
  <c r="B3" i="189" s="1"/>
  <c r="B56" i="62" s="1"/>
  <c r="J32" i="11"/>
  <c r="J56" i="11"/>
  <c r="B3" i="234"/>
  <c r="B3" i="233"/>
  <c r="P153" i="233" l="1" a="1"/>
  <c r="P153" i="233" s="1"/>
  <c r="P150" i="233" a="1"/>
  <c r="P150" i="233" s="1"/>
  <c r="P155" i="233" a="1"/>
  <c r="P155" i="233" s="1"/>
  <c r="P152" i="233" a="1"/>
  <c r="P152" i="233" s="1"/>
  <c r="P154" i="233" a="1"/>
  <c r="P154" i="233" s="1"/>
  <c r="P151" i="233" a="1"/>
  <c r="P151" i="2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C8" authorId="0" shapeId="0" xr:uid="{00000000-0006-0000-0100-000001000000}">
      <text>
        <r>
          <rPr>
            <b/>
            <sz val="9"/>
            <color indexed="81"/>
            <rFont val="Tahoma"/>
            <family val="2"/>
          </rPr>
          <t>Knowcraft Common:</t>
        </r>
        <r>
          <rPr>
            <sz val="9"/>
            <color indexed="81"/>
            <rFont val="Tahoma"/>
            <family val="2"/>
          </rPr>
          <t xml:space="preserve">
Please add reference to ASC 718 in case of FV.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Ruchit Shah</author>
  </authors>
  <commentList>
    <comment ref="C30" authorId="0" shapeId="0" xr:uid="{00000000-0006-0000-0400-000001000000}">
      <text>
        <r>
          <rPr>
            <b/>
            <sz val="9"/>
            <color indexed="81"/>
            <rFont val="Tahoma"/>
            <family val="2"/>
          </rPr>
          <t xml:space="preserve">Ruchit Shah:
</t>
        </r>
        <r>
          <rPr>
            <sz val="9"/>
            <color indexed="81"/>
            <rFont val="Tahoma"/>
            <family val="2"/>
          </rPr>
          <t>Add Checks according to the number of Scenarios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Ruchit Shah</author>
  </authors>
  <commentList>
    <comment ref="J20" authorId="0" shapeId="0" xr:uid="{00000000-0006-0000-0600-000001000000}">
      <text>
        <r>
          <rPr>
            <b/>
            <sz val="9"/>
            <color indexed="81"/>
            <rFont val="Tahoma"/>
            <family val="2"/>
          </rPr>
          <t>Ruchit Shah:</t>
        </r>
        <r>
          <rPr>
            <sz val="9"/>
            <color indexed="81"/>
            <rFont val="Tahoma"/>
            <family val="2"/>
          </rPr>
          <t xml:space="preserve">
Linked to Workpapers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Knowcraft Common</author>
    <author>Arnav Shah</author>
    <author>Nishma Shah</author>
  </authors>
  <commentList>
    <comment ref="E17" authorId="0" shapeId="0" xr:uid="{00000000-0006-0000-0700-000001000000}">
      <text>
        <r>
          <rPr>
            <b/>
            <sz val="9"/>
            <color indexed="81"/>
            <rFont val="Tahoma"/>
            <family val="2"/>
          </rPr>
          <t>Knowcraft Common:</t>
        </r>
        <r>
          <rPr>
            <sz val="9"/>
            <color indexed="81"/>
            <rFont val="Tahoma"/>
            <family val="2"/>
          </rPr>
          <t xml:space="preserve">
Change to "Financial Statements" if DCF is not used</t>
        </r>
      </text>
    </comment>
    <comment ref="E29" authorId="0" shapeId="0" xr:uid="{00000000-0006-0000-0700-000002000000}">
      <text>
        <r>
          <rPr>
            <b/>
            <sz val="9"/>
            <color indexed="81"/>
            <rFont val="Tahoma"/>
            <family val="2"/>
          </rPr>
          <t>Knowcraft Common:</t>
        </r>
        <r>
          <rPr>
            <sz val="9"/>
            <color indexed="81"/>
            <rFont val="Tahoma"/>
            <family val="2"/>
          </rPr>
          <t xml:space="preserve">
Change to "Guideline Comparables Analysis" if GCM is not used</t>
        </r>
      </text>
    </comment>
    <comment ref="E36" authorId="0" shapeId="0" xr:uid="{00000000-0006-0000-0700-000003000000}">
      <text>
        <r>
          <rPr>
            <b/>
            <sz val="9"/>
            <color indexed="81"/>
            <rFont val="Tahoma"/>
            <family val="2"/>
          </rPr>
          <t>Knowcraft Common:</t>
        </r>
        <r>
          <rPr>
            <sz val="9"/>
            <color indexed="81"/>
            <rFont val="Tahoma"/>
            <family val="2"/>
          </rPr>
          <t xml:space="preserve">
Change to "Guideline Transactions Analysis" if GTM is not used</t>
        </r>
      </text>
    </comment>
    <comment ref="E56" authorId="1" shapeId="0" xr:uid="{00000000-0006-0000-0700-000004000000}">
      <text>
        <r>
          <rPr>
            <b/>
            <sz val="9"/>
            <color indexed="81"/>
            <rFont val="Tahoma"/>
            <family val="2"/>
          </rPr>
          <t>Arnav Shah:</t>
        </r>
        <r>
          <rPr>
            <sz val="9"/>
            <color indexed="81"/>
            <rFont val="Tahoma"/>
            <family val="2"/>
          </rPr>
          <t xml:space="preserve">
Change linking as per industry</t>
        </r>
      </text>
    </comment>
    <comment ref="B58" authorId="2" shapeId="0" xr:uid="{00000000-0006-0000-0700-000005000000}">
      <text>
        <r>
          <rPr>
            <b/>
            <sz val="9"/>
            <color indexed="81"/>
            <rFont val="Tahoma"/>
            <family val="2"/>
          </rPr>
          <t xml:space="preserve">No Workpapers to be shown in outline and not to be attached with the package </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L25" authorId="0" shapeId="0" xr:uid="{00000000-0006-0000-0800-000001000000}">
      <text>
        <r>
          <rPr>
            <b/>
            <sz val="9"/>
            <color indexed="81"/>
            <rFont val="Tahoma"/>
            <family val="2"/>
          </rPr>
          <t>Knowcraft Common:</t>
        </r>
        <r>
          <rPr>
            <sz val="9"/>
            <color indexed="81"/>
            <rFont val="Tahoma"/>
            <family val="2"/>
          </rPr>
          <t xml:space="preserve">
Add Reference label if rows above are grouped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Harshit Ajmera</author>
    <author>Knowcraft Common</author>
  </authors>
  <commentList>
    <comment ref="T62" authorId="0" shapeId="0" xr:uid="{00000000-0006-0000-0A00-000001000000}">
      <text>
        <r>
          <rPr>
            <b/>
            <sz val="9"/>
            <color indexed="81"/>
            <rFont val="Tahoma"/>
            <family val="2"/>
          </rPr>
          <t>Harshit Ajmera:</t>
        </r>
        <r>
          <rPr>
            <sz val="9"/>
            <color indexed="81"/>
            <rFont val="Tahoma"/>
            <family val="2"/>
          </rPr>
          <t xml:space="preserve">
Delete this before completing the model.</t>
        </r>
      </text>
    </comment>
    <comment ref="D222" authorId="1" shapeId="0" xr:uid="{00000000-0006-0000-0A00-000002000000}">
      <text>
        <r>
          <rPr>
            <b/>
            <sz val="9"/>
            <color indexed="81"/>
            <rFont val="Tahoma"/>
            <family val="2"/>
          </rPr>
          <t>Knowcraft Common:</t>
        </r>
        <r>
          <rPr>
            <sz val="9"/>
            <color indexed="81"/>
            <rFont val="Tahoma"/>
            <family val="2"/>
          </rPr>
          <t xml:space="preserve">
Apply DLOM adjustment if applicable.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Harpreet Singh</author>
    <author>Knowcraft Common</author>
  </authors>
  <commentList>
    <comment ref="U81" authorId="0" shapeId="0" xr:uid="{00000000-0006-0000-0D00-000001000000}">
      <text>
        <r>
          <rPr>
            <sz val="9"/>
            <color indexed="81"/>
            <rFont val="Tahoma"/>
            <family val="2"/>
          </rPr>
          <t>Check formulae</t>
        </r>
      </text>
    </comment>
    <comment ref="D261" authorId="1" shapeId="0" xr:uid="{00000000-0006-0000-0D00-00000200000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Nishma Shah</author>
  </authors>
  <commentList>
    <comment ref="H66" authorId="0" shapeId="0" xr:uid="{00000000-0006-0000-1000-000001000000}">
      <text>
        <r>
          <rPr>
            <b/>
            <sz val="9"/>
            <color indexed="81"/>
            <rFont val="Tahoma"/>
            <family val="2"/>
          </rPr>
          <t>Windows User:</t>
        </r>
        <r>
          <rPr>
            <sz val="9"/>
            <color indexed="81"/>
            <rFont val="Tahoma"/>
            <family val="2"/>
          </rPr>
          <t xml:space="preserve">
</t>
        </r>
      </text>
    </comment>
    <comment ref="H67" authorId="0" shapeId="0" xr:uid="{00000000-0006-0000-1000-000002000000}">
      <text>
        <r>
          <rPr>
            <b/>
            <sz val="9"/>
            <color indexed="81"/>
            <rFont val="Tahoma"/>
            <family val="2"/>
          </rPr>
          <t>Windows User:</t>
        </r>
        <r>
          <rPr>
            <sz val="9"/>
            <color indexed="81"/>
            <rFont val="Tahoma"/>
            <family val="2"/>
          </rPr>
          <t xml:space="preserve">
</t>
        </r>
      </text>
    </comment>
    <comment ref="J67" authorId="0" shapeId="0" xr:uid="{00000000-0006-0000-1000-000003000000}">
      <text>
        <r>
          <rPr>
            <b/>
            <sz val="9"/>
            <color indexed="81"/>
            <rFont val="Tahoma"/>
            <family val="2"/>
          </rPr>
          <t>Windows User:</t>
        </r>
        <r>
          <rPr>
            <sz val="9"/>
            <color indexed="81"/>
            <rFont val="Tahoma"/>
            <family val="2"/>
          </rPr>
          <t xml:space="preserve">
</t>
        </r>
      </text>
    </comment>
    <comment ref="Q67" authorId="1" shapeId="0" xr:uid="{00000000-0006-0000-1000-000004000000}">
      <text>
        <r>
          <rPr>
            <b/>
            <sz val="9"/>
            <color indexed="81"/>
            <rFont val="Tahoma"/>
            <family val="2"/>
          </rPr>
          <t>Nishma Shah:</t>
        </r>
        <r>
          <rPr>
            <sz val="9"/>
            <color indexed="81"/>
            <rFont val="Tahoma"/>
            <family val="2"/>
          </rPr>
          <t xml:space="preserve">
check</t>
        </r>
      </text>
    </comment>
    <comment ref="G68" authorId="0" shapeId="0" xr:uid="{00000000-0006-0000-1000-000005000000}">
      <text>
        <r>
          <rPr>
            <b/>
            <sz val="9"/>
            <color indexed="81"/>
            <rFont val="Tahoma"/>
            <family val="2"/>
          </rPr>
          <t>Windows User:</t>
        </r>
        <r>
          <rPr>
            <sz val="9"/>
            <color indexed="81"/>
            <rFont val="Tahoma"/>
            <family val="2"/>
          </rPr>
          <t xml:space="preserve">
check</t>
        </r>
      </text>
    </comment>
    <comment ref="G69" authorId="0" shapeId="0" xr:uid="{00000000-0006-0000-1000-000006000000}">
      <text>
        <r>
          <rPr>
            <b/>
            <sz val="9"/>
            <color indexed="81"/>
            <rFont val="Tahoma"/>
            <family val="2"/>
          </rPr>
          <t>Windows User:</t>
        </r>
        <r>
          <rPr>
            <sz val="9"/>
            <color indexed="81"/>
            <rFont val="Tahoma"/>
            <family val="2"/>
          </rPr>
          <t xml:space="preserve">
check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Priyadarshini Pant</author>
  </authors>
  <commentList>
    <comment ref="B42" authorId="0" shapeId="0" xr:uid="{00000000-0006-0000-1500-000001000000}">
      <text>
        <r>
          <rPr>
            <b/>
            <sz val="9"/>
            <color indexed="81"/>
            <rFont val="Tahoma"/>
            <family val="2"/>
          </rPr>
          <t>Priyadarshini Pant:</t>
        </r>
        <r>
          <rPr>
            <sz val="9"/>
            <color indexed="81"/>
            <rFont val="Tahoma"/>
            <family val="2"/>
          </rPr>
          <t xml:space="preserve">
Make sure to update this whenever WACC CAPM is used.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Dhara Shah</author>
    <author>Valuation Common</author>
    <author>Windows User</author>
  </authors>
  <commentList>
    <comment ref="AA8" authorId="0" shapeId="0" xr:uid="{00000000-0006-0000-1600-000001000000}">
      <text>
        <r>
          <rPr>
            <b/>
            <sz val="9"/>
            <color indexed="81"/>
            <rFont val="Tahoma"/>
            <family val="2"/>
          </rPr>
          <t>Dhara Shah:</t>
        </r>
        <r>
          <rPr>
            <sz val="9"/>
            <color indexed="81"/>
            <rFont val="Tahoma"/>
            <family val="2"/>
          </rPr>
          <t xml:space="preserve">
Do not delete. This is an array formula, so please adjust (Ctrl+Shift+Enter) if range changes</t>
        </r>
      </text>
    </comment>
    <comment ref="D10" authorId="1" shapeId="0" xr:uid="{00000000-0006-0000-1600-000002000000}">
      <text>
        <r>
          <rPr>
            <b/>
            <sz val="9"/>
            <color indexed="81"/>
            <rFont val="Tahoma"/>
            <family val="2"/>
          </rPr>
          <t>Valuation Common:</t>
        </r>
        <r>
          <rPr>
            <sz val="9"/>
            <color indexed="81"/>
            <rFont val="Tahoma"/>
            <family val="2"/>
          </rPr>
          <t xml:space="preserve">
Update if selected levered beta is not available or applicable</t>
        </r>
      </text>
    </comment>
    <comment ref="E58" authorId="2" shapeId="0" xr:uid="{00000000-0006-0000-1600-000003000000}">
      <text>
        <r>
          <rPr>
            <b/>
            <sz val="9"/>
            <color indexed="81"/>
            <rFont val="Tahoma"/>
            <family val="2"/>
          </rPr>
          <t>Windows User:</t>
        </r>
        <r>
          <rPr>
            <sz val="9"/>
            <color indexed="81"/>
            <rFont val="Tahoma"/>
            <family val="2"/>
          </rPr>
          <t xml:space="preserve">
MSCI emerging markets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Knowcraft Common</author>
    <author>Harshit Ajmera</author>
  </authors>
  <commentList>
    <comment ref="B9" authorId="0" shapeId="0" xr:uid="{00000000-0006-0000-1700-000001000000}">
      <text>
        <r>
          <rPr>
            <b/>
            <sz val="9"/>
            <color indexed="81"/>
            <rFont val="Tahoma"/>
            <family val="2"/>
          </rPr>
          <t>Knowcraft Common:</t>
        </r>
        <r>
          <rPr>
            <sz val="9"/>
            <color indexed="81"/>
            <rFont val="Tahoma"/>
            <family val="2"/>
          </rPr>
          <t xml:space="preserve">
Group debt and update footnote numbering if applicable.</t>
        </r>
      </text>
    </comment>
    <comment ref="B17" authorId="1" shapeId="0" xr:uid="{00000000-0006-0000-1700-000002000000}">
      <text>
        <r>
          <rPr>
            <b/>
            <sz val="9"/>
            <color indexed="81"/>
            <rFont val="Tahoma"/>
            <family val="2"/>
          </rPr>
          <t>Harshit Ajmera:</t>
        </r>
        <r>
          <rPr>
            <sz val="9"/>
            <color indexed="81"/>
            <rFont val="Tahoma"/>
            <family val="2"/>
          </rPr>
          <t xml:space="preserve">
Remove Warrants from label, if applicable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B15" authorId="0" shapeId="0" xr:uid="{00000000-0006-0000-1800-000001000000}">
      <text>
        <r>
          <rPr>
            <b/>
            <sz val="9"/>
            <color indexed="81"/>
            <rFont val="Tahoma"/>
            <family val="2"/>
          </rPr>
          <t>Knowcraft Common:</t>
        </r>
        <r>
          <rPr>
            <sz val="9"/>
            <color indexed="81"/>
            <rFont val="Tahoma"/>
            <family val="2"/>
          </rPr>
          <t xml:space="preserve">
Group if PWERM WACC or CAPM WACC is used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J27" authorId="0" shapeId="0" xr:uid="{00000000-0006-0000-1A00-000001000000}">
      <text>
        <r>
          <rPr>
            <b/>
            <sz val="9"/>
            <color indexed="81"/>
            <rFont val="Tahoma"/>
            <family val="2"/>
          </rPr>
          <t>Knowcraft Common:</t>
        </r>
        <r>
          <rPr>
            <sz val="9"/>
            <color indexed="81"/>
            <rFont val="Tahoma"/>
            <family val="2"/>
          </rPr>
          <t xml:space="preserve">
Add footnote for discounting convention if applicable.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B9" authorId="0" shapeId="0" xr:uid="{00000000-0006-0000-2400-000001000000}">
      <text>
        <r>
          <rPr>
            <b/>
            <sz val="9"/>
            <color indexed="81"/>
            <rFont val="Tahoma"/>
            <family val="2"/>
          </rPr>
          <t>Knowcraft Common:</t>
        </r>
        <r>
          <rPr>
            <sz val="9"/>
            <color indexed="81"/>
            <rFont val="Tahoma"/>
            <family val="2"/>
          </rPr>
          <t xml:space="preserve">
Remove if details of more than 1 shareholder category not available</t>
        </r>
      </text>
    </comment>
    <comment ref="B15" authorId="0" shapeId="0" xr:uid="{00000000-0006-0000-2400-000002000000}">
      <text>
        <r>
          <rPr>
            <b/>
            <sz val="9"/>
            <color indexed="81"/>
            <rFont val="Tahoma"/>
            <family val="2"/>
          </rPr>
          <t>Knowcraft Common:</t>
        </r>
        <r>
          <rPr>
            <sz val="9"/>
            <color indexed="81"/>
            <rFont val="Tahoma"/>
            <family val="2"/>
          </rPr>
          <t xml:space="preserve">
Group/remove if no warrants for any Class. Else, show as 0.</t>
        </r>
      </text>
    </comment>
    <comment ref="B25" authorId="0" shapeId="0" xr:uid="{00000000-0006-0000-2400-000003000000}">
      <text>
        <r>
          <rPr>
            <b/>
            <sz val="9"/>
            <color indexed="81"/>
            <rFont val="Tahoma"/>
            <family val="2"/>
          </rPr>
          <t>Knowcraft Common:</t>
        </r>
        <r>
          <rPr>
            <sz val="9"/>
            <color indexed="81"/>
            <rFont val="Tahoma"/>
            <family val="2"/>
          </rPr>
          <t xml:space="preserve">
Remove "Warrants" from Label if there are no warrants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B25" authorId="0" shapeId="0" xr:uid="{00000000-0006-0000-2500-000001000000}">
      <text>
        <r>
          <rPr>
            <b/>
            <sz val="9"/>
            <color indexed="81"/>
            <rFont val="Tahoma"/>
            <family val="2"/>
          </rPr>
          <t>Knowcraft Common:</t>
        </r>
        <r>
          <rPr>
            <sz val="9"/>
            <color indexed="81"/>
            <rFont val="Tahoma"/>
            <family val="2"/>
          </rPr>
          <t xml:space="preserve">
Delete if non-cumulative.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Harsh Mansatta</author>
  </authors>
  <commentList>
    <comment ref="D10" authorId="0" shapeId="0" xr:uid="{00000000-0006-0000-2700-000001000000}">
      <text>
        <r>
          <rPr>
            <b/>
            <sz val="9"/>
            <color indexed="81"/>
            <rFont val="Tahoma"/>
            <family val="2"/>
          </rPr>
          <t>Harsh Mansatta:</t>
        </r>
        <r>
          <rPr>
            <sz val="9"/>
            <color indexed="81"/>
            <rFont val="Tahoma"/>
            <family val="2"/>
          </rPr>
          <t xml:space="preserve">
Check and confirm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54" authorId="0" shapeId="0" xr:uid="{00000000-0006-0000-2800-000001000000}">
      <text>
        <r>
          <rPr>
            <b/>
            <sz val="9"/>
            <color indexed="81"/>
            <rFont val="Tahoma"/>
            <family val="2"/>
          </rPr>
          <t>Knowcraft Common:</t>
        </r>
        <r>
          <rPr>
            <sz val="9"/>
            <color indexed="81"/>
            <rFont val="Tahoma"/>
            <family val="2"/>
          </rPr>
          <t xml:space="preserve">
Update based on points mentioned below
</t>
        </r>
      </text>
    </comment>
    <comment ref="A55" authorId="0" shapeId="0" xr:uid="{00000000-0006-0000-2800-000002000000}">
      <text>
        <r>
          <rPr>
            <b/>
            <sz val="9"/>
            <color indexed="81"/>
            <rFont val="Tahoma"/>
            <family val="2"/>
          </rPr>
          <t>Knowcraft Common:</t>
        </r>
        <r>
          <rPr>
            <sz val="9"/>
            <color indexed="81"/>
            <rFont val="Tahoma"/>
            <family val="2"/>
          </rPr>
          <t xml:space="preserve">
Update based on points mentioned below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54" authorId="0" shapeId="0" xr:uid="{00000000-0006-0000-2900-000001000000}">
      <text>
        <r>
          <rPr>
            <b/>
            <sz val="9"/>
            <color indexed="81"/>
            <rFont val="Tahoma"/>
            <family val="2"/>
          </rPr>
          <t>Knowcraft Common:</t>
        </r>
        <r>
          <rPr>
            <sz val="9"/>
            <color indexed="81"/>
            <rFont val="Tahoma"/>
            <family val="2"/>
          </rPr>
          <t xml:space="preserve">
Update based on points mentioned below
</t>
        </r>
      </text>
    </comment>
    <comment ref="A55" authorId="0" shapeId="0" xr:uid="{00000000-0006-0000-2900-000002000000}">
      <text>
        <r>
          <rPr>
            <b/>
            <sz val="9"/>
            <color indexed="81"/>
            <rFont val="Tahoma"/>
            <family val="2"/>
          </rPr>
          <t>Knowcraft Common:</t>
        </r>
        <r>
          <rPr>
            <sz val="9"/>
            <color indexed="81"/>
            <rFont val="Tahoma"/>
            <family val="2"/>
          </rPr>
          <t xml:space="preserve">
Update based on points mentioned below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54" authorId="0" shapeId="0" xr:uid="{00000000-0006-0000-2A00-000001000000}">
      <text>
        <r>
          <rPr>
            <b/>
            <sz val="9"/>
            <color indexed="81"/>
            <rFont val="Tahoma"/>
            <family val="2"/>
          </rPr>
          <t>Knowcraft Common:</t>
        </r>
        <r>
          <rPr>
            <sz val="9"/>
            <color indexed="81"/>
            <rFont val="Tahoma"/>
            <family val="2"/>
          </rPr>
          <t xml:space="preserve">
Update based on points mentioned below
</t>
        </r>
      </text>
    </comment>
    <comment ref="A55" authorId="0" shapeId="0" xr:uid="{00000000-0006-0000-2A00-000002000000}">
      <text>
        <r>
          <rPr>
            <b/>
            <sz val="9"/>
            <color indexed="81"/>
            <rFont val="Tahoma"/>
            <family val="2"/>
          </rPr>
          <t>Knowcraft Common:</t>
        </r>
        <r>
          <rPr>
            <sz val="9"/>
            <color indexed="81"/>
            <rFont val="Tahoma"/>
            <family val="2"/>
          </rPr>
          <t xml:space="preserve">
Update based on points mentioned below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54" authorId="0" shapeId="0" xr:uid="{00000000-0006-0000-2B00-000001000000}">
      <text>
        <r>
          <rPr>
            <b/>
            <sz val="9"/>
            <color indexed="81"/>
            <rFont val="Tahoma"/>
            <family val="2"/>
          </rPr>
          <t>Knowcraft Common:</t>
        </r>
        <r>
          <rPr>
            <sz val="9"/>
            <color indexed="81"/>
            <rFont val="Tahoma"/>
            <family val="2"/>
          </rPr>
          <t xml:space="preserve">
Update based on points mentioned below
</t>
        </r>
      </text>
    </comment>
    <comment ref="A55" authorId="0" shapeId="0" xr:uid="{00000000-0006-0000-2B00-000002000000}">
      <text>
        <r>
          <rPr>
            <b/>
            <sz val="9"/>
            <color indexed="81"/>
            <rFont val="Tahoma"/>
            <family val="2"/>
          </rPr>
          <t>Knowcraft Common:</t>
        </r>
        <r>
          <rPr>
            <sz val="9"/>
            <color indexed="81"/>
            <rFont val="Tahoma"/>
            <family val="2"/>
          </rPr>
          <t xml:space="preserve">
Update based on points mentioned below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54" authorId="0" shapeId="0" xr:uid="{00000000-0006-0000-2C00-000001000000}">
      <text>
        <r>
          <rPr>
            <b/>
            <sz val="9"/>
            <color indexed="81"/>
            <rFont val="Tahoma"/>
            <family val="2"/>
          </rPr>
          <t>Knowcraft Common:</t>
        </r>
        <r>
          <rPr>
            <sz val="9"/>
            <color indexed="81"/>
            <rFont val="Tahoma"/>
            <family val="2"/>
          </rPr>
          <t xml:space="preserve">
Update based on points mentioned below
</t>
        </r>
      </text>
    </comment>
    <comment ref="A55" authorId="0" shapeId="0" xr:uid="{00000000-0006-0000-2C00-000002000000}">
      <text>
        <r>
          <rPr>
            <b/>
            <sz val="9"/>
            <color indexed="81"/>
            <rFont val="Tahoma"/>
            <family val="2"/>
          </rPr>
          <t>Knowcraft Common:</t>
        </r>
        <r>
          <rPr>
            <sz val="9"/>
            <color indexed="81"/>
            <rFont val="Tahoma"/>
            <family val="2"/>
          </rPr>
          <t xml:space="preserve">
Update based on points mentioned below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54" authorId="0" shapeId="0" xr:uid="{00000000-0006-0000-2D00-000001000000}">
      <text>
        <r>
          <rPr>
            <b/>
            <sz val="9"/>
            <color indexed="81"/>
            <rFont val="Tahoma"/>
            <family val="2"/>
          </rPr>
          <t>Knowcraft Common:</t>
        </r>
        <r>
          <rPr>
            <sz val="9"/>
            <color indexed="81"/>
            <rFont val="Tahoma"/>
            <family val="2"/>
          </rPr>
          <t xml:space="preserve">
Update based on points mentioned below
</t>
        </r>
      </text>
    </comment>
    <comment ref="A55" authorId="0" shapeId="0" xr:uid="{00000000-0006-0000-2D00-000002000000}">
      <text>
        <r>
          <rPr>
            <b/>
            <sz val="9"/>
            <color indexed="81"/>
            <rFont val="Tahoma"/>
            <family val="2"/>
          </rPr>
          <t>Knowcraft Common:</t>
        </r>
        <r>
          <rPr>
            <sz val="9"/>
            <color indexed="81"/>
            <rFont val="Tahoma"/>
            <family val="2"/>
          </rPr>
          <t xml:space="preserve">
Update based on points mentioned below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B50" authorId="0" shapeId="0" xr:uid="{00000000-0006-0000-2E00-000001000000}">
      <text>
        <r>
          <rPr>
            <b/>
            <sz val="9"/>
            <color indexed="81"/>
            <rFont val="Tahoma"/>
            <family val="2"/>
          </rPr>
          <t>Knowcraft Common:</t>
        </r>
        <r>
          <rPr>
            <sz val="9"/>
            <color indexed="81"/>
            <rFont val="Tahoma"/>
            <family val="2"/>
          </rPr>
          <t xml:space="preserve">
To be edited</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I9" authorId="0" shapeId="0" xr:uid="{00000000-0006-0000-2F00-000001000000}">
      <text>
        <r>
          <rPr>
            <b/>
            <sz val="9"/>
            <color indexed="81"/>
            <rFont val="Tahoma"/>
            <family val="2"/>
          </rPr>
          <t>Windows User:</t>
        </r>
        <r>
          <rPr>
            <sz val="9"/>
            <color indexed="81"/>
            <rFont val="Tahoma"/>
            <family val="2"/>
          </rPr>
          <t xml:space="preserve">
0</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Priyadarshini Pant</author>
    <author>Knowcraft Common</author>
    <author>Harsh Mansatta</author>
  </authors>
  <commentList>
    <comment ref="B4" authorId="0" shapeId="0" xr:uid="{00000000-0006-0000-3000-000001000000}">
      <text>
        <r>
          <rPr>
            <b/>
            <sz val="9"/>
            <color indexed="81"/>
            <rFont val="Tahoma"/>
            <family val="2"/>
          </rPr>
          <t>Priyadarshini Pant:</t>
        </r>
        <r>
          <rPr>
            <sz val="9"/>
            <color indexed="81"/>
            <rFont val="Tahoma"/>
            <family val="2"/>
          </rPr>
          <t xml:space="preserve">
Update this sheet, and the Exhibit name based on the project.</t>
        </r>
      </text>
    </comment>
    <comment ref="F6" authorId="1" shapeId="0" xr:uid="{00000000-0006-0000-3000-000002000000}">
      <text>
        <r>
          <rPr>
            <b/>
            <sz val="9"/>
            <color indexed="81"/>
            <rFont val="Tahoma"/>
            <family val="2"/>
          </rPr>
          <t>Knowcraft Common:</t>
        </r>
        <r>
          <rPr>
            <sz val="9"/>
            <color indexed="81"/>
            <rFont val="Tahoma"/>
            <family val="2"/>
          </rPr>
          <t xml:space="preserve">
</t>
        </r>
      </text>
    </comment>
    <comment ref="J6" authorId="1" shapeId="0" xr:uid="{00000000-0006-0000-3000-000003000000}">
      <text>
        <r>
          <rPr>
            <b/>
            <sz val="9"/>
            <color indexed="81"/>
            <rFont val="Tahoma"/>
            <family val="2"/>
          </rPr>
          <t>Knowcraft Common:</t>
        </r>
        <r>
          <rPr>
            <sz val="9"/>
            <color indexed="81"/>
            <rFont val="Tahoma"/>
            <family val="2"/>
          </rPr>
          <t xml:space="preserve">
</t>
        </r>
      </text>
    </comment>
    <comment ref="G117" authorId="2" shapeId="0" xr:uid="{00000000-0006-0000-3000-000004000000}">
      <text>
        <r>
          <rPr>
            <b/>
            <sz val="9"/>
            <color indexed="81"/>
            <rFont val="Tahoma"/>
            <family val="2"/>
          </rPr>
          <t>Harsh Mansatta:</t>
        </r>
        <r>
          <rPr>
            <sz val="9"/>
            <color indexed="81"/>
            <rFont val="Tahoma"/>
            <family val="2"/>
          </rPr>
          <t xml:space="preserve">
Marketed in Japan
http://www.servier.com/content/taiho-pharmaceutical-co-ltd-and-servier-enter-license-agreement-development-and</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B137" authorId="0" shapeId="0" xr:uid="{00000000-0006-0000-3200-000001000000}">
      <text>
        <r>
          <rPr>
            <b/>
            <sz val="9"/>
            <color indexed="81"/>
            <rFont val="Tahoma"/>
            <family val="2"/>
          </rPr>
          <t>KC:</t>
        </r>
        <r>
          <rPr>
            <sz val="9"/>
            <color indexed="81"/>
            <rFont val="Tahoma"/>
            <family val="2"/>
          </rPr>
          <t xml:space="preserve">
Company has become Private as of 02/28/17 (Closed Date)</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AI9" authorId="0" shapeId="0" xr:uid="{00000000-0006-0000-3300-000001000000}">
      <text>
        <r>
          <rPr>
            <b/>
            <sz val="9"/>
            <color indexed="81"/>
            <rFont val="Tahoma"/>
            <family val="2"/>
          </rPr>
          <t>=CIQ($C13, "IQ_TOTAL_REV", IQ_LTM, $E$13, $AH$2, $AH$1, $AH$3, $AH$4)*1000</t>
        </r>
      </text>
    </comment>
    <comment ref="AJ9" authorId="0" shapeId="0" xr:uid="{00000000-0006-0000-3300-000002000000}">
      <text>
        <r>
          <rPr>
            <b/>
            <sz val="9"/>
            <color indexed="81"/>
            <rFont val="Tahoma"/>
            <family val="2"/>
          </rPr>
          <t>=CIQ($C13, "IQ_EBITDA", IQ_LTM, $E$13, $AH$2, $AH$1, $AH$3, $AH$4)*1000</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X8" authorId="0" shapeId="0" xr:uid="{00000000-0006-0000-3400-000001000000}">
      <text>
        <r>
          <rPr>
            <b/>
            <sz val="9"/>
            <color indexed="81"/>
            <rFont val="Tahoma"/>
            <family val="2"/>
          </rPr>
          <t>=CIQ(C11, "IQ_CASH_EQUIV", , F11, , , "USD")*1000</t>
        </r>
      </text>
    </comment>
    <comment ref="AA8" authorId="0" shapeId="0" xr:uid="{00000000-0006-0000-3400-000002000000}">
      <text>
        <r>
          <rPr>
            <b/>
            <sz val="9"/>
            <color indexed="81"/>
            <rFont val="Tahoma"/>
            <family val="2"/>
          </rPr>
          <t>=CIQ($C11, "IQ_TOTAL_REV", IQ_LTM, $F11, $X$2, $X$1, $X$3, $X$4)*1000</t>
        </r>
      </text>
    </comment>
    <comment ref="AB8" authorId="0" shapeId="0" xr:uid="{00000000-0006-0000-3400-000003000000}">
      <text>
        <r>
          <rPr>
            <b/>
            <sz val="9"/>
            <color indexed="81"/>
            <rFont val="Tahoma"/>
            <family val="2"/>
          </rPr>
          <t>=CIQ($C12, "IQ_EBITDA", IQ_LTM, $F12, $X$2, $X$1, $X$3, $X$4)*1000</t>
        </r>
      </text>
    </comment>
    <comment ref="Y9" authorId="0" shapeId="0" xr:uid="{00000000-0006-0000-3400-000004000000}">
      <text>
        <r>
          <rPr>
            <b/>
            <sz val="9"/>
            <color indexed="81"/>
            <rFont val="Tahoma"/>
            <family val="2"/>
          </rPr>
          <t>=CIQ(C11, "IQ_TOTAL_DEBT", , F11, , , "USD")*1000</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Arnav Shah</author>
  </authors>
  <commentList>
    <comment ref="E6" authorId="0" shapeId="0" xr:uid="{00000000-0006-0000-3700-000001000000}">
      <text>
        <r>
          <rPr>
            <b/>
            <sz val="9"/>
            <color indexed="81"/>
            <rFont val="Tahoma"/>
            <family val="2"/>
          </rPr>
          <t>Arnav Shah:</t>
        </r>
        <r>
          <rPr>
            <sz val="9"/>
            <color indexed="81"/>
            <rFont val="Tahoma"/>
            <family val="2"/>
          </rPr>
          <t xml:space="preserve">
Link it to Main Outline Sheet</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Harpreet Singh</author>
    <author>Knowcraft Common</author>
  </authors>
  <commentList>
    <comment ref="U81" authorId="0" shapeId="0" xr:uid="{00000000-0006-0000-3900-000001000000}">
      <text>
        <r>
          <rPr>
            <sz val="9"/>
            <color indexed="81"/>
            <rFont val="Tahoma"/>
            <family val="2"/>
          </rPr>
          <t>Check formulae</t>
        </r>
      </text>
    </comment>
    <comment ref="D265" authorId="1" shapeId="0" xr:uid="{00000000-0006-0000-3900-00000200000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A54" authorId="0" shapeId="0" xr:uid="{00000000-0006-0000-3C00-000001000000}">
      <text>
        <r>
          <rPr>
            <b/>
            <sz val="9"/>
            <color indexed="81"/>
            <rFont val="Tahoma"/>
            <family val="2"/>
          </rPr>
          <t>Knowcraft Common:</t>
        </r>
        <r>
          <rPr>
            <sz val="9"/>
            <color indexed="81"/>
            <rFont val="Tahoma"/>
            <family val="2"/>
          </rPr>
          <t xml:space="preserve">
Update based on points mentioned below
</t>
        </r>
      </text>
    </comment>
    <comment ref="A55" authorId="0" shapeId="0" xr:uid="{00000000-0006-0000-3C00-000002000000}">
      <text>
        <r>
          <rPr>
            <b/>
            <sz val="9"/>
            <color indexed="81"/>
            <rFont val="Tahoma"/>
            <family val="2"/>
          </rPr>
          <t>Knowcraft Common:</t>
        </r>
        <r>
          <rPr>
            <sz val="9"/>
            <color indexed="81"/>
            <rFont val="Tahoma"/>
            <family val="2"/>
          </rPr>
          <t xml:space="preserve">
Update based on points mentioned below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AF7" authorId="0" shapeId="0" xr:uid="{00000000-0006-0000-4600-000001000000}">
      <text>
        <r>
          <rPr>
            <b/>
            <sz val="9"/>
            <color indexed="81"/>
            <rFont val="Tahoma"/>
            <family val="2"/>
          </rPr>
          <t>KC:</t>
        </r>
        <r>
          <rPr>
            <sz val="9"/>
            <color indexed="81"/>
            <rFont val="Tahoma"/>
            <family val="2"/>
          </rPr>
          <t xml:space="preserve">
Add Phase of lead drug</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Harpreet Singh</author>
  </authors>
  <commentList>
    <comment ref="T13" authorId="0" shapeId="0" xr:uid="{00000000-0006-0000-4700-000001000000}">
      <text>
        <r>
          <rPr>
            <b/>
            <sz val="9"/>
            <color indexed="81"/>
            <rFont val="Tahoma"/>
            <family val="2"/>
          </rPr>
          <t xml:space="preserve">Estimates
</t>
        </r>
      </text>
    </comment>
    <comment ref="U13" authorId="0" shapeId="0" xr:uid="{00000000-0006-0000-4700-000002000000}">
      <text>
        <r>
          <rPr>
            <b/>
            <sz val="9"/>
            <color indexed="81"/>
            <rFont val="Tahoma"/>
            <family val="2"/>
          </rPr>
          <t xml:space="preserve">Estimates
</t>
        </r>
      </text>
    </comment>
    <comment ref="AC13" authorId="0" shapeId="0" xr:uid="{00000000-0006-0000-4700-000003000000}">
      <text>
        <r>
          <rPr>
            <b/>
            <sz val="9"/>
            <color indexed="81"/>
            <rFont val="Tahoma"/>
            <family val="2"/>
          </rPr>
          <t xml:space="preserve">Estimates
</t>
        </r>
      </text>
    </comment>
    <comment ref="AD13" authorId="0" shapeId="0" xr:uid="{00000000-0006-0000-4700-000004000000}">
      <text>
        <r>
          <rPr>
            <b/>
            <sz val="9"/>
            <color indexed="81"/>
            <rFont val="Tahoma"/>
            <family val="2"/>
          </rPr>
          <t xml:space="preserve">Estimates
</t>
        </r>
      </text>
    </comment>
    <comment ref="AE13" authorId="0" shapeId="0" xr:uid="{00000000-0006-0000-4700-000005000000}">
      <text>
        <r>
          <rPr>
            <b/>
            <sz val="9"/>
            <color indexed="81"/>
            <rFont val="Tahoma"/>
            <family val="2"/>
          </rPr>
          <t xml:space="preserve">Estimates
</t>
        </r>
      </text>
    </comment>
  </commentList>
</comments>
</file>

<file path=xl/sharedStrings.xml><?xml version="1.0" encoding="utf-8"?>
<sst xmlns="http://schemas.openxmlformats.org/spreadsheetml/2006/main" count="7803" uniqueCount="3519">
  <si>
    <t>(in thousands of USD)</t>
  </si>
  <si>
    <t>Discount for Lack of Voting Rights</t>
  </si>
  <si>
    <t>Studies</t>
  </si>
  <si>
    <t>Pub. Date</t>
  </si>
  <si>
    <t>Time Period</t>
  </si>
  <si>
    <t>Companies</t>
  </si>
  <si>
    <t>Indicated Discount*</t>
  </si>
  <si>
    <t>Masulis, Wang, Xie</t>
  </si>
  <si>
    <t>1995-2003</t>
  </si>
  <si>
    <t>Houlihan, Lokey, Howard &amp; Zukin</t>
  </si>
  <si>
    <t>Cox &amp; Roden</t>
  </si>
  <si>
    <t>1984-1999</t>
  </si>
  <si>
    <t>Ettelson Study</t>
  </si>
  <si>
    <t>n/a</t>
  </si>
  <si>
    <t>1993-1998</t>
  </si>
  <si>
    <t>Smith/Amoako-Adu Study</t>
  </si>
  <si>
    <t>1988-1992</t>
  </si>
  <si>
    <t>Zingales</t>
  </si>
  <si>
    <t>1984-1990</t>
  </si>
  <si>
    <t>O'Shea &amp; Siwicki</t>
  </si>
  <si>
    <t>1988-1990</t>
  </si>
  <si>
    <t>SEC Study</t>
  </si>
  <si>
    <t>2.0%-8.0%</t>
  </si>
  <si>
    <t>Lease, McConnell &amp; Mickkelson</t>
  </si>
  <si>
    <t>1940-1978</t>
  </si>
  <si>
    <t>Mean (Excl. SEC Study)</t>
  </si>
  <si>
    <t>Median (Excl. SEC Study)</t>
  </si>
  <si>
    <t>Mean (Excl. SEC Study + Cox &amp; Roden)</t>
  </si>
  <si>
    <t>Median (Excl. SEC Study + Cox &amp; Roden)</t>
  </si>
  <si>
    <t>Court Cases</t>
  </si>
  <si>
    <t>Discount Allowed*</t>
  </si>
  <si>
    <t>Estate of Simplot v. Commissioner</t>
  </si>
  <si>
    <t>Barnes v. Commissioner</t>
  </si>
  <si>
    <t>Kosman v. Commissioner</t>
  </si>
  <si>
    <t>Estate of Newhouse v. Commissioner</t>
  </si>
  <si>
    <t>Estate of Joyce C. Hall v. Commissioner</t>
  </si>
  <si>
    <t>Estate of Clara S. Roeder Winkler v. Commissioner</t>
  </si>
  <si>
    <t>The Northern Trust Company v. Commissioner</t>
  </si>
  <si>
    <t>Ahmanson Foundation v. United States</t>
  </si>
  <si>
    <t>Wallace v. United States</t>
  </si>
  <si>
    <t>Estate of Alvin Thalheimer v. Commissioner (1977)</t>
  </si>
  <si>
    <t>Estate of Alvin Thalheimer v. Commissioner (1974)</t>
  </si>
  <si>
    <t>Jacod S. Kamborian v. Commissioner</t>
  </si>
  <si>
    <t>Mean</t>
  </si>
  <si>
    <t>Median</t>
  </si>
  <si>
    <t>Source: Stout Risius Ross: Price Differentials Between Voting and Nonvoting Stock</t>
  </si>
  <si>
    <t xml:space="preserve">*To the extent the outcome of the study was an indicated premium, the premium was converted to </t>
  </si>
  <si>
    <t>an implied discount (premium / (1+premium)).</t>
  </si>
  <si>
    <t>Price Differentials Between Voting &amp; Nonvoting Stock</t>
  </si>
  <si>
    <t>Study</t>
  </si>
  <si>
    <t>Discount</t>
  </si>
  <si>
    <t>Pre-1990</t>
  </si>
  <si>
    <t>Post-1990</t>
  </si>
  <si>
    <t>SEC overall average</t>
  </si>
  <si>
    <t>FMV Opinions, Inc.</t>
  </si>
  <si>
    <t>Gelman</t>
  </si>
  <si>
    <t>Management Planning, Inc.</t>
  </si>
  <si>
    <t>Trout</t>
  </si>
  <si>
    <t>Bajaj, et al.</t>
  </si>
  <si>
    <t>Moroney</t>
  </si>
  <si>
    <t>Johnson</t>
  </si>
  <si>
    <t>Maher</t>
  </si>
  <si>
    <t>Columbia Financial Advisors</t>
  </si>
  <si>
    <t>Standard Research Consultants</t>
  </si>
  <si>
    <t>Silber</t>
  </si>
  <si>
    <t>Willamette Management Associates</t>
  </si>
  <si>
    <t>Pre-1990 mean discount</t>
  </si>
  <si>
    <t>Post-1990 mean discount</t>
  </si>
  <si>
    <t>Summary Of Restricted Stock Studies</t>
  </si>
  <si>
    <t>Beta</t>
  </si>
  <si>
    <t>Reference</t>
  </si>
  <si>
    <t>Duration (Years)</t>
  </si>
  <si>
    <t>Risk-Free Rate</t>
  </si>
  <si>
    <t>Dividend Yield</t>
  </si>
  <si>
    <t>Volatility</t>
  </si>
  <si>
    <t>(sigma^2)*T</t>
  </si>
  <si>
    <t>v</t>
  </si>
  <si>
    <t>A</t>
  </si>
  <si>
    <t>B</t>
  </si>
  <si>
    <t>Calculated DLOM</t>
  </si>
  <si>
    <t>Protective Put (European)</t>
  </si>
  <si>
    <t>Starting Price</t>
  </si>
  <si>
    <t>Strike Price</t>
  </si>
  <si>
    <t>Years to Maturity</t>
  </si>
  <si>
    <t>D1</t>
  </si>
  <si>
    <t>D2</t>
  </si>
  <si>
    <t>Footnotes:</t>
  </si>
  <si>
    <t>Val Date</t>
  </si>
  <si>
    <t>(in millions of USD)</t>
  </si>
  <si>
    <t>Conversion</t>
  </si>
  <si>
    <t>H</t>
  </si>
  <si>
    <t>Capitalization</t>
  </si>
  <si>
    <t>Asset Volatility Key Terms</t>
  </si>
  <si>
    <t>Asset Volatility Calculations</t>
  </si>
  <si>
    <t>Market Cap</t>
  </si>
  <si>
    <t>Debt</t>
  </si>
  <si>
    <t>Pref.</t>
  </si>
  <si>
    <t>Min. Int.</t>
  </si>
  <si>
    <t>Total Debt, Pref., MI</t>
  </si>
  <si>
    <t>MVIC</t>
  </si>
  <si>
    <t>Cash &amp; Equiv.</t>
  </si>
  <si>
    <t>Ent. Value</t>
  </si>
  <si>
    <t>Term</t>
  </si>
  <si>
    <t>Equity Vol.</t>
  </si>
  <si>
    <t>Variance</t>
  </si>
  <si>
    <t>N(D1)</t>
  </si>
  <si>
    <t>N(D2)</t>
  </si>
  <si>
    <t>Call Value</t>
  </si>
  <si>
    <t>Ticker</t>
  </si>
  <si>
    <t>EV</t>
  </si>
  <si>
    <t>Check</t>
  </si>
  <si>
    <t>High</t>
  </si>
  <si>
    <t>Low</t>
  </si>
  <si>
    <t xml:space="preserve">Mean </t>
  </si>
  <si>
    <t>1st Quartile</t>
  </si>
  <si>
    <t>3rd Quartile</t>
  </si>
  <si>
    <t>Source: Capital IQ</t>
  </si>
  <si>
    <t>Equity Volatility</t>
  </si>
  <si>
    <t>Years Lookback</t>
  </si>
  <si>
    <t>CIQ Formula</t>
  </si>
  <si>
    <t>IQ_PRICE_VOL_HIST_3MTH</t>
  </si>
  <si>
    <t>IQ_PRICE_VOL_HIST_6MTH</t>
  </si>
  <si>
    <t>IQ_PRICE_VOL_HIST_YR</t>
  </si>
  <si>
    <t>IQ_PRICE_VOL_HIST_2YR</t>
  </si>
  <si>
    <t>IQ_PRICE_VOL_HIST_5YR</t>
  </si>
  <si>
    <t>Risk-Free Rates</t>
  </si>
  <si>
    <t>Term (Years)</t>
  </si>
  <si>
    <t>Description</t>
  </si>
  <si>
    <t>Cap IQ</t>
  </si>
  <si>
    <t>Min</t>
  </si>
  <si>
    <t>Max</t>
  </si>
  <si>
    <t>IQ36183813</t>
  </si>
  <si>
    <t>IQ36183816</t>
  </si>
  <si>
    <t>IQ36183819</t>
  </si>
  <si>
    <t>IQ36183822</t>
  </si>
  <si>
    <t>IQ36183825</t>
  </si>
  <si>
    <t>IQ36183828</t>
  </si>
  <si>
    <t>IQ36183831</t>
  </si>
  <si>
    <t>IQ36183834</t>
  </si>
  <si>
    <t>IQ36183837</t>
  </si>
  <si>
    <t>IQ36183840</t>
  </si>
  <si>
    <t>IQ36183843</t>
  </si>
  <si>
    <t>Term Same As Risk-Free Rate Duration</t>
  </si>
  <si>
    <t>Interpolated Risk-Free Rate</t>
  </si>
  <si>
    <t>(in thousands of USD, except price per share)</t>
  </si>
  <si>
    <t>Valuation Summary</t>
  </si>
  <si>
    <t>Enterprise Value Indication</t>
  </si>
  <si>
    <t>Market Approach</t>
  </si>
  <si>
    <t>Guideline Transaction Method</t>
  </si>
  <si>
    <t>Income Approach</t>
  </si>
  <si>
    <t>Discounted Cash Flow</t>
  </si>
  <si>
    <t>Concluded</t>
  </si>
  <si>
    <t>--</t>
  </si>
  <si>
    <t>Enterprise Value</t>
  </si>
  <si>
    <t>Less: Total Debt</t>
  </si>
  <si>
    <t>Equity Value</t>
  </si>
  <si>
    <t>Allocation of Value</t>
  </si>
  <si>
    <t>Common Stock</t>
  </si>
  <si>
    <t>Approach</t>
  </si>
  <si>
    <t>Option Pricing Method</t>
  </si>
  <si>
    <t>PWERM</t>
  </si>
  <si>
    <t>Primary</t>
  </si>
  <si>
    <t xml:space="preserve">Concluded Price Per Share (Non-Marketable, Minority) </t>
  </si>
  <si>
    <t>Allocation Methodology</t>
  </si>
  <si>
    <t>Historical Income Statement</t>
  </si>
  <si>
    <t>Historical Balance Sheet</t>
  </si>
  <si>
    <t>12 Months Ending December 31,</t>
  </si>
  <si>
    <t>Projected</t>
  </si>
  <si>
    <t>Revenue</t>
  </si>
  <si>
    <t>Total</t>
  </si>
  <si>
    <t>% Change</t>
  </si>
  <si>
    <t>Less: COGS</t>
  </si>
  <si>
    <t>Gross Profit</t>
  </si>
  <si>
    <t>% Margin</t>
  </si>
  <si>
    <t>Operating Expenses</t>
  </si>
  <si>
    <t>General &amp; Administrative</t>
  </si>
  <si>
    <t>Sales &amp; Marketing</t>
  </si>
  <si>
    <t>Research &amp; Development</t>
  </si>
  <si>
    <t>Depreciation &amp; Amortization</t>
  </si>
  <si>
    <t>Other Expenses</t>
  </si>
  <si>
    <t>Less: Depreciation &amp; Amortization</t>
  </si>
  <si>
    <t>EBITDA</t>
  </si>
  <si>
    <t>EBIT</t>
  </si>
  <si>
    <t>Net Operating Losses</t>
  </si>
  <si>
    <t>Beginning Balance</t>
  </si>
  <si>
    <t>Add: NOLs</t>
  </si>
  <si>
    <t>Less: NOL Usage</t>
  </si>
  <si>
    <t>Ending Balance</t>
  </si>
  <si>
    <t>Taxable Cash Flow</t>
  </si>
  <si>
    <t>Calculated Taxes</t>
  </si>
  <si>
    <t>Debt-Free After-Tax Cash Flow</t>
  </si>
  <si>
    <t>Less: Capital Expenditures</t>
  </si>
  <si>
    <t>Add: Depreciation &amp; Amortization</t>
  </si>
  <si>
    <t>Net Debt-Free Cash Flow</t>
  </si>
  <si>
    <t>Discount Period</t>
  </si>
  <si>
    <t>Discount Factor</t>
  </si>
  <si>
    <t>Partial Period</t>
  </si>
  <si>
    <t>Adjusted Net Debt-Free Cash Flow</t>
  </si>
  <si>
    <t>Present Value</t>
  </si>
  <si>
    <t>Discount Rate</t>
  </si>
  <si>
    <t>Terminal Value Calculation</t>
  </si>
  <si>
    <t>Terminal Growth Rate</t>
  </si>
  <si>
    <t>Terminal Net Debt-Free Cash Flow</t>
  </si>
  <si>
    <t>Implied Terminal Multiple</t>
  </si>
  <si>
    <t>Terminal Value</t>
  </si>
  <si>
    <t>Terminal Discount Rate</t>
  </si>
  <si>
    <t>Present Value Factor</t>
  </si>
  <si>
    <t>Present Value of Terminal Value</t>
  </si>
  <si>
    <t>Discrete Period Value</t>
  </si>
  <si>
    <t>Summary of Present Values</t>
  </si>
  <si>
    <t>Less: Change in Working Capital</t>
  </si>
  <si>
    <t>Range of Valuation Indications</t>
  </si>
  <si>
    <t>Sensitivity Analysis:</t>
  </si>
  <si>
    <t>Time in Period</t>
  </si>
  <si>
    <t>1 Year</t>
  </si>
  <si>
    <t>Cost of Sales (Goods Sold)</t>
  </si>
  <si>
    <t>Operating Income</t>
  </si>
  <si>
    <t>Interest Income/Expense, Net</t>
  </si>
  <si>
    <t>Other Income/Expense, Net</t>
  </si>
  <si>
    <t>Nonrecurring Loss</t>
  </si>
  <si>
    <t>Pre-Tax Income (Loss)</t>
  </si>
  <si>
    <t>Income Taxes</t>
  </si>
  <si>
    <t>Net Income (Loss)</t>
  </si>
  <si>
    <t>Other Items:</t>
  </si>
  <si>
    <t>Capital Expenditures</t>
  </si>
  <si>
    <t>(1) General and administrative expenses includes depreciation expense.</t>
  </si>
  <si>
    <t>(1) Reflects financial information as of [DATE}, which Management indicated was the latest available as of the Valuation Date.</t>
  </si>
  <si>
    <t>As of</t>
  </si>
  <si>
    <t>Assets</t>
  </si>
  <si>
    <t>Current Assets</t>
  </si>
  <si>
    <t>Cash &amp; Equivalents</t>
  </si>
  <si>
    <t>Accounts Receivable</t>
  </si>
  <si>
    <t>Inventory</t>
  </si>
  <si>
    <t>Prepaid Expenses</t>
  </si>
  <si>
    <t>Other Current Assets</t>
  </si>
  <si>
    <t>Net Fixed Assets</t>
  </si>
  <si>
    <t>Intangible Assets</t>
  </si>
  <si>
    <t>Other Assets</t>
  </si>
  <si>
    <t>Total Current Assets</t>
  </si>
  <si>
    <t>Total Assets</t>
  </si>
  <si>
    <t>Liabilities &amp; Shareholders' Equity</t>
  </si>
  <si>
    <t>Current Liabilities</t>
  </si>
  <si>
    <t>Accounts Payable</t>
  </si>
  <si>
    <t>Current Maturities</t>
  </si>
  <si>
    <t>Accrued Expenses</t>
  </si>
  <si>
    <t>Other Current Liabilities</t>
  </si>
  <si>
    <t>Total Current Liabilities</t>
  </si>
  <si>
    <t>Long-Term Debt, Net of Current Portion</t>
  </si>
  <si>
    <t>Deferred Liabilities</t>
  </si>
  <si>
    <t>Other Long-Term Liabilities</t>
  </si>
  <si>
    <t>Total Liabilities</t>
  </si>
  <si>
    <t>Goodwill</t>
  </si>
  <si>
    <t>Deferred Financing Cost</t>
  </si>
  <si>
    <t>Short-Term Investments</t>
  </si>
  <si>
    <t>Long-Term Investments</t>
  </si>
  <si>
    <t>Common</t>
  </si>
  <si>
    <t xml:space="preserve">Preferred </t>
  </si>
  <si>
    <t>Additional Paid In Capital</t>
  </si>
  <si>
    <t>Retained Earnings</t>
  </si>
  <si>
    <t>Treasury Stock</t>
  </si>
  <si>
    <t>Shareholders' Equity</t>
  </si>
  <si>
    <t>Total Liabilities &amp; Shareholders' Equity</t>
  </si>
  <si>
    <t>Total Shareholders' Equity</t>
  </si>
  <si>
    <t>CHECK</t>
  </si>
  <si>
    <t>Summary</t>
  </si>
  <si>
    <t>Excess Cash</t>
  </si>
  <si>
    <t>Less: Required Cash</t>
  </si>
  <si>
    <t>Total Cash &amp; Cash Equivalents</t>
  </si>
  <si>
    <t>Total Debt</t>
  </si>
  <si>
    <t>(2)</t>
  </si>
  <si>
    <t>(1)</t>
  </si>
  <si>
    <t>50% to 70%</t>
  </si>
  <si>
    <t>50% to 100%</t>
  </si>
  <si>
    <t>40% to 60%</t>
  </si>
  <si>
    <t>35% to 50%</t>
  </si>
  <si>
    <t>30% to 50%</t>
  </si>
  <si>
    <t>30% to 40%</t>
  </si>
  <si>
    <t>25% to 35%</t>
  </si>
  <si>
    <t>20% to 35%</t>
  </si>
  <si>
    <t>20% to 30%</t>
  </si>
  <si>
    <t xml:space="preserve">Stage of Development </t>
  </si>
  <si>
    <t>Start Up (5)</t>
  </si>
  <si>
    <t>Early Development (6)</t>
  </si>
  <si>
    <t>Expansion (7)</t>
  </si>
  <si>
    <t>Bridge/IPO (8)</t>
  </si>
  <si>
    <t>Equity</t>
  </si>
  <si>
    <t>Cost of Capital</t>
  </si>
  <si>
    <t>Weighting</t>
  </si>
  <si>
    <t>Weighted Cost</t>
  </si>
  <si>
    <t>Cost of Debt</t>
  </si>
  <si>
    <t>Capital Structure Components</t>
  </si>
  <si>
    <t>Tax Rate</t>
  </si>
  <si>
    <t>Post-Tax Cost Of Debt</t>
  </si>
  <si>
    <t>Cost of Equity</t>
  </si>
  <si>
    <t>Unlevered Beta</t>
  </si>
  <si>
    <t>Re-Levered Beta</t>
  </si>
  <si>
    <t>Market Risk Premium</t>
  </si>
  <si>
    <t>&lt;A&gt;</t>
  </si>
  <si>
    <t>&lt;B&gt;</t>
  </si>
  <si>
    <t>&lt;A&gt;*&lt;B&gt;</t>
  </si>
  <si>
    <t>Equity Risk Premium</t>
  </si>
  <si>
    <t>Size Premium</t>
  </si>
  <si>
    <t>Unsystematic Risk Premium</t>
  </si>
  <si>
    <t>Calculated Cost of Equity</t>
  </si>
  <si>
    <t>Calculated</t>
  </si>
  <si>
    <t>Applied</t>
  </si>
  <si>
    <t>Moody's BAA Rate</t>
  </si>
  <si>
    <t>LINK UP</t>
  </si>
  <si>
    <t>(3)</t>
  </si>
  <si>
    <t>(4)</t>
  </si>
  <si>
    <t>(5)</t>
  </si>
  <si>
    <t>Index</t>
  </si>
  <si>
    <t>Frequency</t>
  </si>
  <si>
    <t>M</t>
  </si>
  <si>
    <t>W</t>
  </si>
  <si>
    <t>^SPX</t>
  </si>
  <si>
    <t>^FTSE</t>
  </si>
  <si>
    <t>^XTO</t>
  </si>
  <si>
    <t>Beta Lookback (Years)</t>
  </si>
  <si>
    <t>Levered Beta</t>
  </si>
  <si>
    <t>Start Date</t>
  </si>
  <si>
    <t>D/MVIC</t>
  </si>
  <si>
    <t>E/MVIC</t>
  </si>
  <si>
    <t>Beta Calculation</t>
  </si>
  <si>
    <t>Shares</t>
  </si>
  <si>
    <t>Price</t>
  </si>
  <si>
    <t>Value</t>
  </si>
  <si>
    <t>Rate</t>
  </si>
  <si>
    <t>Capital Structure Component</t>
  </si>
  <si>
    <t>Preferred (Debt-Like)</t>
  </si>
  <si>
    <t>Preferred (Equity-Like)</t>
  </si>
  <si>
    <t>Calculated WACC</t>
  </si>
  <si>
    <t>Expected VC Portfolio Return (Total Preferred)</t>
  </si>
  <si>
    <t>Applied WACC - Enterprise Level (Portfolio Basis)</t>
  </si>
  <si>
    <t>Weighted Average Cost of Capital - CAPM-Based</t>
  </si>
  <si>
    <t>(6)</t>
  </si>
  <si>
    <t>(7)</t>
  </si>
  <si>
    <t>(8)</t>
  </si>
  <si>
    <t>(9)</t>
  </si>
  <si>
    <t>link to cap table</t>
  </si>
  <si>
    <t>link PWERM</t>
  </si>
  <si>
    <t>Concl.</t>
  </si>
  <si>
    <t>LTM-1</t>
  </si>
  <si>
    <t>LTM</t>
  </si>
  <si>
    <t>Calendar Year</t>
  </si>
  <si>
    <t>Multiples</t>
  </si>
  <si>
    <t>NCY</t>
  </si>
  <si>
    <t>NCY+1</t>
  </si>
  <si>
    <t>NCY+2</t>
  </si>
  <si>
    <t>Resulting Indication</t>
  </si>
  <si>
    <t>Performance Metric</t>
  </si>
  <si>
    <t>Selected Enterprise Value Range, on a Minority Interest Basis</t>
  </si>
  <si>
    <t>Implied Equity Value</t>
  </si>
  <si>
    <t>Add: Total Debt</t>
  </si>
  <si>
    <t>Calculated Enterprise Value</t>
  </si>
  <si>
    <t>Less: Future Financing</t>
  </si>
  <si>
    <t>Concluded Enterprise Value (Rounded)</t>
  </si>
  <si>
    <t>Market Approach - GCM Summary</t>
  </si>
  <si>
    <t>Gross</t>
  </si>
  <si>
    <t>Net Income</t>
  </si>
  <si>
    <t>Margins</t>
  </si>
  <si>
    <t>IQ_GROSS_MARGIN</t>
  </si>
  <si>
    <t>IQ_EBITDA_MARGIN</t>
  </si>
  <si>
    <t>IQ_EBIT_MARGIN</t>
  </si>
  <si>
    <t>IQ_NI_MARGIN</t>
  </si>
  <si>
    <t>CapIQ Formulas</t>
  </si>
  <si>
    <t>LTM-2</t>
  </si>
  <si>
    <t>Capex as % of Revenue</t>
  </si>
  <si>
    <t>Close Date</t>
  </si>
  <si>
    <t>Target</t>
  </si>
  <si>
    <t>% Sought</t>
  </si>
  <si>
    <t>CIQ ID</t>
  </si>
  <si>
    <t>Stake</t>
  </si>
  <si>
    <t>LTM Multiple</t>
  </si>
  <si>
    <t>LTM Performance</t>
  </si>
  <si>
    <t>NTM Performance</t>
  </si>
  <si>
    <t>NTM Multiple</t>
  </si>
  <si>
    <t>1 Week</t>
  </si>
  <si>
    <t>1 Month</t>
  </si>
  <si>
    <t>Premium</t>
  </si>
  <si>
    <t>Market Approach - GTM Summary</t>
  </si>
  <si>
    <t>Selected Enterprise Value Range, on a Controlling Interest Basis</t>
  </si>
  <si>
    <t>Warrants</t>
  </si>
  <si>
    <t xml:space="preserve">Options Outstanding </t>
  </si>
  <si>
    <t>Option Pool Remaining</t>
  </si>
  <si>
    <t>Grand Total</t>
  </si>
  <si>
    <t>Conversion Ratio</t>
  </si>
  <si>
    <t>Common Stock Equivalents (CSEs)</t>
  </si>
  <si>
    <t>Common Options/Warrants</t>
  </si>
  <si>
    <t>Redemption</t>
  </si>
  <si>
    <t xml:space="preserve">Dividend Rate </t>
  </si>
  <si>
    <t>Participating Preferred</t>
  </si>
  <si>
    <t>Anti-Dilution</t>
  </si>
  <si>
    <t>No</t>
  </si>
  <si>
    <t>Wtd. Avg.</t>
  </si>
  <si>
    <t>Date Raised</t>
  </si>
  <si>
    <t>Participation Cap Multiple</t>
  </si>
  <si>
    <t>Accrued Dividend as of Valuation Date</t>
  </si>
  <si>
    <t>DLOM</t>
  </si>
  <si>
    <t>Allocable Value</t>
  </si>
  <si>
    <t>Time to Liquidity (Years)</t>
  </si>
  <si>
    <t>Option Pricing Model Assumptions</t>
  </si>
  <si>
    <t>Breakpoint Calculations</t>
  </si>
  <si>
    <t>Series E Receives Liquidation Preference</t>
  </si>
  <si>
    <t>Liquidation Preference Seniority</t>
  </si>
  <si>
    <t>Series D Receives Liquidation Preference</t>
  </si>
  <si>
    <t>Series C Receives Liquidation Preference</t>
  </si>
  <si>
    <t>Series B Receives Liquidation Preference</t>
  </si>
  <si>
    <t>Series A Receives Liquidation Preference</t>
  </si>
  <si>
    <t>[Label]</t>
  </si>
  <si>
    <t>Liq. Pref</t>
  </si>
  <si>
    <t>Liquidation Preference</t>
  </si>
  <si>
    <t>Shares Outstanding</t>
  </si>
  <si>
    <t>Strike/Stock Price</t>
  </si>
  <si>
    <t>Less: Exercise Proceeds</t>
  </si>
  <si>
    <t>Calculated Breakpoint</t>
  </si>
  <si>
    <t>Allocation</t>
  </si>
  <si>
    <t>Tranche Calculation</t>
  </si>
  <si>
    <t>Range (Low)</t>
  </si>
  <si>
    <t>Range (High)</t>
  </si>
  <si>
    <t>Black Scholes Call (Low)</t>
  </si>
  <si>
    <t>Black Scholes Call (High)</t>
  </si>
  <si>
    <t>Tranche Value</t>
  </si>
  <si>
    <t>D1 Low</t>
  </si>
  <si>
    <t>D1 High</t>
  </si>
  <si>
    <t>D2 Low</t>
  </si>
  <si>
    <t>D2 High</t>
  </si>
  <si>
    <t>Tranche Allocation</t>
  </si>
  <si>
    <t>Value Conclusion</t>
  </si>
  <si>
    <t>Value/Share</t>
  </si>
  <si>
    <t>Conclusion</t>
  </si>
  <si>
    <t>Option Pricing Method - Implied Value Per Share</t>
  </si>
  <si>
    <t>Valuation Date</t>
  </si>
  <si>
    <t>Implied Exit Date</t>
  </si>
  <si>
    <t>Time to Exit (Years)</t>
  </si>
  <si>
    <t>Exit Value</t>
  </si>
  <si>
    <t>Exit Date</t>
  </si>
  <si>
    <t>Exit Metric</t>
  </si>
  <si>
    <t>Exit Metric Value</t>
  </si>
  <si>
    <t>Exit Multiple</t>
  </si>
  <si>
    <t>Future Financing</t>
  </si>
  <si>
    <t>Amount Raised</t>
  </si>
  <si>
    <t>Expected Date of Raise</t>
  </si>
  <si>
    <t>Required Rate of Return</t>
  </si>
  <si>
    <t>[Round 1]</t>
  </si>
  <si>
    <t>[Round 2]</t>
  </si>
  <si>
    <t>[Round 3]</t>
  </si>
  <si>
    <t>Waterfall</t>
  </si>
  <si>
    <t>Value Allocable to Existing Investors</t>
  </si>
  <si>
    <t>Liquidation Preferences</t>
  </si>
  <si>
    <t>Remainder</t>
  </si>
  <si>
    <t>Shares (As Converted)</t>
  </si>
  <si>
    <t>Present Value Determination - Common</t>
  </si>
  <si>
    <t>Future Value Allocable</t>
  </si>
  <si>
    <t>Future Price Per Share</t>
  </si>
  <si>
    <t>Present Value Per Share</t>
  </si>
  <si>
    <t>Adjusted Present Value Per Share</t>
  </si>
  <si>
    <t>Present Value Determination - Preferred</t>
  </si>
  <si>
    <t>Remaining Allocable Value</t>
  </si>
  <si>
    <t>Exercise Proceeds</t>
  </si>
  <si>
    <t>Total Debt-Like Component</t>
  </si>
  <si>
    <t>Future Allocable Value</t>
  </si>
  <si>
    <t>Probability Weighted</t>
  </si>
  <si>
    <t>Total Equity-Like Component</t>
  </si>
  <si>
    <t>Debt-Like Component</t>
  </si>
  <si>
    <t>Equity-Like Component</t>
  </si>
  <si>
    <t>Implied Latest Preferred Round</t>
  </si>
  <si>
    <t>$/Share</t>
  </si>
  <si>
    <t>Latest Round of Preferred</t>
  </si>
  <si>
    <t>Original Issue Price</t>
  </si>
  <si>
    <t>Template Date</t>
  </si>
  <si>
    <t>Template Inputs</t>
  </si>
  <si>
    <t>Industry - Primary</t>
  </si>
  <si>
    <t>Industry - Niche</t>
  </si>
  <si>
    <t>Project ID</t>
  </si>
  <si>
    <t>Client name</t>
  </si>
  <si>
    <t>Valuation date</t>
  </si>
  <si>
    <t>Engagement lead</t>
  </si>
  <si>
    <t>Engagement analyst</t>
  </si>
  <si>
    <t>Effective tax rate</t>
  </si>
  <si>
    <t>Sr. No.</t>
  </si>
  <si>
    <t>CIQ Ticker</t>
  </si>
  <si>
    <t>Summary Valuation Results</t>
  </si>
  <si>
    <t xml:space="preserve">for </t>
  </si>
  <si>
    <t>Privileged and Confidential</t>
  </si>
  <si>
    <t xml:space="preserve">Forecasting | Modeling | Valuation | Market Assessment
</t>
  </si>
  <si>
    <t>Date Prepared:</t>
  </si>
  <si>
    <t>Scope of valuation</t>
  </si>
  <si>
    <t>Company Name</t>
  </si>
  <si>
    <t>Filing</t>
  </si>
  <si>
    <t>Currency</t>
  </si>
  <si>
    <t>F</t>
  </si>
  <si>
    <t>USD</t>
  </si>
  <si>
    <t>Revenue Analysis</t>
  </si>
  <si>
    <t>EBITDA Analysis</t>
  </si>
  <si>
    <t>Discounted Cash Flow Analysis</t>
  </si>
  <si>
    <t>Discount Rates</t>
  </si>
  <si>
    <t>Capitalization Summary</t>
  </si>
  <si>
    <t>Asian Put</t>
  </si>
  <si>
    <t>Appendices</t>
  </si>
  <si>
    <t>v2T</t>
  </si>
  <si>
    <t>vT</t>
  </si>
  <si>
    <t>Finnerty</t>
  </si>
  <si>
    <t>Concluded DLOM</t>
  </si>
  <si>
    <t>Type of Client</t>
  </si>
  <si>
    <t>Values</t>
  </si>
  <si>
    <t>Total Trans. Value</t>
  </si>
  <si>
    <t>Price/Book Value</t>
  </si>
  <si>
    <t>Price/Net Income</t>
  </si>
  <si>
    <t>Target Segment</t>
  </si>
  <si>
    <t>Summary of Restricted Stock Studies</t>
  </si>
  <si>
    <t>Interpolation - OPM</t>
  </si>
  <si>
    <t>Interpolation - DLOM</t>
  </si>
  <si>
    <t>DLOM Term (Years)</t>
  </si>
  <si>
    <t>OPM Term (Years)</t>
  </si>
  <si>
    <t>Angel</t>
  </si>
  <si>
    <t>Common A</t>
  </si>
  <si>
    <t>Common B</t>
  </si>
  <si>
    <t>Common Warrants</t>
  </si>
  <si>
    <t xml:space="preserve">Common Options </t>
  </si>
  <si>
    <t>Series 1</t>
  </si>
  <si>
    <t>Series 2</t>
  </si>
  <si>
    <t>Series 3</t>
  </si>
  <si>
    <t>Series 4</t>
  </si>
  <si>
    <t>Series A</t>
  </si>
  <si>
    <t>Series A-1</t>
  </si>
  <si>
    <t>Series A-2</t>
  </si>
  <si>
    <t>Series A-3</t>
  </si>
  <si>
    <t>Series A-4</t>
  </si>
  <si>
    <t>Series A-5</t>
  </si>
  <si>
    <t>Series B</t>
  </si>
  <si>
    <t>Series B-1</t>
  </si>
  <si>
    <t>Series B-2</t>
  </si>
  <si>
    <t>Series B-3</t>
  </si>
  <si>
    <t>Series C</t>
  </si>
  <si>
    <t>Series C-1</t>
  </si>
  <si>
    <t>Series C-2</t>
  </si>
  <si>
    <t>Series C-3</t>
  </si>
  <si>
    <t>Series D</t>
  </si>
  <si>
    <t>Series E</t>
  </si>
  <si>
    <t>Series F</t>
  </si>
  <si>
    <t>Series FF</t>
  </si>
  <si>
    <t>Series G</t>
  </si>
  <si>
    <t>Series D-1</t>
  </si>
  <si>
    <t>Series D-2</t>
  </si>
  <si>
    <t>Series F-1</t>
  </si>
  <si>
    <t>Share Class</t>
  </si>
  <si>
    <t>Estimated</t>
  </si>
  <si>
    <t>Series D-3</t>
  </si>
  <si>
    <t>Series E-1</t>
  </si>
  <si>
    <t>Series E-2</t>
  </si>
  <si>
    <t>Series E-3</t>
  </si>
  <si>
    <t>Series F-2</t>
  </si>
  <si>
    <t>Series F-3</t>
  </si>
  <si>
    <t>Input #1</t>
  </si>
  <si>
    <t>Input #2</t>
  </si>
  <si>
    <t>Input #3</t>
  </si>
  <si>
    <t>Input #4</t>
  </si>
  <si>
    <t>Preferred Warrants</t>
  </si>
  <si>
    <t>Type</t>
  </si>
  <si>
    <t>Select Type</t>
  </si>
  <si>
    <t>Expected Options Grant</t>
  </si>
  <si>
    <t>Yes</t>
  </si>
  <si>
    <t>Duration as of Valuation Date</t>
  </si>
  <si>
    <t>Dividend Inclusion</t>
  </si>
  <si>
    <t>Dividend Declaration</t>
  </si>
  <si>
    <t>Cumulative</t>
  </si>
  <si>
    <t>Non-Cumulative</t>
  </si>
  <si>
    <t>Not Declared</t>
  </si>
  <si>
    <t>Simple</t>
  </si>
  <si>
    <t>Compounding</t>
  </si>
  <si>
    <t>Total Investment</t>
  </si>
  <si>
    <t>Duration as of OPM Exit</t>
  </si>
  <si>
    <t>Accrued Dividend at OPM Exit</t>
  </si>
  <si>
    <t>Total Liquidation Preference</t>
  </si>
  <si>
    <t>Liquidation Preference Per Share</t>
  </si>
  <si>
    <t>Options/Warrants</t>
  </si>
  <si>
    <t>Shares Outstanding / Converted to Common Stock</t>
  </si>
  <si>
    <t>YTD</t>
  </si>
  <si>
    <t>Last Financial Year Ending</t>
  </si>
  <si>
    <t>Historical Income Statement - Common Size</t>
  </si>
  <si>
    <t>(2) Reflects financial information as of [DATE}, which Management indicated was the latest available as of the Valuation Date.</t>
  </si>
  <si>
    <t>Descending Order Only</t>
  </si>
  <si>
    <t>Price / Earnings Analysis</t>
  </si>
  <si>
    <t>Pending points:</t>
  </si>
  <si>
    <t>Probability of exit</t>
  </si>
  <si>
    <t>POTs</t>
  </si>
  <si>
    <t>Capped participation</t>
  </si>
  <si>
    <t>Formatting</t>
  </si>
  <si>
    <t>Guideline</t>
  </si>
  <si>
    <t>Per share price</t>
  </si>
  <si>
    <t>Currency format
Two decimal precision
If it is $0.00, then change to three decimal precision</t>
  </si>
  <si>
    <t>Discount rate</t>
  </si>
  <si>
    <t>Discount factor</t>
  </si>
  <si>
    <t>Any number or dollar value</t>
  </si>
  <si>
    <t>Blue color font</t>
  </si>
  <si>
    <t>Hardcoded value/number (not applicable for text)</t>
  </si>
  <si>
    <t>Other points</t>
  </si>
  <si>
    <t>Do not use any name managers</t>
  </si>
  <si>
    <t>GCM</t>
  </si>
  <si>
    <t>Add multiple summary sheet</t>
  </si>
  <si>
    <t>Add discounting factor</t>
  </si>
  <si>
    <t>OPM</t>
  </si>
  <si>
    <t>Common breakpoint functionality</t>
  </si>
  <si>
    <t>GTM</t>
  </si>
  <si>
    <t>Per share value for each class</t>
  </si>
  <si>
    <t>Hybrid</t>
  </si>
  <si>
    <t>NEW to add</t>
  </si>
  <si>
    <t>Test volatility</t>
  </si>
  <si>
    <t>&lt;&lt;--- Don’t Change</t>
  </si>
  <si>
    <t>Indication #1 HIF-2α</t>
  </si>
  <si>
    <t>Management's Estimate for Exit</t>
  </si>
  <si>
    <t>M&amp;A Probability Split</t>
  </si>
  <si>
    <t>Date of Completion</t>
  </si>
  <si>
    <t>Total Check</t>
  </si>
  <si>
    <t>Phase wise exit %</t>
  </si>
  <si>
    <t>Phase Ia</t>
  </si>
  <si>
    <t>Phase Ib</t>
  </si>
  <si>
    <t>Phase II</t>
  </si>
  <si>
    <t>Scenarios</t>
  </si>
  <si>
    <t>Standalone Probability</t>
  </si>
  <si>
    <t>Cumulative Probability</t>
  </si>
  <si>
    <t>Probability to Exit</t>
  </si>
  <si>
    <t>Wtd. Avg. Probability</t>
  </si>
  <si>
    <t>Probability of Next Trial</t>
  </si>
  <si>
    <t>Success</t>
  </si>
  <si>
    <t>Failure</t>
  </si>
  <si>
    <t>Probability Split</t>
  </si>
  <si>
    <t>IPO (Phase Ib and II)</t>
  </si>
  <si>
    <t>M&amp;A (Phase Ia and Ib)</t>
  </si>
  <si>
    <t>M&amp;A (Phase II)</t>
  </si>
  <si>
    <t>Summary of Probability at Each Development Phase</t>
  </si>
  <si>
    <t>Exit Scenario</t>
  </si>
  <si>
    <t>Phase</t>
  </si>
  <si>
    <t>Date</t>
  </si>
  <si>
    <t>Exit Value Type</t>
  </si>
  <si>
    <t>Probability</t>
  </si>
  <si>
    <t>IPO - Early</t>
  </si>
  <si>
    <t>IPO - Late</t>
  </si>
  <si>
    <t>Dissolution</t>
  </si>
  <si>
    <t>NA</t>
  </si>
  <si>
    <t>Phase I</t>
  </si>
  <si>
    <t>Phase III</t>
  </si>
  <si>
    <t>NDA/BLA Phase</t>
  </si>
  <si>
    <t>Total P1-Market</t>
  </si>
  <si>
    <t>P1-Market</t>
  </si>
  <si>
    <t>Tufts' 10 Lead Indications</t>
  </si>
  <si>
    <t>BMT All Indications</t>
  </si>
  <si>
    <t>Total PI-Market</t>
  </si>
  <si>
    <t>Done</t>
  </si>
  <si>
    <t>Capped Value</t>
  </si>
  <si>
    <t>INPUT -&gt;&gt;</t>
  </si>
  <si>
    <t>Total Value Allocable By Class</t>
  </si>
  <si>
    <t>Per Share Value Allocable By Class</t>
  </si>
  <si>
    <t>Price / Net Book Value Analysis</t>
  </si>
  <si>
    <t>Earnings</t>
  </si>
  <si>
    <t>Total Equity</t>
  </si>
  <si>
    <t>Type of Multiples</t>
  </si>
  <si>
    <t>Period</t>
  </si>
  <si>
    <t>added more functionality such that n/a appears after last breakpoint. Need to test on live project</t>
  </si>
  <si>
    <t>Statistical Metrics</t>
  </si>
  <si>
    <t>Plus: Cash &amp; Equivalents</t>
  </si>
  <si>
    <t>Implied Equity Value, on a Controlling Interest Basis</t>
  </si>
  <si>
    <t>Selected Control Premium</t>
  </si>
  <si>
    <t>Discount for Lack of Control</t>
  </si>
  <si>
    <t>Implied Equity Value, on a Minority Basis</t>
  </si>
  <si>
    <t>Control Premium Summary</t>
  </si>
  <si>
    <t>Mergerstat data</t>
  </si>
  <si>
    <t>Please confirm if this needs to be added</t>
  </si>
  <si>
    <t>Outline</t>
  </si>
  <si>
    <t>Exhibit Number</t>
  </si>
  <si>
    <t>PWERM Analysis</t>
  </si>
  <si>
    <t>PWERM - Exit Probabilities</t>
  </si>
  <si>
    <t>PWERM - Probability of Technical Success</t>
  </si>
  <si>
    <t>Option Pricing Method - Breakpoints &amp; Allocation</t>
  </si>
  <si>
    <t>Notes &amp; Assumptions</t>
  </si>
  <si>
    <t>Section</t>
  </si>
  <si>
    <t>Importance</t>
  </si>
  <si>
    <t>Questions</t>
  </si>
  <si>
    <t>Response</t>
  </si>
  <si>
    <t>Notes/Assumptions</t>
  </si>
  <si>
    <t>Questions/Clarifications/Open Items</t>
  </si>
  <si>
    <t>Source</t>
  </si>
  <si>
    <t>Status</t>
  </si>
  <si>
    <t>Concluded Enterprise Value, Rounded</t>
  </si>
  <si>
    <t>Concluded Equity Value, Rounded</t>
  </si>
  <si>
    <t>Difference</t>
  </si>
  <si>
    <t>Difference %</t>
  </si>
  <si>
    <t>File Name</t>
  </si>
  <si>
    <t>CompanyABC VD 12.31.14 Draft Exhibits_v1</t>
  </si>
  <si>
    <t>CompanyABC VD 12.31.13 Draft Exhibits_v1</t>
  </si>
  <si>
    <t>CompanyABC VD 12.31.12 Draft Exhibits_v1</t>
  </si>
  <si>
    <t>Part I</t>
  </si>
  <si>
    <t>DLOM Type</t>
  </si>
  <si>
    <t>Part II</t>
  </si>
  <si>
    <t>OPM Details</t>
  </si>
  <si>
    <t>Asset Volatility</t>
  </si>
  <si>
    <t>Equity Volatility Selection Type</t>
  </si>
  <si>
    <t>Initial Public Offering (High)</t>
  </si>
  <si>
    <t>Initial Public Offering (Low)</t>
  </si>
  <si>
    <t>Merger or Sale (High)</t>
  </si>
  <si>
    <t>Merger or Sale (Low)</t>
  </si>
  <si>
    <t>No Value to Common</t>
  </si>
  <si>
    <t>Private Company</t>
  </si>
  <si>
    <t>PWERM Values</t>
  </si>
  <si>
    <t>PWERM Weighting</t>
  </si>
  <si>
    <t>Approaches Used</t>
  </si>
  <si>
    <t>Enterprise Value - Values</t>
  </si>
  <si>
    <t>Guideline Public Company Method</t>
  </si>
  <si>
    <t>Guideline Transactions Method</t>
  </si>
  <si>
    <t>Income Approach - Gordon Growth</t>
  </si>
  <si>
    <t>Income Approach - Exit Multiple</t>
  </si>
  <si>
    <t>Cost Approach</t>
  </si>
  <si>
    <t>OPM Backsolve</t>
  </si>
  <si>
    <t>PWERM Implied Equity</t>
  </si>
  <si>
    <t>Enterprise Value - Multiples</t>
  </si>
  <si>
    <t>Enterprise Value - Weightings</t>
  </si>
  <si>
    <t>Part III</t>
  </si>
  <si>
    <t>Revenues</t>
  </si>
  <si>
    <t>Cash and Equivalents</t>
  </si>
  <si>
    <t>Total Invested Capital</t>
  </si>
  <si>
    <t>Ensure to update this --&gt;&gt;</t>
  </si>
  <si>
    <t>Confirming</t>
  </si>
  <si>
    <t>Workpapers</t>
  </si>
  <si>
    <t>Automated TOC with Workpapers</t>
  </si>
  <si>
    <t>Automated PDF with or w/o Workpapers</t>
  </si>
  <si>
    <t>Mehul</t>
  </si>
  <si>
    <t>Graphs from VRC report page 13</t>
  </si>
  <si>
    <t>Sensitivity in OPM</t>
  </si>
  <si>
    <t>Cap Table - Pie of Pie Chart</t>
  </si>
  <si>
    <t>not created graph for R&amp;D Exp</t>
  </si>
  <si>
    <t xml:space="preserve">Created Pie of Pie chart (added some dummy data using RANDBETWEEN formula) </t>
  </si>
  <si>
    <t>Graph - Price (High/Low) in Equity Vol tab</t>
  </si>
  <si>
    <t>Series Seed</t>
  </si>
  <si>
    <t>Company ABC, Inc.</t>
  </si>
  <si>
    <t>Shareholder 2</t>
  </si>
  <si>
    <t>Shareholder 3</t>
  </si>
  <si>
    <t>Exit Type</t>
  </si>
  <si>
    <t>DO NOT DELETE</t>
  </si>
  <si>
    <t>Non-Structured</t>
  </si>
  <si>
    <t>Estimated Financing</t>
  </si>
  <si>
    <t>Event Date</t>
  </si>
  <si>
    <t>Amount</t>
  </si>
  <si>
    <t>Return</t>
  </si>
  <si>
    <t>&lt;- Input VC % over here, this flows to Future Financing in PWERM</t>
  </si>
  <si>
    <t>One decimal precision
If it is 0.0%, then change to two decimal precision</t>
  </si>
  <si>
    <t>One decimal precision
If it is 0.00, then change to three decimal precision</t>
  </si>
  <si>
    <t>One decimal precision, if it is 0.0, then change to two decimal precision. Don’t put $ sign</t>
  </si>
  <si>
    <t>Label Format #1</t>
  </si>
  <si>
    <t>Label Format #2</t>
  </si>
  <si>
    <t>Label Format #3</t>
  </si>
  <si>
    <t>(in thousands of USD and shares, except price per share)</t>
  </si>
  <si>
    <t>(in millions of USD, except price per share)</t>
  </si>
  <si>
    <t>Label Format #4</t>
  </si>
  <si>
    <t>Label Format #5</t>
  </si>
  <si>
    <t>Value based on balance sheet information provided by Management as of the Valuation Date.</t>
  </si>
  <si>
    <t>Rate based on our observations of the cost of debt for similar stage enterprises.</t>
  </si>
  <si>
    <t xml:space="preserve">Value calculated as the probability-weighted present value of liquidation preferences (or equivalent value to the extent preferred converts/participates) under the PWERM analysis.  </t>
  </si>
  <si>
    <t>The expected rate of return is based on SVB debt rates for venture debt, as well as our observations of subordinated (or mezzanine) debt rates.</t>
  </si>
  <si>
    <t>Value calculated as the probability-weighted present value of returns above and beyond liquidation preferences (or equivalent value to the extent preferred converts/participates).</t>
  </si>
  <si>
    <t>Price of Equity generally reconciles with the concluded price of the Subject Interest.</t>
  </si>
  <si>
    <t>Rate reflects consideration of an implied return to common stock (based on the probability of successful exits under the PWERM) higher than the implied return to preferred investors due to the higher risk profile of common stock relative to preferred stock.</t>
  </si>
  <si>
    <t>&lt;- input final value of common stock</t>
  </si>
  <si>
    <t>Exhibit Labeling</t>
  </si>
  <si>
    <t>Add: Cash</t>
  </si>
  <si>
    <t xml:space="preserve">Weighted Average Cost of Capital - PWERM-Based </t>
  </si>
  <si>
    <t xml:space="preserve">Rate of Return By Stage of Development </t>
  </si>
  <si>
    <t xml:space="preserve">Capitalization Table </t>
  </si>
  <si>
    <t xml:space="preserve">Economic Rights Summary </t>
  </si>
  <si>
    <t>Comparative Sheet</t>
  </si>
  <si>
    <t>Strike price</t>
  </si>
  <si>
    <t>Capex</t>
  </si>
  <si>
    <t>(1) Based on discussions with Management and reflects cash required for operations.</t>
  </si>
  <si>
    <t>Net Working Capital</t>
  </si>
  <si>
    <t>Stock Price</t>
  </si>
  <si>
    <t>Stock price</t>
  </si>
  <si>
    <t>Prior valuation date</t>
  </si>
  <si>
    <t>CAPM</t>
  </si>
  <si>
    <t>Descending EV order for comps</t>
  </si>
  <si>
    <t xml:space="preserve">Transpose exit dates from “Exit probability “ tab if we are deriving probabilities from POTS analysis. </t>
  </si>
  <si>
    <t>Invested Capital / Revenue</t>
  </si>
  <si>
    <t>Transpose the probabilities to "Exit Probability"</t>
  </si>
  <si>
    <t>Link the total shares to "Cap Table"</t>
  </si>
  <si>
    <t>Update this (lead drug/product)</t>
  </si>
  <si>
    <t>Update Breakpoint descriptions</t>
  </si>
  <si>
    <t>Update</t>
  </si>
  <si>
    <t>Check the stub-period change in NWC calc</t>
  </si>
  <si>
    <t>For the Period Ending December 31,</t>
  </si>
  <si>
    <t>As of December 31,</t>
  </si>
  <si>
    <t>Historical Balance Sheet - Common Size</t>
  </si>
  <si>
    <t>Guideline Comparables Method</t>
  </si>
  <si>
    <t>Multiples' Summary</t>
  </si>
  <si>
    <t>Probability-Weighted Expected Return Method</t>
  </si>
  <si>
    <t>Financial Performance (Actual &amp; Estimates)</t>
  </si>
  <si>
    <t>Actual</t>
  </si>
  <si>
    <t>Financial Performance (Actual)</t>
  </si>
  <si>
    <t>Control Premium</t>
  </si>
  <si>
    <t>Overall</t>
  </si>
  <si>
    <t>Average</t>
  </si>
  <si>
    <t>Business Services</t>
  </si>
  <si>
    <t>Third Quarter 2015</t>
  </si>
  <si>
    <t>Factors Affecting Minority Discounts/Control Premiums</t>
  </si>
  <si>
    <t>Moderate</t>
  </si>
  <si>
    <t>Neutral</t>
  </si>
  <si>
    <t>Higher</t>
  </si>
  <si>
    <t>Scarcity</t>
  </si>
  <si>
    <t>Small</t>
  </si>
  <si>
    <t>Lower</t>
  </si>
  <si>
    <t>Selected Control Premium (Preferred)</t>
  </si>
  <si>
    <t>Selected Control Premium (Common)</t>
  </si>
  <si>
    <t>Implied discount for lack of control ("DLOC") - Preferred</t>
  </si>
  <si>
    <t>(1) Source: Control Premium Study, third quarter, 2015, Mergerstat.</t>
  </si>
  <si>
    <t>Update based on subject industry</t>
  </si>
  <si>
    <t>Latest Twelve Months</t>
  </si>
  <si>
    <t>Market Trends since Previous Valuation</t>
  </si>
  <si>
    <t>Guideline Public Companies</t>
  </si>
  <si>
    <t>Previous Valuation</t>
  </si>
  <si>
    <t>Current Valuation</t>
  </si>
  <si>
    <t xml:space="preserve">Applied Multiples </t>
  </si>
  <si>
    <t>Type of LTM Multiples</t>
  </si>
  <si>
    <t>Guideline Public Companies' Revenue Multiples</t>
  </si>
  <si>
    <t>Guideline Public Companies' EBITDA Multiples</t>
  </si>
  <si>
    <t>Guideline Public Companies' Price Multiples</t>
  </si>
  <si>
    <t>Guideline Public Companies' Margins &amp; Cash Flow Metrics</t>
  </si>
  <si>
    <t>Guideline Public Companies' Descriptions</t>
  </si>
  <si>
    <t>Guideline Transactions' Multiples Analysis</t>
  </si>
  <si>
    <t>Guideline Transactions' Target Descriptions</t>
  </si>
  <si>
    <t>Target Companies</t>
  </si>
  <si>
    <t>Link to the Total Investment in "EconRights" and add future financing</t>
  </si>
  <si>
    <t>Weightings</t>
  </si>
  <si>
    <t>Total Revenue</t>
  </si>
  <si>
    <t>Total Enterprise Value</t>
  </si>
  <si>
    <t>VD</t>
  </si>
  <si>
    <t>LAST FYE-1</t>
  </si>
  <si>
    <t>LAST FYE</t>
  </si>
  <si>
    <t>CY+1</t>
  </si>
  <si>
    <t>CY+2</t>
  </si>
  <si>
    <t>CY+3</t>
  </si>
  <si>
    <t>Previous Valuation VD</t>
  </si>
  <si>
    <t>CIQ_ID</t>
  </si>
  <si>
    <t>NAME</t>
  </si>
  <si>
    <t>EXCHANGE</t>
  </si>
  <si>
    <t>FY_END</t>
  </si>
  <si>
    <t>FIRST_PRICE_DATE</t>
  </si>
  <si>
    <t>EBITDA_LTM</t>
  </si>
  <si>
    <t>BETA_5YR</t>
  </si>
  <si>
    <t>BETA_2YR</t>
  </si>
  <si>
    <t>BETA_1YR</t>
  </si>
  <si>
    <t>EFF_TAX</t>
  </si>
  <si>
    <t>CAGR_REV_2YR</t>
  </si>
  <si>
    <t>CAGR_REV_3YR</t>
  </si>
  <si>
    <t>CAGR_REV_5YR</t>
  </si>
  <si>
    <t>CAGR_EBITDA_2YR</t>
  </si>
  <si>
    <t>CAGR_EBITDA_3YR</t>
  </si>
  <si>
    <t>CAGR_EBITDA_5YR</t>
  </si>
  <si>
    <t>Dep &amp; Amort % Rev</t>
  </si>
  <si>
    <t>Term (years)</t>
  </si>
  <si>
    <t>Risk Free Rate</t>
  </si>
  <si>
    <t>BAA Rate</t>
  </si>
  <si>
    <t>IQ2668642</t>
  </si>
  <si>
    <t>Prime Rate</t>
  </si>
  <si>
    <t>%USPMRT</t>
  </si>
  <si>
    <t>CY2014</t>
  </si>
  <si>
    <t>CY2015</t>
  </si>
  <si>
    <t>CY2016</t>
  </si>
  <si>
    <t>CY2017</t>
  </si>
  <si>
    <t>CY2018</t>
  </si>
  <si>
    <t>Comparable Public Companies (Primary)</t>
  </si>
  <si>
    <t>Year 1</t>
  </si>
  <si>
    <t>Year 2</t>
  </si>
  <si>
    <t>Year 3</t>
  </si>
  <si>
    <t>Year 4</t>
  </si>
  <si>
    <t>Year 5</t>
  </si>
  <si>
    <t>NasdaqGM</t>
  </si>
  <si>
    <t>NM</t>
  </si>
  <si>
    <t>NasdaqGS</t>
  </si>
  <si>
    <t>(Invalid Identifier)</t>
  </si>
  <si>
    <t>Comparable Public Companies (Secondary)</t>
  </si>
  <si>
    <t>(Invalid Transaction Id)</t>
  </si>
  <si>
    <t>United States Treasury Constant Maturity - 1 Month</t>
  </si>
  <si>
    <t>United States Treasury Constant Maturity - 3 Month</t>
  </si>
  <si>
    <t>United States Treasury Constant Maturity - 6 Month</t>
  </si>
  <si>
    <t>United States Treasury Constant Maturity - 1 Year</t>
  </si>
  <si>
    <t>United States Treasury Constant Maturity - 2 Year</t>
  </si>
  <si>
    <t>United States Treasury Constant Maturity - 3 Year</t>
  </si>
  <si>
    <t>United States Treasury Constant Maturity - 5 Year</t>
  </si>
  <si>
    <t>United States Treasury Constant Maturity - 7 Year</t>
  </si>
  <si>
    <t>United States Treasury Constant Maturity - 10 Year</t>
  </si>
  <si>
    <t>United States Treasury Constant Maturity - 20 Year</t>
  </si>
  <si>
    <t>United States Treasury Constant Maturity - 30 Year</t>
  </si>
  <si>
    <t>Rev_LTM-2</t>
  </si>
  <si>
    <t>Rev_LTM-1</t>
  </si>
  <si>
    <t>Rev_LTM</t>
  </si>
  <si>
    <t>EBITDA_LTM-2</t>
  </si>
  <si>
    <t>EBITDA_LTM-1</t>
  </si>
  <si>
    <t>EBITDA_2014</t>
  </si>
  <si>
    <t>EBITDA_2015</t>
  </si>
  <si>
    <t>EBITDA_2016</t>
  </si>
  <si>
    <t>EBITDA_2017</t>
  </si>
  <si>
    <t>EBITDA_2018</t>
  </si>
  <si>
    <t>Exhibit F.2</t>
  </si>
  <si>
    <t>Majority</t>
  </si>
  <si>
    <t>Gross Margin</t>
  </si>
  <si>
    <t>NWC</t>
  </si>
  <si>
    <t>AMEX</t>
  </si>
  <si>
    <t>NasdaqCM</t>
  </si>
  <si>
    <t>Biotechnology</t>
  </si>
  <si>
    <t>Start date</t>
  </si>
  <si>
    <t>bluebird bio, Inc.</t>
  </si>
  <si>
    <t>Voyager Therapeutics, Inc.</t>
  </si>
  <si>
    <t>Alexion Pharmaceuticals, Inc.</t>
  </si>
  <si>
    <t>Synageva BioPharma Corp.</t>
  </si>
  <si>
    <t>IQTR296642841</t>
  </si>
  <si>
    <t>Synageva BioPharma Corp. operates as a biopharmaceutical company in the United States. It focuses on the discovery, development, and commercialization of therapeutic products for patients with rare diseases. The company’s lead program include sebelipase alfa, a recombinant form of human lysosomal acid lipase (LAL) under the Kanuma brand name for the treatment of LAL deficiency in infants, children, and adults. It also has various other research programs in various stages of preclinical development, including SBC-103, an enzyme replacement therapy in a Phase 1/2 study for lysosomal storage disease, known as mucopolysaccharidosis type IIIB; SBC-105, an enzyme replacement therapy in preclinical development for rare disorders of calcification; and other programs. The company was founded in 1996 and is headquartered in Lexington, Massachusetts. As of June 19, 2015, Synageva BioPharma Corp. operates as a subsidiary of Alexion Pharmaceuticals, Inc..</t>
  </si>
  <si>
    <t>PlasmaTech Biopharmaceuticals, Inc. (nka:Abeona Therapeutics Inc.)</t>
  </si>
  <si>
    <t>Abeona Therapeutics LLC</t>
  </si>
  <si>
    <t>IQTR296628817</t>
  </si>
  <si>
    <t>Abeona Therapeutics LLC, a biopharmaceutical company, focuses on developing and delivering gene therapy and plasma-based products for severe and life-threatening rare diseases. It engages in developing adeno-associated viral (AAV)-based gene therapies for MPS III (Sanfilippo syndrome), which involves a one-time delivery of a normal copy of the defective gene to cells of the central nervous system to reverse the effects of the genetic errors that cause the disease. The company offers ABO-101 and ABO-102, which induce cells in the central nervous system and peripheral organs to produce the missing enzymes and help repair damage caused to the cells; ABO-201 for Juvenile Batten Disease (JBD); and ABO-301 (AAV LK19 FANCC), an AAV-based gene therapy for the delivery of a normal copy of the defective gene to cells of the hematopoietic or blood system to reverse the effects of the genetic errors that cause Fanconi anemia. It also provides Salt Diafiltration Process (SDF) that focuses on the ethanol-free extraction of therapeutic biologics from human plasma, including PTB-101 SDF Alpha (alpha1-proteinase inhibitor) for chronic augmentation and maintenance therapy in adults; and PTB-201 SDF IVIG for autoimmune, infectious, and idiopathic diseases. The company was founded in 2013 and is based in Cleveland, Ohio. As of May 15, 2015, Abeona Therapeutics LLC operates as a subsidiary of Abeona Therapeutics Inc.</t>
  </si>
  <si>
    <t>BioMarin Pharmaceutical Inc.</t>
  </si>
  <si>
    <t>Prosensa Holding N.V. (nka:BioMarin Nederland B.V.)</t>
  </si>
  <si>
    <t>IQTR278301818</t>
  </si>
  <si>
    <t>BioMarin Nederland B.V., a biotechnology company, engages in the discovery and development of ribonucleic acid-modulating therapeutics for the treatment of genetic disorders. Its products focus on the treatment of neuromuscular and neurodegenerative disorders, including duchenne muscular dystrophy (DMD), myotonic dystrophy, and huntington’s diseases. The company develops drisapersen, which is in Phase III studies to restore dystrophin expression and enhancing muscle condition; PRO044 that is in Phase I/II studies to address a separate sub-population of DMD patients; and PRO045, PRO053, PRO052, and PRO055 to address other distinct sub-populations of DMD patients. It also develops PRO135 that is in preclinical trials for myotonic dystrophy; PRO289, which is in preclinical trials for treating huntington’s diseases; and PROSPECT to address mutations in the exon. The company was incorporated in 1997 and is headquartered in Leiden, the Netherlands. As of January 29, 2015, BioMarin Nederland B.V. operates as a subsidiary of BioMarin Pharmaceutical Inc.</t>
  </si>
  <si>
    <t>Precision Genome Engineering, Inc.</t>
  </si>
  <si>
    <t>IQTR267072117</t>
  </si>
  <si>
    <t>Precision Genome Engineering, Inc., doing business as Pregenen, operates as a biotechnology company designing and engineering molecules for the generation of gene and cell-based therapies primarily in the areas of cancer and infectious diseases. It develops DisplayArray platform, which produces active and portable DNA-targeting enzymes with integrated DNA binding and cleavage activity. The company also provides a suite of custom genome engineering tools for creating site specific DNA breaks, such as TrueCut reagents that include engineered homing endonuclease enzymes for producing the DNA double-stranded break combined with accessory proteins to increase the rate of gene disruption following the creation of a DNA break-point. In addition, it undertakes a range of analyses to determine the in vitro and in vivo activity and specificity of genome engineering tools; and develops a cell signaling system to provide pharmacological control over chimeric antigen receptor driven immunotherapies. The company was founded in 2006 and is based in Seattle, Washington. As of June 30, 2014, Precision Genome Engineering, Inc. operates as a subsidiary of bluebird bio, Inc.</t>
  </si>
  <si>
    <t>REGENX Biosciences, LLC, Worldwide License to Proprietary NAV® Vectors</t>
  </si>
  <si>
    <t>IQTR265010178</t>
  </si>
  <si>
    <t>As of June 2, 2014, Worldwide License to Proprietary NAV® Vectors of REGENX Biosciences, LLC was acquired by Voyager Therapeutics, Inc. REGENX Biosciences, LLC, Worldwide License to Proprietary NAV® Vectors comprises NAV® vectors for the development and commercialization of gene therapies to treat Amyotrophic Lateral Sclerosis, Friedreich's ataxia, and Huntington's disease.</t>
  </si>
  <si>
    <t>I'rom Holdings Co., Ltd. (nka:I'rom Group Co., Ltd.)</t>
  </si>
  <si>
    <t>DNAVEC Corporation</t>
  </si>
  <si>
    <t>IQTR248903420</t>
  </si>
  <si>
    <t>DNAVEC Corporation develops and licenses out gene therapeutic medicines, gene vaccines, therapeutic antibodies, and medicinal proteins for pharmaceutical companies in Japan and internationally. It offers gene therapeutic medicines for cardiovascular, respiratory, autoimmune, ophthalmologic, and cancer diseases; gene vaccines for AIDS, tuberculosis, influenza, malaria, tumors, Alzheimer’s, and Parkinson’s diseases; and proteins for medical treatment, research, and in vitro diagnosis. The company also provides antibodies, proteins, gene analysis products, and technical services to the bio-field markets. In addition, DNAVEC offers proteins for research and diagnosis; antibodies; and gene function analysis services and kits. Further, the company consults for pharmaceutical and bio-venture companies planning to enter China and establish joint enterprises. Furthermore, it develops its therapeutic products and services in alliance with other bio-venture companies. DNAVEC Corporation was founded in 2003 and is based in Tsukuba, Japan. As of January 2014, DNAVEC Corporation operates as a subsidiary of I'rom Group Co., Ltd.</t>
  </si>
  <si>
    <t>Ceregene, Inc.</t>
  </si>
  <si>
    <t>IQTR245160973</t>
  </si>
  <si>
    <t>Change in Working Capital</t>
  </si>
  <si>
    <t>Cash</t>
  </si>
  <si>
    <t>Non Cash Working Capital</t>
  </si>
  <si>
    <t>Change</t>
  </si>
  <si>
    <t>1-Largest</t>
  </si>
  <si>
    <t>premium</t>
  </si>
  <si>
    <t>Mid-cap, 3-5</t>
  </si>
  <si>
    <t>Low-cap, 6-8</t>
  </si>
  <si>
    <t>Micro-cap, 9-10</t>
  </si>
  <si>
    <t>Breakdown of Deciles 1-10</t>
  </si>
  <si>
    <t>10-Smallest</t>
  </si>
  <si>
    <t>Breakdown of the 10th Decile</t>
  </si>
  <si>
    <t>10a</t>
  </si>
  <si>
    <t>10b-Smallest</t>
  </si>
  <si>
    <t>Long-horizon expected equity risk premium (supply-side) : historical equity risk premium
minus price-to-earnings ratio calculated using three-year average earnings</t>
  </si>
  <si>
    <t>Teaching Note 9-288-006 (Boston: Harvard Business School Publishing, 1989).</t>
  </si>
  <si>
    <t>School Publishing, 1998).</t>
  </si>
  <si>
    <t>to be used substantially for product development, prototype testing, and test marketing.</t>
  </si>
  <si>
    <t>and for which further technical risk is deemed minimal, although commercial risk may be significant.</t>
  </si>
  <si>
    <t>testing, as well as bridge financing in anticipation of a later IPO.</t>
  </si>
  <si>
    <t>Version</t>
  </si>
  <si>
    <t>LFR</t>
  </si>
  <si>
    <t>CY+4</t>
  </si>
  <si>
    <t>CY2019</t>
  </si>
  <si>
    <t>Latest filing date</t>
  </si>
  <si>
    <t>REV_CY2015</t>
  </si>
  <si>
    <t>REV_CY2016</t>
  </si>
  <si>
    <t>REV_CY2017</t>
  </si>
  <si>
    <t>REV_CY2018</t>
  </si>
  <si>
    <t>REV_CY2019</t>
  </si>
  <si>
    <t>REV_CY2014</t>
  </si>
  <si>
    <t xml:space="preserve"> NWC as % of Revenue</t>
  </si>
  <si>
    <t>Stockprice_EQ_PVD</t>
  </si>
  <si>
    <t>Marketcap_EQ_PVD</t>
  </si>
  <si>
    <t>Debt_EQ_PVD</t>
  </si>
  <si>
    <t>PFD_EQ_PVD</t>
  </si>
  <si>
    <t>MIN_INT_PVD</t>
  </si>
  <si>
    <t>Cash_EQ_PVD</t>
  </si>
  <si>
    <t>Probability of IPO Upon Exit</t>
  </si>
  <si>
    <t>DLOM (1)</t>
  </si>
  <si>
    <t>Guideline Public Companies.</t>
  </si>
  <si>
    <t>Acquirer</t>
  </si>
  <si>
    <t xml:space="preserve"> Year - 2016</t>
  </si>
  <si>
    <t>Assumes that all remaining options expected to be granted prior to exit term contemplated under the OPM</t>
  </si>
  <si>
    <t>EBITDA Margin</t>
  </si>
  <si>
    <t>EBIT Margin</t>
  </si>
  <si>
    <t>Net Income Margin</t>
  </si>
  <si>
    <t>Business Description</t>
  </si>
  <si>
    <t>Beta Look back year</t>
  </si>
  <si>
    <t>Moody's Bond Yield Avg - BAA Rated Corporates</t>
  </si>
  <si>
    <t>CIQ numbers</t>
  </si>
  <si>
    <t>Unlinked numbers</t>
  </si>
  <si>
    <t>CIQ Check</t>
  </si>
  <si>
    <t>M&amp;A</t>
  </si>
  <si>
    <t>Rate reflects a back solve in order to achieve approximately 15%-20% venture capital portfolio returns (across the total preferred investment). Such expected VC Portfolio Returns are generally consistent with observations of historical venture capital returns.</t>
  </si>
  <si>
    <t>Options (Treasury Method)</t>
  </si>
  <si>
    <t>Value to Options</t>
  </si>
  <si>
    <t>Prob. Wtd. Present Value</t>
  </si>
  <si>
    <t>Applied Probability Weightings</t>
  </si>
  <si>
    <t>Treasury Method - Options</t>
  </si>
  <si>
    <t>Line Items</t>
  </si>
  <si>
    <t>Shareholder 1/Consolidated</t>
  </si>
  <si>
    <t>Count</t>
  </si>
  <si>
    <t>ABC, Inc.</t>
  </si>
  <si>
    <t>RNA developed a WACC taking into consideration the Company's capital structure.  RNA considered the associated rates (or costs of capital) for the purpose of determining valuation indications of the various securities comprising the Company's capital structure as part of a PWERM analysis.</t>
  </si>
  <si>
    <t>(3) Based on the data from the above two sources, we concluded on a control premium towards the low end of the range exhibited by the comparable transactions and the industry to account for the small size of the subject company. Further, RNA selected 25.0% control premium for common and 18.0% for preferred since the lower proportion of common equity in relation to preferred stock decreases the control of common stockholders, common stock warrants higher discount compared to preferred.</t>
  </si>
  <si>
    <t>Reflects the average of the income approach and market approach (noting that the GCM and GTM were weighed equally).</t>
  </si>
  <si>
    <t>Equal weights were assigned to each valuation methodology because</t>
  </si>
  <si>
    <t>Source: "Valuation in Life Sciences", Bogdan and Villiger.</t>
  </si>
  <si>
    <t>BMT Lead Indications</t>
  </si>
  <si>
    <t>Lead Optimization</t>
  </si>
  <si>
    <t>Preclinical</t>
  </si>
  <si>
    <t>Oncology</t>
  </si>
  <si>
    <t>Total PI-Approval</t>
  </si>
  <si>
    <t>HIV/AIDS</t>
  </si>
  <si>
    <t>Total PII-Market</t>
  </si>
  <si>
    <t>Infectious Disease</t>
  </si>
  <si>
    <t>Source: Biotechnology Industry Organization - February 15, 2011.</t>
  </si>
  <si>
    <t>Source: "Cancer Drug Approval Timelines", Epiphany Partners, Inc., based on a study by Johnson JCO, May 10, 2010, Page 3.</t>
  </si>
  <si>
    <t>Source: "Clinical Development Success Rates 2006-2015", Biotechnology Innovation Organization, Biomedtracker and Amplion, Page 9.</t>
  </si>
  <si>
    <t>Source: "Biotechnology Valuation-An Introductory Guide" Karl D. Keegan, Page 67.</t>
  </si>
  <si>
    <t>Source: "Metrics on Technical Risks, Clinical Development Times and Approval Times for Cancer Drugs", dated February 11, 2013, Page 7.</t>
  </si>
  <si>
    <t>Source: "Economics of New Oncology Drug Development" Joseph A. DiMasi and Henry G. Grabowski, dated January 10, 2007, Page 5.</t>
  </si>
  <si>
    <t>Source: "Clinical development success rates for investigational drugs" Hay et al., January 2014, Page 7.</t>
  </si>
  <si>
    <t>Source: "Tomorrow’s path to improved early-phase oncology drug development" Quintiles, Page 5.</t>
  </si>
  <si>
    <t>(10)</t>
  </si>
  <si>
    <t>Source: "Cancer Drug Approval Timelines", Epiphany Partners, Inc., based on a study by Deloitte Recap LLC, 2010, Page 5.</t>
  </si>
  <si>
    <t>NasdaqGS:ONCE</t>
  </si>
  <si>
    <t>IQ249341857</t>
  </si>
  <si>
    <t>Spark Therapeutics, Inc.</t>
  </si>
  <si>
    <t>Spark Therapeutics, Inc. focuses on the development of gene therapy products for patients suffering from debilitating genetic diseases. The company develops SPK-RPE65, which is in Phase III clinical trial for the treatment of genetic blinding conditions called inherited retinal diseases caused by non sex-linked, autosomal recessive, or mutations in the RPE65 gene; and SPK-CHM that is in Phase I/II clinical trial for the treatment of choroideremia. It is also developing SPK-FIX program for hemophilia B; SPK-FVIII program to treat hemophilia A; SPK-TPP1 program for the treatment of a form of Batten disease; RhoNova for the treatment of rhodopsin-linked autosomal dominant retinitis pigmentosa; and SPK-LHON for treating Leber hereditary optic neuropathy, as well as preclinical programs in development for the treatment of Huntington's disease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t>
  </si>
  <si>
    <t>NasdaqGM:CRSP</t>
  </si>
  <si>
    <t>IQ262549448</t>
  </si>
  <si>
    <t>CRISPR Therapeutics AG</t>
  </si>
  <si>
    <t>CRISPR Therapeutics AG focuses on the development of transformative gene-based medicines for serious diseases using its proprietary CRISPR/Cas9 gene-editing platform. The CRISPR/Cas9 technology allows for changes to genomic DNA. The company has strategic collaborations with Bayer AG and Vertex Pharmaceuticals to develop CRISPR-based therapeutics in other diseases. It operates in Switzerland, the United States, and the United Kingdom. CRISPR Therapeutics AG is headquartered in Basel, Switzerland.</t>
  </si>
  <si>
    <t>NasdaqGM:WVE</t>
  </si>
  <si>
    <t>IQ256557334</t>
  </si>
  <si>
    <t>WAVE Life Sciences Ltd.</t>
  </si>
  <si>
    <t>WAVE Life Sciences Ltd., a preclinical biopharmaceutical company, designs, develops, and commercializes nucleic acid therapeutic candidates. The company is developing nucleic acid therapeutics that target genetic defects to either reduce the expression of disease-promoting proteins or transform the production of dysfunctional mutant proteins into the production of functional proteins. Its advanced therapeutic programs are in Huntington’s disease, Duchenne muscular dystrophy (DMD), and inflammatory bowel disease (IBD). In Huntington’s disease, it has programs targeting HTT SNP-1 and HTT SNP-2; in DMD, targeting Exon 51; and in IBD, targeting SMAD7. The company also has product candidates in its programs targeting HTT SNP-1 and Exon 51. In addition, it has late-stage discovery programs in epidermolysis bullosa simplex, targeting KRT14 SNP-1 and KRT14 SNP-2, as well as in DMD, focuses on an additional DMD target, AcRIIb. The company has a research, license, and option agreement with Pfizer Inc. for the discovery, development, and commercialization of stereopure oligonucleotide therapeutics. WAVE Life Sciences Ltd. was founded in 2012 and is based in Cambridge, Massachusetts.</t>
  </si>
  <si>
    <t>NasdaqGS:RGNX</t>
  </si>
  <si>
    <t>IQ130641748</t>
  </si>
  <si>
    <t>Regenxbio Inc.</t>
  </si>
  <si>
    <t>REGENXBIO Inc., a biotechnology company, focuses on the development, commercialization, and licensing of recombinant adeno-associated virus (AAV) gene therapy. The company’s development programs include RGX-501, a product candidate for the treatment of homozygous familial hypercholesterolemia, which uses the AAV8 vector to deliver the human low-density lipoprotein receptor gene to liver cells; and RGX-111, a product candidate for the treatment of Mucopolysaccharidosis Type I, which uses the AAV9 vector to deliver the human a-l-iduronidase gene to the central nervous system (CNS). Its programs also include RGX-121, a product candidate for the treatment of Mucopolysaccharidosis Type II that uses the AAV9 vector to deliver the human iduronate-2-sulfatase gene to the CNS; RGX-314, a product candidate for the treatment of wet age-related macular degeneration; and RGX-321, a product candidate for the treatment of X-linked retinitis pigmentosa. The company was formerly known as REGENX Biosciences, LLC and changed its name to REGENXBIO Inc. in September 2014. REGENXBIO Inc. was founded in 2008 and is headquartered in Rockville, Maryland.</t>
  </si>
  <si>
    <t>NasdaqGS:INO</t>
  </si>
  <si>
    <t>IQ28922</t>
  </si>
  <si>
    <t>Inovio Pharmaceuticals, Inc.</t>
  </si>
  <si>
    <t>NasdaqGS:ENTA</t>
  </si>
  <si>
    <t>IQ345286</t>
  </si>
  <si>
    <t>Enanta Pharmaceuticals, Inc.</t>
  </si>
  <si>
    <t>Enanta Pharmaceuticals, Inc., a research and development-focused biotechnology company focuses on discovering and developing small molecule drugs for the treatment of viral infections and liver diseases. The company’s research and development focuses on four disease targets: Hepatitis C virus (HCV), Hepatitis B virus (HBV), Non-alcoholic Steatohepatitis (NASH), and Respiratory Syncytial Virus (RSV). Its lead product is paritaprevir, a protease inhibitor designed for use against HCV. The company also develops HCV protease inhibitor in phase III development with AbbVie, as well as a HCV program using a different class of molecules known as cyclophilin inhibitors. In addition, it has a program in non-alcoholic steatohepatitis; and discovers programs in other areas of viral infection and liver disease. Enanta Pharmaceuticals, Inc. has a collaborative development and license agreement with AbbVie to develop and commercialize HCV NS3 and NS3/4A protease inhibitors. The company was founded in 1995 and is headquartered in Watertown, Massachusetts.</t>
  </si>
  <si>
    <t>NasdaqGS:EDIT</t>
  </si>
  <si>
    <t>IQ252050056</t>
  </si>
  <si>
    <t>Editas Medicine, Inc.</t>
  </si>
  <si>
    <t>Editas Medicine, Inc. operates as a genome editing company. It focuses on treating patients with genetically defined diseases by correcting their disease causing genes. It is developing a proprietary genome editing platform based on CRISPR/Cas9 technology to target genetically defined diseases with an initial focus on debilitating illnesses where there are no approved treatments. Editas Medicine, Inc. has a collaboration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headquartered in Cambridge, Massachusetts.</t>
  </si>
  <si>
    <t>NasdaqGS:NK</t>
  </si>
  <si>
    <t>IQ262241549</t>
  </si>
  <si>
    <t>NantKwest, Inc.</t>
  </si>
  <si>
    <t>NantKwest, Inc., a biotechnology company, engages in developing immunotherapeutic agents for various clinical conditions in the United States. The company’s product candidates include activated natural killer candidates for the treatment of virally-induced cancers, such as human papilloma virus induced cervical, and head and neck cancers; ebola; and serious viral, fungal, and bacterial infections, as well as that is in Phase II clinical trials for the treatment of polyoma virus induced merkel cell carcinoma. It is also developing high-affinity natural killer product candidates primarily for the treatment of solid tumors, breast cancer, multiple myeloma, lymphoma, and colorectal cancer; and target activated natural killer product candidates for the treatment of breast cancer, non-hodgkin lymphoma, and myelodysplastic syndrome. The company has a co-development agreement with Altor BioScience Corporation to collaborate on the development of therapeutic applications combining Altor’s proprietary IL-15 superagonist (ALT-803) and its single-chain T cell receptor/IL-2 fusion protein products with the company’s proprietary NK cell therapy platforms for oncology indications. The company was formerly known as Conkwest, Inc. and changed its name to NantKwest, Inc. in July 2015. NantKwest, Inc. was founded in 2002 and is headquartered in San Diego, California.</t>
  </si>
  <si>
    <t>OTCBB:COCP</t>
  </si>
  <si>
    <t>IQ49062639</t>
  </si>
  <si>
    <t>Cocrystal Pharma, Inc.</t>
  </si>
  <si>
    <t>OTCBB</t>
  </si>
  <si>
    <t>NasdaqGM:NTLA</t>
  </si>
  <si>
    <t>IQ277799796</t>
  </si>
  <si>
    <t>Intellia Therapeutics Inc.</t>
  </si>
  <si>
    <t>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and ex vivo applications of the technology in chimeric antigen receptor T cell and hematopoietic stem cell product candidates. It has a strategic collaboration and license agreement with Novartis focused on the development of new ex vivo CRISPR/Cas9-based therapies. Intellia Therapeutics Inc. was formerly known as AZRN, Inc. and changed its name to Intellia Therapeutics Inc. in July 2014. The company was founded in 2014 and is headquartered in Cambridge, Massachusetts.</t>
  </si>
  <si>
    <t>ENXTPA:SIGHT</t>
  </si>
  <si>
    <t>IQ235063288</t>
  </si>
  <si>
    <t>ENXTPA</t>
  </si>
  <si>
    <t>GenSight Biologics S.A., a clinical-stage biotechnology company, engages in the discovery and development of therapies for mitochondrial and neurodegenerative diseases of the eye and central nervous system. The company develops its products through gene therapy-based approach with technology platforms of mitochondrial targeting sequence and optogenetics. Its lead product candidates include GS010, an AAV2 containing the human wild-type ND4 gene, which is in Phase III clinical trials for the treatment of Leber Hereditary Optic Neuropathy associated with mutation in the ND4 gene; and GS030 that comprises a gene encoding a photoactivatable channelrhodopsin for the treatment of reinitis pigmentosa and geographic atrophy in dry age-related macular degeneration. It is also developing products in preclinical development targeting ophthalmic and neurodegenerative diseases. GenSight Biologics S.A. was founded in 2012 and is based in Paris, France.</t>
  </si>
  <si>
    <t>NasdaqCM:ADXS</t>
  </si>
  <si>
    <t>IQ7924894</t>
  </si>
  <si>
    <t>Advaxis, Inc.</t>
  </si>
  <si>
    <t>NasdaqGM:BOLD</t>
  </si>
  <si>
    <t>IQ243223852</t>
  </si>
  <si>
    <t>Audentes Therapeutics, Inc.</t>
  </si>
  <si>
    <t>Audentes Therapeutics, Inc., a biotechnology company, focuses on developing and commercializing gene therapy products for patients suffering from diseases caused by single gene defects in the United States. The company is developing four products, including AT132 for the treatment of X-linked myotubular myopathy; AT342 for the treatment of crigler-najjar syndrome type 1; AT307 for the treatment of the CASQ2 subtype of catecholaminergic polymorphic ventricular tachycardia; and AT982 for the treatment of pompe disease. Audentes Therapeutics, Inc. has a collaboration with the University of Pennsylvania to develop AT342, an AAV gene therapy for Crigler-Najjar Syndrome, an inherited, metabolic liver disease. The company was founded in 2012 and is based in San Francisco, California.</t>
  </si>
  <si>
    <t>NasdaqGS:SYRS</t>
  </si>
  <si>
    <t>IQ236291486</t>
  </si>
  <si>
    <t>Syros Pharmaceuticals, Inc.</t>
  </si>
  <si>
    <t>Syros Pharmaceuticals, Inc., a biopharmaceutical company, focuses on developing treatments for cancer and immune-mediated diseases, and building a pipeline of gene control medicines. It intends to begin a Phase II clinical trial for its lead product candidate, SY-1425 (tamibarotene); and to initiate a Phase I/II clinical trial for its SY-1365 candidate, initially for the treatment of acute leukemia. Syros Pharmaceuticals, Inc. The company was formerly known as LS22, Inc. Syros Pharmaceuticals, Inc. was founded in 2011 and is based in Cambridge, Massachusetts.</t>
  </si>
  <si>
    <t>NasdaqCM:ABEO</t>
  </si>
  <si>
    <t>IQ360935</t>
  </si>
  <si>
    <t>Abeona Therapeutics Inc.</t>
  </si>
  <si>
    <t>NasdaqCM:IDRA</t>
  </si>
  <si>
    <t>IQ29643</t>
  </si>
  <si>
    <t>Idera Pharmaceuticals, Inc.</t>
  </si>
  <si>
    <t>NasdaqGS:ACHN</t>
  </si>
  <si>
    <t>IQ120199</t>
  </si>
  <si>
    <t>Achillion Pharmaceuticals, Inc.</t>
  </si>
  <si>
    <t>NasdaqCM:CTRV</t>
  </si>
  <si>
    <t>IQ244424098</t>
  </si>
  <si>
    <t>ContraVir Pharmaceuticals, Inc.</t>
  </si>
  <si>
    <t>ContraVir Pharmaceuticals, Inc. operates as a biopharmaceutical company focused on the development of antiviral drugs with a primary emphasis on the treatment of Hepatitis B virus (HBV) infections. The company is developing CMX157 and CRV431 to treat HBV infection; and FV-100, an orally available, small molecule compound for the prevention of post-herpetic neuralgia, and treatment of herpes zoster infection and acute zoster-associated pain. ContraVir Pharmaceuticals, Inc. was founded in 2013 and is headquartered in Edison, New Jersey.</t>
  </si>
  <si>
    <t>NasdaqGS:SGMO</t>
  </si>
  <si>
    <t>IQ412674</t>
  </si>
  <si>
    <t>Sangamo BioSciences, Inc.</t>
  </si>
  <si>
    <t>NasdaqGM:IMDZ</t>
  </si>
  <si>
    <t>IQ46099827</t>
  </si>
  <si>
    <t>Immune Design Corp.</t>
  </si>
  <si>
    <t>NasdaqGM:FATE</t>
  </si>
  <si>
    <t>IQ39268712</t>
  </si>
  <si>
    <t>Fate Therapeutics, Inc.</t>
  </si>
  <si>
    <t>NasdaqGS:ARWR</t>
  </si>
  <si>
    <t>IQ203142</t>
  </si>
  <si>
    <t>Arrowhead Pharmaceuticals, Inc.</t>
  </si>
  <si>
    <t>NasdaqGM:RGLS</t>
  </si>
  <si>
    <t>IQ36742485</t>
  </si>
  <si>
    <t>Regulus Therapeutics Inc.</t>
  </si>
  <si>
    <t>AMEX:CVM</t>
  </si>
  <si>
    <t>IQ258746</t>
  </si>
  <si>
    <t>CEL-SCI Corporation</t>
  </si>
  <si>
    <t>NasdaqCM:PZRX</t>
  </si>
  <si>
    <t>IQ41693120</t>
  </si>
  <si>
    <t>PhaseRx, Inc.</t>
  </si>
  <si>
    <t>PhaseRx, Inc., a biopharmaceutical company, engages in developing a portfolio of mRNA products to correct life-threatening inherited liver diseases in children. Its initial product development focus is on urea cycle disorders, a group of rare genetic diseases that generally present before the age of 12 and are characterized by the body's inability to remove ammonia from the blood. The company's i-ERT approach is enabled by its proprietary Hybrid mRNA Technology platform and is applicable to various inherited liver diseases. Its product pipeline includes PRX-OTC for Ornithine Transarbamylase deficiency; PRX-ASL for Argininosuccinate Lyase deficiency; and PRX-ASS1 for Argininosuccinatesynthetase 1 deficiency. The company was incorporated in 2006 and is headquartered in Seattle, Washington.</t>
  </si>
  <si>
    <t>OTCPK:MRNA</t>
  </si>
  <si>
    <t>IQ280596151</t>
  </si>
  <si>
    <t>Marina Biotech, Inc.</t>
  </si>
  <si>
    <t>OTCPK</t>
  </si>
  <si>
    <t>NasdaqCM:RXII</t>
  </si>
  <si>
    <t>IQ140969529</t>
  </si>
  <si>
    <t>RXi Pharmaceuticals Corporation</t>
  </si>
  <si>
    <t>ASX:BLT</t>
  </si>
  <si>
    <t>IQ4492928</t>
  </si>
  <si>
    <t>Benitec Biopharma Limited</t>
  </si>
  <si>
    <t>ASX</t>
  </si>
  <si>
    <t>NasdaqCM:GNVC</t>
  </si>
  <si>
    <t>IQ28949</t>
  </si>
  <si>
    <t>GenVec, Inc.</t>
  </si>
  <si>
    <t>NasdaqGS:ABUS</t>
  </si>
  <si>
    <t>IQ34160168</t>
  </si>
  <si>
    <t>Arbutus Biopharma Corporation</t>
  </si>
  <si>
    <t xml:space="preserve">Based on information published in the AICPA Practice Aid under Appendix B. </t>
  </si>
  <si>
    <t>James L. Plummer, QED Report on Venture Capital Financial Analysis (Palo Alto: QED Research, Inc., 1987).</t>
  </si>
  <si>
    <t xml:space="preserve">Daniel R. Scherlis and William A. Sahlman, “A Method for Valuing High-Risk, Long Term, Investments: The Venture Capital Method,” Harvard Business School </t>
  </si>
  <si>
    <t xml:space="preserve">William A. Sahlman, Howard H. Stevenson, Amar V. Bhide, et al., “Financing Entrepreneurial Ventures,” Business Fundamental Series (Boston: Harvard Business </t>
  </si>
  <si>
    <t xml:space="preserve">As described in the publications referenced herein, Start Up-stage investments typically are made in enterprises that are less than a year old. The venture funding is </t>
  </si>
  <si>
    <t xml:space="preserve">As described in the publications referenced herein, Early Development-stage investments are made in enterprises that have developed prototypes that appear viable </t>
  </si>
  <si>
    <t>As described in the publications referenced herein, enterprises in the Expansion stage usually have shipped some product to consumers (including beta versions).</t>
  </si>
  <si>
    <t xml:space="preserve">As described in the publications referenced herein, Bridge/IPO-stage financing covers such activities as pilot plant construction, production design, and production </t>
  </si>
  <si>
    <t>RNA selected a 2016 forward revenue multiple close to the median of the range exhibited by the Guideline Public Companies since</t>
  </si>
  <si>
    <t xml:space="preserve">RNA assigned equal weights to the LTM and 2016 forward revenue multiples because </t>
  </si>
  <si>
    <t>Outliers above</t>
  </si>
  <si>
    <t>Outliers below</t>
  </si>
  <si>
    <t>RNA selected 2016 forward revenue multiple close to the median of the range exhibited by the Guideline Transactions because</t>
  </si>
  <si>
    <t>Debt reflects senior debt based on the balance sheet as of the Valuation Date.</t>
  </si>
  <si>
    <t>Debt reflects senior debt based on the balance sheet as of the Valuation Date plus the value of liquidation preferences under the OPM for preferred stock.</t>
  </si>
  <si>
    <t>Difference (in Months)</t>
  </si>
  <si>
    <t>Includes consideration of net operating losses in determining taxable income based on information provided by Management.</t>
  </si>
  <si>
    <t>Intends to reflect an all-in corporate tax rate based on guidance provided by Management.</t>
  </si>
  <si>
    <t>Capital expenditures through the discrete period calculated based on the median of the range of Guideline Public Companies.</t>
  </si>
  <si>
    <t xml:space="preserve">Change in non-cash working capital ("NCWC") from 2016 through 2018 provided by Management, thereafter extended the change in NCWC estimates in line with the median of the </t>
  </si>
  <si>
    <t xml:space="preserve">The terminal value was calculated using a Gordon Growth Multiple: (1+g)/(k-g), where g = growth and k = discount rate. </t>
  </si>
  <si>
    <t>Capital structure weighting based on observations of the Guideline Public Companies, as well as company-specific considerations.</t>
  </si>
  <si>
    <t>Based on consideration of the average bond yield for the Moody's Baa Rated Index as of the Valuation Date, and company-specific considerations.</t>
  </si>
  <si>
    <t>Re-levered based on the capital structure weighting portrayed herein.</t>
  </si>
  <si>
    <t xml:space="preserve">Based on the </t>
  </si>
  <si>
    <t>Based on information provided by Management.</t>
  </si>
  <si>
    <t>Assumes that all remaining options expected to be granted prior to exits contemplated under the PWERM.</t>
  </si>
  <si>
    <t>Licensing Deals - Oncology Small Molecule and Bi-specific Antibodies</t>
  </si>
  <si>
    <t>Completed Date</t>
  </si>
  <si>
    <t>Deal Type</t>
  </si>
  <si>
    <t>Licensee</t>
  </si>
  <si>
    <t>Licensor</t>
  </si>
  <si>
    <t>Stage of Development</t>
  </si>
  <si>
    <t>Deal Value</t>
  </si>
  <si>
    <t>Upfront Payment</t>
  </si>
  <si>
    <t>Upfront as a % of Deal Value</t>
  </si>
  <si>
    <t>Discovery &amp; Preclinical</t>
  </si>
  <si>
    <t>In-licensed</t>
  </si>
  <si>
    <t>TRACON Pharmaceuticals, Inc.</t>
  </si>
  <si>
    <t>Johnson &amp; Johnson</t>
  </si>
  <si>
    <t>http://www.biocentury.com/companies/tracon_pharmaceuticals_inc</t>
  </si>
  <si>
    <t>https://globenewswire.com/news-release/2016/09/28/875255/0/en/TRACON-Pharmaceuticals-Announces-a-Strategic-Licensing-Collaboration-for-Two-Janssen-Oncology-Assets-and-a-5-Million-Equity-Investment-from-Johnson-Johnson-Innovation-JJDC-Inc.html</t>
  </si>
  <si>
    <t>Tarveda Therapeutics, Inc.</t>
  </si>
  <si>
    <t>Madrigal Pharmaceuticals, Inc.</t>
  </si>
  <si>
    <t>https://globenewswire.com/news-release/2016/09/19/872784/0/en/Madrigal-Pharmaceuticals-and-Tarveda-Therapeutics-Announce-Exclusive-License-Agreement-for-HSP90-Drug-Conjugate-Oncology-Platform.html</t>
  </si>
  <si>
    <t>Pfizer Inc.</t>
  </si>
  <si>
    <t>OncoImmune, Inc.</t>
  </si>
  <si>
    <t>http://www.businesswire.com/news/home/20160915005151/en/OncoImmune-Announces-Option-License-Agreement-Pfizer</t>
  </si>
  <si>
    <t>Les Laboratoires Servier</t>
  </si>
  <si>
    <t>Sorrento Therapeutics</t>
  </si>
  <si>
    <t>http://www.servier.com/content/sorrento-and-servier-enter-exclusive-worldwide-license-and-collaboration-agreement</t>
  </si>
  <si>
    <t>Syndax Pharmaceuticals</t>
  </si>
  <si>
    <t>UCB</t>
  </si>
  <si>
    <t>http://www.biocentury.com/companies/syndax_pharmaceuticals_inc</t>
  </si>
  <si>
    <t>Novartis</t>
  </si>
  <si>
    <t>Xencor, Inc.</t>
  </si>
  <si>
    <t>http://www.xencor.com/pipeline/xmab-14045/</t>
  </si>
  <si>
    <t>Aptose Biosciences Inc.</t>
  </si>
  <si>
    <t>CrystalGenomics, Inc.</t>
  </si>
  <si>
    <t>http://www.biocentury.com/companies/aptose_biosciences_inc</t>
  </si>
  <si>
    <t>ProNAi Therapeutics, Inc.</t>
  </si>
  <si>
    <t>Carna Biosciences, Inc.</t>
  </si>
  <si>
    <t>MacroGenics, Inc.</t>
  </si>
  <si>
    <t>http://ir.macrogenics.com/releasedetail.cfm?releaseid=971495</t>
  </si>
  <si>
    <t>AbbVie Inc.</t>
  </si>
  <si>
    <t>arGEN-X N.V.</t>
  </si>
  <si>
    <t>http://argen-x.com/en-GB/news-internal/argenx-and-abbvie-to-collaborate-on-argx-115-against-novel-immuno-oncology-target/109/</t>
  </si>
  <si>
    <t>Takeda</t>
  </si>
  <si>
    <t>Mersana Therapeutics</t>
  </si>
  <si>
    <t>Merck &amp; Co., Inc.</t>
  </si>
  <si>
    <t>Cancer Research Technology Limited</t>
  </si>
  <si>
    <t>Celgene Corporation</t>
  </si>
  <si>
    <t>Lycera Corp.</t>
  </si>
  <si>
    <t>Curis, Inc.</t>
  </si>
  <si>
    <t>Aurigene Discovery Technologies Limited</t>
  </si>
  <si>
    <t>Eli Lilly and Company</t>
  </si>
  <si>
    <t>Innovent Biologics</t>
  </si>
  <si>
    <t>https://investor.lilly.com/releasedetail.cfm?releaseid=936083</t>
  </si>
  <si>
    <t>Horizon Discovery Group Plc</t>
  </si>
  <si>
    <t>Servier Laboratories Limited</t>
  </si>
  <si>
    <t>Astellas Pharma Inc.</t>
  </si>
  <si>
    <t>Chromocell Corporation</t>
  </si>
  <si>
    <t>BIND Therapeutics, Inc.</t>
  </si>
  <si>
    <t>Amgen, Inc.</t>
  </si>
  <si>
    <t>EvaluatePharma</t>
  </si>
  <si>
    <t>AstraZeneca Plc</t>
  </si>
  <si>
    <t>Sosei</t>
  </si>
  <si>
    <t>http://www.biocentury.com/products/htl1071</t>
  </si>
  <si>
    <t>https://www.astrazeneca.com/media-centre/press-releases/2015/astrazeneca-heptares-therapeutics-immuno-oncology-treatments-06082015.html</t>
  </si>
  <si>
    <t>Sanofi S.A.</t>
  </si>
  <si>
    <t>Regeneron Pharmaceuticals, Inc.</t>
  </si>
  <si>
    <t>http://investor.regeneron.com/releasedetail.cfm?releaseid=924069</t>
  </si>
  <si>
    <t>Bayer HealthCare AG</t>
  </si>
  <si>
    <t>Sprint Bioscience AB</t>
  </si>
  <si>
    <t>Five Prime Therapeutics</t>
  </si>
  <si>
    <t>Inhibrx LLC</t>
  </si>
  <si>
    <t>http://www.fiercebiotech.com/partnering/five-prime-bets-up-to-452-5m-on-inhibrx-s-cancer-antibodies</t>
  </si>
  <si>
    <t>Tiziana Life Sciences Plc</t>
  </si>
  <si>
    <t>Cardiff University</t>
  </si>
  <si>
    <t>F. Hoffmann-La Roche Ltd.</t>
  </si>
  <si>
    <t>Curadev Pharma Private Limited</t>
  </si>
  <si>
    <t>Discovery</t>
  </si>
  <si>
    <t>Novartis AG</t>
  </si>
  <si>
    <t>Aduro Biotech Inc.</t>
  </si>
  <si>
    <t>http://www.biocentury.com/products/adu-s100</t>
  </si>
  <si>
    <t>Genmab A/S</t>
  </si>
  <si>
    <t>iDD Biotech</t>
  </si>
  <si>
    <t>http://www.fiercebiotech.com/financials/genmab-buys-idd-antibody-assets-drops-adc-co-development-rights</t>
  </si>
  <si>
    <t>MultiCell Immunotherapeutics, Inc.</t>
  </si>
  <si>
    <t>Calithera Biosciences, Inc.; High Point Pharmaceuticals, LLC</t>
  </si>
  <si>
    <t>vTv Therapeutics Inc</t>
  </si>
  <si>
    <t>OXIS International, Inc.</t>
  </si>
  <si>
    <t>ID4 Pharma, LLC</t>
  </si>
  <si>
    <t>iTeos Therapeutics SA</t>
  </si>
  <si>
    <t>Ignyta, Inc.</t>
  </si>
  <si>
    <t>Nerviano Medical Sciences S.r.l.</t>
  </si>
  <si>
    <t>TG Therapeutics, Inc.</t>
  </si>
  <si>
    <t>Ligand Pharmaceuticals, Inc.</t>
  </si>
  <si>
    <t>Cascadian Therapeutics Inc</t>
  </si>
  <si>
    <t>Sentinel Oncology Limited</t>
  </si>
  <si>
    <t>BeiGene(Beijing) Co.,Ltd; Merck Serono SA</t>
  </si>
  <si>
    <t>Merck Serono SA</t>
  </si>
  <si>
    <t>BeiGene(Beijing) Co.,Ltd</t>
  </si>
  <si>
    <t>Novo Nordisk A/S</t>
  </si>
  <si>
    <t>Pharmacyclics, Inc.</t>
  </si>
  <si>
    <t>Novogen</t>
  </si>
  <si>
    <t>F. Hoffmann-La Roche AG</t>
  </si>
  <si>
    <t>http://www.prnewswire.com/news-releases/novogen-licenses-phase-ii-ready-molecule-from-genentech-for-development-in-glioblastoma-300353888.html</t>
  </si>
  <si>
    <t>Hanmi Pharmaceutical</t>
  </si>
  <si>
    <t>http://www.fiercebiotech.com/biotech/genentech-south-korean-pharma-up-to-910m-raf-inhibitor-deal</t>
  </si>
  <si>
    <t>CANbridge Life Sciences</t>
  </si>
  <si>
    <t>AVEO Oncology</t>
  </si>
  <si>
    <t>https://www.firstwordpharma.com/node/1367347?tsid=17</t>
  </si>
  <si>
    <t>HUYA Bioscience International, LLC</t>
  </si>
  <si>
    <t>Eisai Co., Ltd.</t>
  </si>
  <si>
    <t>Knight Therapeutics Inc.</t>
  </si>
  <si>
    <t>Antibe Therapeutics, Inc.</t>
  </si>
  <si>
    <t>Palobiofarma, S.L.</t>
  </si>
  <si>
    <t>Incyte Corporation</t>
  </si>
  <si>
    <t>Jiangsu Hengrui Medicine</t>
  </si>
  <si>
    <t>http://www.businesswire.com/news/home/20150902005208/en/Incyte-Announces-Global-License-Agreement-Jiangsu-Hengrui</t>
  </si>
  <si>
    <t>Agios Pharmaceuticals, Inc.</t>
  </si>
  <si>
    <t>Array BioPharma Inc.</t>
  </si>
  <si>
    <t>Rhizen Pharmaceuticals S.A.</t>
  </si>
  <si>
    <t>Verastem, Inc.</t>
  </si>
  <si>
    <t>The Scripps Research Institute</t>
  </si>
  <si>
    <t>Genentech, Inc.</t>
  </si>
  <si>
    <t>Helsinn Group</t>
  </si>
  <si>
    <t>MEI Pharma</t>
  </si>
  <si>
    <t>https://www.helsinn.com/news-and-events/helsinn-group-and-mei-pharma-enter-strategic-agreement-for-the-development-of-pracinostat-for-the-treatment-myeloid-leukemia-and-other-diseases/</t>
  </si>
  <si>
    <t>SciClone Pharmaceuticals, Inc.</t>
  </si>
  <si>
    <t>Ability Pharmaceuticals, S.L.</t>
  </si>
  <si>
    <t>Dong-A ST Co., Ltd.</t>
  </si>
  <si>
    <t>Tobira Therapeutics, Inc.</t>
  </si>
  <si>
    <t>Novel Pain Therapeutics</t>
  </si>
  <si>
    <t>Immune Pharmaceuticals Inc.</t>
  </si>
  <si>
    <t>Boehringer Ingelheim GmbH</t>
  </si>
  <si>
    <t>Hanmi Pharmaceuticals, Co. Ltd.</t>
  </si>
  <si>
    <t>Pint Pharma GmbH</t>
  </si>
  <si>
    <t>Onxeo SA</t>
  </si>
  <si>
    <t>http://www.biocentury.com/companies/onxeo_sa</t>
  </si>
  <si>
    <t>Yissum Research Development Company of the Hebrew University of Jerusalem Ltd.</t>
  </si>
  <si>
    <t>A. Menarini Industrie Farmaceutiche Riunite Srl</t>
  </si>
  <si>
    <t>4SC AG</t>
  </si>
  <si>
    <t>RedHill Biopharma Ltd.</t>
  </si>
  <si>
    <t>Apogee Biotechnology Corporation</t>
  </si>
  <si>
    <t>Kura Oncology, Inc.</t>
  </si>
  <si>
    <t>http://www.kuraoncology.com/kuraoncology-announces-license-agreement-with-janssen-biotech-for-development-and-commercialization-of-tipifarnib-closes-58-4-million-private-placement-and-completes-merger/</t>
  </si>
  <si>
    <t>Spectrum Pharmaceuticals, Inc.</t>
  </si>
  <si>
    <t>Corvus Pharmaceuticals, Inc.</t>
  </si>
  <si>
    <t>Vernalis Plc</t>
  </si>
  <si>
    <t>Hapten Sciences, Inc.</t>
  </si>
  <si>
    <t>Kyowa Hakko Kirin Co., Ltd.</t>
  </si>
  <si>
    <t>Syndax Pharmaceuticals, Inc.</t>
  </si>
  <si>
    <t>Janssen Pharmaceutica N.V.</t>
  </si>
  <si>
    <t>Ophthotech Corp.</t>
  </si>
  <si>
    <t>AVEO Pharmaceuticals, Inc.</t>
  </si>
  <si>
    <t>Waterstone Pharmaceutical (HK) Limited</t>
  </si>
  <si>
    <t>Scynexis, Inc.</t>
  </si>
  <si>
    <t>Luye Pharma Group Ltd.</t>
  </si>
  <si>
    <t>Solasia Pharma K.K.</t>
  </si>
  <si>
    <t>ZIOPHARM Oncology, Inc.</t>
  </si>
  <si>
    <t>Wilex AG</t>
  </si>
  <si>
    <t>Link Health Group</t>
  </si>
  <si>
    <t>Hutchison China MediTech Limited</t>
  </si>
  <si>
    <t>Les Laboratoires Servier SAS</t>
  </si>
  <si>
    <t>EOS S.p.A. (Inactive)</t>
  </si>
  <si>
    <t>Daiichi Sankyo Europe GmbH</t>
  </si>
  <si>
    <t>Nektar Therapeutics</t>
  </si>
  <si>
    <t>Janssen Biotech, Inc.</t>
  </si>
  <si>
    <t>Tesaro, Inc.</t>
  </si>
  <si>
    <t>Ipsen S.A.</t>
  </si>
  <si>
    <t>Exelixis, Inc.</t>
  </si>
  <si>
    <t>http://www.fiercebiotech.com/partnering/ipsen-bets-up-to-855m-on-exelixis-once-failed-cancer-drug</t>
  </si>
  <si>
    <t>Sucampo Pharma, Ltd.</t>
  </si>
  <si>
    <t>Cancer Prevention Pharmaceuticals, Inc.</t>
  </si>
  <si>
    <t>EUSA Pharma (UK) Limited</t>
  </si>
  <si>
    <t>BioMarin Pharmaceutical</t>
  </si>
  <si>
    <t>http://www.pfizer.com/news/press-release/press-release-detail/pfizer_to_acquire_medivation</t>
  </si>
  <si>
    <t>Pharmstandard</t>
  </si>
  <si>
    <t>Cipher Pharmaceuticals Inc.</t>
  </si>
  <si>
    <t>Can-Fite BioPharma Ltd.</t>
  </si>
  <si>
    <t>Lexicon Pharmaceuticals, Inc.</t>
  </si>
  <si>
    <t>Sinopharm Holding A-Think Pharmaceutical Co., Ltd.</t>
  </si>
  <si>
    <t>Aeterna Zentaris Inc.</t>
  </si>
  <si>
    <t>Soligenix, Inc.</t>
  </si>
  <si>
    <t>New York University; Yeda Research and Development Company Ltd.</t>
  </si>
  <si>
    <t>Baxter International Inc.</t>
  </si>
  <si>
    <t>Merrimack Pharmaceuticals, Inc.</t>
  </si>
  <si>
    <t>PharmaEngine, Inc.</t>
  </si>
  <si>
    <t>Infinity Pharmaceuticals, Inc.</t>
  </si>
  <si>
    <t>Daiichi Sankyo Company, Limited</t>
  </si>
  <si>
    <t>Charleston Laboratories, Inc.</t>
  </si>
  <si>
    <t>Galena Biopharma, Inc.</t>
  </si>
  <si>
    <t>Monosol Rx, LLC</t>
  </si>
  <si>
    <t>Tillotts Pharma AG</t>
  </si>
  <si>
    <t>Baxalta Incorporated</t>
  </si>
  <si>
    <t>CTI BioPharma Corp.</t>
  </si>
  <si>
    <t>Mundipharma International Ltd</t>
  </si>
  <si>
    <t>Allos Therapeutics, Inc. (Inactive)</t>
  </si>
  <si>
    <t>NDA and Marketed</t>
  </si>
  <si>
    <t>Ariad Pharmaceuticals, Inc.</t>
  </si>
  <si>
    <t>Marketed</t>
  </si>
  <si>
    <t>http://www.businesswire.com/news/home/20160509005515/en/Incyte-ARIAD-Announce-Agreement-Incyte-Acquire-ARIAD%E2%80%99s</t>
  </si>
  <si>
    <t>Kyowa Kirin International Plc</t>
  </si>
  <si>
    <t>TRPHARM Ilac Sanayi Tic. A.S</t>
  </si>
  <si>
    <t>Taiho Pharmaceutical Co., Ltd.</t>
  </si>
  <si>
    <t>Harbin Gloria Pharmaceuticals Co., Ltd</t>
  </si>
  <si>
    <t>Sucampo Pharmaceuticals, Inc.</t>
  </si>
  <si>
    <t>http://www.fiercepharma.com/pharma-asia/sucampo-and-harbin-gloria-pharmaceuticals-enter-into-licensing-agreement-for-amitiza-r</t>
  </si>
  <si>
    <t>Teva Pharmaceutical Industries Ltd.</t>
  </si>
  <si>
    <t>Eagle Pharmaceuticals, Inc.</t>
  </si>
  <si>
    <t>NDA</t>
  </si>
  <si>
    <t>http://www.tevapharm.com/news/teva_and_eagle_pharmaceuticals_announce_teva_s_license_to_commercialize_eagle_s_bendamustine_rapid_infusion_product_02_15.aspx</t>
  </si>
  <si>
    <t>Takeda Pharmaceutical Company Limited</t>
  </si>
  <si>
    <t>Development Stage Not Available</t>
  </si>
  <si>
    <t>Jubilant Biosys Ltd.</t>
  </si>
  <si>
    <t>Harvard University</t>
  </si>
  <si>
    <t>F. Hoffmann-La Roche Ltd.; Hoffmann-La Roche Inc.</t>
  </si>
  <si>
    <t>Blueprint Medicines Corporation</t>
  </si>
  <si>
    <t>Arvinas, Inc.</t>
  </si>
  <si>
    <t>Chaperone Therapeutics, Inc.</t>
  </si>
  <si>
    <t>Senhwa Biosciences, Inc.</t>
  </si>
  <si>
    <t>Almac Discovery Limited</t>
  </si>
  <si>
    <t>Fortress Biotech, Inc.</t>
  </si>
  <si>
    <t>Suzhou Neupharma Co., Ltd.</t>
  </si>
  <si>
    <t>Clevexel Pharma SAS</t>
  </si>
  <si>
    <t>SATT South East</t>
  </si>
  <si>
    <t>Repligen Corporation</t>
  </si>
  <si>
    <t>Merck Serono GmbH</t>
  </si>
  <si>
    <t>Centro Nacional de Investigaciones Oncologicas</t>
  </si>
  <si>
    <t>Loxo Oncology, Inc.</t>
  </si>
  <si>
    <t>Ruthigen, Inc. (Inactive)</t>
  </si>
  <si>
    <t>Oculus Innovative Sciences, Inc.</t>
  </si>
  <si>
    <t>BioNTech AG</t>
  </si>
  <si>
    <t>4SC Discovery GmbH</t>
  </si>
  <si>
    <t>Initial Public Offerings Data</t>
  </si>
  <si>
    <t>IPO - METRICS (BIOPHARMA)</t>
  </si>
  <si>
    <t>Development</t>
  </si>
  <si>
    <t>IPO</t>
  </si>
  <si>
    <t>Offering Price at IPO</t>
  </si>
  <si>
    <t>Price Range</t>
  </si>
  <si>
    <t>Trading Price after 1 month of listing</t>
  </si>
  <si>
    <t>Shares Offered</t>
  </si>
  <si>
    <t>Shares After IPO</t>
  </si>
  <si>
    <t>Pre-IPO 
Equity Value</t>
  </si>
  <si>
    <t>Market Cap after 1 month of listing - Pre IPO shares</t>
  </si>
  <si>
    <t>First Sale Date</t>
  </si>
  <si>
    <t>30 days from first listing date</t>
  </si>
  <si>
    <t>Company ID</t>
  </si>
  <si>
    <t>Post IPO Value</t>
  </si>
  <si>
    <t>Public Companies</t>
  </si>
  <si>
    <t>Company Ticker</t>
  </si>
  <si>
    <t>ID</t>
  </si>
  <si>
    <t>Ra Pharmaceuticals, Inc.</t>
  </si>
  <si>
    <t>NasdaqGM:RARX</t>
  </si>
  <si>
    <t>IQTR403436222</t>
  </si>
  <si>
    <t>IQ58798789</t>
  </si>
  <si>
    <t>Ra Pharmaceuticals, Inc., a clinical-stage biopharmaceutical company, engages in the discovery and development of novel therapeutics for the treatment of diseases caused by excessive or uncontrolled activation of the complement system. Its peptide chemistry platform delivers enables the production of synthetic macrocyclic peptides that combine the diversity and specificity of antibodies with the pharmacological properties of small molecules. The company’s lead product candidate is RA101495, an injection into the tissue under the skin for the treatment of paroxysmal nocturnal hemoglobinuria (PNH). It also develops Factor D inhibition for age-related macular degeneration and geographic atrophy; Oral C5 inhibitor for refractory generalized myasthenia gravis, lupus nephritis, and central nervous system (CNS) diseases; C1s inhibition for autoimmune/CNS diseases. The company has multi-target collaboration and license agreement with Merck &amp; Co., Inc. Ra Pharmaceuticals, Inc. was founded in 2008 and is based in Cambridge, Massachusetts.</t>
  </si>
  <si>
    <t>IQTR383418153</t>
  </si>
  <si>
    <t>AzurRx BioPharma, Inc.</t>
  </si>
  <si>
    <t>NasdaqCM:AZRX</t>
  </si>
  <si>
    <t>IQTR374467498</t>
  </si>
  <si>
    <t>IQ261738327</t>
  </si>
  <si>
    <t>AzurRx BioPharma, Inc. engages in the research and development of non-systemic biologics for the treatment of patients with gastrointestinal disorders. Its product pipeline consists of two therapeutic proteins under development, including MS1819, an autologous yeast recombinant lipase for exocrine pancreatic insufficiency associated with chronic pancreatitis and cystic fibrosis; and AZX1101, a recombinant ß-lactamase combination of bacterial origin for the prevention of hospital-acquired infections, as well as antibiotic-associated diarrhea. The company was incorporated in 2014 and is based in Brooklyn, New York.</t>
  </si>
  <si>
    <t>Novan, Inc.</t>
  </si>
  <si>
    <t>NasdaqGM:NOVN</t>
  </si>
  <si>
    <t>IQTR381637523</t>
  </si>
  <si>
    <t>IQ115977469</t>
  </si>
  <si>
    <t>Novan, Inc., a clinical-stage drug development company, focuses on the development and commercialization of nitric oxide-based therapies in dermatology. Its lead product candidate is SB204, a cosmetically elegant topical gel that targets multiple mechanisms of action for the treatment of acne vulgaris. The company’s product candidates also include SB206, SB208, and SB414, which are targeted toward the treatment of either a specific microorganism or inflammatory components of disease pathology. Novan, Inc. was founded in 2006 and is headquartered in Durham, North Carolina.</t>
  </si>
  <si>
    <t>Protagonist Therapeutics, Inc.</t>
  </si>
  <si>
    <t>NasdaqGM:PTGX</t>
  </si>
  <si>
    <t>IQTR373820913</t>
  </si>
  <si>
    <t>IQ129263324</t>
  </si>
  <si>
    <t>Protagonist Therapeutics, Inc., a clinical-stage biopharmaceutical company, focuses on discovering and developing peptide-based new chemical entities to address significant unmet medical needs. Its product candidates include PTG-100, which has first-in-class potential as an oral, a4b7 integrin-specific antagonist peptide for the treatment of inflammatory bowel disease (IBD); PTG-200, a gastrointestinal-restricted peptide product candidate for the treatment of IBD; and PTG-300, an injectable hepcidin mimetic peptide for the treatment of iron overload disorders, such as transfusion-dependent b-Thalassemia, hereditary hemochromatosis, and sickle cell disease. The company was founded in 2006 and is headquartered in Milpitas, California.</t>
  </si>
  <si>
    <t>Gemphire Therapeutics Inc.</t>
  </si>
  <si>
    <t>NasdaqGM:GEMP</t>
  </si>
  <si>
    <t>IQTR331335499</t>
  </si>
  <si>
    <t>IQ290658496</t>
  </si>
  <si>
    <t>Gemphire Therapeutics Inc., a clinical-stage biopharmaceutical company, focuses on developing and commercializing therapies for the treatment of dyslipidemia cardiovascular disease. Its product candidate is gemcabene (CI-1027), an oral therapy for patients who are unable to achieve normal levels of LDL-C or triglycerides with currently approved therapies. The company was founded in 2008 and is headquartered in Northville, Michigan.</t>
  </si>
  <si>
    <t>Kadmon Holdings, LLC</t>
  </si>
  <si>
    <t>NYSE:KDMN</t>
  </si>
  <si>
    <t>IQTR377971681</t>
  </si>
  <si>
    <t>IQ114935891</t>
  </si>
  <si>
    <t>Kadmon Holdings, LLC, a biopharmaceutical company, discovers, develops, and commercializes small molecules and biologics to address unmet medical needs. The company markets and distributes a portfolio of branded generic ribavirin products for chronic hepatitis C virus infection; co-promotes a product for chronic weight management; distributes products for chorea, cytomegalovirus retinitis, and for the prevention of CMV disease. It is also developing product candidates in autoimmune and fibrotic diseases, oncology, and genetic diseases. The company is headquartered in New York, New York.</t>
  </si>
  <si>
    <t>IQTR321225694</t>
  </si>
  <si>
    <t>IQTR345618574</t>
  </si>
  <si>
    <t>Selecta Biosciences, Inc.</t>
  </si>
  <si>
    <t>NasdaqGM:SELB</t>
  </si>
  <si>
    <t>IQTR342393493</t>
  </si>
  <si>
    <t>IQ53339386</t>
  </si>
  <si>
    <t>Selecta Biosciences, Inc., a clinical-stage biotechnology company, develops targeted therapies that use immunomodulators encapsulated in nanoparticles to induce antigen-specific immune responses to prevent and treat disease. The company focus is on developing and commercializing differentiated therapies that are designed to modulate the immune system to effectively and safely treat rare diseases by mitigating the formation of anti-drug antibodies in response to life-sustaining biologic drugs. Its lead product candidate is SEL-212 for the treatment of refractory and chronic tophaceous gout. The company serves customers in the United States and internationally. Selecta Biosciences, Inc. was founded in 2007 and is headquartered in Watertown, Massachusetts.</t>
  </si>
  <si>
    <t>Moleculin Biotech, Inc.</t>
  </si>
  <si>
    <t>NasdaqCM:MBRX</t>
  </si>
  <si>
    <t>IQTR324310661</t>
  </si>
  <si>
    <t>IQ320105606</t>
  </si>
  <si>
    <t>Moleculin Biotech, Inc., a preclinical and clinical-stage pharmaceutical company, focuses on the development of anti-cancer drug candidates. Its lead drug candidate is liposomal Annamycin, an anthracycline intended for the treatment of relapsed or refractory acute myeloid leukemia. The company also develops other drugs, including WP1066 Portfolio, a portfolio of small molecules targeting the modulation of transcription factors involved in cancer; and WP1122 Portfolio, a suite of molecules targeting the metabolic processes involved in cancer and glioblastoma. Moleculin Biotech, Inc. was founded in 2015 and is headquartered in Houston, Texas.</t>
  </si>
  <si>
    <t>Reata Pharmaceuticals, Inc.</t>
  </si>
  <si>
    <t>NasdaqGM:RETA</t>
  </si>
  <si>
    <t>IQTR321226326</t>
  </si>
  <si>
    <t>IQ6966894</t>
  </si>
  <si>
    <t>Reata Pharmaceuticals, Inc., a clinical stage biopharmaceutical company, focuses on identifying, developing, and commercializing product candidates that modulate the activity of key regulatory proteins involved in the biology of mitochondrial function, oxidative stress, and inflammation to address the unmet medical needs of patients with various serious or life-threatening diseases. The company focuses on drugs with novel mechanisms of action that modulate regulatory proteins called transcription factors. Its lead product candidates include bardoxolone methyl and RTA 408, which are members of a class of small molecules called antioxidant inflammation modulators. It is involved in LARIAT, a Phase II study of bardoxolone methyl for the treatment of pulmonary arterial hypertension and pulmonary hypertension due to interstitial lung disease. RTA 408 is in Phase II clinical development for the treatment of multiple diseases, including Friedreich’s ataxia and mitochondrial myopathies. Reata Pharmaceuticals, Inc. was formerly known as Reata Discovery, Inc. and changed its name to Reata Pharmaceuticals, Inc. in May 2005. The company was founded in 2002 and is headquartered in Irving, Texas.</t>
  </si>
  <si>
    <t>Merus B.V.</t>
  </si>
  <si>
    <t>NasdaqGM:MRUS</t>
  </si>
  <si>
    <t>IQTR314642761</t>
  </si>
  <si>
    <t>IQ24929296</t>
  </si>
  <si>
    <t>Merus B.V., a clinical-stage immuno-oncology company, engages in developing bispecific antibody therapeutics. Its lead bispecific antibody candidate is MCLA-128, which is in Phase I/II clinical trials in Europe for the treatment of various solid tumors, including breast, colorectal, and ovarian cancers. The company also develops MCLA-117, a bispecific antibody candidate that is expected to commence a Phase I/II clinical trial for the treatment of patients with acute myeloid leukemia, as well as for the treatment of myelodysplastic syndrome in pre-clinical studies. Its pre-clinical bispecific antibody candidates include MCLA-134, MCLA-114, and MCLA-145, as well as other early research projects. The company has a strategic collaboration with Gustave Roussy to develop innovative bispecific antibodies for therapeutic immuno-oncology applications. Merus B.V. was founded in 2003 and is headquartered in Utrecht, the Netherlands.</t>
  </si>
  <si>
    <t>IQTR340252019</t>
  </si>
  <si>
    <t>Oncobiologics, Inc.</t>
  </si>
  <si>
    <t>NasdaqGM:ONS</t>
  </si>
  <si>
    <t>IQTR322256741</t>
  </si>
  <si>
    <t>IQ145859589</t>
  </si>
  <si>
    <t>Oncobiologics, Inc., a clinical-stage biopharmaceutical company, focuses on identifying, developing, manufacturing, and commercializing complex biosimilar therapeutics in the disease areas of immunology and oncology. It engages in developing ONS-3010, an adalimumab (Humira) biosimilar, which is in Phase 1 clinical trial. Humira is a subcutaneous injectable monoclonal antibody (mAb) that binds to tumor necrosis factor-alpha. The company also develops ONS-1045, a bevacizumab (Avastin) biosimilar that has completed a Phase 1 clinical trial. Avastin is a mAb administered by infusion that interferes with tumor growth by binding to vascular endothelial growth factor. In addition, it develops ONS-1050, a trastuzumab (Herceptin) biosimilar. Herceptin is a mAb administered by infusion that binds to human epidermal growth factor receptor 2. Further, the company develops ONS-4010, a biosimilar to denosumab (Prolia/Xgeva), has cell lines developed with clone selection completed. Oncobiologics, Inc. has collaboration and license agreements with Selexis SA; IPCA Laboratories Limited; Laboratories Liomont, S.A. de C.V.; and Zhejiang Huahai Pharmaceutical Co., Ltd. The company was founded in 2010 and is headquartered in Cranbury, New Jersey.</t>
  </si>
  <si>
    <t>IQTR330695573</t>
  </si>
  <si>
    <t>Spring Bank Pharmaceuticals, Inc.</t>
  </si>
  <si>
    <t>NasdaqCM:SBPH</t>
  </si>
  <si>
    <t>IQTR321347619</t>
  </si>
  <si>
    <t>IQ108747575</t>
  </si>
  <si>
    <t>Aeglea Biotherapeutics, Inc.</t>
  </si>
  <si>
    <t>NasdaqGM:AGLE</t>
  </si>
  <si>
    <t>IQTR304173186</t>
  </si>
  <si>
    <t>IQ253892234</t>
  </si>
  <si>
    <t>Aeglea Biotherapeutics, Inc., a biopharmaceutical company, engages in developing engineered human enzymes for the treatment of inborn errors of metabolism and cancer. It develops AERase/AEB1102, an amino acid for the degradation of arginine in the circulation, as well as for the treatment of hyperargininemia and cancer; and AECase/AEB3103, an engineered and PEGylated human cysteine/cystine degrading enzyme that increases oxidative stress through glutathione depletion for treatment of hematologic and solid malignancies. The company also engages in developing AEMase/AEB2109, an engineered human enzyme that degrades methionine for the treatment of solid tumors; and AEB4104, an engineered human enzyme that degrades homocysteine in the circulation for the treatment of inborn error of metabolism homocystinuria. It has a strategic partnership with KBI Biopharma. Aeglea Biotherapeutics, Inc. was formerly known as Aeglea BioTherapeutics Holdings, LLC. The company was founded in 2013 and is based in Austin, Texas.</t>
  </si>
  <si>
    <t>NasdaqGM:CRVS</t>
  </si>
  <si>
    <t>Phase I/Ib</t>
  </si>
  <si>
    <t>IQTR321229945</t>
  </si>
  <si>
    <t>IQ279359732</t>
  </si>
  <si>
    <t>Corvus Pharmaceuticals, Inc., a clinical stage biopharmaceutical company, focuses on the development and commercialization of immuno-oncology therapies that are designed to harness the immune system to attack cancer cells. Its lead product candidate is CPI-444, an oral, small molecule antagonist of the A2A receptor that plan to initiate a Phase 1/1b clinical trial for adenosine, an immune checkpoint. The company also develops a product candidate, an anti-CD73 monoclonal antibody that inhibits the production of adenosine. Corvus Pharmaceuticals, Inc. was founded in 2014 and is based in Burlingame, California.</t>
  </si>
  <si>
    <t>NasdaqGS:SNDX</t>
  </si>
  <si>
    <t>IQTR321228672</t>
  </si>
  <si>
    <t>IQ27240138</t>
  </si>
  <si>
    <t>Syndax Pharmaceuticals, Inc., a late-stage biopharmaceutical company, focuses on the development and commercialization of therapeutics in oncology. The company’s lead product candidate is entinostat, an epigenetic therapy for treatment-resistant cancers, such as breast cancer and lung cancer, as well as other indications comprising solid tumors and hematological malignancies. Its Entinostat is an oral histone deacetylase inhibitor that targets cancer cell growth and resistance pathways that limit the effectiveness and durability of cancer therapies. The company has a collaborative research and development agreement with the National Cancer Institute; and Genentech. Syndax Pharmaceuticals, Inc. was founded in 2005 and is headquartered in Waltham, Massachusetts.</t>
  </si>
  <si>
    <t>AveXis, Inc.</t>
  </si>
  <si>
    <t>NasdaqGS:AVXS</t>
  </si>
  <si>
    <t>IQTR322268720</t>
  </si>
  <si>
    <t>IQ259659904</t>
  </si>
  <si>
    <t>AveXis, Inc., a clinical-stage gene therapy company, engages in developing and commercializing novel treatments for patients suffering from rare and life-threatening neurological genetic diseases. Its initial product candidate is AVXS-101, a gene therapy product candidate that is in a Phase I clinical trial for the treatment of spinal muscular atrophy Type 1. The company also intends to identify, acquire, develop, and commercialize gene therapy product candidates for the treatment of other rare and life-threatening neurological genetic diseases. It has strategic collaboration and license agreements with Nationwide Children's Hospital; The Research Institute at Nationwide Children's Hospital; REGENXBIO Inc.; and Asklepios Biopharmaceutical, Inc. The company was formerly known as BioLife Cell Bank, Inc. and changed its name to AveXis, Inc. in January 2014. AveXis, Inc. was founded in 2010 and is headquartered in Bannockburn, Illinois.</t>
  </si>
  <si>
    <t>Proteostasis Therapeutics, Inc.</t>
  </si>
  <si>
    <t>NasdaqGM:PTI</t>
  </si>
  <si>
    <t>IQTR320299118</t>
  </si>
  <si>
    <t>IQ46008307</t>
  </si>
  <si>
    <t>Proteostasis Therapeutics, Inc., a biopharmaceutical company, develops therapeutics to treat protein conformational diseases. Its lead product candidate is PTI-428, an orally bioavailable cystic fibrosis transmembrane conductance regulator modulator belonging to the amplifier class. The company is also developing PTI-NC-733, a novel combination therapy; and PTI-130 for the treatment of chronic obstructive pulmonary disease. It has strategic alliance with Biogen New Ventures Inc. to enhance the clearance of misfolded aggregation-prone proteins in neurodegenerative diseases, such as in Alzheimer’s and Parkinson’s disease; and Astellas Pharma Inc. to research, develop, and commercialize therapies targeting unfolded protein response. The company was formerly known as Proteoguard, Inc. and changed its name to Proteostasis Therapeutics, Inc. in September 2007. Proteostasis Therapeutics, Inc. was founded in 2006 and is based in Cambridge, Massachusetts.</t>
  </si>
  <si>
    <t>IQTR321228585</t>
  </si>
  <si>
    <t>Axsome Therapeutics, Inc.</t>
  </si>
  <si>
    <t>NasdaqCM:AXSM</t>
  </si>
  <si>
    <t>IQTR313935119</t>
  </si>
  <si>
    <t>IQ241907563</t>
  </si>
  <si>
    <t>Axsome Therapeutics, Inc., a clinical stage biopharmaceutical company, develops therapies for the management and treatment of central nervous system disorders. Its product candidates include AXS-02, which is in Phase III trial for the treatment of complex regional pain syndrome, knee osteoarthritis, and chronic low back pain; and AXS-05 that is in Phase III trial for the treatment of resistant depression and agitation in patients with Alzheimer's disease. The company is also developing AXS-06 for the treatment of chronic pain disorders. Axsome Therapeutics, Inc. was founded in 2012 and is based in New York, New York.</t>
  </si>
  <si>
    <t>NasdaqGS:VYGR</t>
  </si>
  <si>
    <t>IQTR313272598</t>
  </si>
  <si>
    <t>IQ256887902</t>
  </si>
  <si>
    <t>IQTR313273040</t>
  </si>
  <si>
    <t>MyoKardia, Inc.</t>
  </si>
  <si>
    <t>NasdaqGS:MYOK</t>
  </si>
  <si>
    <t>IQTR312333034</t>
  </si>
  <si>
    <t>IQ217502341</t>
  </si>
  <si>
    <t>MyoKardia, Inc., a clinical stage biopharmaceutical company, engages in discovering, developing, and commercializing therapies for the treatment of serious and neglected rare cardiovascular diseases. Its lead product candidate is MYK-461, a small molecule that is in three Phase I clinical trials designed to reduce excessive cardiac muscle contractility leading to hypertrophic cardiomyopathy (HCM). The company also develops DCM-1, a drug compound that treats heritable dilated cardiomyopathy (DCM) by restoring normal contractility in the diseased DCM heart. In addition, it develops HCM-2, a product candidate to reduce cardiac muscle contractility to normal levels in HCM patients; and LUS-1, a product candidate, which is intended to counteract a muscle disruption that results in impaired relaxation of the heart. The company has a strategic collaboration with Sanofi S.A. MyoKardia, Inc. was founded in 2012 and is headquartered in South San Francisco, California.</t>
  </si>
  <si>
    <t>Dimension Therapeutics, Inc.</t>
  </si>
  <si>
    <t>NasdaqGS:DMTX</t>
  </si>
  <si>
    <t>Phase I/II</t>
  </si>
  <si>
    <t>IQTR311391393</t>
  </si>
  <si>
    <t>IQ249256428</t>
  </si>
  <si>
    <t>Dimension Therapeutics, Inc., a gene therapy platform company, focuses on discovering and developing therapeutic products for people living with rare diseases associated with the liver and caused by genetic mutations. The company's pipeline of programs includes DTX101, a lead gene therapy product candidate designed to deliver Factor IX, gene expression in patients with hemophilia B; DTX201, a gene therapy program for the treatment of hemophilia A; DTX301, a gene therapy product candidate for the treatment of patients with ornithine transcarbamylase deficiency; and DTX401, a gene therapy program for the treatment of patients with glycogen storage disease type Ia, a disease that arises from a defect in glucose-6-phosphatase. Dimension Therapeutics, Inc. was founded in 2013 and is based Cambridge, Massachusetts.</t>
  </si>
  <si>
    <t>Cerecor Inc.</t>
  </si>
  <si>
    <t>NasdaqCM:CERC</t>
  </si>
  <si>
    <t>IQTR303906594</t>
  </si>
  <si>
    <t>IQ145313032</t>
  </si>
  <si>
    <t>Cerecor Inc., a clinical-stage biopharmaceutical company, develops drugs to treat patients with neurological and psychiatric disorders. It develops CERC-301 that is in Phase II development stage for the adjunctive treatment of patients with major depressive disorder (MDD); CERC-501, which is in Phase II development stage for the adjunctive treatment of MDD, as well as to treat substance use disorders; and CERC-406 that is in preclinical stage to treat residual cognitive impairment symptoms in patients with MDD. The company was formerly known as Ceregen Corporation and changed its name to Cerecor Inc. in March 2011. Cerecor Inc. was founded in 2011 and is headquartered in Baltimore, Maryland.</t>
  </si>
  <si>
    <t>CytomX Therapeutics, Inc.</t>
  </si>
  <si>
    <t>NasdaqGS:CTMX</t>
  </si>
  <si>
    <t>IQTR310274522</t>
  </si>
  <si>
    <t>IQ60504284</t>
  </si>
  <si>
    <t>CytomX Therapeutics, Inc. operates as an oncology-focused biopharmaceutical company in the United States. The company develops novel class of antibody therapeutics based on its Probody technology platform that address clinically-validated cancer targets in immuno-oncology, such as PD-L1, as well as novel targets, comprising CD-166. In addition, it has strategic collaborations with Bristol-Myers Squibb Company, Pfizer Inc., ImmunoGen, Inc., and The University of Texas M. D. Anderson Cancer Center to develop selected Probody therapeutics. The company was founded in 2008 and is headquartered in South San Francisco, California.</t>
  </si>
  <si>
    <t>Aclaris Therapeutics, Inc.</t>
  </si>
  <si>
    <t>NasdaqGS:ACRS</t>
  </si>
  <si>
    <t>IQTR309467401</t>
  </si>
  <si>
    <t>IQ216879819</t>
  </si>
  <si>
    <t>Aclaris Therapeutics, Inc., a clinical-stage specialty pharmaceutical company, focuses on identifying, developing, and commercializing topical drugs to address various needs in dermatology. Its lead drug candidate is A-101, a hydrogen peroxide topical solution that has completed three Phase II clinical trials for the treatment of seborrheic keratosis (SK), a common non-malignant skin tumor. The company is also developing A-101 as a prescription treatment for common warts; and A-102, a proprietary topical gel dosage form of hydrogen peroxide for the treatment of SK and common warts. Aclaris Therapeutics, Inc. was founded in 2012 and is headquartered in Malvern, Pennsylvania.</t>
  </si>
  <si>
    <t>Mirna Therapeutics, Inc.</t>
  </si>
  <si>
    <t>NasdaqGM:MIRN</t>
  </si>
  <si>
    <t>IQTR309896167</t>
  </si>
  <si>
    <t>IQ44204418</t>
  </si>
  <si>
    <t>Edge Therapeutics, Inc.</t>
  </si>
  <si>
    <t>NasdaqGS:EDGE</t>
  </si>
  <si>
    <t>IQTR309361963</t>
  </si>
  <si>
    <t>IQ65059725</t>
  </si>
  <si>
    <t>Edge Therapeutics, Inc., a clinical-stage biotechnology company, discovers, develops, and commercializes hospital-based therapies for acute life-threatening neurological conditions. Its lead product includes EG-1962, a polymer-based microparticle used for the treatment of aneurysmal subarachnoid hemorrhage. The company also develops EG-1964 for the management of chronic subdural hematoma as a prophylactic treatment to prevent recurrent bleeding. The company was founded in 2009 and is headquartered in Berkeley Heights, New Jersey.</t>
  </si>
  <si>
    <t>IQTR309463048</t>
  </si>
  <si>
    <t>Global Blood Therapeutics, Inc.</t>
  </si>
  <si>
    <t>NasdaqGS:GBT</t>
  </si>
  <si>
    <t>IQTR306277984</t>
  </si>
  <si>
    <t>IQ208736100</t>
  </si>
  <si>
    <t>Global Blood Therapeutics, Inc., a biopharmaceutical company, engages in the discovery, development, and commercialization of novel therapeutics to treat grievous blood-based disorders. Its product candidate is GBT440, a hemoglobin modifier that binds to hemoglobin molecules, which is in double-blind Phase I/II clinical trial indicated for the treatment of sickle cell disease. The company also focuses on developing an oral prophylactic therapy for hypoxemic pulmonary disorders and hereditary angioedema. The company was founded in 2011 and is headquartered in South San Francisco, California.</t>
  </si>
  <si>
    <t>Aimmune Therapeutics, Inc.</t>
  </si>
  <si>
    <t>NasdaqGS:AIMT</t>
  </si>
  <si>
    <t>IQTR306081128</t>
  </si>
  <si>
    <t>IQ241653204</t>
  </si>
  <si>
    <t>Aimmune Therapeutics, Inc., a clinical-stage biopharmaceutical company, engages in the development of desensitization treatments for peanut and other food allergies. Its Characterized Oral Desensitization Immunotherapy includes AR101, a product in Phase 3 registration trial for the treatment of peanut allergy in children and adults. The company was formerly known as Allergen Research Corporation and changed its name to Aimmune Therapeutics, Inc. in May 2015. The company was founded in 2011 and is headquartered in Brisbane, California.</t>
  </si>
  <si>
    <t>Zynerba Pharmaceuticals, Inc.</t>
  </si>
  <si>
    <t>NasdaqGM:ZYNE</t>
  </si>
  <si>
    <t>IQTR305532739</t>
  </si>
  <si>
    <t>IQ35650772</t>
  </si>
  <si>
    <t>Zynerba Pharmaceuticals, Inc., a specialty pharmaceutical company, focuses on developing and commercializing proprietary synthetic cannabinoid therapeutics formulated for transdermal delivery. Its products candidates include ZYN002, which is in Phase I clinical trial for the treatment of refractory epilepsy, Fragile X syndrome, and osteoarthritis; and ZYN001 that is in preclinical stage for the treatment of fibromyalgia and peripheral neuropathic pain. The company was formerly known as AllTranz, Inc. and changed its name to Zynerba Pharmaceuticals, Inc. in August 2014. The company was founded in 2007 and is headquartered in Devon, Pennsylvania.</t>
  </si>
  <si>
    <t>IQTR304568199</t>
  </si>
  <si>
    <t>Neos Therapeutics, Inc.</t>
  </si>
  <si>
    <t>NasdaqGM:NEOS</t>
  </si>
  <si>
    <t>IQTR304502176</t>
  </si>
  <si>
    <t>IQ6774144</t>
  </si>
  <si>
    <t>Neos Therapeutics, Inc., a pharmaceutical company, engages in the development, manufacture, and commercialization of products for the treatment of attention deficit hyperactivity disorder (ADHD) using its drug delivery technologies. Its product candidates are extended-release (XR) medications in orally disintegrating tablets or liquid suspension dosage forms. The company manufactures and markets generic Tussionex, a hydrocodone polistirex and chlorpheniramine polistirex XR liquid suspension product indicated for the relief of cough and upper respiratory symptoms associated with allergies or colds in adults and children of six years of age and older. Its product candidates include Adzenys XR-ODT amphetamine for the treatment of ADHD; Cotempla XR-ODT methylphenidate for the treatment of ADHD; and NT-0201 amphetamine XR liquid suspension for the treatment of ADHD. The company is headquartered in Grand Prairie, Texas.</t>
  </si>
  <si>
    <t>Chiasma, Inc.</t>
  </si>
  <si>
    <t>NasdaqGS:CHMA</t>
  </si>
  <si>
    <t>IQTR304056961</t>
  </si>
  <si>
    <t>IQ136932688</t>
  </si>
  <si>
    <t>Chiasma, Inc., a late-stage biopharmaceutical company, focuses on developing and commercializing oral forms of therapies for patients suffering from orphan diseases. Its product candidate is octreotide capsules or MYCAPSSA, which has completed Phase III clinical trial for the treatment of acromegaly, a condition that results in the body’s production of excess growth hormone. Chiasma, Inc. was founded in 2001 and is headquartered in Newton, Massachusetts.</t>
  </si>
  <si>
    <t>Seres Therapeutics, Inc.</t>
  </si>
  <si>
    <t>NasdaqGS:MCRB</t>
  </si>
  <si>
    <t>IQTR302344120</t>
  </si>
  <si>
    <t>IQ222388947</t>
  </si>
  <si>
    <t>Seres Therapeutics, Inc., a microbiome therapeutics platform company, focuses on the development of biological drugs designed to restore health by repairing the function of a dysbiotic microbiome. Its lead product candidate is SER-109, a bacterial spore ecology, which has completed open label Phase Ib/2 clinical study for the prevention of further recurrences of Clostridium difficile infection (CDI). The company also develops SER-287 that is in phase Ib clinical study to treat inflammatory bowel disease, including ulcerative colitis. Its product candidates in pre-clinical development comprise SER-262, an Ecobiotic microbiome therapeutic designed to be used following antibiotic treatment of primary CDI; and SER-155 for the prevention of transplant-related mortality. Seres Therapeutics, Inc. has a strategic collaboration with Nestle Health Science and Memorial Sloan Kettering Cancer Center; and a collaboration agreement with the University of Pennsylvania. The company was formerly known as Seres Health, Inc. and changed its name to Seres Therapeutics, Inc. in May 2015. Seres Therapeutics, Inc. was founded in 2010 and is headquartered in Cambridge, Massachusetts.</t>
  </si>
  <si>
    <t>Catabasis Pharmaceuticals, Inc.</t>
  </si>
  <si>
    <t>NasdaqGM:CATB</t>
  </si>
  <si>
    <t>IQTR301144514</t>
  </si>
  <si>
    <t>IQ100802824</t>
  </si>
  <si>
    <t>Ritter Pharmaceuticals, Inc.</t>
  </si>
  <si>
    <t>NasdaqCM:RTTR</t>
  </si>
  <si>
    <t>Phase IIb</t>
  </si>
  <si>
    <t>IQTR304897666</t>
  </si>
  <si>
    <t>IQ62102047</t>
  </si>
  <si>
    <t>Ritter Pharmaceuticals, Inc. develops novel therapeutic products that modulate the human gut microbiome to treat gastrointestinal diseases. Its lead product candidate is RP-G28, a novel microbiome modulator, which is under development for the reduction of symptoms associated with lactose intolerance. The company’s RP-G28 is designed to stimulate the growth of lactose-metabolizing bacteria in the colon, thereby adapting the gut microbiome to assist in digesting the lactose that reaches the large intestine. Its RP-G28 has been studied in a Phase 2a clinical trial. The company was formerly known as Ritter Natural Sciences, LLC and changed its name to Ritter Pharmaceuticals, Inc. in September 2008. Ritter Pharmaceuticals, Inc. was founded in 2004 and is headquartered in Los Angeles, California.</t>
  </si>
  <si>
    <t>Nivalis Therapeutics, Inc.</t>
  </si>
  <si>
    <t>NasdaqGM:NVLS</t>
  </si>
  <si>
    <t>IQTR301140352</t>
  </si>
  <si>
    <t>IQ49900317</t>
  </si>
  <si>
    <t>Nivalis Therapeutics, Inc., a clinical stage pharmaceutical company, focuses on the discovery, development, and commercialization of product candidates for patients with cystic fibrosis (CF). CF is a life-shortening genetic disease. Its lead product candidate is N91115, a small molecule that is in Phase II clinical trial, which addresses a defect in cystic fibrosis transmembrane conductance regulator (CFTR), resulting from mutations in the CFTR gene. The company was formerly known as N30 Pharmaceuticals, Inc. and changed its name to Nivalis Therapeutics, Inc. in February 2015. Nivalis Therapeutics, Inc. was founded in 2007 and is headquartered in Boulder, Colorado.</t>
  </si>
  <si>
    <t>NasdaqGS:LIFE</t>
  </si>
  <si>
    <t>Phase Ib/II</t>
  </si>
  <si>
    <t>IQTR290493275</t>
  </si>
  <si>
    <t>IQ33940575</t>
  </si>
  <si>
    <t>aTyr Pharma, Inc., a biotherapeutics company, engages in the discovery and clinical development of Physiocrine-based therapeutics for patients suffering from severe and rare diseases. The company develops Resolaris, which is in Phase Ib/II clinical trials for treating adult patients with facioscapulohumeral muscular dystrophy (FSHD), a rare genetic myopathy with an immune component; patients with early onset FSHD; and adult patients with limb-girdle muscular dystrophy 2B or FSHD. In addition, the company is developing iMod.Fc, a preclinical immuno-modulatory domain program. The company was founded in 2005 and is headquartered in San Diego, California.</t>
  </si>
  <si>
    <t>Collegium Pharmaceutical, Inc.</t>
  </si>
  <si>
    <t>NasdaqGS:COLL</t>
  </si>
  <si>
    <t>IQTR290256723</t>
  </si>
  <si>
    <t>IQ7490189</t>
  </si>
  <si>
    <t>Collegium Pharmaceutical, Inc., a specialty pharmaceutical company, develops and commercializes abuse-deterrent products that incorporate its DETERx platform technology for the treatment of chronic pain and other diseases. Its lead product candidate is Xtampza, an oral formulation of oxycodone. The company is also developing COL-195, a hydrocodone for the treatment of chronic pain; COL-172, an oxymorphone for the treatment of chronic pain; COL-196, a morphine formulation to treat pain; and COL-171, a proprietary preclinical DETERx methylphenidate formulation for the treatment of attention deficit hyperactivity disorder. The company was formerly known as Collegium Pharmaceuticals, Inc. and changed its name to Collegium Pharmaceutical, Inc. in October 2003. Collegium Pharmaceutical, Inc. was incorporated in 2002 and is headquartered in Canton, Massachusetts.</t>
  </si>
  <si>
    <t>CoLucid Pharmaceuticals, Inc.</t>
  </si>
  <si>
    <t>NasdaqGM:CLCD</t>
  </si>
  <si>
    <t>IQTR289898966</t>
  </si>
  <si>
    <t>IQ25521313</t>
  </si>
  <si>
    <t>CoLucid Pharmaceuticals, Inc., a biopharmaceutical company, develops small molecules for the acute treatment of migraine. Its lead product candidate is Lasmiditan, an oral tablet that is in Phase III clinical program for the acute treatment of migraine headaches in adults. The company is also developing IV lasmiditan, which is in Phase II clinical trial for the acute treatment of headache pain associated with migraine in adults in emergency room and other urgent care settings. CoLucid Pharmaceuticals, Inc. was founded in 2005 and is headquartered in Cambridge, Massachusetts.</t>
  </si>
  <si>
    <t>Verseon Corporation</t>
  </si>
  <si>
    <t>AIM:VSN</t>
  </si>
  <si>
    <t>IQTR293131470</t>
  </si>
  <si>
    <t>IQ134732546</t>
  </si>
  <si>
    <t>Verseon Corporation, a pharmaceutical company, designs and develops novel therapeutics for various diseases in the United States. It conducts drug discovery programs in the areas of anticoagulation, diabetic macular edema, and oncology. The company is involved in developing oral antico-agulants for various cardiovascular indications with novel pharmacology; potent kallikrein inhibitors for the treatment of diabetic macular edema delivered through topical eye drops; and novel angiogenesis inhibitors for the treatment of solid organ tumors. Verseon Corporation was founded in 2002 and is headquartered in Fremont, California.</t>
  </si>
  <si>
    <t>NasdaqGS:BPMC</t>
  </si>
  <si>
    <t>IQTR289171754</t>
  </si>
  <si>
    <t>IQ129802746</t>
  </si>
  <si>
    <t>Viking Therapeutics, Inc.</t>
  </si>
  <si>
    <t>NasdaqCM:VKTX</t>
  </si>
  <si>
    <t>IQTR267166243</t>
  </si>
  <si>
    <t>IQ246791410</t>
  </si>
  <si>
    <t>Viking Therapeutics, Inc., a clinical-stage biopharmaceutical company, focuses on the development of therapies for metabolic and endocrine disorders. Its lead clinical program includes VK0612, an orally available drug candidate for the treatment of type 2 diabetes. The company is also developing VK5211, an orally available drug candidate, which is in a Phase II clinical trial for acute rehabilitation following non-elective hip fracture surgery. In addition, it is developing VK0214, a novel liver-selective thyroid hormone receptor beta agonist for lipid disorders, such as dyslipidemia and nonalcoholic steatohepatitis, as well as VK2809, an orally available, tissue, and receptor-subtype selective agonist of the thyroid beta receptor that is entering Phase II development for the treatment of patients with hypercholesterolemia and fatty liver disease. Viking Therapeutics, Inc. was founded in 2012 and is headquartered in San Diego, California.</t>
  </si>
  <si>
    <t>KemPharm, Inc.</t>
  </si>
  <si>
    <t>NasdaqGM:KMPH</t>
  </si>
  <si>
    <t>IQTR288193402</t>
  </si>
  <si>
    <t>IQ65059726</t>
  </si>
  <si>
    <t>KemPharm, Inc., a clinical-stage specialty pharmaceutical company, discovers and develops new proprietary prodrugs in the United States. Its advanced product candidate is KP201/APAP, which consists of KP201 prodrug of hydrocodone formulated in combination with acetaminophen (APAP). The company is also developing KP201/APAP as an immediate release (IR) product candidate for the treatment of acute pain, as well as engages in designing KP201/APAP with abuse-deterrent properties to address the epidemic of opioid abuse. The company is also involved in developing KP201/IR (APAP-free), an IR formulation of KP201 without APAP for the short-term management of acute pain; KP511/ER, a prodrug of hydromorphone for the management of pain; KP415, a prodrug of methylphenidate for the treatment of attention deficit hyperactivity disorders; KP606/IR, an IR abuse-deterrent opioid product for the management of moderate to severe pain; and KP746, a prodrug of oxymorphone for the management of moderate to severe pain. KemPharm, Inc. was founded in 2006 and is headquartered in Coralville, Iowa.</t>
  </si>
  <si>
    <t>Cidara Therapeutics, Inc.</t>
  </si>
  <si>
    <t>NasdaqGM:CDTX</t>
  </si>
  <si>
    <t>IQTR288432499</t>
  </si>
  <si>
    <t>IQ266264552</t>
  </si>
  <si>
    <t>Cidara Therapeutics, Inc., a biopharmaceutical company, focuses on the discovery, development, and commercialization of novel anti-infectives for the treatment of various diseases. Its lead product candidate is CD101 IV, a novel molecule in the echinocandin class of antifungals for the treatment and prevention of systemic Candida infections. The company also develops CD101 topical, a topical formulation of CD101 for the treatment of recurrent vulvovaginal candidiasis, a prevalent mucosal infection. In addition, it develops a proprietary immunotherapy technology platform, Cloudbreak, which is used to create compounds designed to direct a patient’s immune cells to attack and eliminate pathogens that cause infectious disease, as well as engages in evaluating Cloudbreak candidates for the treatment of invasive fungal infections, including aspergillosis, an infection caused by the fungal pathogen. The company was formerly known as K2 Therapeutics, Inc. and changed its name to Cidara Therapeutics, Inc. in June 2014. Cidara Therapeutics, Inc. was founded in 2012 and is based in San Diego, California.</t>
  </si>
  <si>
    <t>Aduro BioTech, Inc.</t>
  </si>
  <si>
    <t>NasdaqGS:ADRO</t>
  </si>
  <si>
    <t>IQTR288194671</t>
  </si>
  <si>
    <t>IQ2983625</t>
  </si>
  <si>
    <t>XBiotech, Inc.</t>
  </si>
  <si>
    <t>NasdaqGS:XBIT</t>
  </si>
  <si>
    <t>IQTR283478395</t>
  </si>
  <si>
    <t>IQ216818432</t>
  </si>
  <si>
    <t>XBiotech, Inc., a clinical-stage biopharmaceutical company, engages in discovering and developing True Human monoclonal antibodies for treating various diseases. Its lead product is MABp1, which is also known as Xilonix, a novel anti-cancer agent, which has completed Phase III clinical trial in Europe for the treatment of advanced colorectal cancer. MABp1 targets and neutralizes interleukin-1 alpha. XBiotech, Inc. was founded in 2005 and is headquartered in Austin, Texas.</t>
  </si>
  <si>
    <t>Inotek Pharmaceuticals Corporation</t>
  </si>
  <si>
    <t>NasdaqGM:ITEK</t>
  </si>
  <si>
    <t>IQTR276120901</t>
  </si>
  <si>
    <t>IQ9637643</t>
  </si>
  <si>
    <t>Inotek Pharmaceuticals Corporation, a clinical-stage biopharmaceutical company, focuses on the discovery, development, and commercialization of therapies for glaucoma and other diseases of the eye in the United States. The company’s lead product candidate includes Trabodenoson, a monotherapy that is in Phase III clinical trials for lowering IOP by restoring the eye’s natural pressure control mechanism. It is also developing Trabodenoson plus Latanoprost, a fixed-dose combination prostaglandin analogue, which has completed the Phase II clinical trials for IOP-lowering in patients who have previously had inadequate response to latanoprost, as well as Trabodenoson monotherapy that is in pre-clinical studies for the treatment of optic neuropathy and degenerative retinal diseases. The company was founded in 1999 and is headquartered in Lexington, Massachusetts.</t>
  </si>
  <si>
    <t>Bellerophon Therapeutics, Inc.</t>
  </si>
  <si>
    <t>NasdaqGM:BLPH</t>
  </si>
  <si>
    <t>IQTR281906643</t>
  </si>
  <si>
    <t>IQ257337347</t>
  </si>
  <si>
    <t>Bellerophon Therapeutics, Inc., a clinical-stage therapeutics company, focuses on the development of products at the intersection of drugs and devices that address unmet medical needs in the treatment of cardiopulmonary diseases. Its product candidates include INOpulse, a pulsatile nitric oxide delivery device, which has completed Phase II clinical trials for the treatment of pulmonary arterial hypertension, as well as in Phase II clinical trials to treat pulmonary hypertension associated with chronic obstructive pulmonary diseases; and bioabsorbable cardiac matrix, a medical device for the prevention of congestive heart failure. Bellerophon Therapeutics, Inc. was founded in 2009 and is headquartered in Warren, New Jersey.</t>
  </si>
  <si>
    <t>Eyegate Pharmaceuticals, Inc.</t>
  </si>
  <si>
    <t>NasdaqCM:EYEG</t>
  </si>
  <si>
    <t>IQTR269361921</t>
  </si>
  <si>
    <t>IQ27817978</t>
  </si>
  <si>
    <t>Eyegate Pharmaceuticals, Inc., a clinical-stage specialty pharmaceutical company, focuses on developing and commercializing therapeutics and drug delivery systems for treating eye diseases. The company is developing EGP-437 that has completed Phase III clinical trials in anterior uveitis for the treatment of various inflammatory conditions of the eye, including uveitis, a debilitating form of intraocular inflammation of the anterior portion of the uvea. It is also developing Eyegate II drug delivery system. Eyegate Pharmaceuticals, Inc. is based in Waltham, Massachusetts.</t>
  </si>
  <si>
    <t>IQTR280838614</t>
  </si>
  <si>
    <t>NasdaqGM:TCON</t>
  </si>
  <si>
    <t>IQTR280759863</t>
  </si>
  <si>
    <t>IQ33915710</t>
  </si>
  <si>
    <t>TRACON Pharmaceuticals, Inc., a clinical stage biopharmaceutical company, focuses on the development and commercialization of novel targeted therapeutics for cancer, wet age-related macular degeneration, and fibrotic diseases. Its lead product candidate is TRC105, which is in Phase II clinical trials for oncology indications, including soft tissue sarcoma, renal cell carcinoma, glioblastoma, and hepatocellular carcinoma. The company’s other product candidates comprise TRC205, an endoglin antibody that is in preclinical stage for the treatment of fibrotic diseases; and TRC102, a small molecule, which is in clinical development for the treatment of lung cancer and glioblastoma. TRACON Pharmaceuticals, Inc. has collaboration agreements with National Cancer Institute and Santen. The company was formerly known as Lexington Pharmaceuticals, Inc. and changed its name to TRACON Pharmaceuticals, Inc. in March 2005. TRACON Pharmaceuticals, Inc. was founded in 2004 and is headquartered in San Diego, California.</t>
  </si>
  <si>
    <t>Flex Pharma, Inc.</t>
  </si>
  <si>
    <t>NasdaqGM:FLKS</t>
  </si>
  <si>
    <t>IQTR280758231</t>
  </si>
  <si>
    <t>IQ261970466</t>
  </si>
  <si>
    <t>Zosano Pharma Corporation</t>
  </si>
  <si>
    <t>NasdaqCM:ZSAN</t>
  </si>
  <si>
    <t>IQTR266728076</t>
  </si>
  <si>
    <t>IQ29535235</t>
  </si>
  <si>
    <t>Zosano Pharma Corporation, a clinical stage specialty pharmaceutical company, develops a proprietary transdermal microneedle patch system to deliver drug formulations through the skin for the treatment of various indications. The company’s product candidate is ZP-Triptan, a proprietary formulation of zolmitriptan used for the treatment of migraine, which has completed a Phase I clinical trial. Its product candidates also include ZP-PTH, a proprietary formulation of teriparatide that is used for the treatment of severe osteoporosis; and ZP-Glucagon, a proprietary formulation of glucagon that is intended for the emergency rescue of patients suffering from life-threatening, severe hypoglycemia. The company was founded in 2006 and is headquartered in Fremont, California.</t>
  </si>
  <si>
    <t>Bellicum Pharmaceuticals, Inc.</t>
  </si>
  <si>
    <t>NasdaqGM:BLCM</t>
  </si>
  <si>
    <t>IQTR277811569</t>
  </si>
  <si>
    <t>IQ29554867</t>
  </si>
  <si>
    <t>Bellicum Pharmaceuticals, Inc., a clinical stage biopharmaceutical company, focuses on discovering and developing novel cellular immunotherapies for the treatment of hematological cancers, solid tumors, and orphan inherited blood disorders in the United States and internationally. Its clinical product candidate is BPX-501, an adjunct T-cell therapy in multiple Phase I/II clinical trials, administered after allogeneic hematopoietic stem cell transplantation. The company’s preclinical product candidates include BPX-601, a chimeric antigen receptor (CAR-T) product candidate for treating solid tumors expressing the prostate stem cell antigen; BPX-701, a TCR product candidate for the treatment of solid tumors expressing the preferentially-expressed antigen in melanoma; and BPX-401, a CAR-T product candidate for the treatment of hematological cancers that express the CD19 antigen. The company has a research collaboration agreement with Holland's Leiden University Medical Center to discover and validate natural high-affinity T cell receptor product candidates targeting various cancers. Bellicum Pharmaceuticals, Inc. was founded in 2004 and is headquartered in Houston, Texas.</t>
  </si>
  <si>
    <t>Juno Therapeutics Inc.</t>
  </si>
  <si>
    <t>NasdaqGS:JUNO</t>
  </si>
  <si>
    <t>IQTR277411036</t>
  </si>
  <si>
    <t>IQ252447310</t>
  </si>
  <si>
    <t>Juno Therapeutics, Inc., a biopharmaceutical company, engages in developing cell-based cancer immunotherapies. The company develops cell-based cancer immunotherapies based on its chimeric antigen receptor and T cell receptor technologies to genetically engineer T cells to recognize and kill cancer cells. Its clinical stage CD19 product candidates include JCAR015 that is in Phase II clinical trials for adult patients with relapsed/refractory B cell acute lymphoblastic leukemia (r/r ALL); JCAR017, which is in Phase I/II trials for pediatric patients with r/r ALL; and JCAR014 that is in Phase I/II trials to treat various B cell malignancies in patients relapsed or refractory to standard therapies. The company’s additional product candidates comprise CD22, a cell surface protein expressed on B lymphocytes; CD171, a cell-surface adhesion molecule to treat neuroblastoma; MUC-16, a protein for treating ovarian cancers; IL-12, a cytokine to overcome the inhibitory effects; ROR-1, a protein for the treatment of non-small cell lung, triple negative breast, pancreatic, and prostate cancers; and WT-1, an intracellular protein that is in Phase I/II clinical trials to treat adult myeloid leukemia and non-small cell lung, breast, pancreatic, ovarian, and colorectal cancers. Juno Therapeutics, Inc. has collaboration agreements with Celgene Corporation, Editas Medicine, Inc., Fate Therapeutics, Inc., MedImmune Limited, and Memorial Sloan Kettering Cancer Center. The company was formerly known as FC Therapeutics, Inc. and changed its name to Juno Therapeutics, Inc. in October 2013. Juno Therapeutics, Inc. was founded in 2013 and is headquartered in Seattle, Washington.</t>
  </si>
  <si>
    <t>Phase IIa</t>
  </si>
  <si>
    <t>ENXTAM:PBD</t>
  </si>
  <si>
    <t>NasdaqGM:PRTO</t>
  </si>
  <si>
    <t>BOVESPA:OFSA3</t>
  </si>
  <si>
    <t>NasdaqGS:ATRA</t>
  </si>
  <si>
    <t>NasdaqGS:DERM</t>
  </si>
  <si>
    <t>NasdaqGS:CALA</t>
  </si>
  <si>
    <t>NasdaqGM:VBLT</t>
  </si>
  <si>
    <t>NasdaqGM:VTAE</t>
  </si>
  <si>
    <t>NasdaqGM:TKAI</t>
  </si>
  <si>
    <t>NasdaqGM:AFMD</t>
  </si>
  <si>
    <t>NasdaqGM:OTIC</t>
  </si>
  <si>
    <t>NasdaqGM:EARS</t>
  </si>
  <si>
    <t>NasdaqGM:LOXO</t>
  </si>
  <si>
    <t>NasdaqGM:MRNS</t>
  </si>
  <si>
    <t>NasdaqGM:ORPN</t>
  </si>
  <si>
    <t>NasdaqCM:CFRX</t>
  </si>
  <si>
    <t>NasdaqGM:OCUL</t>
  </si>
  <si>
    <t>AMEX:PFNX</t>
  </si>
  <si>
    <t>Intersect ENT, Inc.</t>
  </si>
  <si>
    <t>NasdaqGM:XENT</t>
  </si>
  <si>
    <t>IQTR266643354</t>
  </si>
  <si>
    <t>IQ37464681</t>
  </si>
  <si>
    <t>NasdaqGM:SAGE</t>
  </si>
  <si>
    <t>Roka Bioscience, Inc.</t>
  </si>
  <si>
    <t>NasdaqGM:ROKA</t>
  </si>
  <si>
    <t>IQTR264238438</t>
  </si>
  <si>
    <t>IQ65148484</t>
  </si>
  <si>
    <t>CareDx, Inc</t>
  </si>
  <si>
    <t>NasdaqGM:CDNA</t>
  </si>
  <si>
    <t>IQTR265379464</t>
  </si>
  <si>
    <t>IQ9985914</t>
  </si>
  <si>
    <t>CareDx, Inc., a molecular diagnostics company, focuses on the discovery, development, and commercialization of diagnostic surveillance solutions for transplant patients in the United States and internationally. The company’s commercialized testing solution includes the AlloMap heart transplant molecular test (AlloMap), a gene expression test that helps clinicians monitor and identify heart transplant recipients with stable graft function who have a low probability of moderate/severe acute cellular rejection. It is also developing AlloSure, a next-generation sequencing-based test to detect donor-derived cell-free DNA after transplantation. The company markets its AlloMap solution to healthcare providers through its direct sales force that targets transplant centers and their physicians, coordinators, and nurse practitioners. The company was formerly known as XDx, Inc. and changed its name to CareDx, Inc. in March 2014. CareDx, Inc. was incorporated in 1998 and is headquartered in Brisbane, California.</t>
  </si>
  <si>
    <t>NasdaqCM:GBIM</t>
  </si>
  <si>
    <t>NasdaqGM:NERV</t>
  </si>
  <si>
    <t>NasdaqGS:AMPH</t>
  </si>
  <si>
    <t>Kite Pharma, Inc.</t>
  </si>
  <si>
    <t>NasdaqGS:KITE</t>
  </si>
  <si>
    <t>IQTR264099256</t>
  </si>
  <si>
    <t>IQ128240703</t>
  </si>
  <si>
    <t>Kite Pharma, Inc., a clinical-stage biopharmaceutical company, focuses on the development and commercialization of novel cancer immunotherapy products. The company is developing a pipeline of engineered autologous cell therapy-based product candidates for the treatment of solid and hematological malignancies. Its lead product candidate is KTE-C19, a chimeric antigen receptors (CAR)-based therapy that is in Phase 2 clinical trials for the treatment of patients with refractory diffuse large B cell lymphoma, including primary mediastinal B cell lymphoma and transformed follicular lymphoma. The company is also conducting a Phase 2 clinical trial of KTE-C19 on patients with relapsed/refractory mantle cell lymphoma; a Phase 1-2 clinical trial of KTE-C19 on adult patients with relapsed/refractory acute lymphoblastic leukemia; and a Phase 1-2 clinical trial of KTE-C19 in pediatric patients with relapsed/refractory. In addition, it engages in developing T cell receptors-based therapies, which targets self-antigens, viral antigens, and neo-antigens. The company has a research collaboration and license agreement with Amgen Inc. to develop and commercialize various CAR-based product candidates; collaboration agreements with the Surgery Branch of the National Cancer Institute and bluebird bio, Inc.; cooperative research and development agreements with the U.S. Department of Health and Human Services; a license agreement with Cabaret Biotech Ltd.; a license and research agreement with Alpine Immune Sciences, Inc.; and a clinical trial collaboration agreement with Genentech to evaluate the safety and efficacy of KTE-C19, in combination with atezolizumab in patients with non-Hodgkin lymphoma. Kite Pharma, Inc. was founded in 2009 and is headquartered in Santa Monica, California.</t>
  </si>
  <si>
    <t>NasdaqGM:ARDX</t>
  </si>
  <si>
    <t>NasdaqGM:PARN</t>
  </si>
  <si>
    <t>NasdaqGS:ZFGN</t>
  </si>
  <si>
    <t>NasdaqGM:RDUS</t>
  </si>
  <si>
    <t>NasdaqGM:AGRX</t>
  </si>
  <si>
    <t>NasdaqGM:ALDR</t>
  </si>
  <si>
    <t>NasdaqGM:SCYX</t>
  </si>
  <si>
    <t>NasdaqCM:ALDX</t>
  </si>
  <si>
    <t>NasdaqGM:CERU</t>
  </si>
  <si>
    <t>NasdaqGM:ADMS</t>
  </si>
  <si>
    <t>NasdaqGM:CORI</t>
  </si>
  <si>
    <t>NasdaqGM:AGTC</t>
  </si>
  <si>
    <t>NasdaqGM:MDWD</t>
  </si>
  <si>
    <t>NasdaqGS:VSAR</t>
  </si>
  <si>
    <t>NasdaqGM:AKBA</t>
  </si>
  <si>
    <t>NasdaqCM:DPRX</t>
  </si>
  <si>
    <t>NasdaqCM:GLMD</t>
  </si>
  <si>
    <t>NasdaqGM:AKAO</t>
  </si>
  <si>
    <t>NasdaqGS:VWR</t>
  </si>
  <si>
    <t>NasdaqGM:AAVL</t>
  </si>
  <si>
    <t>NYSE:CTLT</t>
  </si>
  <si>
    <t>NasdaqGM:ZSPH</t>
  </si>
  <si>
    <t>OIP</t>
  </si>
  <si>
    <t>Implied Value</t>
  </si>
  <si>
    <t>Backsolve --&gt;</t>
  </si>
  <si>
    <t>Label Format #6</t>
  </si>
  <si>
    <t>(in USD or Shares)</t>
  </si>
  <si>
    <t>Per Share Value Summary</t>
  </si>
  <si>
    <t>Concluded Common Stock Price</t>
  </si>
  <si>
    <t>Methodology Summary</t>
  </si>
  <si>
    <t>Primary Methodology</t>
  </si>
  <si>
    <t>Confirming Methodology</t>
  </si>
  <si>
    <t>Event Timings</t>
  </si>
  <si>
    <t>Approaches Summary</t>
  </si>
  <si>
    <t>WACC Summary</t>
  </si>
  <si>
    <t>Cost of Capital Type</t>
  </si>
  <si>
    <t>Concluded Cost of Capital</t>
  </si>
  <si>
    <t>Forward Looking Equity Risk Premium</t>
  </si>
  <si>
    <t xml:space="preserve">Equity Risk Premium </t>
  </si>
  <si>
    <t xml:space="preserve">Equity Size Premium </t>
  </si>
  <si>
    <t>Company-Specific Risk Premium</t>
  </si>
  <si>
    <t xml:space="preserve">Preferred (Debt-Like Component) </t>
  </si>
  <si>
    <t xml:space="preserve">Preferred (Equity-Like Component) </t>
  </si>
  <si>
    <t xml:space="preserve">Equity (Common + Granted Options/Warrants) </t>
  </si>
  <si>
    <t>Cost of Capital (Enterprise Level - Portfolio)</t>
  </si>
  <si>
    <t>LTM Metrics Summary</t>
  </si>
  <si>
    <t>Forecast Summary</t>
  </si>
  <si>
    <t>Most Recent Round</t>
  </si>
  <si>
    <t>Round Date</t>
  </si>
  <si>
    <t>Most Recent Round Price</t>
  </si>
  <si>
    <t>Most Recent Raise</t>
  </si>
  <si>
    <t>Most Recent Pre-Money Valuation</t>
  </si>
  <si>
    <t>Most Recent Post-Money Valuation</t>
  </si>
  <si>
    <t>Total Shares Outstanding</t>
  </si>
  <si>
    <t>Last Options Granted Strike Price</t>
  </si>
  <si>
    <t>Common as a % of Latest Preferred Round</t>
  </si>
  <si>
    <t>OPM Term to Exit (Years)</t>
  </si>
  <si>
    <t>OPM Term to Exit (Date)</t>
  </si>
  <si>
    <t>Updated upto:</t>
  </si>
  <si>
    <t>Performance of Entity</t>
  </si>
  <si>
    <t>Assets Best Use</t>
  </si>
  <si>
    <t>Number of Potential Buyers</t>
  </si>
  <si>
    <t>Access to Capital</t>
  </si>
  <si>
    <t>Size of Business</t>
  </si>
  <si>
    <t>Glamour of Entity</t>
  </si>
  <si>
    <t>Implied Discount for Lack of Control ("DLOC") - Common</t>
  </si>
  <si>
    <t>Arrowhead Pharmaceuticals, Inc. develops novel drugs to treat intractable diseases in the United States. Its pre-clinical stage drug candidates include ARO-HBV to treat chronic hepatitis B virus infection; ARO-AAT to treat liver disease associated with alpha-1 antitrypsin deficiency; ARO-LPA to reduce production of apolipoprotein A; ARO-AMG1, which is developed against an undisclosed genetically validated cardiovascular target; and ARO-F12, a potential treatment for factor 12 mediated diseases, such as hereditary angioedema and thromboembolic disorders. The company also develops ARO-HIF2, a drug candidate for the treatment of clear cell renal cell carcinoma. Arrowhead Pharmaceuticals, Inc. has collaboration and license agreements with Amgen, Inc. The company was formerly known as Arrowhead Research Corporation and changed its name to Arrowhead Pharmaceuticals, Inc. in April 2016. Arrowhead Pharmaceuticals, Inc. was incorporated in 1989 and is headquartered in Pasadena, California.</t>
  </si>
  <si>
    <t>CEL-SCI Corporation engages in the research and development of drugs and vaccines. Its lead investigational immunotherapy is Multikine, which is under pivotal phase III clinical trial for the treatment of primary head and neck cancer. The company’s Multikine is also used in a Phase I study with the Naval Medical Center, San Diego under a cooperative research and development agreement in HIV/HPV co-infected men and women with peri-anal warts. Its Ligand Epitope Antigen Presentation System, a pre-clinical patented T-cell modulation process that stimulates the human immune system to fight bacterial, viral, and parasitic infections, as well as autoimmune diseases, allergies, transplantation rejections, and cancer. The company also develops LEAPS-H1N1-DC, a product candidate for the treatment of pandemic influenza in hospitalized patients; and CEL-2000 and CEL-4000 vaccine product candidates for the treatment of rheumatoid arthritis. CEL-SCI Corporation was founded in 1983 and is headquartered in Vienna, Virginia.</t>
  </si>
  <si>
    <t>Ceregene, Inc., a biotechnology company, focuses on developing neurotrophic growth factor treatments for neurodegenerative disorders. The company develops adeno-associated virus (AAV) vectors for delivering the neurotrophic gene. Its pipeline includes CERE-120, a AAV-neurturin for brain degenerating in Parkinson’s diseases; CERE-110, a AAV-nerve growth factor that has profound protective and function restoring effects on cholinergic neurons in the brain; CERE-130, a AAV-insulin-like growth factor-1 to enhance the function and provide protective support of motor neurons that originate in the spinal cord and control various muscles; and CERE-140, a AAV-neurotrophic factor 4/5 for treating ocular diseases. The company targets neurodegenerative disorders, including Parkinson’s, Alzheimer’s, amyotrophic lateral sclerosis, and Huntington diseases; and degenerative diseases of the eye, such as retinitis pigmentosa, age-related macular degeneration, and glaucoma. Ceregene, Inc. was incorporated in 2000 and is based in San Diego, California. As of October 1, 2013, Ceregene, Inc. operates as a subsidiary of Sangamo Biosciences Inc.</t>
  </si>
  <si>
    <t>Less: Debt as of Exit Date</t>
  </si>
  <si>
    <t>Based on the 25th segment ranked by sales for the Duff &amp; Phelps, LLC Risk Premium Report 2016.</t>
  </si>
  <si>
    <t>Pre-Tax Cost of Debt</t>
  </si>
  <si>
    <t>#</t>
  </si>
  <si>
    <t>Exit Scenario wise exit %</t>
  </si>
  <si>
    <t>M&amp;A - Early</t>
  </si>
  <si>
    <t>M&amp;A - Mid</t>
  </si>
  <si>
    <t>M&amp;A - Late</t>
  </si>
  <si>
    <t>Do Not Delete</t>
  </si>
  <si>
    <t>Applied Probabilities</t>
  </si>
  <si>
    <t>IND</t>
  </si>
  <si>
    <t>Update this</t>
  </si>
  <si>
    <t>Template Model</t>
  </si>
  <si>
    <t>Date of Update</t>
  </si>
  <si>
    <t>Updated by</t>
  </si>
  <si>
    <t>Sheet</t>
  </si>
  <si>
    <t>Cell</t>
  </si>
  <si>
    <t>Comments (if any)</t>
  </si>
  <si>
    <t>Last Modified</t>
  </si>
  <si>
    <t>Priya</t>
  </si>
  <si>
    <t>OPM 2</t>
  </si>
  <si>
    <t>C24</t>
  </si>
  <si>
    <t>Removed duplicate reference for footnote 1</t>
  </si>
  <si>
    <t>WACC CAPM</t>
  </si>
  <si>
    <t>B42</t>
  </si>
  <si>
    <t>Added note to update unsystematic risk premium whenever WACC CAPM is used</t>
  </si>
  <si>
    <t>PWERM, Comparitive Sheet</t>
  </si>
  <si>
    <t>Various</t>
  </si>
  <si>
    <t>Fixed the basis as 3 for all YEARFRAC formulas through a global search.</t>
  </si>
  <si>
    <t>Q6</t>
  </si>
  <si>
    <t>Added “ROUND” formula</t>
  </si>
  <si>
    <t>Capital IQ DATA</t>
  </si>
  <si>
    <t>T13, T14</t>
  </si>
  <si>
    <t>Fixed the link to cell B4</t>
  </si>
  <si>
    <t>B49, B50</t>
  </si>
  <si>
    <t>Added footnote</t>
  </si>
  <si>
    <t>Company ABC IRC 409a VD MM.DD.YY Draft Exhibits YYYY.MM.DD_v4</t>
  </si>
  <si>
    <t>Asset Volatility - Comps</t>
  </si>
  <si>
    <t>Asset Volatility - Company (For OPM)</t>
  </si>
  <si>
    <t>Asset Volatility - Company (For DLOM)</t>
  </si>
  <si>
    <t>Common Stock Equity</t>
  </si>
  <si>
    <t>Options/Warrants (Treasury Method)</t>
  </si>
  <si>
    <t>Harshit</t>
  </si>
  <si>
    <t>Volatility check Val Summ</t>
  </si>
  <si>
    <t>WACC - PWERM</t>
  </si>
  <si>
    <t>Removed Macro</t>
  </si>
  <si>
    <t>Volatility check in out of print area</t>
  </si>
  <si>
    <t>Corrected calculation of Options (Treasury Method) and Common Stock Equity</t>
  </si>
  <si>
    <t>D15</t>
  </si>
  <si>
    <t>Updated formatting</t>
  </si>
  <si>
    <t>Row X</t>
  </si>
  <si>
    <t>Label Format #7</t>
  </si>
  <si>
    <t>(in millions of USD, except stock price)</t>
  </si>
  <si>
    <t>Harsh</t>
  </si>
  <si>
    <t>Market Trends</t>
  </si>
  <si>
    <t>Z4</t>
  </si>
  <si>
    <t>Changed label to (in millions of USD, except stock price)</t>
  </si>
  <si>
    <t>Row 238 onwards</t>
  </si>
  <si>
    <t>Treasury Method calculation</t>
  </si>
  <si>
    <t>H19, J19</t>
  </si>
  <si>
    <t>Fixed the formula for WACC to include Options/Warrants (Treasury Method)</t>
  </si>
  <si>
    <t>smallest (in millions)</t>
  </si>
  <si>
    <t>largest (in millions)</t>
  </si>
  <si>
    <t xml:space="preserve"> Year - 2017</t>
  </si>
  <si>
    <t>WACC - CAPM</t>
  </si>
  <si>
    <t>D&amp;P 2017</t>
  </si>
  <si>
    <t>A46:H67, B40, B41</t>
  </si>
  <si>
    <t>Important Points to Note</t>
  </si>
  <si>
    <t>1) Linking of Debt</t>
  </si>
  <si>
    <t>a) PWERM: PV of Debt Like component for differn. DLOM</t>
  </si>
  <si>
    <t>b) OPM: Debt as in Val. Summ.</t>
  </si>
  <si>
    <t>c) DLOM_OPM: Val sum + Tranche Value of LP</t>
  </si>
  <si>
    <t>d) Hybrid OPM: Debt as in Val Summ.</t>
  </si>
  <si>
    <t>e) Hybrid OPM_DLOM: PV of Debt Like component from PWERM</t>
  </si>
  <si>
    <t>2) Linking for EV</t>
  </si>
  <si>
    <t>a) PWERM: Equity Value in PWERM - Excess Cash + Debt</t>
  </si>
  <si>
    <t>b) OPM: Equity Value in OPM -Excess Cash + Debt</t>
  </si>
  <si>
    <t>c) DLOM_OPM: Equity Value in OPM -Excess Cash + Debt</t>
  </si>
  <si>
    <t>d) Hybrid OPM: Weighted Average Equity Value in Hybrid OPM -Excess Cash + Debt</t>
  </si>
  <si>
    <t>d) Hybrid OPM_DLOM: Weighted Average Equity Value in Hybrid OPM -Excess Cash + Debt</t>
  </si>
  <si>
    <t>Product (if applicable)</t>
  </si>
  <si>
    <t>Milestone Payment (if applicable)</t>
  </si>
  <si>
    <t>Probability of Dissolution (captured in OPM)</t>
  </si>
  <si>
    <t>First BKP</t>
  </si>
  <si>
    <t xml:space="preserve">The current formulas for LP and shares are built with Series G having the first LP rights. In case of any other scenario, the formula will have to be edited. </t>
  </si>
  <si>
    <t>Success Probability of Single Candidate (1)</t>
  </si>
  <si>
    <t>Probability (With Both Candidates Successful in Previous Stage)</t>
  </si>
  <si>
    <t>Probability (With Only 1 Candidate Successful in Previous Stage)</t>
  </si>
  <si>
    <t>Cumulative Probability to Continue</t>
  </si>
  <si>
    <t>Both Candidates Successful</t>
  </si>
  <si>
    <t>Only 1 Candidate is Successful</t>
  </si>
  <si>
    <t>Both Candidates Fail</t>
  </si>
  <si>
    <t>Two candidates at the same stage of development</t>
  </si>
  <si>
    <t>Lead - IND / Second - Lead Optimization</t>
  </si>
  <si>
    <t>Both Candidates are Successful</t>
  </si>
  <si>
    <t>Only Lead Candidate is Successful</t>
  </si>
  <si>
    <t>Only Second Indication is Successful</t>
  </si>
  <si>
    <t>Lead - Phase I / Second - IND</t>
  </si>
  <si>
    <t>Lead - Phase II / Second - Phase I</t>
  </si>
  <si>
    <t>Two candidates with the second asset a stage behind the first in terms of development</t>
  </si>
  <si>
    <t>Reference Project - Ideaya</t>
  </si>
  <si>
    <t>Reference Project - Surrozen</t>
  </si>
  <si>
    <t>Y220C - First Program</t>
  </si>
  <si>
    <t>Second Program</t>
  </si>
  <si>
    <t>Third Program</t>
  </si>
  <si>
    <t>Current Stage</t>
  </si>
  <si>
    <t>Hit-to-Lead-Decision</t>
  </si>
  <si>
    <t>IPO (Phase IND)</t>
  </si>
  <si>
    <t>M&amp;A (Phase I)</t>
  </si>
  <si>
    <t>Mid</t>
  </si>
  <si>
    <t>Rounded Probability</t>
  </si>
  <si>
    <t>Grossed Up Probability</t>
  </si>
  <si>
    <t>Total Probability</t>
  </si>
  <si>
    <t>No. of Successful Programs</t>
  </si>
  <si>
    <t>Success Probability of a Single Program and its Stage of Development</t>
  </si>
  <si>
    <t>First Program</t>
  </si>
  <si>
    <t>Phase I completed</t>
  </si>
  <si>
    <t>Phase Ia completed; Phase Ib ongoing</t>
  </si>
  <si>
    <t>IND completed; Phase Ia ongoing</t>
  </si>
  <si>
    <t>M&amp;A (Phase Ib - Lead) Probability Calculations</t>
  </si>
  <si>
    <t>Scenario #1</t>
  </si>
  <si>
    <t>First Program Successful</t>
  </si>
  <si>
    <t>Second Program Successful</t>
  </si>
  <si>
    <t>Second Program Failed</t>
  </si>
  <si>
    <t>Third Program Failed</t>
  </si>
  <si>
    <t>Scenario #2</t>
  </si>
  <si>
    <t>First Program Failed</t>
  </si>
  <si>
    <t>Third Program Successful</t>
  </si>
  <si>
    <t>Scenario #3</t>
  </si>
  <si>
    <t>Probability of Technical Success</t>
  </si>
  <si>
    <t>Reference Project - PMV</t>
  </si>
  <si>
    <t>3 canidates in different stages of development</t>
  </si>
  <si>
    <t>Delete the three templates for Exit Probability below, if not applicable</t>
  </si>
  <si>
    <t>Depreciation % Inputs</t>
  </si>
  <si>
    <t>Convention</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</si>
  <si>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</si>
  <si>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</si>
  <si>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</si>
  <si>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</si>
  <si>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</si>
  <si>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</si>
  <si>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</si>
  <si>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</si>
  <si>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</si>
  <si>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</si>
  <si>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</si>
  <si>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</si>
  <si>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</si>
  <si>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</si>
  <si>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</si>
  <si>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</si>
  <si>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</si>
  <si>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</si>
  <si>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</si>
  <si>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</si>
  <si>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</si>
  <si>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</si>
  <si>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</si>
  <si>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</si>
  <si>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</si>
  <si>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</si>
  <si>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</si>
  <si>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</si>
  <si>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</si>
  <si>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</si>
  <si>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</si>
  <si>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</si>
  <si>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</si>
  <si>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</si>
  <si>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</si>
  <si>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20 Year MACRS</t>
  </si>
  <si>
    <t>Half yearly</t>
  </si>
  <si>
    <t>39 Year MACRS</t>
  </si>
  <si>
    <t>Yearly</t>
  </si>
  <si>
    <t>15 Year MACRS</t>
  </si>
  <si>
    <t>10 Year MACRS</t>
  </si>
  <si>
    <t>7 Year MACRS</t>
  </si>
  <si>
    <t>5 Year MACRS</t>
  </si>
  <si>
    <t>3 Year MACRS</t>
  </si>
  <si>
    <t>Existing Fixed Assets</t>
  </si>
  <si>
    <t>Blended Rate</t>
  </si>
  <si>
    <t>Life Completed (years)</t>
  </si>
  <si>
    <t>Existing Fixed Assets (1)</t>
  </si>
  <si>
    <t xml:space="preserve">Allocation </t>
  </si>
  <si>
    <t>Capital Expenditures Year:</t>
  </si>
  <si>
    <t>Depreciation - New Capex</t>
  </si>
  <si>
    <t>Total Depreciation</t>
  </si>
  <si>
    <t>Capital expenditure class allocation schedule has been provided by Management. The depreciation % considered is half yearly convention as per modified accelerated cost recovery system (MACRS). Source: http://www.smbiz.com/sbrl012.html#hy</t>
  </si>
  <si>
    <t>(1) Includes consideration of net operating losses in determining taxable income based on information provided by Management.</t>
  </si>
  <si>
    <t>5 year Straight Line</t>
  </si>
  <si>
    <t>7 year Straight Line</t>
  </si>
  <si>
    <t>10 year Straight Line</t>
  </si>
  <si>
    <t>15 Year Straight Line</t>
  </si>
  <si>
    <t>20 Year Straight Line</t>
  </si>
  <si>
    <t>Depreciation - MACRS</t>
  </si>
  <si>
    <t>Outline - Workpapers</t>
  </si>
  <si>
    <t>Workpaper Number</t>
  </si>
  <si>
    <t>Workpaper Labeling</t>
  </si>
  <si>
    <t>Latest Preferred Round</t>
  </si>
  <si>
    <t xml:space="preserve">Common </t>
  </si>
  <si>
    <t>Value From OPM</t>
  </si>
  <si>
    <t>RNA applied a discount to the enterprise value computing using forward revenue and LTM revenue multiples.</t>
  </si>
  <si>
    <t>Discount Factor (3)</t>
  </si>
  <si>
    <t>Discount Factor (2)</t>
  </si>
  <si>
    <t>Post-IPO 
Equity Value</t>
  </si>
  <si>
    <t>Comparable Equity Value After 30 Days</t>
  </si>
  <si>
    <t>% Change in Equity Value</t>
  </si>
  <si>
    <t>BD</t>
  </si>
  <si>
    <t>Discovery / IND / Preclinical</t>
  </si>
  <si>
    <t>IND Filed</t>
  </si>
  <si>
    <t>IND Filing</t>
  </si>
  <si>
    <t>Blueprint Medicines Corporation, a biopharmaceutical company, develops drugs of small molecule kinase inhibitors that target genomic drivers in various cancers and rare genetic diseases. Its lead drug candidates include BLU-285, which targets KIT Exon 17 mutants and PDGFRa D842V, abnormally active receptor tyrosine kinase mutants for patients with systemic mastocytosis, a myeloproliferative disorder of the mast cells, and defined subsets of patients with gastrointestinal stromal tumor; and BLU-554, an orally available, potent, selective, and irreversible inhibitor of the kinase FGFR4. It is also developing BLU-667, a drug candidate that targets RET, a receptor tyrosine kinase that can become abnormally activated by mutations or translocations; and RET resistant mutants that would arise from treatment with first generation therapies, as well as candidates as inhibitors of neurotrophic tyrosine receptor kinase (NTRK) and predicted NTRK resistant mutants. In addition, the company is developing programs that target oncology and rare genetic diseases. The company has agreement with Alexion Pharma Holding to research, develop, and commercialize drug candidates for an undisclosed activated kinase target, which is the cause of a rare genetic disease. The company was formerly known as Hoyle Pharmaceuticals, Inc. and changed its name to Blueprint Medicines Corporation in June 2011. Blueprint Medicines Corporation was founded in 2008 and is headquartered in Cambridge, Massachusetts.</t>
  </si>
  <si>
    <t>Flex Pharma, Inc., a biotechnology company, develops and commercializes products for the treatment of nocturnal leg cramps, muscle cramps, spasms, and spasticity associated with neuromuscular conditions; and exercise-associated muscle cramps. The company develops its products based on the mechanism of muscle cramp inhibition. Flex Pharma, Inc. was founded in 2014 and is headquartered in Boston, Massachusetts.</t>
  </si>
  <si>
    <t>Phase I / I/Ib / I/IIa / Ib / Ib/II</t>
  </si>
  <si>
    <t>Jounce Therapeutics, Inc.</t>
  </si>
  <si>
    <t>NasdaqGS:JNCE</t>
  </si>
  <si>
    <t>IQTR414739851</t>
  </si>
  <si>
    <t>AnaptysBio, Inc.</t>
  </si>
  <si>
    <t>NasdaqGS:ANAB</t>
  </si>
  <si>
    <t xml:space="preserve"> IQTR311061881</t>
  </si>
  <si>
    <t>IQTR311061881</t>
  </si>
  <si>
    <t>Phase I/IIa</t>
  </si>
  <si>
    <t>Voyager Therapeutics, Inc., a clinical-stage gene therapy company, focuses on the development of treatments for patients suffering from severe diseases of the central nervous system. The company’s lead clinical candidate is the VY-AADC01, which is in Phase Ib clinical trial for the treatment of advanced Parkinson's disease. Its preclinical programs comprise VY-SOD101 for a monogenic form of amyotrophic lateral sclerosis; VY-FXN01 for Friedreich's ataxia; VY-HTT01 for Huntington’s disease; and VY-SMN101 for spinal muscular atrophy. The company has strategic collaboration agreements with Genzyme Corporation and the University of Massachusetts; and a research collaboration agreement with CHDI Foundation, Inc. to advance its VY-HTT01 program, an adeno-associated virus-mediated gene-silencing therapy for Huntington’s disease. Voyager Therapeutics, Inc. was founded in 2013 and is headquartered in Cambridge, Massachusetts.</t>
  </si>
  <si>
    <t>Mirna Therapeutics, Inc., a clinical-stage biopharmaceutical company, develops a pipeline of microRNA-based oncology therapeutics. The company is developing mimics of naturally occurring microRNAs (miR) that are designed to restore tumor suppressor activity and aid appropriate anti-tumor immune response. Its lead product candidate is MRX34, a mimic of naturally occurring microRNA-34 encapsulated in a liposomal nanoparticle formulation which is in Phase 1 clinical trial for the treatment of cancer. The company’s preclinical product candidates include miR-215 for the treatment of esophageal, kidney, and multiple myeloma cancers; miR-101 for the treatment of bladder, gastric, lung, and ovarian cancers; miR-16 for the treatment of chronic lymphocytic leukemia and lymphoma cancers; and let-7 for the treatment of prostate, pancreatic, and melanoma cancers. It has strategic partnerships and license agreements with Asuragen, Inc.; Marina Biotech, Inc.; the Yale University; the University of Zurich; Rosetta Genomics Ltd.; the Cancer Prevention and Research Institute of Texas; and Polymun Scientific Immunbiologische Forschung GmbH. The company was founded in 2007 and is headquartered in Austin, Texas. Mirna Therapeutics, Inc. operates as a subsidiary of Asuragen, Inc.</t>
  </si>
  <si>
    <t>Catabasis Pharmaceuticals, Inc., a clinical-stage biopharmaceutical company, focuses on the discovery, development, and commercialization of therapeutics to treat inflammatory and metabolic diseases. Its product pipeline includes CAT-1004, an oral small molecule that has completed Phase 1 clinical trials for the treatment of duchenne muscular dystrophy (DMD); CAT-2054, which is in Phase I clinical trial for the treatment of hypercholesterolemia in patients for whom existing treatments are insufficient; and CAT-2003 that has completed Phase IIa trials for the treatment of patients with elevated triglycerides or hypertriglyceridemia. It is also developing CAT-4001 that is in preclinical stage for the treatment for severe, rare neurodegenerative diseases, such as Friedreich's ataxia and amyotrophic lateral sclerosis. The company has collaboration agreements with dystrophy association for the development of CAT-1004, a treatment for DMD; and Sarepta Therapeutics, Inc. to explore a combination drug treatment approach for DMD. Catabasis Pharmaceuticals, Inc. was founded in 2008 and is based in Cambridge, Massachusetts.</t>
  </si>
  <si>
    <t>aTyr Pharma, Inc.</t>
  </si>
  <si>
    <t>Adaptimmune Therapeutics plc</t>
  </si>
  <si>
    <t>NasdaqGS:ADAP</t>
  </si>
  <si>
    <t>IQTR290492678</t>
  </si>
  <si>
    <t>IQ113495056</t>
  </si>
  <si>
    <t>Adaptimmune Therapeutics plc, a clinical-stage biopharmaceutical company, focuses on the provision of cancer immunotherapy products based on its T-cell receptor platform. Its platform enables to identify cancer targets; find and genetically engineer T-cell receptors (TCR); and produce TCR therapeutic candidates for administration to patients. The company’s lead program includes NY-ESO cancer antigen, which is in Phase 1/2 clinical trials for the treatment of patients with solid tumors, as well as hematological cancer types, including synovial sarcoma and multiple myeloma. Adaptimmune Therapeutics plc is also developing MAGE A-10 TCR that is in Phase 1/2 clinical trials for the treatment of non-small cell lung cancer and other solid tumors; and Alpha Fetoprotein TCR therapeutic candidate that has completed preclinical testing for targeting a peptide associated with hepatocellular carcinoma. It has a strategic collaboration and licensing agreement with GlaxoSmithKline for the development and commercialization of the NY-ESO TCR program; and strategic alliance with MD Anderson Cancer Center for the development of adoptive T-cell therapies for various cancers. The company also has a clinical trial collaboration agreement with Merck &amp; Co., Inc. for the assessment of NY-ESO specific peptide enhanced affinity receptor T-cell therapy in combination with anti-programmed death-1 inhibitor in patients with multiple myeloma. Adaptimmune Therapeutics plc was founded in 2014 and is headquartered in Abingdon, the United Kingdom.</t>
  </si>
  <si>
    <t>Phase II / IIa / IIb / II/III</t>
  </si>
  <si>
    <t>Tocagen Inc.</t>
  </si>
  <si>
    <t>NasdaqGS:TOCA</t>
  </si>
  <si>
    <t>Phase II/III</t>
  </si>
  <si>
    <t>IQTR423020775</t>
  </si>
  <si>
    <t>IQ47097690</t>
  </si>
  <si>
    <t>Tocagen Inc., a clinical-stage company, focuses on developing gene therapy candidates to activate a patient’s immune system against their cancer in the United States. The company is developing Toca 511 &amp; Toca FC that is in Phase II/III clinical trial for patients with recurrent high grade glioma (HGG); and Phase Ib clinical trial for the intravenous treatment of metastatic colorectal, pancreatic, breast, lung, melanoma, and renal cancers, as well as in preclinical stage for newly diagnosed HGG. It is also developing other retroviral replicating vectors to deliver genes to cancer cells against validated immunotherapy targets, such as the checkpoint protein PD-L1. The company was founded in 2007 and is headquartered in San Diego, California.</t>
  </si>
  <si>
    <t>ObsEva SA</t>
  </si>
  <si>
    <t>NasdaqGS:OBSV</t>
  </si>
  <si>
    <t>IQTR414750474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</si>
  <si>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Plan-les-Ouates, Switzerland.</t>
  </si>
  <si>
    <t>ObsEva_SA_-_Form_F-1A(Jan-23-2017)</t>
  </si>
  <si>
    <t>pg. 10</t>
  </si>
  <si>
    <t>Pg. 1</t>
  </si>
  <si>
    <t>IQ245335894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</si>
  <si>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Geneva, Switzerland.</t>
  </si>
  <si>
    <t>Spring Bank Pharmaceuticals, Inc., a clinical-stage biopharmaceutical company, engages in the discovery and development of a class of therapeutics using its proprietary small molecule nucleic acid hybrid (SMNH) chemistry platform. Its SMNH compounds are small segments of nucleic acids that are design to target and modulate the activity of specific proteins implicated in various disease states. The company’s lead product candidate is SB 9200, which completed a Phase 1 clinical trial for the treatment of chronic hepatitis B virus and respiratory syncytial virus. It also develops preclinical product candidates, such as SB 9400, SB 9941 and SB 9946 for RNA viral diseases. The company has a collaborative agreement with Arrowhead Pharmaceuticals Inc. to perform studies on Arrowhead’s ARC-520 and Spring Bank’s SB 9200 for the treatment of chronic Hepatitis B (HBV); and has clinical trial collaboration with Gilead Sciences for a HBV Phase II clinical study with Spring Bank's SB 9200 in combination with VireadÂ (tenofovir disoproxil fumarate) for HBV patients. The company was formerly known as Spring Bank Technologies, Inc. and changed its name to Spring Bank Pharmaceuticals, Inc. in May 2008. Spring Bank Pharmaceuticals, Inc. was founded in 2002 and is headquartered in Milford, Massachusetts.</t>
  </si>
  <si>
    <t>Aduro BioTech, Inc., a clinical-stage immunotherapy company, focuses on the discovery, development, and commercialization that transform the treatment of challenging diseases. Its lead product candidate is CRS-207, an immuno-oncology therapy, which is in a Phase IIb clinical trial for the treatment of metastatic pancreatic cancer, unresectable malignant pleural mesothelioma, and ovarian cancer. The company also offers STING Pathway Activator product candidates that are synthetic small molecule immune modulators, which target and activate Stimulator of Interferon Genes receptor under collaboration with Novartis Pharmaceuticals Corporation; and develops monoclonal antibodies with the potential to yield immunotherapy. Aduro BioTech, Inc. also has a collaboration agreement with Janssen Biotech, Inc. to develop drugs for the treatment of prostate and lung cancers. The company was formerly known as Oncologic, Inc. and changed its name to Aduro BioTech, Inc. in June 2008. Aduro BioTech, Inc. was founded in 2000 and is headquartered in Berkeley, California.</t>
  </si>
  <si>
    <t>NasdaqGS:BLUE</t>
  </si>
  <si>
    <t>IQTR240095442</t>
  </si>
  <si>
    <t>IQ28921</t>
  </si>
  <si>
    <t>bluebird bio, Inc., a clinical-stage biotechnology company, focuses on developing transformative gene therapies for severe genetic and rare diseases. Its product candidates include Lenti-D, which is in phase II/III clinical studies for the treatment of cerebral adrenoleukodystrophy, a rare, hereditary neurological disorder; and LentiGlobin that is in phase I/II clinical studies for the treatment of beta-thalassemia major and severe sickle cell disease (SCD) in France, as well as a phase I study in the United States for the treatment of severe SCD. The company’s lead chimeric antigen receptor T cell-based product candidate is bb2121, which is in phase I clinical trials for the treatment of relapsed and refractory multiple myeloma. bluebird bio, Inc. has a strategic collaboration with Celgene Corporation to discover, develop, and commercialize disease-altering gene therapies in oncology; and Kite Pharma, Inc. to develop and commercialize second generation T cell receptor product candidates against the human papillomavirus type 16 E6 oncoprotein. The company was formerly known as Genetix Pharmaceuticals, Inc., and changed its name to bluebird bio, Inc. in September 2010. bluebird bio, Inc. was founded in 1992 and is headquartered in Cambridge, Massachusetts.</t>
  </si>
  <si>
    <t>Phase III and NDA Filed</t>
  </si>
  <si>
    <t>BeyondSpring Inc.</t>
  </si>
  <si>
    <t>NasdaqCM:BYSI</t>
  </si>
  <si>
    <t>IQTR409737963</t>
  </si>
  <si>
    <t>IQ409784135</t>
  </si>
  <si>
    <t>BeyondSpring Inc., a clinical stage biopharmaceutical company, focuses on the development of cancer therapies. The company is advancing its lead asset, Plinabulin, into a Phase 2/3 clinical trial for the reduction of docetaxel chemotherapy-induced severe, grade 4 neutropenia; a Phase 2/3 clinical trial for the prevention of non-docetaxel chemotherapy-induced severe, grade 4 neutropenia; and a Phase 3 clinical trial as an anticancer agent in combination with docetaxel in advanced NSCLC. BeyondSpring Inc. was founded in 2010 and is headquartered in New York, New York.</t>
  </si>
  <si>
    <t>Source: http://www.nasdaq.com/markets/ipos/company/beyondspring-inc-1008377-82102</t>
  </si>
  <si>
    <t>Clearside BioMedical, Inc.</t>
  </si>
  <si>
    <t>NasdaqGM:CLSD</t>
  </si>
  <si>
    <t xml:space="preserve"> IQTR321712938</t>
  </si>
  <si>
    <t>Clearside BioMedical, Inc., a biopharmaceutical company, develops drug therapies to treat chronic blinding diseases of the eye. Its products include CLS-1001 for the treatment of macular edema associated with non-infectious uveitis; CLS-1003 for the treatment of macular edema associated with retinal vein occlusion; and CLS-1002 program for the treatment of wet age-related macular degeneration. The company was founded in 2011 and is headquartered in Alpharetta, Georgia.</t>
  </si>
  <si>
    <t>NDA Filed</t>
  </si>
  <si>
    <t>Overall Metrics</t>
  </si>
  <si>
    <t>IPO - METRICS</t>
  </si>
  <si>
    <t>Offer Date</t>
  </si>
  <si>
    <t>Post IPO</t>
  </si>
  <si>
    <t>Post IPO + 30 Days</t>
  </si>
  <si>
    <t>Enterprise</t>
  </si>
  <si>
    <t>Multiple</t>
  </si>
  <si>
    <t xml:space="preserve">Multiple </t>
  </si>
  <si>
    <t xml:space="preserve"> Value</t>
  </si>
  <si>
    <t>iRhythm Technologies, Inc.</t>
  </si>
  <si>
    <t>NasdaqGM:IRTC</t>
  </si>
  <si>
    <t>IQTR402652323</t>
  </si>
  <si>
    <t>IQ34159879</t>
  </si>
  <si>
    <t>Obalon Therapeutics, Inc.</t>
  </si>
  <si>
    <t>NasdaqGM:OBLN</t>
  </si>
  <si>
    <t>IQTR383379322</t>
  </si>
  <si>
    <t>IQ41660644</t>
  </si>
  <si>
    <t>Tactile Systems Technology, Inc.</t>
  </si>
  <si>
    <t>NasdaqGM:TCMD</t>
  </si>
  <si>
    <t>IQTR323391525</t>
  </si>
  <si>
    <t>IQ6233509</t>
  </si>
  <si>
    <t>Pulse Biosciences, Inc.</t>
  </si>
  <si>
    <t>NasdaqCM:PLSE</t>
  </si>
  <si>
    <t>IQTR340039751</t>
  </si>
  <si>
    <t>IQ276735354</t>
  </si>
  <si>
    <t>PAVmed Inc.</t>
  </si>
  <si>
    <t>NasdaqCM:PAVM</t>
  </si>
  <si>
    <t>IQTR324054248</t>
  </si>
  <si>
    <t>IQ277974005</t>
  </si>
  <si>
    <t>Penumbra, Inc.</t>
  </si>
  <si>
    <t>NYSE:PEN</t>
  </si>
  <si>
    <t>IQTR309360508</t>
  </si>
  <si>
    <t>IQ28688621</t>
  </si>
  <si>
    <t>ConforMIS, Inc.</t>
  </si>
  <si>
    <t>NasdaqGS:CFMS</t>
  </si>
  <si>
    <t>IQTR301965169</t>
  </si>
  <si>
    <t>IQ22001832</t>
  </si>
  <si>
    <t>Glaukos Corporation</t>
  </si>
  <si>
    <t>NYSE:GKOS</t>
  </si>
  <si>
    <t>IQTR301015306</t>
  </si>
  <si>
    <t>IQ3131592</t>
  </si>
  <si>
    <t>AirXpanders, Inc.</t>
  </si>
  <si>
    <t>ASX:AXP</t>
  </si>
  <si>
    <t>IQTR300922266</t>
  </si>
  <si>
    <t>IQ30348884</t>
  </si>
  <si>
    <t>Invuity, Inc.</t>
  </si>
  <si>
    <t>NasdaqGM:IVTY</t>
  </si>
  <si>
    <t>IQTR291764631</t>
  </si>
  <si>
    <t>IQ52419231</t>
  </si>
  <si>
    <t>EndoChoice Holdings, Inc.</t>
  </si>
  <si>
    <t>IQ276305745</t>
  </si>
  <si>
    <t>IQTR296178104</t>
  </si>
  <si>
    <t>Avinger, Inc.</t>
  </si>
  <si>
    <t>NasdaqGM:AVGR</t>
  </si>
  <si>
    <t>IQTR280838605</t>
  </si>
  <si>
    <t>IQ98560456</t>
  </si>
  <si>
    <t>Entellus Medical, Inc.</t>
  </si>
  <si>
    <t>NasdaqGM:ENTL</t>
  </si>
  <si>
    <t>IQTR280524672</t>
  </si>
  <si>
    <t>IQ35555971</t>
  </si>
  <si>
    <t>Second Sight Medical Products, Inc.</t>
  </si>
  <si>
    <t>NasdaqCM:EYES</t>
  </si>
  <si>
    <t>IQTR276205620</t>
  </si>
  <si>
    <t>IQ7715922</t>
  </si>
  <si>
    <t>Nevro Corp.</t>
  </si>
  <si>
    <t>NYSE:NVRO</t>
  </si>
  <si>
    <t>IQTR273843042</t>
  </si>
  <si>
    <t>IQ30485592</t>
  </si>
  <si>
    <t>Great Basin Scientific, Inc.</t>
  </si>
  <si>
    <t>IQ49442390</t>
  </si>
  <si>
    <t>IQTR269958834</t>
  </si>
  <si>
    <t>IRadimed Corporation</t>
  </si>
  <si>
    <t>NasdaqCM:IRMD</t>
  </si>
  <si>
    <t>IQTR268366521</t>
  </si>
  <si>
    <t>IQ22110569</t>
  </si>
  <si>
    <t>K2M Group Holdings, Inc.</t>
  </si>
  <si>
    <t>NasdaqGS:KTWO</t>
  </si>
  <si>
    <t>IQTR260414996</t>
  </si>
  <si>
    <t>IQ260414991</t>
  </si>
  <si>
    <t>Lombard Medical, Inc.</t>
  </si>
  <si>
    <t>NasdaqGM:EVAR</t>
  </si>
  <si>
    <t>IQTR260150572</t>
  </si>
  <si>
    <t>IQ20947639</t>
  </si>
  <si>
    <t>TriVascular Technologies, Inc.</t>
  </si>
  <si>
    <t>IQ42894289</t>
  </si>
  <si>
    <t>IQTR260150583</t>
  </si>
  <si>
    <t>Semler Scientific, Inc.</t>
  </si>
  <si>
    <t>IQ248606993</t>
  </si>
  <si>
    <t>IQTR251548850</t>
  </si>
  <si>
    <t>Inogen, Inc.</t>
  </si>
  <si>
    <t>NasdaqGS:INGN</t>
  </si>
  <si>
    <t>IQTR252184099</t>
  </si>
  <si>
    <t>IQ7701753</t>
  </si>
  <si>
    <t>Amedica Corporation</t>
  </si>
  <si>
    <t>NasdaqCM:AMDA</t>
  </si>
  <si>
    <t>IQTR250068893</t>
  </si>
  <si>
    <t>IQ7282516</t>
  </si>
  <si>
    <t>Tandem Diabetes Care, Inc.</t>
  </si>
  <si>
    <t>NasdaqGM:TNDM</t>
  </si>
  <si>
    <t>IQTR247854082</t>
  </si>
  <si>
    <t>IQ46368713</t>
  </si>
  <si>
    <t>Veracyte, Inc.</t>
  </si>
  <si>
    <t>NasdaqGM:VCYT</t>
  </si>
  <si>
    <t>IQTR247100680</t>
  </si>
  <si>
    <t>IQ42154124</t>
  </si>
  <si>
    <t>Updated As on</t>
  </si>
  <si>
    <t>( Source:Neotract VD 3/31/17)</t>
  </si>
  <si>
    <t>IPO - METRICS (DIAGNOSTICS)</t>
  </si>
  <si>
    <t>Fulgent Genetics, Inc.</t>
  </si>
  <si>
    <t>NasdaqGM:FLGT</t>
  </si>
  <si>
    <t>IQTR382674010</t>
  </si>
  <si>
    <t>IQ315621345</t>
  </si>
  <si>
    <t>Fulgent Genetics, Inc., a technology company, focuses on providing genetic testing services to physicians with clinically actionable diagnostic information. The company’s technology platform integrates data comparison and suppression algorithms, learning software, and genetic diagnostics tools and integrated laboratory processes. It primarily serves hospitals and medical institutions. The company was formerly known as Fulgent Diagnostics, Inc. and changed its name to Fulgent Genetics, Inc. in August 2016. Fulgent Genetics, Inc. was founded in 2011 and is headquartered in Temple City, California.</t>
  </si>
  <si>
    <t>NantHealth, Inc.</t>
  </si>
  <si>
    <t>NasdaqGS:NH</t>
  </si>
  <si>
    <t>IQTR334962584</t>
  </si>
  <si>
    <t>IQ222554189</t>
  </si>
  <si>
    <t>NantHealth, Inc. operates as an evidence-based personalized healthcare company. The company engages in converging science and technology through an integrated clinical platform to provide health information at the point of care for critical illnesses. It develops NantHealth solutions, an adaptive learning system, including molecular profiling solution, software, middleware, and hardware systems infrastructure that collects, indexes, analyzes, and interprets various molecular, clinical, operational, and financial data points derived from novel and traditional sources to enhance decision-making. The company’s products include Genomic Proteomic Spectrometry (GPS) Cancer molecular profile that integrates whole genome and transcriptome sequencing, and quantitative proteomics; GPS Cancer Report, a clinical cancer platform; and eviti, a decision support oncology solution. It also develops GPS in rare diseases and chronic illnesses. In addition, the company offers Nant Operating System (NantOS) and NantOS apps that include proprietary methods and algorithms, including patient portal and health heritage NantOS apps, care coordination and real-time connectivity NantOS apps, Provider Portal NantOS App, Care Coordination NantOS App Suite, Referral Management NantOS App, and Secure Messaging NantOS App, as well as cancer genome browser for healthcare providers and payors, self-insured employers, and biopharmaceutical companies. Further, it provides real-time clinical learning NantOS, NantOS Apps, and engagement services comprising outcomes analytics, value monitor NantOS App, population health assessment NantOS App suite, Mission Control patient engagement services, and home health services; and NaviNet Open, a multi-tenant payor portal. The company was formerly known as Nant Health, LLC and changed its name to NantHealth, Inc. in June 2016. The company was founded in 2010 and is headquartered in Culver City, California. NantHealth, Inc. is a subsidiary of NantWorks, LLC.</t>
  </si>
  <si>
    <t>HTG Molecular Diagnostics, Inc.</t>
  </si>
  <si>
    <t>NasdaqCM:HTGM</t>
  </si>
  <si>
    <t>IQTR280838156</t>
  </si>
  <si>
    <t>IQ1519732</t>
  </si>
  <si>
    <t>HTG Molecular Diagnostics, Inc. develops and markets technology platforms that facilitate the routine use of complex molecular profiling. The company’s HTG Edge and HTG EdgeSeq platforms consist of instrumentation, consumables, and software analytics that are used in molecular profiling applications, including tumor profiling, biomarker development and prospectively, and molecular diagnostic testing. The company’s platforms automate the molecular profiling of genes and gene activity using its nuclease protection chemistry on various biological samples. It provides molecular profiling panels targeting late stage drug development programs with potential breakthrough therapies, such as immuno-oncology. HTG Molecular Diagnostics, Inc. distributes its instruments and consumables directly in the United States and Europe; and through distributors or sales agents in parts of Europe and internationally. The company was formerly known as HTG, Inc. and changed its name to HTG Molecular Diagnostics, Inc. in March 2011. HTG Molecular Diagnostics, Inc. was incorporated in 1997 and is based in Tucson, Arizona.</t>
  </si>
  <si>
    <t>Capnia, Inc.</t>
  </si>
  <si>
    <t>NasdaqCM:CAPN</t>
  </si>
  <si>
    <t>IQTR276752870</t>
  </si>
  <si>
    <t>IQ2520553</t>
  </si>
  <si>
    <t>Capnia, Inc. develops and commercializes neonatology devices, diagnostics, and therapeutics platform based on its proprietary technology for precision metering of gas flow primarily in the United States. The company offers CoSense, an end-tidal carbon monoxide monitor, for the diagnosis of excessive hemolysis, a condition in which red blood cells degrade rapidly. It also develops Serenz, a handheld device that delivers non-inhaled carbon dioxide topically to the nasal mucosa for the treatment of symptoms of allergic rhinitis. In addition, the company provides NeoPip T-piece resuscitator and related consumables, which delivers consistent pre-set inspiratory pressure and positive end-expiratory pressures; temperature probes; scales; surgical tables; and patient surfaces for inpatient and ambulatory neonatal markets. Capnia, Inc. was founded in 1999 and is headquartered in Redwood City, California.</t>
  </si>
  <si>
    <t>T2 Biosystems, Inc.</t>
  </si>
  <si>
    <t>NasdaqGM:TTOO</t>
  </si>
  <si>
    <t>IQTR267235469</t>
  </si>
  <si>
    <t>IQ30844795</t>
  </si>
  <si>
    <t>T2 Biosystems, Inc., an in vitro diagnostics company, develops diagnostic products and product candidates in the United States. It provides T2 Magnetic Resonance platform that enables detection of pathogens, biomarkers, and other abnormalities in various unpurified patient sample types, including whole blood, plasma, serum, saliva, sputum, and urine. The company also offers T2Dx, a bench-top instrument for sepsis, Lyme disease, and other applications, as well as T2Candida panel for the detection of candida species in human whole blood specimens. In addition, it is developing T2Bacteria, a multiplex diagnostic panel that detects various bacterial pathogens associated with sepsis; T2Lyme for the detection of various strains of Lyme disease-causing bacteria; and T2Plex, an integrated instrument for hemostasis applications, as well as T2HemoStat panel, a panel of diagnostic tests that can provide data across the hemostasis spectrum, including measurements of fibrinogen, platelet activity, and clot lysis. The company has collaboration agreement with Canon U.S. Life Sciences, Inc. to develop a novel diagnostic test panel to detect Lyme disease, a tick-borne illness; and Allergan Sales, LLC for the direct detection diagnostic test panel that adds additional bacteria species to the existing T2Bacteria product candidate and testing drug resistance directly in whole blood. T2 Biosystems, Inc. was founded in 2006 and is headquartered in Lexington, Massachusetts.</t>
  </si>
  <si>
    <t>Veracyte, Inc. operates as a molecular diagnostics company in the United States. The company uses genomic technology to resolve diagnostic ambiguity. It offers Afirma Thyroid FNA Analysis solution for use in thyroid cancer diagnosis; cytopathology testing services; and the Afirma Malignancy Classifiers to manage thyroid nodule patients. The company’s products also include Percepta Bronchial Genomic Classifier solution for use in lung cancer screening and diagnosis; and Envisia Genomic Classifier solution for idiopathic pulmonary fibrosis. It sells its products through its product specialists, institutional channel managers, account managers, and clinical science specialists. The company was formerly known as Calderome, Inc. and changed its name to Veracyte, Inc. in March 2008. Veracyte, Inc. was incorporated in 2006 and is headquartered in South San Francisco, California.</t>
  </si>
  <si>
    <t>Foundation Medicine, Inc.</t>
  </si>
  <si>
    <t>NasdaqGS:FMI</t>
  </si>
  <si>
    <t>IQTR243766734</t>
  </si>
  <si>
    <t>IQ100846258</t>
  </si>
  <si>
    <t>Foundation Medicine, Inc. provides various molecular information products in the United States. The company’s molecular information platform includes proprietary methods and algorithms to analyze specimens across various types of cancer, as well as for incorporating that information into clinical care; and offers genomic information about each patient’s individual cancer, enabling physicians to optimize treatments in clinical practice and biopharmaceutical companies to develop targeted oncology therapies. It provides clinical products, such as FoundationOne for solid tumors; FoundationOne Heme for blood-based cancers, or hematologic malignancies, including leukemia, lymphoma, and myeloma, as well as sarcomas and pediatric cancers; Foundation Assay for Circulating Tumor; FoundationFocus CDxBRCA, a diagnostic assay to aid in identifying women with ovarian cancer. The company also offers FoundationCORE, a knowledgebase to publish scientific and medical advances, and foster relationships throughout the oncology community. In addition, it has strategic collaboration agreements with WuXi PharmaTech Inc.; F. Hoffmann-La Roche Ltd.; and Genentech, Inc. The company was founded in 2009 and is headquartered in Cambridge, Massachusetts. Foundation Medicine, Inc. is a subsidiary of Roche Holdings, Inc.</t>
  </si>
  <si>
    <t>Intrexon Corporation</t>
  </si>
  <si>
    <t>NYSE:XON</t>
  </si>
  <si>
    <t>IQTR242653724</t>
  </si>
  <si>
    <t>IQ22365961</t>
  </si>
  <si>
    <t>Intrexon Corporation operates in the synthetic biology field in the United States. The company, through a suite of proprietary and complementary technologies, designs, builds, and regulates gene programs, which are DNA sequences that consist of key genetic components. Its technologies include UltraVector gene design and fabrication platform, and its associated library of modular DNA components; Cell Systems Informatics; RheoSwitch inducible gene switch; AttSite Recombinases; Protein Engineering; Laser-Enabled Analysis and Processing; and ActoBiotics platform. It also provides reproductive technologies and other genetic processes to cattle breeders and producers; genetic preservation and cloning technologies; genetically engineered swine for medical and genetic research; biological insect control solutions; technologies for non-browning apple without the use of any flavor-altering chemical or antioxidant additives; commercial aquaculture products; and artwork, children's toys, and novelty goods that are derived from living organisms or enabled by synthetic biology. The company serves health, food, energy, environment, and consumer sectors. Intrexon Corporation has collaboration and license agreements with Ares Trading S.A.; ZIOPHARM Oncology, Inc.; Oragenics, Inc.; Fibrocell Science, Inc.; Genopaver, LLC; S &amp; I Ophthalmic, LLC; OvaXon, LLC; Intrexon Energy Partners, LLC; Persea Bio, LLC; Thrive Agrobiotics, Inc.; Intrexon Energy Partners II, LLC; and others. The company was formerly known as Genomatix Ltd. and changed its name to Intrexon Corporation in 2005. Intrexon Corporation was founded in 1998 and is based in Germantown, Maryland.</t>
  </si>
  <si>
    <t>(Source: Biodesix VS 4/12/17)</t>
  </si>
  <si>
    <t>First Pricing Date</t>
  </si>
  <si>
    <t>Hybrid OPM</t>
  </si>
  <si>
    <t>Hybrid Scenario</t>
  </si>
  <si>
    <t>Probability Weightings (3)</t>
  </si>
  <si>
    <t>Present Value Per Common Stock Share</t>
  </si>
  <si>
    <t>Series B - Value Per Share Calculation</t>
  </si>
  <si>
    <t>Total Value</t>
  </si>
  <si>
    <t>No. of Series B Shares</t>
  </si>
  <si>
    <t>Previous VD</t>
  </si>
  <si>
    <t>Present Value Per Series B Share</t>
  </si>
  <si>
    <t>Present Value of Equity Value</t>
  </si>
  <si>
    <t>Probability Adjusted Present Value</t>
  </si>
  <si>
    <t>Series B OIP</t>
  </si>
  <si>
    <t>Backsolve &gt;&gt;</t>
  </si>
  <si>
    <t>Probability weightings for the IPO scenarios are based on the PWERM analysis. Refer to Exhibit B.1 for details. Residual probability has been assigned to the OPM value conclusion.</t>
  </si>
  <si>
    <t>&lt;&lt;-- Link this to latest series raise</t>
  </si>
  <si>
    <t>Option Pricing Method - Breakpoints &amp; Allocation (Hybrid OPM)</t>
  </si>
  <si>
    <t>Option Pricing Method - Implied Value Per Share (Hybrid OPM)</t>
  </si>
  <si>
    <t>Discount for Lack of Marketability - Option Models (Hybrid OPM)</t>
  </si>
  <si>
    <t>Asset Volatility (Hybrid OPM)</t>
  </si>
  <si>
    <t>Interpolation - Hybrid OPM</t>
  </si>
  <si>
    <t>Hybrid DLOM</t>
  </si>
  <si>
    <t>Interpolation - Hybrid DLOM</t>
  </si>
  <si>
    <t>Volatility (Hybrid OPM)</t>
  </si>
  <si>
    <t>Call Options</t>
  </si>
  <si>
    <t>1 to 2</t>
  </si>
  <si>
    <t>2 to 3</t>
  </si>
  <si>
    <t>3 to 4</t>
  </si>
  <si>
    <t>4 to 5</t>
  </si>
  <si>
    <t>5 to 6</t>
  </si>
  <si>
    <t>6 to 7</t>
  </si>
  <si>
    <t>7 to 8</t>
  </si>
  <si>
    <t>8 to 9</t>
  </si>
  <si>
    <t>9 to 10</t>
  </si>
  <si>
    <t>10 to 11</t>
  </si>
  <si>
    <t>11 to 12</t>
  </si>
  <si>
    <t>Incremental N(d1)</t>
  </si>
  <si>
    <t>Security Volatility</t>
  </si>
  <si>
    <t>Security</t>
  </si>
  <si>
    <t>Wtd. Avg</t>
  </si>
  <si>
    <t>N(d1)</t>
  </si>
  <si>
    <t>12 to 13</t>
  </si>
  <si>
    <t>13 to 14</t>
  </si>
  <si>
    <t>14 to 15</t>
  </si>
  <si>
    <t>15 to 16</t>
  </si>
  <si>
    <t>After 16</t>
  </si>
  <si>
    <t>Update based on no. of breakpoints</t>
  </si>
  <si>
    <t>Spark Therapeutics, Inc. focuses on the development of gene therapy products for patients suffering from debilitating genetic diseases. Its products include voretigene neparvovec, which is in Phase III clinical trial for the treatment of genetic blinding conditions called inherited retinal diseases caused by non sex-linked, autosomal recessive, or biallelic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a form of Batten disease and Huntington's disease; RhoNova for the treatment of rhodopsin-linked autosomal dominant retinitis pigmentosa; and SPK-LHON for treating Leber hereditary optic neuropathy, as well as preclinical programs in development for the treatment of rare genetic blinding conditions, hematologic disorders,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t>
  </si>
  <si>
    <t>CRISPR Therapeutics AG, a gene editing company, focuses on developing transformative gene-based medicines for the treatment of serious human diseases using its proprietary clustered, regularly interspaced short palindromic repeats associated protein-9 (CRISPR/Cas9 )gene-editing platform in Switzerland. The CRISPR/Cas9 technology allows for changes to genomic DNA. It has a collaboration agreement with Vertex Pharmaceuticals, Incorporated to develop, manufacture, commercialize, sell, and use therapeutics; and license agreement with Anagenesis Biotechnologies SAS. CRISPR Therapeutics AG is headquartered in Basel, Switzerland.</t>
  </si>
  <si>
    <t>WAVE Life Sciences Ltd., a genetic medicines company, designs, develops, and commercializes nucleic acid therapeutic candidates for genetically defined diseases by utilizing proprietary synthetic chemistry drug development platform. The company is primarily developing oligonucleotides that target genetic defects to either reduce the expression of disease-promoting proteins or transform the production of dysfunctional mutant proteins into the production of functional proteins. It focuses on proprietary programs in neurology in the central nervous system and neuromuscular system. The company has a research, license, and option agreement with Pfizer Inc. for the discovery, development, and commercialization of stereopure oligonucleotide therapeutics. WAVE Life Sciences Ltd. was founded in 2012 and is based in Cambridge, Massachusetts.</t>
  </si>
  <si>
    <t>REGENXBIO Inc., a clinical-stage biotechnology company, provides gene therapy product candidates to deliver genes to cells to address genetic defects or to enable cells in the body to produce therapeutic proteins that are intended to impact disease. Its gene therapy product candidates are based on NAV Technology Platform, a proprietary adeno-associated virus (AAV) gene delivery platform. The company’s lead product candidate is RGX-314 for the treatment of wet age-related macular degeneration. It is also developing RGX-501, a product candidate for the treatment of homozygous familial hypercholesterolemia, which uses the AAV8 vector to deliver the human low-density lipoprotein receptor gene to liver cells; and RGX-111, a product candidate to treat the neurological symptoms of Mucopolysaccharidosis Type I that uses the AAV9 vector to deliver the human a-l-iduronidase gene to the central nervous system (CNS). In addition, the company engages in the development of RGX-121, a product candidate for the treatment of Mucopolysaccharidosis Type II, which uses the AAV9 vector to deliver the human iduronate-2-sulfatase gene to the CNS. Further, it licenses its NAV vectors to various other biotechnology companies. The company was formerly known as REGENX Biosciences, LLC and changed its name to REGENXBIO Inc. in September 2014. REGENXBIO Inc. was founded in 2008 and is headquartered in Rockville, Maryland.</t>
  </si>
  <si>
    <t>Inovio Pharmaceuticals, Inc., a clinical stage biopharmaceutical company, develops active DNA immunotherapies and vaccines in combination with proprietary electroporation delivery devices to prevent and treat cancers and infectious diseases. Its SynCon immunotherapy design has the ability to break the immune system’s tolerance of cancerous cells; and SynCon product design is also intended to facilitate cross-strain protection against known, as well as new unmatched strains of pathogens, such as influenza. It has completed, current or planned clinical programs of its proprietary SynCon immunotherapies for HPV-caused pre-cancers and cancers, influenza, prostate cancer, breast/lung/pancreatic cancer, hepatitis C virus, hepatitis B virus, HIV, Ebola, Middle East Respiratory Syndrome, and Zika virus. The company’s partners and collaborators include MedImmune, LLC, the Wistar Institute, University of Pennsylvania, Defense Advanced Research Projects Agency, GeneOne Life Science, Plumbline Life Sciences, ApolloBio Corporation, Drexel University, the National Institutes of Health, HIV Vaccines Trial Network, National Cancer Institute, and U.S. Military HIV Research Program. Inovio Pharmaceuticals, Inc. was founded in 1979 and is headquartered in Plymouth Meeting, Pennsylvania.</t>
  </si>
  <si>
    <t>Editas Medicine, Inc. operates as a genome editing company. It focuses on treating patients with genetically defined diseases by correcting their disease causing genes. It is developing a proprietary genome editing platform based on CRISPR technology to target genetically defined diseases with an initial focus on debilitating illnesses where there are no approved treatments. Editas Medicine, Inc. has a collaboration and license agreement with Juno Therapeutics, Inc. for the research and development of engineered T cells with chimeric antigen receptors and T cell receptors; and collaboration, option, and license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based in Cambridge, Massachusetts.</t>
  </si>
  <si>
    <t>NantKwest, Inc., a clinical-stage immunotherapy biotechnology company, develops immunotherapeutic treatments for cancer, infectious diseases, and inflammatory diseases in the United States. The company develops activated natural killer product candidates for the treatment of virally-induced cancers, such as polyoma virus induced merkel cell carcinoma, human papilloma virus induced cervical, and head and neck cancers; infectious diseases, including Ebola; and other serious viral, fungal, and bacterial infections. It is also develops high-affinity natural killer product candidates primarily for the treatment of solid tumors, breast cancer, head and neck/squamous, lymphoma, and various cancer;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t>
  </si>
  <si>
    <t>Cocrystal Pharma, Inc., a preclinical-stage biopharmaceutical company, focuses on developing antiviral therapeutics for human diseases. The company focuses on developing inhibitors that target viral replication enzymes and viral replication protein. It is developing antiviral therapeutics for human diseases, including hepatitis C virus (HCV), influenza virus, and norovirus. The company also develops targeted in-house chemical libraries consisting of nucleosides, non-nucleoside inhibitors, metal-binding inhibitors, and fragments. Cocrystal Pharma, Inc. was founded in 2007 and is headquartered in Tucker, Georgia.</t>
  </si>
  <si>
    <t>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and partnered programs focuses on chimeric antigen receptor T cells and hematopoietic stem cells. Intellia Therapeutics Inc. has collaboration agreement with Novartis; Regeneron Pharmaceuticals, Inc.; and Caribou Biosciences, Inc. The company was formerly known as AZRN, Inc. and changed its name to Intellia Therapeutics Inc. in July 2014. Intellia Therapeutics Inc. was founded in 2014 and is headquartered in Cambridge, Massachusetts.</t>
  </si>
  <si>
    <t>GenSight Biologics S.A.</t>
  </si>
  <si>
    <t>Advaxis, Inc., a clinical stage biotechnology company, focuses on the discovery, development, and commercialization of Lm-LLO cancer immunotherapies in the United States. Its lead product Axalimogene filolisbac, an Lm-LLO immunotherapy product candidate, which completed its Phase II study for the treatment of human papilloma virus associated cancers, including cervical, head and neck, and anal cancer. The company is also developing ADXS-PSA, an Lm-LLO immunotherapy product candidate, which is in Phase I/II clinical trials designed to target the prostate specific antigen associated with prostate cancer; and ADXS-HER2, an Lm-LLO immunotherapy product candidate that is in Phase Ib clinical trials used for the treatment of human epidermal growth factor receptor 2 expressing cancers, including human and canine osteosarcoma. It has clinical trial collaboration agreements with Merck &amp; Co., Inc. for the Phase I/II dose-escalation and safety study of ADXS31-142; and MedImmune, LLC to initiate a Phase I/II clinical study in the United States to evaluate MEDI4736, an investigational anti-PD-L1 immune checkpoint inhibitor. The company also has a licensing agreement with Global BioPharma Inc.; co-development and commercialization agreement with Especificos Stendhal SA de CV; and collaboration agreement with Amgen Inc. for the development and commercialization of ADXS-NEO, a preclinical investigational cancer immunotherapy treatment that activates patient’s immune system to respond against mutations or neoepitopes. Advaxis, Inc. was founded in 2002 and is based in Princeton, New Jersey.</t>
  </si>
  <si>
    <t>Audentes Therapeutics, Inc., a biotechnology company, focuses on developing and commercializing gene therapy products for patients suffering from diseases caused by single gene defects in the United States. The company is developing AT132 for the treatment of X-linked myotubular myopathy; AT342 for the treatment of crigler-najjar syndrome type 1; AT982 for the treatment of pompe disease; and AT307 for the treatment of the CASQ2 subtype of catecholaminergic polymorphic ventricular tachycardia. Audentes Therapeutics, Inc. has a collaboration with the University of Pennsylvania for the treatment of Crigler-Najjar. The company was founded in 2012 and is headquartered in San Francisco, California.</t>
  </si>
  <si>
    <t>Syros Pharmaceuticals, Inc., a biopharmaceutical company, focuses on developing treatments for cancer and immune-mediated diseases, and building a pipeline of gene control medicines. Its lead drug candidates are SY-1425, a selective RARa agonist in a Phase 2 clinical trial for genomically defined subsets of patients with acute myeloid leukemia and myelodysplastic syndrome; and SY-1365, a selective CDK7 inhibitor with potential in a range of solid tumors and blood cancers. The company was formerly known as LS22, Inc. and changed its name to Syros Pharmaceuticals, Inc. in August 2012. Syros Pharmaceuticals, Inc. was founded in 2011 and is based in Cambridge, Massachusetts.</t>
  </si>
  <si>
    <t>Abeona Therapeutics Inc. focuses on developing and delivering gene therapy and plasma-based products for severe and life-threatening rare diseases. The company’s lead programs are ABO-101 and ABO-102, which are adeno-associated virus -based gene therapies for Sanfilippo syndrome. It is also developing EB-201 for epidermolysis bullosa (EB); ABO-201 gene therapy for juvenile Batten disease; ABO-202 gene therapy for treatment of infantile Batten disease; ABO-301 for Fanconi anemia disorder; and ABO-302 using a novel CRISPR/Cas9-based gene editing approach to gene therapy program for rare blood diseases. In addition, the company is developing plasma-based protein therapies, including SDF Alpha, an alpha-1 protease inhibitor for inherited COPD using its proprietary salt diafiltration ethanol-free process.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The company was formerly known as PlasmaTech Biopharmaceuticals, Inc. and changed its name to Abeona Therapeutics Inc. in June 2015. Abeona Therapeutics Inc. was incorporated in 1989 and is based in Dallas, Texas.</t>
  </si>
  <si>
    <t>Idera Pharmaceuticals, Inc., a clinical-stage biopharmaceutical company, focuses on the discovery, development, and commercialization of oligonucleotide therapeutics for oncology and rare diseases in the United States. It uses two drug discovery technology platforms to design and develop drug candidates, including toll-like receptor targeting technology and third-generation antisense (3GA) technology. The company’s drug candidates include IMO-2125, an agonist that is in Phase I/II clinical trials in combination with ipilimumab and pembrolizumab for the treatment of anti-PD-1 refractory metastatic melanoma and refractory solid tumors; IMO-8400, an antagonist, which is in Phase II clinical trial for the treatment of dermatomyositis. It also develops IDRA-008 for undisclosed liver target for rare disorder; 3GA compound for renal target; and IMO-9200, a drug candidate for potential use in selected autoimmune disease indications. In addition, the company is developing drug candidates to turn off the messenger RNA associated with disease causing genes. Idera Pharmaceuticals, Inc. has collaboration and license agreement with GSK to research, develop, and commercialize selected molecules from its 3GA technology for the treatment of selected targets in renal disease; collaboration with Abbott Molecular Inc. for the development of an in vitro companion diagnostic; and Merck &amp; Co to research, develop, and commercialize vaccine products. The company was founded in 1989 and is based in Cambridge, Massachusetts.</t>
  </si>
  <si>
    <t>Achillion Pharmaceuticals, Inc., a biopharmaceutical company, discovers, develops, and commercializes small molecule drug therapies for infectious diseases and immune system disorders in the United States and internationally. Its drug candidates for treating chronic hepatitis C virus (HCV) infection comprise Odalasvir, a NS5A inhibitor, which has completed Phase IIa clinical trials; ACH-3422, a NS5B nucleotide polymerase inhibitor; and Sovaprevir, a NS3 protease inhibitor that has completed Phase II clinical trial. The company is also developing ACH-4471, a complement factor D inhibitor, which is in Phase I clinical trial to treat patients with paroxysmal nocturnal hemoglobinuria and C3G, a disease resulting from alternative pathway over-activation; and other factor D inhibitors. It has a license and development agreement with Ora, Inc. for the development and commercialization of ACH-702, a drug candidate that is delivered topically or locally; and collaboration arrangement with Janssen Pharmaceuticals Inc. to develop and commercialize antiviral drug candidates for treating HCV infection. The company was founded in 1998 and is headquartered in New Haven, Connecticut.</t>
  </si>
  <si>
    <t>Sangamo Therapeutics, Inc.</t>
  </si>
  <si>
    <t>Sangamo Therapeutics, Inc., a clinical stage biopharmaceutical company, focuses on translating ground-breaking science into genomic therapies that transform patients' lives using platform technologies in genome editing, gene therapy, gene regulation, and cell therapy. The company’s proprietary zinc finger DNA-binding protein (ZFP) technology enables specific genome editing and gene regulation. The ZFPs could be engineered to make ZFP nucleases (ZFNs), proteins that could be used to specifically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Phase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proprietary preclinical programs in other LSDs; and research stage programs in certain central nervous system disorders and cancer immunotherapies. It has collaborative partnerships with Biogen Inc. to develop therapeutic genome editing products in hemoglobinopathies; and with Shire International GmbH to develop the preclinical development program in Huntington’s disease, as well as license agreement with Sigma-Aldrich Corporation to develop ZFP-based laboratory research reagents and Dow AgroSciences, LLC to modify the genomes or alter protein expression of plant cells, plants, or plant cell cultures. The company was formerly known as Sangamo BioSciences, Inc. and changed its name to Sangamo Therapeutics, Inc. in January 2017. Sangamo Therapeutics, Inc. was founded in 1995 and is headquartered in Richmond, California.</t>
  </si>
  <si>
    <t>Immune Design Corp., a clinical-stage immunotherapy company, engages in the research and development of in vivo treatments for cancer. It primarily develops oncology product candidates based on its ZVex and GLAAS product discovery platforms. The company’s products include CMB305, which is in Phase 2 trial for the treatment of NY-ESO-1 tumor antigen; LV305 that is in Phase 1 trial for the treatment of patients with relapsed or metastatic melanoma, sarcoma, ovarian cancer, or non-small cell lung cancer that express NY-ESO-1; and G100, an intratumoral immune activation product candidate for the treatment of patients with Merkel cell carcinoma and non-Hodgkin Lymphoma. In addition, its technologies are also used in the fields of infectious diseases and allergies. The company has license agreements with California Institute of Technology, University of North Carolina at Chapel Hill, TheraVectys SA, Infectious Disease Research Institute, MedImmune LLC, and Sanofi; and a collaboration agreement with Sanofi Pasteur. Immune Design Corp. was founded in 2008 and is headquartered in Seattle, Washington.</t>
  </si>
  <si>
    <t>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engineered hnCD16 induced pluripotent stem cells (iPSC)-derived natural killer cell therapy candidates for hematologic/solid tumors; and engineered chimeric antigen receptor iPSC-derived T cell therapy product candidates for hematologic/solid tumors. The company’s immuno-regulation product candidates comprise ProTmune, an investigational programmed cellular immunotherapy for use as a next-generation allogeneic hematopoietic cell transplantation cell graft; and ToleraCyte for the treatment of autoimmune and inflammatory diseases; engineered iPSC-derived CD34+ cell therapy for immune disorders. Fate Therapeutics, Inc. has a research collaboration and license agreement with Memorial Sloan Kettering Cancer Center to develop off-the-shelf T-cell immunotherapies; and strategic research collaboration and license agreement with Juno Therapeutics, Inc. to identify small molecule modulators that enhance the function of T cells. Fate Therapeutics, Inc. was founded in 2007 and is headquartered in San Diego, California.</t>
  </si>
  <si>
    <t>Regulus Therapeutics Inc., a biopharmaceutical company, focuses on the discovery and development of drugs that target microRNAs to treat a range of diseases in the United States. The company uses its microRNA product platform to develop anti-miRs, which are chemically modified and single-stranded oligonucleotides. Its clinical development products include RG-101, a GalNAc-conjugated anti-miR targeting miR-122 to treat patients with hepatitis C virus infection; RG-012, an anti-miR targeting microRNA-21 for the treatment of Alport syndrome; RG-125, a GalNAc-conjugated anti-miR targeting microRNA-103/107 for the treatment of non-alcoholic fatty liver disease; RGLS5040, an anti-miR targeting microRNA-27 for the treatment of cholestatic disease; and RGLS4326, an anti-miR targeting microRNA-17 for the treatment of autosomal dominant polycystic kidney disease. The company has strategic alliance with AstraZeneca AB and Sanofi to discover, develop, and commercialize microRNA therapeutics; and Biogen Inc. on microRNA biomarkers for multiple sclerosis, as well as a clinical trial collaboration agreement with GSK LLC. Regulus Therapeutics Inc. was founded in 2007 and is headquartered in San Diego, California.</t>
  </si>
  <si>
    <t>PhaseRx, Inc., a biopharmaceutical company, engages in developing a portfolio of products for the treatment of inherited enzyme deficiencies in the liver using intracellular enzyme replacement therapy. The company develops its products based on its proprietary Hybrid mRNA technology platform, which allows the synthesis of missing enzyme inside the cell. Its therapeutic urea cycle disorder programs under development include PRX-OTC to treat ornithine transcarbamylase deficiency; PRX-ASL to treat argininosuccinate lyase deficiency; and PRX-ASS1 to treat argininosuccinate synthetase deficiency. The company was incorporated in 2006 and is headquartered in Seattle, Washington.</t>
  </si>
  <si>
    <t>Marina Biotech, Inc., a biopharmaceutical company, engages in the discovery, acquisition, development, and commercialization of proprietary drug therapeutics for addressing unmet medical needs in the United States, Europe, and internationally. The company has three clinical development programs, such as IT-102 and IT-103, a celecoxib program drug candidates for the treatment of combined arthritis pain/hypertension and the treatment of pain requiring a high dose of celecoxib; CEQ508, an oral delivery of small interfering RNA against beta-catenin, combined with IT-102 to suppress polyps in the precancerous syndrome and orphan indication of familial adenomatous polyposis; and CEQ508 combined with IT-103 to treat colorectal cancer. Its preclinical pipeline includes oligotherapeutics for the treatment of bladder cancer, inflammatory bowel, and duchenne muscular dystrophy diseases. The company is based in City of Industry, California.</t>
  </si>
  <si>
    <t>RXi Pharmaceuticals Corporation, a clinical-stage company, focuses on developing therapeutics for unmet medical needs. It develops therapies based on its self-delivering RNAi (sd-rxRNA) platform; and Samcyprone topical immunomodulatory. The company’s clinical development programs include RXI-109, an sd-rxRNA compound, which is in Phase II clinical trial for preventing or reducing dermal scarring following scar revision surgery of an existing hypertrophic scar; and in Phase I/II clinical trial for treating retinal scarring, as well as in discovery stage for the treatment of corneal scarring. Its clinical development programs also comprise RXI-231, an sd-rxRNA compound targeting tyrosinase, which is in development stage as a cosmetic ingredient for treating uneven skin tone and pigmentation; and RXI-185, an sd-rxRNA compound targeting collagenase that is in development stage as a cosmetic ingredient for treating wrinkles and skin laxity. The company is also developing Samcyprone, a formulation of the small molecule diphenylcyclopropenone, which is in Phase IIa clinical trial for the clearance of common warts. In addition, it is developing cell-based cancer immunotherapies. RXi Pharmaceuticals Corporation was incorporated in 2011 and is headquartered in Marlborough, Massachusetts.</t>
  </si>
  <si>
    <t>Benitec Biopharma Limited, a biotechnology company, develops treatments for chronic and life-threatening human diseases based on its gene silencing therapy, DNA-directed RNA interference (ddRNAi) in Australia, the United Kingdom, and the United States. Its in-house development programs include TT-034, which is in Phase I/IIa clinical trials for the treatment of hepatitis C; BB-HB-331 for the treatment of the hepatitis B virus; and ddRNAi-based therapies, such as BB-AMD-211 and BB-AMD-233 for the treatment of wet age-related macular degeneration (AMD), as well as BB-AMD-231 for the treatment of wet and dry AMD. The company also engages in developing a ddRNAi-based gene therapy for the treatment of oculopharyngeal muscular dystrophy, an autosomal-dominant inherited, slow-progressing, and late-onset degenerative muscle disorder that occurs at the age of 40 or 50 years in patients. In addition, it licenses its ddRNAi technology to other biopharmaceutical companies for the progress of HIV/AIDS, retinitis pigmentosa, cancer immunotherapy, Huntington’s disease, and neuropathic pain programs. The company has a strategic partnership with Nant Capital, LLC for a scientific collaboration in clinical programs; and a research collaboration agreement with Nant Capital LLC for the clinical development of BB-401, a recombinant DNA construct that produces an antisense RNA with specificity against epidermal growth factor receptor. Benitec Biopharma Limited was founded in 1995 and is headquartered in North Sydney, Australia.</t>
  </si>
  <si>
    <t>GenVec, Inc., a clinical-stage biopharmaceutical company, focuses on developing a pipeline of therapeutics and vaccines through its proprietary AdenoVerse gene delivery platform in the United States. It designs, tests, and manufactures adenoviral-based product candidates. The company’s lead product candidate is CGF166, which is in Phase I/II clinical trial for the treatment of hearing loss and balance disorders. It is also developing GV2311 vaccine for respiratory syncytial virus; and GV2207 vaccine for the treatment of herpes simplex virus. The company has a collaboration agreement with Novartis AG to develop CGF166. It also has collaboration agreement with TheraBiologics, Inc. to develop cancer therapeutics; National Institute of Allergy and Infectious Diseases to generate vaccine candidates for the prevention of malaria; Laboratory of Malaria Immunology and Vaccinology to create and test various malaria vaccine candidates; and Merial to develop and commercialize vaccine and anti-viral candidates for the prevention and containment of foot-and-mouth diseases in livestock and other animals. The company was founded in 1992 and is based in Gaithersburg, Maryland.</t>
  </si>
  <si>
    <t>Arbutus Biopharma Corporation, a biopharmaceutical company, engages in discovering, developing, and commercializing a cure for patients suffering from chronic Hepatitis B virus (HBV) infection in Canada and the United States. It also develops a pipeline of products based on RNA interference therapeutics (RNAi). The company’s lead candidate is ARB-1467, which is in a Phase II trial to eliminate HBV surface antigen expression in patients chronically infected with HBV. Its product candidates also comprise ARB-1740, a pan-genotypic second-generation siRNA therapeutic in Phase II multi-dose study in Hepatitis B e antigen-chronic HBV patients; and AB-423, a core protein/capsid assembly inhibitor in Phase I clinical trial as an oral therapeutic for the treatment of chronic HBV infection. In addition, the company has various research programs for the discovery and development of proprietary HBV candidates, including oral surface antigen inhibitors, cccDNA targeting agents, and immunomodulators. Further, its partnered programs consist of Patisiran (ALN-TTR02), an RNAi therapeutic targeting transthyretin (TTR) in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DCR-PH1 for the treatment of primary hyperoxaluria type 1. The company was formerly known as Tekmira Pharmaceuticals Corporation and changed its name to Arbutus Biopharma Corporation in July 2015. Arbutus Biopharma Corporation is headquartered in Burnaby, Canada.</t>
  </si>
  <si>
    <t>We considered equity volatility of 8 year lookback period if the term considered in asset volatility exceeded 8 year holding period.</t>
  </si>
  <si>
    <t>Class Volatility (Hybrid OPM)</t>
  </si>
  <si>
    <t>IPO High</t>
  </si>
  <si>
    <t>IPO Low</t>
  </si>
  <si>
    <t>Update Logo as per Main Title Sheet</t>
  </si>
  <si>
    <t>Reasons (if any)</t>
  </si>
  <si>
    <t>List of Checks</t>
  </si>
  <si>
    <t>Check for difference in remaining allocable value and total value allocable by class</t>
  </si>
  <si>
    <t>Value Check</t>
  </si>
  <si>
    <t>DCF</t>
  </si>
  <si>
    <t>Check for Growth Rate</t>
  </si>
  <si>
    <t>Check for Terminal Discount Rate</t>
  </si>
  <si>
    <t>Hist BS</t>
  </si>
  <si>
    <t>Life &gt; &gt;</t>
  </si>
  <si>
    <t>Existing Asset</t>
  </si>
  <si>
    <t>IRC 409A Common Stock Independent Appraisal</t>
  </si>
  <si>
    <t>DO NOT DELETE -&gt;&gt;</t>
  </si>
  <si>
    <t>Check for Balance sheet total match</t>
  </si>
  <si>
    <t>Beta Cal</t>
  </si>
  <si>
    <t>Update this if not taking median</t>
  </si>
  <si>
    <t>OPM Asset Vol Check</t>
  </si>
  <si>
    <t>Asset Vol</t>
  </si>
  <si>
    <t>Asset Vol - Hybrid OPM</t>
  </si>
  <si>
    <t>Hybrid OPM Asset Vol Check</t>
  </si>
  <si>
    <t>All CIQ Checks</t>
  </si>
  <si>
    <t>Difference in CIQ and Manually calculated Ent. Value</t>
  </si>
  <si>
    <t>Discount Factor (1)</t>
  </si>
  <si>
    <t>Probability Weightings (2)</t>
  </si>
  <si>
    <t>Time to Exit</t>
  </si>
  <si>
    <t>Additional Time for IPO Lockup</t>
  </si>
  <si>
    <t>Check and add if applicable</t>
  </si>
  <si>
    <t>Additional Time to Cash Flow</t>
  </si>
  <si>
    <t>Duration</t>
  </si>
  <si>
    <t>Less: DLOM</t>
  </si>
  <si>
    <t>IPO Early</t>
  </si>
  <si>
    <t>IPO Late</t>
  </si>
  <si>
    <t>M&amp;A Early High</t>
  </si>
  <si>
    <t>IPO Early High</t>
  </si>
  <si>
    <t>IPO Early Low</t>
  </si>
  <si>
    <t>IPO Late High</t>
  </si>
  <si>
    <t>Dissolution Early</t>
  </si>
  <si>
    <t>Dissolution Late</t>
  </si>
  <si>
    <t>Remove DLOM for Dissolution Scenarios</t>
  </si>
  <si>
    <t>M&amp;A Early Low</t>
  </si>
  <si>
    <t>M&amp;A Late High</t>
  </si>
  <si>
    <t>M&amp;A Late Low</t>
  </si>
  <si>
    <t>M&amp;A Early</t>
  </si>
  <si>
    <t>M&amp;A Late</t>
  </si>
  <si>
    <t>Asset Volatility - OPM</t>
  </si>
  <si>
    <t>Asset Volatility - OPM DLOM</t>
  </si>
  <si>
    <t>Discount for Lack of Marketability</t>
  </si>
  <si>
    <t>Change number of DLOMs based on PWERM construct</t>
  </si>
  <si>
    <t>Interpolation - IPO Early</t>
  </si>
  <si>
    <t>Interpolation - IPO Late</t>
  </si>
  <si>
    <t>Interpolation - M&amp;A Early</t>
  </si>
  <si>
    <t>Interpolation - M&amp;A Late</t>
  </si>
  <si>
    <t>Check for difference in tranche value in OPM1 and value assigned in OPM2</t>
  </si>
  <si>
    <t>Non-Marketable Price Per Share</t>
  </si>
  <si>
    <t>IPO Late Low</t>
  </si>
  <si>
    <t>Risk Free Rates</t>
  </si>
  <si>
    <t>Added more RFR calculations for PWERM scenarios and Hybrid OPM/DLOM</t>
  </si>
  <si>
    <t>Class Volatility</t>
  </si>
  <si>
    <t>Added Class Volatility Sheet</t>
  </si>
  <si>
    <t>CapIQ Sheets</t>
  </si>
  <si>
    <t>Updated CapIQ sheets (linked/unlinked) to reflect 8 year equity volatility</t>
  </si>
  <si>
    <t>Updated sheet to reflect 8 year equity volatility</t>
  </si>
  <si>
    <t>Added Hybrid DLOM sheet for all Preferred Series and Common Stock</t>
  </si>
  <si>
    <t>Added Hybrid OPM Sheet and Hybrid OPM 1 and Hybrid OPM 2</t>
  </si>
  <si>
    <t>Added DLOMs for PWERM scenarios</t>
  </si>
  <si>
    <t>Rows 147 - 149</t>
  </si>
  <si>
    <t xml:space="preserve">Added row for DLOM </t>
  </si>
  <si>
    <t>Asset Volatilities</t>
  </si>
  <si>
    <t>Added different Asset Volatility sheets for PWERM scenarios, OPM and DLOM</t>
  </si>
  <si>
    <t>Updated Look up formula in column Q to consider equity volatility for 8 years</t>
  </si>
  <si>
    <t>Refer to examples outside print area below for 2 candidates w/o lag, 2 candidates with lag, and 3 candidates</t>
  </si>
  <si>
    <t>OPM 1</t>
  </si>
  <si>
    <t>Check for difference between allocable value and total value after tranche allocation</t>
  </si>
  <si>
    <t>Check for WACC</t>
  </si>
  <si>
    <t>Asset Vol - DLOM</t>
  </si>
  <si>
    <t>DLOM Asset Vol Check</t>
  </si>
  <si>
    <t>Asset Vol - IPO Early</t>
  </si>
  <si>
    <t>Asset Vol - IPO Late</t>
  </si>
  <si>
    <t>Asset Vol - M&amp;A Early</t>
  </si>
  <si>
    <t>Asset Vol - M&amp;A Late</t>
  </si>
  <si>
    <t>IPO Early Asset Vol Check</t>
  </si>
  <si>
    <t>IPO Late Asset Vol Check</t>
  </si>
  <si>
    <t>M&amp;A Early Asset Vol Check</t>
  </si>
  <si>
    <t>M&amp;A Late Asset Vol Check</t>
  </si>
  <si>
    <t>Value of Hybrid OPM</t>
  </si>
  <si>
    <t>Shares Pre-IPO</t>
  </si>
  <si>
    <t>Gross Proceeds</t>
  </si>
  <si>
    <t>Development Phase</t>
  </si>
  <si>
    <t>Post-IPO Value</t>
  </si>
  <si>
    <t>Kindly update the Revenue, Ebitda, EV details outside print area from CapIQ</t>
  </si>
  <si>
    <t>NasdaqGM:AXSM</t>
  </si>
  <si>
    <t>LTM Revenue</t>
  </si>
  <si>
    <t>LTM EBITDA</t>
  </si>
  <si>
    <t>EV/LTM Revenue</t>
  </si>
  <si>
    <t>EV/LTM EBITDA</t>
  </si>
  <si>
    <t>Straight Line Method</t>
  </si>
  <si>
    <t>MACRS</t>
  </si>
  <si>
    <t>Jounce Therapeutics, Inc., a clinical stage immunotherapy company, focuses on developing therapies that enable the immune system to attack tumors. Its lead product candidate, JTX-2011, is a clinical stage monoclonal antibody that binds to and activates ICOS, a protein on the surface of certain T cells commonly found in various solid tumors. The company is also developing JTX-4014, an anti-PD-1 antibody. Jounce Therapeutics, Inc. has a master research and collaboration agreement with Celgene Corporation focused on developing and commercializing biologic immunotherapies. The company was incorporated in 2012 and is based in Cambridge, Massachusetts.</t>
  </si>
  <si>
    <t>AnaptysBio, Inc., a clinical stage biotechnology company, engages in developing antibody product candidates focused on unmet medical needs in inflammation. The company’s proprietary anti-inflammatory pipeline includes ANB020, an anti-interleukin-33 antibody for the treatment of moderate-to-severe adult atopic dermatitis, severe adult peanut allergy, and severe adult eosinophilic asthma; ANB019, an anti-interleukin-36R antibody for the treatment of rare inflammatory diseases, including generalized pustular psoriasis and palmo-plantar pustular psoriasis; and a portfolio of checkpoint receptor agonist antibodies for the treatment of certain autoimmune diseases. It also has an immuno-oncology partnership with TESARO, Inc. and TESARO Development, Inc. to develop and commercialize an anti-PD-1 antagonist antibody (TSR-042) and an anti-TIM-3 antagonist antibody (TSR-022), which are under clinical development; and an inflammation partnership with Celgene Corporation to develop an anti-PD-1 checkpoint agonist antibody (CC-90006) that is in clinical stage. The company was formerly known as Anaptys Biosciences, Inc. and changed its name to AnaptysBio, Inc. in July 2006. AnaptysBio, Inc. was founded in 2005 and is based in San Diego, California.</t>
  </si>
  <si>
    <t>Ovid Therapeutics Inc.</t>
  </si>
  <si>
    <t>NasdaqGS:OVID</t>
  </si>
  <si>
    <t>IQTR427443869</t>
  </si>
  <si>
    <t>IQ288870432</t>
  </si>
  <si>
    <t>Ovid Therapeutics Inc., a biopharmaceutical company, develops impactful medicines for patients and families with neurological disorders in the United States. The company is developing OV101, a drug candidate that is in Phase II clinical trial for adults with angelman syndrome; and Phase I clinical trial for adolescents with angelman syndrome or fragile X syndrome, as well as in preclinical development stage for pediatrics with angelman syndrome. It is also developing OV935, a drug candidate that is in Phase I trial for rare epileptic encephalopathies; preclinical-stage compounds for rare epilepsy disorders; and OV102, an intravenous formulation for indications in the hospital setting. The company has collaboration agreement with Takeda Pharmaceutical Company Limited. Ovid Therapeutics Inc. was founded in 2014 and is based in New York, New York.</t>
  </si>
  <si>
    <t>Biohaven Pharmaceutical Holding Company Ltd.</t>
  </si>
  <si>
    <t>NYSE:BHVN</t>
  </si>
  <si>
    <t>IQTR427064468</t>
  </si>
  <si>
    <t>Biohaven Pharmaceutical Holding Company Ltd., a clinical-stage biopharmaceutical company, develops product candidates to treat neurological diseases, including rare disorders. Its advanced product candidate includes rimegepant, which is intended to initiate two Phase III clinical trials for the acute treatment of migraine; and trigriluzole, which is in a Phase II/III clinical trial used for the treatment of ataxias with an initial focus on spinocerebellar ataxia. The company also develops BHV-3500 for the prevention of chronic and episodic migraine; BHV-0223 for the treatment of amyotrophic lateral sclerosis, a neurodegenerative disease that affects nerve cells in the brain and spinal cord; and BHV-5000 for the treatment of symptoms associated with Rett syndrome, such as breathing irregularities. Biohaven Pharmaceutical Holding Company Ltd. was founded in 2013 and is based in New Haven, Connecticut. Biohaven Pharmaceutical Holding Company Ltd. is a subsidiary of Portage Biotech Inc.</t>
  </si>
  <si>
    <t>IQ253781980</t>
  </si>
  <si>
    <t>Upfront Value</t>
  </si>
  <si>
    <t>Contingent Payments</t>
  </si>
  <si>
    <t>Updated metrics calcs for Phase II</t>
  </si>
  <si>
    <t>Transactions</t>
  </si>
  <si>
    <t>Updated Exhibits to include upfront and contingent payments and CapIQ sheet as well</t>
  </si>
  <si>
    <t>Checklist</t>
  </si>
  <si>
    <t>Added check for common value conclusion</t>
  </si>
  <si>
    <t>ValSumm</t>
  </si>
  <si>
    <t>Common Concluded Value check</t>
  </si>
  <si>
    <t>Deciphera Pharmaceuticals, Inc.</t>
  </si>
  <si>
    <t>NasdaqGS:DCPH</t>
  </si>
  <si>
    <t>IQTR536237706</t>
  </si>
  <si>
    <t>IQ8221694</t>
  </si>
  <si>
    <t>Deciphera Pharmaceuticals, Inc., a clinical-stage biopharmaceutical company, develops drugs to enhance the lives of cancer patients by addressing key mechanisms of drug resistance that limit the rate and durability of response of various cancer therapies. The company develops DCC-2618, a pan-KIT and pan-PDGFRa inhibitor for the treatment of gastrointestinal stromal tumors, advanced systemic mastocytosis, gliomas, and other solid tumors. It is also developing immunokinase inhibitors comprising DCC-3014 for treatment of solid tumors and hematologic malignancies; and Rebastinib to treat breast cancer, as well as to investigate in combination with chemotherapy and checkpoint inhibitors. The company was founded in 2003 and is headquartered in Waltham, Massachusetts.</t>
  </si>
  <si>
    <t>Krystal Biotech, Inc.</t>
  </si>
  <si>
    <t>NasdaqCM:KRYS</t>
  </si>
  <si>
    <t>IQTR534966200</t>
  </si>
  <si>
    <t>IQ534062888</t>
  </si>
  <si>
    <t>Krystal Biotech, Inc., a gene therapy company, develops and commercializes pharmaceutical products for patients suffering from dermatological diseases. The company’s lead product candidate includes KB103, which is in preclinical studies to treat dystrophic epidermolysis bullosa, a genetic disease. It also develops KB104 that is in preclinical studies to treat Netherton syndrome, a severe form of ichthyosis, which is a family of genetic skin disorders. The company was formerly known as Krystal Biotech, LLC and changed its name to Krystal Biotech, Inc. in March 2017. Krystal Biotech, Inc. was founded in 2015 and is based in Pittsburgh, Pennsylvania.</t>
  </si>
  <si>
    <t>Mersana Therapeutics, Inc.</t>
  </si>
  <si>
    <t>NasdaqGS:MRSN</t>
  </si>
  <si>
    <t>IQTR432836998</t>
  </si>
  <si>
    <t>IQ1623526</t>
  </si>
  <si>
    <t>Mersana Therapeutics, Inc. is a biotechnology company that discovers, engineers, and develops antibody drug conjugates to cure various cancers. The company develops immune conjugate therapies to create drugs that enhance patients’ lives. It offers XMT-1522, a drug therapy for tumor models that express relatively low amounts of the HER2 protein; and human anti-HER2 antibody used in XMT-1522. Mersana Therapeutics, Inc. has strategic alliances with Takeda Pharmaceutical Company Limited; Merck Serono; and Asana BioSciences. The company was formerly known as Nanopharma Corp. and changed its name to Mersana Therapeutics, Inc. in November 2005. Mersana Therapeutics, Inc. was founded in 2001 and is based in Cambridge, Massachusetts.</t>
  </si>
  <si>
    <t>G1 Therapeutics, Inc.</t>
  </si>
  <si>
    <t>NasdaqGS:GTHX</t>
  </si>
  <si>
    <t>IQTR427746064</t>
  </si>
  <si>
    <t>IQ141112421</t>
  </si>
  <si>
    <t>G1 Therapeutics, Inc., a clinical-stage biopharmaceutical company, focuses on the discovery and development of novel therapeutics for the treatment of cancer in the United States. It is developing trilaciclib, an intravenous cyclin-dependent kinases (CDK) 4/6 inhibitor that is in Phase Ib/IIa clinical trials for patients with small cell lung cancer, as well as Phase II clinical trial for patients with triple-negative breast cancer; G1T38, an oral CDK4/6 inhibitor that is Phase I/II clinical trial for the treatment of breast cancer; and G1T48, an oral selective estrogen receptor degrader that is in preclinical development stage. The company was founded in 2008 and is headquartered in Research Triangle Park, North Carolina.</t>
  </si>
  <si>
    <t>Arsanis, Inc.</t>
  </si>
  <si>
    <t>NasdaqGM:ASNS</t>
  </si>
  <si>
    <t>IQTR541132486</t>
  </si>
  <si>
    <t>IQ113807139</t>
  </si>
  <si>
    <t>Arsanis, Inc., a clinical-stage biopharmaceutical company, focuses on applying monoclonal antibody (mAb) immunotherapies to address serious infectious diseases. Its lead product candidate is ASN100, a first-in-class mAb therapeutic in Phase II clinical development for the prevention of staphylococcus aureus pneumonia. The company’s preclinical pipeline comprises mAbs targeting multiple serious bacterial and viral pathogens, including respiratory syncytial virus. Arsanis, Inc. was founded in 2010 and is headquartered in Waltham, Massachusetts.</t>
  </si>
  <si>
    <t xml:space="preserve"> -   </t>
  </si>
  <si>
    <t>InflaRx N.V.</t>
  </si>
  <si>
    <t>NasdaqGS:IFRX</t>
  </si>
  <si>
    <t>IQTR540630710</t>
  </si>
  <si>
    <t>IQ42434000</t>
  </si>
  <si>
    <t>InflaRx GmbH, a clinical-stage biopharmaceutical company, focuses on discovering and developing inhibitors using C5a technology in the United States. Its C5a is an inflammatory mediator involved in the enhancement of a variety of autoimmune and other inflammatory diseases. The company is involved developing IFX-1, a novel intravenously delivered first-in-class anti-C5a monoclonal antibody for the treatment of hidradenitis suppurativa, a rare and chronic debilitating systemic inflammatory skin disease; ANCA-associated vasculitis, a rare and life-threatening autoimmune disease; and other chronic/autoimmune diseases, as well as IFX-2 for the treatment of chronic inflammation and autoimmune diseases. It has co-development agreement with Beijing Defengrei Biotechnology Co. Ltd. The company was founded in 2007 and is headquartered in Jena, Germany.</t>
  </si>
  <si>
    <t>Apellis Pharmaceuticals, Inc.</t>
  </si>
  <si>
    <t>NasdaqGS:APLS</t>
  </si>
  <si>
    <t>IQTR540638771</t>
  </si>
  <si>
    <t>IQ106524288</t>
  </si>
  <si>
    <t>Apellis Pharmaceuticals, Inc., a clinical-stage biopharmaceutical company, focuses on the discovery and development of therapeutic compounds for autoimmune and inflammatory diseases. Its lead product candidates include APL-2 and APL-1, to treat paroxysmal nocturnal hemoglobinuria, geographic atrophy, intermediate age-related macular degeneration, and chronic obstructive pulmonary disease. The company develops APL-2 for subcutaneous injection, which is an injection into the tissue under the skin, and for intravitreal injection that is an injection into the eye, as well as APL-1 for inhaled administration. Apellis Pharmaceuticals, Inc. was founded in 2009 and is based in Crestwood, Kentucky.</t>
  </si>
  <si>
    <t>Sienna Biopharmaceuticals, Inc.</t>
  </si>
  <si>
    <t>NasdaqGS:SNNA</t>
  </si>
  <si>
    <t>IQTR529222527</t>
  </si>
  <si>
    <t>Sienna Biopharmaceuticals, Inc., a clinical-stage biopharmaceutical company, discovers, develops, and commercializes topical products for medical dermatology and aesthetics markets in North America. The company’s lead product candidates include SNA-120, a TrkA inhibitor, which is in Phase 2b clinical development for the treatment of pruritus, itch, and neurogenic inflammation associated with psoriasis; and SNA-125, a dual JAK3/TrkA inhibitor that is in pre-clinical study for the treatment of atopic dermatitis, psoriasis, and pruritus. It also develops SNA-001, a photoparticle therapy, which is in pivotal clinical trials for the treatment of acne vulgaris and the reduction of unwanted light-pigmented hair. The company was formerly known as Sienna Labs, Inc. and changed its name to Sienna Biopharmaceuticals, Inc. in February 2016. Sienna Biopharmaceuticals, Inc. was founded in 2010 and is headquartered in Westlake Village, California.</t>
  </si>
  <si>
    <t>Aileron Therapeutics, Inc.</t>
  </si>
  <si>
    <t>NasdaqGM:ALRN</t>
  </si>
  <si>
    <t>IQTR432976538</t>
  </si>
  <si>
    <t>Aileron Therapeutics, Inc., a clinical-stage biopharmaceutical company, engages in developing and commercializing a novel class of therapeutics in the United States. The company’s lead product includes ALRN-6924, a stapled peptide that in Phase I clinical trial for the treatment of advanced solid tumors or lymphomas; Phase IIa clinical trial for the treatment of peripheral T-cell lymphoma; Phase I clinical trial for the treatment of acute myeloid leukemia (AML) and advanced myelodysplastic syndrome (MDS); and Phase II b trial for the treatment of AML/MDS in combination with cytosine arabinoside. It is also developing next generation wild type p53 reactivator that is in preclinical stage for the treatment of solid and liquid tumors. The company was formerly known as Renegade Therapeutics, Inc. and changed its name to Aileron Therapeutics, Inc. in February 2007. Aileron Therapeutics, Inc. was founded in 2001 and is based in Cambridge, Massachusetts.</t>
  </si>
  <si>
    <t>Avenue Therapeutics, Inc.</t>
  </si>
  <si>
    <t>NasdaqCM:ATXI</t>
  </si>
  <si>
    <t>IQTR429154251</t>
  </si>
  <si>
    <t>IQ310815442</t>
  </si>
  <si>
    <t>Avenue Therapeutics, Inc., a specialty pharmaceutical company, acquires, licenses, develops, and commercializes an intravenous formulation of tramadol HCI principally for use in the acute/intensive care hospital setting. Its product candidate is IV Tramadol for the treatment of post-operative pain. The company was founded in 2015 and is based in New York, New York. Avenue Therapeutics, Inc. is a subsidiary of Fortress Biotech, Inc.</t>
  </si>
  <si>
    <t>Rhythm Pharmaceuticals, Inc.</t>
  </si>
  <si>
    <t>NasdaqGM:RYTM</t>
  </si>
  <si>
    <t>IQTR537128527</t>
  </si>
  <si>
    <t>IQ309184792</t>
  </si>
  <si>
    <t>Rhythm Pharmaceuticals, Inc., a biopharmaceutical company, develops and commercializes peptide therapeutics for the treatment of rare genetic disorders of obesity in the United States. Its lead product candidate is Setmelanotide, a melanocortin-4 receptor agonist that is in Phase III clinical trials for treating POMC deficiency obesity and leptin receptor deficiency obesity; and Phase II clinical trials for treating Bardet-Biedl syndrome, Alström syndrome, POMC heterozygous deficiency obesity, and POMC epigenetic disorders. The company was formerly known as Rhythm Metabolic, Inc. and changed its name to Rhythm Pharmaceuticals, Inc. in October 2015. Rhythm Pharmaceuticals, Inc. was founded in 2008 and is based in Boston, Massachusetts. Rhythm Pharmaceuticals, Inc. is a subsidiary of Motus Therapeutics, Inc.</t>
  </si>
  <si>
    <t>Kala Pharmaceuticals, Inc.</t>
  </si>
  <si>
    <t>NasdaqGS:KALA</t>
  </si>
  <si>
    <t>IQTR435392692</t>
  </si>
  <si>
    <t>Kala Pharmaceuticals, Inc., a biopharmaceutical company, focuses on the development and commercialization of therapies using its proprietary nanoparticle-based Mucus Penetrating Particles technology. The company’s product candidates include KPI-121 1.0%, which has completed Phase 3 clinical trials for the treatment of inflammation and pain following ocular surgery; and KPI-121 0.25% that is in Phase 3 clinical trials for the temporary relief of the signs and symptoms of dry eye disease. It also develops KPI-285, a receptor kinase inhibitor, which is in preclinical studies for the treatment of various retinal diseases. The company was formerly known as Hanes Newco, Inc. and changed its name to Kala Pharmaceuticals, Inc. in December 2009. Kala Pharmaceuticals, Inc. was founded in 2009 and is headquartered in Waltham, Massachusetts.</t>
  </si>
  <si>
    <t>Dova Pharmaceuticals, Inc.</t>
  </si>
  <si>
    <t>NasdaqGM:DOVA</t>
  </si>
  <si>
    <t>IQTR432976288</t>
  </si>
  <si>
    <t>IQ402827501</t>
  </si>
  <si>
    <t>Dova Pharmaceuticals, Inc., a pharmaceutical company, focuses on acquiring, developing, and commercializing drug candidates for thrombocytopenia diseases. Its drug candidate includes avatrombopag, an orally administered thrombopoietin receptor agonist that has completed Phase III clinical trials for the treatment of thrombocytopenia in patients with chronic liver diseases. The company was founded in 2016 and is based in Durham, North Carolina.</t>
  </si>
  <si>
    <t>Athenex, Inc.</t>
  </si>
  <si>
    <t>NasdaqGS:ATNX</t>
  </si>
  <si>
    <t>IQTR430744691</t>
  </si>
  <si>
    <t>IQ23828956</t>
  </si>
  <si>
    <t>Athenex, Inc., a biopharmaceutical company, engages in the discovery, development, and commercialization of therapies for the treatment of cancer. Its Orascovery product candidates include Oraxol, an oral dosage form, which is in a Phase III trial in metastatic breast cancer for the treatment of advanced gastric cancer; Oratecan, an anticancer agent that is in a Phase 1 study for the treatment of colorectal, lung, ovarian, cervical, pancreatic, upper gastrointestinal, and brain cancer; Oradoxel, an anticancer agent, which is in a Phase 1 clinical study in the treatment of breast, prostate, gastric, head and neck, and lung cancer; and Oratopo, an anticancer for the treatment of cervical, ovarian ,and lung cancer. The company also develops KX-01, a compound, which is in Phase 3 study for the treatment of for actinic keratosis; and KX-02 for the treatment of gliomas. The company was formerly known as Kinex Pharmaceuticals LLC and changed its name to Athenex, Inc. in August 2015. Athenex, Inc. was founded in 2003 and is based in Buffalo, New York.</t>
  </si>
  <si>
    <t>Data Source fromTranslateBio VD 12/13/17</t>
  </si>
  <si>
    <t>Updated IPO Biopharma sheet and metrics' formula</t>
  </si>
  <si>
    <t>IPO Biopharma</t>
  </si>
  <si>
    <t>Switch for Quartiles</t>
  </si>
  <si>
    <t>Denali Therapeutics Inc.</t>
  </si>
  <si>
    <t>NasdaqGS:DNLI</t>
  </si>
  <si>
    <t>IQTR543594545</t>
  </si>
  <si>
    <t>IQ301283598</t>
  </si>
  <si>
    <t>Denali Therapeutics Inc., a biopharmaceutical company, engages in discovering and developing therapeutics for neurodegenerative diseases in the United States. The company’s lead LRRK2 product candidates includes the DNL201, a small molecule inhibitor that is in Phase I clinical trials, as well as DNL151, a small molecule inhibitor, which is in preclinical development stage for the treatment of Parkinson’s disease. It is also developing therapeutics for the treatment of Parkinson’s, dementia with Lewy bodies, and multiple system atrophy; amyotrophic lateral sclerosis; and mucopolysaccharidosis type II patients. The company was formerly known as SPR Pharma Inc. and changed its name to Denali Therapeutics Inc. in March 2015. Denali Therapeutics Inc. was incorporated in 2013 and is headquartered in South San Francisco, California.</t>
  </si>
  <si>
    <t>Odonate Therapeutics, Inc.</t>
  </si>
  <si>
    <t>NasdaqGS:ODT</t>
  </si>
  <si>
    <t>IQTR543593762</t>
  </si>
  <si>
    <t>IQ541399578</t>
  </si>
  <si>
    <t>Odonate Therapeutics, Inc., a pharmaceutical company, develops therapeutics to enhance the lives of patients with cancer in the United States. It is developing Tesetaxel, a novel chemotherapy agent that has completed Phase II clinical trials for patients with advanced or metastatic breast cancer. The company was founded in 2013 and is based in San Diego, California.</t>
  </si>
  <si>
    <t>Spero Therapeutics, Inc.</t>
  </si>
  <si>
    <t>NasdaqGS:SPRO</t>
  </si>
  <si>
    <t>IQTR539897682</t>
  </si>
  <si>
    <t>IQ240573619</t>
  </si>
  <si>
    <t>Spero Therapeutics, Inc., a clinical-stage biopharmaceutical company, focuses on identifying, developing, and commercializing novel treatments for multi-drug resistant (MDR) bacterial infections in the United States. It is developing SPR994, an oral carbapenem-class antibiotic for use in adults to treat MDR gram-negative infections; SPR741 that has completed Phase I clinical trial to treat MDR gram-negative infections in the hospital setting; SPR206, an agent that is in preclinical development stage to disrupt the outer membrane of gram-negative bacteria; and SPR720, an oral antibiotic that is in preclinical development stage for the treatment of pulmonary non-tuberculous mycobacterial infections. The company was founded in 2013 and is headquartered in Cambridge, Massachusetts.</t>
  </si>
  <si>
    <t>Nightstar Therapeutics Plc</t>
  </si>
  <si>
    <t>NasdaqGS:NITE</t>
  </si>
  <si>
    <t>IQTR536125357</t>
  </si>
  <si>
    <t>IQ270062348</t>
  </si>
  <si>
    <t>Nightstar Therapeutics Limited, a clinical-stage gene therapy company, focuses on developing and commercializing novel one-time treatments for patients suffering from rare inherited retinal diseases. The company’s lead product candidate includes NSR-REP1 that has completed Phase 1/2 clinical trial for the treatment of patients with choroideremia. It is also developing NSR-RPGR that is in Phase 1/2 clinical trial for the treatment of patients with X-linked retinitis pigmentosa, an inherited X-linked recessive retinal disease; and NSR-BEST1, which is in preclinical development for the treatment of Best vitelliform macular dystrophy. The company has a collaboration agreement with University of Oxford for the assistance in conducting clinical trials with its retinal gene therapy candidates; and Preceyes B.V. for the development of a high-precision drug delivery technology in the eye. The company was founded in 2013 and is headquartered in London, the United Kingdom.</t>
  </si>
  <si>
    <t>Zymeworks Inc.</t>
  </si>
  <si>
    <t>TSX:ZYME</t>
  </si>
  <si>
    <t>IQTR426421320</t>
  </si>
  <si>
    <t>IQ43279463</t>
  </si>
  <si>
    <t>Zymeworks Inc., a clinical-stage biopharmaceutical company, engages in the discovery, development, and commercialization of bio-therapeutics for the treatment of cancer in Canada. The company’s lead product candidate include ZW25, a novel bispecific antibody that is in Phase I clinical trial for the treatment of breast, gastric, and ovarian cancers. It is also developing ZW33, a bispecific anti-human epidermal growth factor receptor 2 antibody-drug conjugate that is in preclinical development stage for the treatment of breast and ovarian cancers. The company has strategic partnerships with Merck Sharp &amp; Dohme Research Ltd., Eli Lilly and Company, Celgene Corporation and Celgene Alpine Investment Co. LLC, GlaxoSmithKline Intellectual Property Development Limited, and Daiichi Sankyo Co., Ltd. Zymeworks Inc. was founded in 2003 and is headquartered in Vancouver, Canada.</t>
  </si>
  <si>
    <t>Allena Pharmaceuticals, Inc.</t>
  </si>
  <si>
    <t>NasdaqGS:ALNA</t>
  </si>
  <si>
    <t>IQTR539897184</t>
  </si>
  <si>
    <t>IQ143094845</t>
  </si>
  <si>
    <t>Allena Pharmaceuticals, Inc., a late-stage clinical biopharmaceutical company, engages in developing and commercializing oral enzyme therapeutics to treat patients with rare and severe metabolic, and kidney disorders in the United States. The company’s lead product candidate includes ALLN-177, an oral enzyme therapeutic for the treatment of enteric hyperoxaluria, a metabolic disorder commonly associated with kidney stones in adults. It is also involved in developing ALLN-346 for patients with hyperuricemia and moderate to severe chronic kidney diseases. The company was incorporated in 2011 and is headquartered in Newton, Massachusetts.</t>
  </si>
  <si>
    <t>Clementia Pharmaceuticals Inc.</t>
  </si>
  <si>
    <t>NasdaqGS:CMTA</t>
  </si>
  <si>
    <t>IQTR528893150</t>
  </si>
  <si>
    <t>IQ253931396</t>
  </si>
  <si>
    <t>Clementia Pharmaceuticals Inc., a clinical stage biopharmaceutical company, develops disease-modifying treatments for patients suffering from debilitating bone and other diseases. Its lead product candidate is palovarotene, an oral small molecule that binds and activates retinoic acid receptor gamma, and prevents abnormal new bone formation, as well as scar tissue formation in various tissues in animal models. The company is developing palovarotene for the treatment of fibrodysplasia ossificans progressiva and multiple osteochondroma, as well as has one Phase III and Phase II/III trials for two separate indications. Clementia Pharmaceuticals Inc. was founded in 2010 and is based in Montreal, Canada.</t>
  </si>
  <si>
    <t>IQ21766697</t>
  </si>
  <si>
    <t>Urogen Pharma Ltd.</t>
  </si>
  <si>
    <t>NasdaqGM:URGN</t>
  </si>
  <si>
    <t>IQTR427059627</t>
  </si>
  <si>
    <t>IQ240702165</t>
  </si>
  <si>
    <t>UroGen Pharma Ltd., a clinical stage biopharmaceutical company, focuses on developing therapies for urological pathologies. Its lead product candidates, MitoGel and VesiGel are formulations of the chemotherapy drug Mitomycin C, a generic drug which is currently used off-label for urothelial cancer treatment only in a water-based formulation as an adjuvant, or supplemental post-surgery, therapy. The company is developing its product candidates as chemoablation agents, which are designed to remove tumors by non-surgical means, to treat several forms of non-muscle invasive urothelial cancer, including low-grade upper tract urothelial carcinoma, and low-grade bladder cancer. UroGen Pharma Ltd. was incorporated in 2004 and is headquartered in Ra’anana, Israel.</t>
  </si>
  <si>
    <t>Acceleron Pharma Inc.</t>
  </si>
  <si>
    <t>NasdaqGM:XLRN</t>
  </si>
  <si>
    <t>IQTR244238745</t>
  </si>
  <si>
    <t>IQ9004482</t>
  </si>
  <si>
    <t>Acceleron Pharma Inc., a clinical stage biopharmaceutical company, focuses on the discovery, development, and commercialization of therapeutics for serious and rare diseases. Its therapeutic candidates include luspatercept to treat anemia and associated complications in patients with myelodysplastic syndromes and beta-thalassemia; and sotatercept for chronic kidney diseases. The company’s therapeutic candidates also include dalantercept, a tyrosine kinase inhibitor, which is in phase II clinical trials for renal cell carcinoma; and ACE-083 that is in phase II clinical trials for facioscapulohumeral dystrophy. It has collaboration, license, and option agreement with Celgene Corporation. The company was formerly known as Phoenix Pharma, Inc. Acceleron Pharma Inc. was founded in 2003 and is headquartered in Cambridge, Massachusetts.</t>
  </si>
  <si>
    <t>Phase III, NDA Filed and Marketed</t>
  </si>
  <si>
    <t>scPharmaceuticals Inc.</t>
  </si>
  <si>
    <t>NasdaqGS:SCPH</t>
  </si>
  <si>
    <t>IQTR541328196</t>
  </si>
  <si>
    <t>IQ247375245</t>
  </si>
  <si>
    <t>scPharmaceuticals Inc., biopharmaceutical company, engages in the development and commercialization of transformative pharmaceutical products. The company’s under development products are for heart failure and infectious diseases that include Furoscix that is for treatment of worsening or decompensated heart failure outside of the inpatient setting. scPharmaceuticals Inc. formerly known as scPharmaceuticals LLC. and changed its name to scPharmaceuticals Inc. in March 2014. The company was founded 2013 and is based in Burlington, Massachusetts.</t>
  </si>
  <si>
    <t>NuCana plc</t>
  </si>
  <si>
    <t>NasdaqGS:NCNA</t>
  </si>
  <si>
    <t>IQTR536245896</t>
  </si>
  <si>
    <t>IQ50918463</t>
  </si>
  <si>
    <t>NuCana plc, a biopharmaceutical company, engages in the development of products for the treatment of cancer. The company is developing Acelarin that is in Phase I clinical trials for the treatment of advanced metastatic solid tumors; that is in Phase Ib clinical trials for the treatment of recurrent ovarian cancer; in Phase II clinical trials for the treatment of patients with platinum-resistant ovarian cancer; and in Phase Ib clinical trials for the treatment of patients with biliary cancer. The company is also developing NUC-3373, which is in Phase I clinical trials for the treatment of patients with advanced solid tumors, as well as for the treatment of colorectal and breast cancer; and NUC-7738, a nucleoside analog that is in preclinical studies for the treatment of solid tumors and hematology. It has a research, collaboration, and license agreement with Cardiff University and University College Cardiff Consultants Ltd; and an assignment, license, and collaboration agreement with Cardiff ProTides Ltd. The company was formerly known as NuCana BioMed Limited and changed its name to NuCana plc in August 2017. The company was incorporated in 1997 and is headquartered in Edinburgh, the United Kingdom.</t>
  </si>
  <si>
    <t>Zai Lab Limited</t>
  </si>
  <si>
    <t>NasdaqGM:ZLAB</t>
  </si>
  <si>
    <t>IQTR534418027</t>
  </si>
  <si>
    <t>IQ271123063</t>
  </si>
  <si>
    <t>Zai Lab Limited, a biopharmaceutical company, engages in discovering or licensing, developing, and commercializing proprietary therapeutics for oncology, and autoimmune and infectious disease therapies in China. Its drug candidates include ZL-2306, a poly ADP ribose polymerase 1/2 inhibitor for the treatment of ovarian, breast, and lung cancers; ZL-2401, an antibiotic for the treatment of acute bacterial skin/skin structure infections, community-acquired bacterial pneumonias, and urinary tract infections; ZL-2301 that is Phase II clinical trial for the treatment of hepatocellular carcinoma; ZL-3101, a novel steroid-sparing topical product that is in Phase II clinical trial for the treatment of eczema and psoriasis; ZL-2302 for the treatment of non-small cell lung cancer; and ZL-1101, an anti-OX40 antagonistic antibody for the treatment of graft-versus-host disease or systemic lupus erythematosus. The company was founded in 2013 and is headquartered in Shanghai, China.</t>
  </si>
  <si>
    <t>Akcea Therapeutics, Inc.</t>
  </si>
  <si>
    <t>NasdaqGS:AKCA</t>
  </si>
  <si>
    <t>IQTR424659349</t>
  </si>
  <si>
    <t>IQ306140818</t>
  </si>
  <si>
    <t>Akcea Therapeutics Inc., a late-stage biopharmaceutical company, focuses on developing and commercializing drugs to treat patients with cardiometabolic diseases caused by lipid disorders in the United States and internationally. It develops Volanesorsen, which has completed Phase 3 clinical study for the treatment of familial chylomicronemia syndrome; and that is in Phase 3 clinical study for the treatment of familial partial lipodystrophy. The company also develops AKCEA-APO(a)-LRx, which has completed Phase 2b clinical study for treating patients suffering with hyperlipoproteinemia; AKCEA-ANGPTL3-LRx that has completed Phase 1/2 clinical study for the treatment of multiple lipid disorders; and AKCEA-APOCIII-LRx, which is in Phase 1/2 study for the treatment of cardiovascular disease driven by high triglycerides. It has strategic collaboration with Novartis Pharma AG. The company was incorporated in 2014 and is headquartered in Cambridge, Massachusetts. Akcea Therapeutics Inc. is a subsidiary of Ionis Pharmaceuticals, Inc.</t>
  </si>
  <si>
    <t>Added header in cell X7 of all asset volatility sheets</t>
  </si>
  <si>
    <t>Added checks for enterprise value in all asset volatility sheets</t>
  </si>
  <si>
    <t>Sum of N(d1) should be 1</t>
  </si>
  <si>
    <t>&lt;- Check</t>
  </si>
  <si>
    <t>Diff. in Equity Value from PWERM and Income/Market Approach</t>
  </si>
  <si>
    <t>EV Check</t>
  </si>
  <si>
    <t>Enterprise Value Check between two approaches</t>
  </si>
  <si>
    <t>Backsolve</t>
  </si>
  <si>
    <t>Hybrid OPM Backsolve</t>
  </si>
  <si>
    <t xml:space="preserve">Comparable Indication/Technology </t>
  </si>
  <si>
    <t>Phase of the Comparable Product</t>
  </si>
  <si>
    <t>Comp.1 and Trans. 1</t>
  </si>
  <si>
    <t>Added columns for comparable technology and Phases</t>
  </si>
  <si>
    <t>Checks &gt;&gt;</t>
  </si>
  <si>
    <t>Added Class Volatility checks</t>
  </si>
  <si>
    <t>Added check for Hybrid OPM backsolve</t>
  </si>
  <si>
    <t>WACC</t>
  </si>
  <si>
    <t>Updated D&amp;P studies for 2018</t>
  </si>
  <si>
    <t xml:space="preserve"> Year - 2018</t>
  </si>
  <si>
    <t>Based on the Duff &amp; Phelps 2018 Valuation Handbook.</t>
  </si>
  <si>
    <t>Based on the Duff &amp; Phelps 2018 Valuation Handbook - 10th decile companies.</t>
  </si>
  <si>
    <t>Manan</t>
  </si>
  <si>
    <t>Total Shares Outstanding / Converted to Common Stock</t>
  </si>
  <si>
    <t>Breakpoint Value</t>
  </si>
  <si>
    <t>Total Allocation</t>
  </si>
  <si>
    <t>Total Tranche Value</t>
  </si>
  <si>
    <t>Label changes to cells E7, B34, B81, B85, B138, B168</t>
  </si>
  <si>
    <t>Added upper border to the breakpoint value calculations</t>
  </si>
  <si>
    <t>OPM 1 Hybrid</t>
  </si>
  <si>
    <t>Row 85</t>
  </si>
  <si>
    <t>Added Upper border to the Total Liabilities &amp; Shareholder's Equity calculation</t>
  </si>
  <si>
    <t>Row 56</t>
  </si>
  <si>
    <t>Added outliers in the formulas for Stock Price, Market Cap and Enterprise Value</t>
  </si>
  <si>
    <t>X11 to Z37</t>
  </si>
  <si>
    <t>WACC PWERM</t>
  </si>
  <si>
    <t>Updated format of cells F15 and F17</t>
  </si>
  <si>
    <t>Updated format for calculations in Row 11 and Row 15</t>
  </si>
  <si>
    <t>Removed Extra space (row) below Footnote.</t>
  </si>
  <si>
    <t>Cap Table</t>
  </si>
  <si>
    <t>The Total for Common Options/Warrants and Preferred Warrants were made bold.</t>
  </si>
  <si>
    <t>Font color updated for Values and Shares columns.</t>
  </si>
  <si>
    <t>OPM 2 (Hybrid)</t>
  </si>
  <si>
    <t>Kritika</t>
  </si>
  <si>
    <t>Hybrid Method</t>
  </si>
  <si>
    <t>Latest Pref Series</t>
  </si>
  <si>
    <t>Val Summ</t>
  </si>
  <si>
    <t>Added Hybrid Method conclusions in off-print, added latest pref value conclusions from all three methods in off-print</t>
  </si>
  <si>
    <t>Removed additional term and updated PV factor calculations</t>
  </si>
  <si>
    <t>Exit Prob</t>
  </si>
  <si>
    <t>Cell B58 bold</t>
  </si>
  <si>
    <t>Based on discussions with Management</t>
  </si>
  <si>
    <t>Backsolved based on latest round of financing</t>
  </si>
  <si>
    <t>Updated format of cells E7:E13</t>
  </si>
  <si>
    <t>Updated RFR reference</t>
  </si>
  <si>
    <t>Tranche Ownership Percentage</t>
  </si>
  <si>
    <t>Total Tranche Ownership Percentage</t>
  </si>
  <si>
    <t>Incremental Value (Difference between Breakpoints)</t>
  </si>
  <si>
    <t>Incremental Value Allocation</t>
  </si>
  <si>
    <t>Price per Share at Each Breakpoint</t>
  </si>
  <si>
    <t>Off-print area; per share checks added, allocation % moved inside print area and labels updated based on Jeff's comments</t>
  </si>
  <si>
    <t>Hist IS</t>
  </si>
  <si>
    <t>Border removed from cells B9:C9</t>
  </si>
  <si>
    <t>Updated border format in line with common size</t>
  </si>
  <si>
    <t xml:space="preserve">General </t>
  </si>
  <si>
    <t>Couple of FN references across sheets</t>
  </si>
  <si>
    <t>Added additional term reference</t>
  </si>
  <si>
    <t>For certain Guideline Public Companies that were not public beyond the selected period, no historical volatility is available for the selected term. As such, we considered the latest available historical volatility for the purposes of this analysis. These companies are highlighted in gray.</t>
  </si>
  <si>
    <t>For certain Guideline Public Companies, equity volatility was not meaningful since they were listed less than a year before the Valuation Date (highlighted in blue and marked as "NM"). We have not considered these Guideline Public Companies for the purposes of calculating volatilities.</t>
  </si>
  <si>
    <t>Price Per Share at Each Breakpoint</t>
  </si>
  <si>
    <t>Hybrid OPM 1</t>
  </si>
  <si>
    <t>Same edits as above</t>
  </si>
  <si>
    <t>IPO Biopharma_Old</t>
  </si>
  <si>
    <t>Deleted this tab</t>
  </si>
  <si>
    <t>Added footnotes #3 and #4</t>
  </si>
  <si>
    <t>Longstaff Lookback Put Analysis</t>
  </si>
  <si>
    <t>Put Value (i)</t>
  </si>
  <si>
    <t>Calculated DLOM (ii) = (i) / (1 + i )</t>
  </si>
  <si>
    <t>Rows 53-66</t>
  </si>
  <si>
    <t>Added Longstaff DLOM formula</t>
  </si>
  <si>
    <t>Updated alignment for the headers</t>
  </si>
  <si>
    <t>Structured</t>
  </si>
  <si>
    <t>Added the Exit Type list in the off-print section for the drill down below the PWERM scenarios.</t>
  </si>
  <si>
    <t>AwABTANVU0QBSP////8BRpkOAAA8Q0lRLk5BU0RBUUdTOkFOQUIuSVFfRUJJVERBX0VTVC5DWTIwMjAuNy8xNi8yMDE4LkNPTi5GLlVTRC5IAQAAACFMsgEDAAAAAADE/xsRNQnWCMKbYhI1CdYIIENJUS5JUTYwNTA0Mjg0LklRX0NPTVBBTllfVElDS0VSAQAAANw4mwMDAAAADU5hc2RhcUdTOkNUTVgADG0QDjUJ1gihKZEONQnWCClDSVEuSVFUUjQyMjg4NzcwMS5JUV9UUl9JTVBMSUVEX0VRX05JX0xUTQEAAAAVwTQZAwAAAAJOTQAMbRAONQnWCMDbgg41CdYIJ0NJUS5OQVNEQVFDTTpTUk5FLklRX1BFUklPRERBVEVfSVMuMTAwMAEAAABJQ5QDBQAAAAoxMi8zMS8yMDE3ANaMETgICdYIcySdbzQJ1ggsQ0lRLklRVFI1MzU3MTk5OTguSVFfVFJfVE9UQUxfR1JPU1NfVFYuVVNELkgFAAAAAAAAAAgAAAAaKEludmFsaWQgQ3VycmVuY3kgUmVxdWVzdClJU0dvNAnWCIH9lW80CdYIMENJUS5JUVRSNTM1NzE5OTk4LklRX1RSX1RBUkdFVF9FQklUREFfRVNULi5VU0QuSAEAAAA+cO4fAgAAAAQtNDAyALKzSW80CdYIgf2VbzQJ1gglQ0lRLklRVFIzMTIxMjI1MDQuSVFfUFJJTUFSWV9JTkRVU1RSWQEAAAC0iTgMAwAAAA1CaW90ZWNobm9sb2d5AAxtEA41CdYIwNuCDjUJ1gg9Q0lRLk5BU0RBUUdTOkFUTlguSVFfUkVWRU5VRV9FU1QuQ1kyMDE4LjcvMzEvMjAxOC5DT04uRi5VU0QuSAEAAADcmWsBAgAAAAkx</t>
  </si>
  <si>
    <t>MTIuMDg3NzcBDgAAAAUAAAACMTEBAAAAATACAAAACjEwMDM3NzgzNjQDAAAABjEwMDE4MAQAAAABMgYAAAABMAcAAAADMTYwCAAAAAEwCQAAAAExCgAAAAEwCwAAAAsxMTAwMTk1NDUxMgwAAAABNw0AAAAIOC8xLzIwMTgQAAAACTcvMzEvMjAxONaMETgICdYIJMKabzQJ1ggtQ0lRLk5BU0RBUUdTOlRTUk8uSVFfTUFSS0VUQ0FQLjUvNS8yMDE3LlVTRC5IAQAAAGjWWAYCAAAACzc4MDguMjQ4MjY4AQYAAAAFAAAAATEBAAAACjE4Mjk5ODg1NDEDAAAAAzE2MAIAAAAGMTAwMDU0BAAAAAEwBwAAAAg1LzUvMjAxN5wL1TgICdYIJMKabzQJ1ghGQ0lRLk5BU0RBUUdNOkFSUUwuSVFfVE9UQUxfUkVWXzNZUl9BTk5fQ0FHUi4yMDAwLjcvMzEvMjAxOC5MRlIuRi5VU0QuSAEAAAD2YQAAAgAAAAgtMjguNTg4OQEIAAAABQAAAAExAQAAAAoxODg4Nzg4NzcwAwAAAAMxNjACAAAABDQyMjAEAAAAATAHAAAACTcvMzEvMjAxOAgAAAAJMy8zMS8yMDE4CQAAAAEw1owROAgJ1gjDhp9vNAnWCD9DSVEuTkFTREFRR006QVJSWS5JUV9ORVRfV09SS0lOR19DQVAuMTk5Mi43LzMxLzIwMTguTEZSLkYuVVNELkgBAAAA+GEAAAIAAAAGMTAuMTg5AQgAAAAFAAAAATEBAAAACjE4NDEwOTUwMjYDAAAAAzE2MAIAAAAEMTMxMQQAAAABMAcAAAAJNy8zMS8yMDE4CAAAAAkzLzMxLzIwMTYJAAAAATCcC9U4CAnWCNRfmG80CdYINkNJ</t>
  </si>
  <si>
    <t>US5OQVNEQVFHUzpHVEhYLklRX0VCSVREQS4xOTkyLjcvMzEvMjAxOC5MRlIuRi5VU0QuSAEAAABlNGkIAwAAAAAAnAvVOAgJ1ggkwppvNAnWCC9DSVEuSVFUUjU0MjgwNjY4Ni5JUV9UUl9UQVJHRVRfVE9UQUxfUkVWLi5VU0QuSAEAAACeklogAgAAAAAAsrNJbzQJ1giB/ZVvNAnWCCFDSVEuTkFTREFRR006QVJRTC5JUV9DT01QQU5ZX05BTUUBAAAA9mEAAAMAAAAMQXJRdWxlLCBJbmMuANaMETgICdYIcySdbzQJ1gg8Q0lRLk5BU0RBUUNNOlNSTkUuSVFfR1JPU1NfTUFSR0lOLjIwMDAuNy8zMS8yMDE4LkxGUi5GLlVTRC5IAQAAAElDlAMCAAAABzYzLjI5OTEBCAAAAAUAAAABMQEAAAAKMTg4Nzk4OTgzMQMAAAADMTYwAgAAAAQ0MDc0BAAAAAEwBwAAAAk3LzMxLzIwMTgIAAAACTMvMzEvMjAxOAkAAAABMNaMETgICdYIcySdbzQJ1ghDQ0lRLk5BU0RBUUdTOkFEWFMuSVFfTUlOT1JJVFlfSU5URVJFU1RfVE9UQUwuLjcvMTYvMjAxOC5MRlIuRi5VU0QuSAEAAACe7HgAAwAAAAAAKRyUEDUJ1gjkdFsSNQnWCDVDSVEuTkFTREFRR1M6R1RIWC5JUV9EQV9DRi4yMDAwLjcvMzEvMjAxOC5MRlIuRi5VU0QuSAEAAABlNGkIAgAAAAUwLjEwOQEIAAAABQAAAAExAQAAAAoxODg2MzY3NjY3AwAAAAMxNjACAAAABDIxNjAEAAAAATAHAAAACTcvMzEvMjAxOAgAAAAJMy8zMS8yMDE4CQAAAAEw1owROAgJ1ggkwppv</t>
  </si>
  <si>
    <t>NAnWCCBDSVEuSVEzOTI2ODcxMi5JUV9DT01QQU5ZX1RJQ0tFUgEAAABoMVcCAwAAAA1OYXNkYXFHTTpGQVRFALKzSW80CdYIzFjngTQJ1ghDQ0lRLk5BU0RBUUdTOlNHRU4uSVFfTUlOT1JJVFlfSU5URVJFU1RfVE9UQUwuLjcvMTYvMjAxOC5MRlIuRi5VU0QuSAEAAABhhQAAAwAAAAAAxP8bETUJ1ghoYGcSNQnWCCtDSVEuSVFUUjI1Mzk1NDQ3My5JUV9UUl9JTVBMSUVEX0VWX0VCSVRfRldEAQAAAKkJIw8CAAAAAACys0lvNAnWCDWbk280CdYIOENJUS5OQVNEQVFHTTpYTkNSLklRX0VCSVREQS5DWTIwMTcuNy8xNi8yMDE4LkxGUi5GLlVTRC5IAQAAAKZaCwACAAAABy01MS4xMzYBCAAAAAUAAAABMQEAAAAKMTg3Njk4NDU1MgMAAAADMTYwAgAAAAQ0MDUxBAAAAAEwBwAAAAk3LzE2LzIwMTgIAAAACjEyLzMxLzIwMTcJAAAAATDE/xsRNQnWCBL+ZBI1CdYILUNJUS5OQVNEQVFDTTpNVEVNLklRX01BUktFVENBUC41LzUvMjAxNy5VU0QuSAEAAACZm6kBAwAAAAAAyDCyNwgJ1ggZ6aFvNAnWCCtDSVEuSVFUUjU2MzkxOTA0OS5JUV9UUl9JTVBMSUVEX0VWX0VCSVRfRldEAQAAAMm4nCEDAAAAAk5NAAxtEA41CdYIwNuCDjUJ1ghDQ0lRLk5BU0RBUUdTOktVUkEuSVFfRUJJVERBXzJZUl9BTk5fQ0FHUi4yMDAwLjcvMzEvMjAxOC5MRlIuRi5VU0QuSAEAAAC4y9oQAwAAAAJOTQEIAAAABQAAAAExAQAAAAox</t>
  </si>
  <si>
    <t>ODg3MzgyOTM3AwAAAAMxNjACAAAABDQyMDkEAAAAATAHAAAACTcvMzEvMjAxOAgAAAAJMy8zMS8yMDE4CQAAAAEw1owROAgJ1ghzJJ1vNAnWCENDSVEuTkFTREFRR1M6Q1RNWC5JUV9NSU5PUklUWV9JTlRFUkVTVF9UT1RBTC4uNy8xNi8yMDE4LkxGUi5GLlVTRC5IAQAAANw4mwMDAAAAAADE/xsRNQnWCMKbYhI1CdYIL0NJUS5JUVRSNDI0MzQyMDQ2LklRX1RSX1RBUkdFVF9UT1RBTF9SRVYuLlVTRC5IAQAAAB7yShkCAAAAAAAMbRAONQnWCMDbgg41CdYIKkNJUS5JUVRSMzcxNzE1MTE5LklRX1RSX1RBUkdFVF9FQklULi5VU0QuSAEAAAAv7CcWAgAAAAAAWM8SDjUJ1gjA24IONQnWCCNDSVEuSVFUUjMwMjg2NjYyNy5JUV9UUl9UT1RBTF9TVE9DSwEAAADDYA0SAgAAAAkyMy4zMTE3MjkBBgAAAAUAAAACNTQBAAAABjEwMTA1NwIAAAAJMzAyODY2NjI3AwAAAAkzMDI4NjcxNTEEAAAAAzE2MAYAAAAFRmFsc2VYzxIONQnWCAw+hQ41CdYIP0NJUS5OQVNEQVFDTTpDS1BULklRX0VCSVREQV8yWVJfQU5OX0NBR1IuLjcvMTYvMjAxOC5MRlIuRi5VU0QuSAEAAAC4URYRAwAAAAAAKRyUEDUJ1gjkdFsSNQnWCB1DSVEuMC5JUV9UUl9JTVBMSUVEX0VRX05JX0xUTQUAAAAAAAAACAAAABgoSW52YWxpZCBUcmFuc2FjdGlvbiBJZClJU0dvNAnWCAfi8IE0CdYILENJUS5JUVRSNTUwMjU5Mzk3LklRX1RSX1RBUkdF</t>
  </si>
  <si>
    <t>VF9FQklUREEuLlVTRC5IAQAAAMVKzCACAAAACC00MjcuMzk4AQYAAAAFAAAAAjM3AQAAAAoxODc2NTY1NTI4AgAAAAUyMTY3NwMAAAADMTYwBAAAAAEwBwAAAAgxLzEvMTkwMAxtEA41CdYId3mADjUJ1ghCQ0lRLk5BU0RBUUdTOk1HTlguSVFfVE9UQUxfUkVWXzJZUl9BTk5fQ0FHUi4uNy8xNi8yMDE4LkxGUi5GLlVTRC5IAQAAAE8rCQACAAAACDEyMi40MTUzAQgAAAAFAAAAATEBAAAACjE4ODcxMTQ5NDUDAAAAAzE2MAIAAAAENDIwNwQAAAABMAcAAAAJNy8xNi8yMDE4CAAAAAkzLzMxLzIwMTgJAAAAATDE/xsRNQnWCMKbYhI1CdYIKkNJUS5JUVRSMjczNTA3MTg1LklRX1RSX1RBUkdFVF9FQklULi5VU0QuSAEAAABxY00QAgAAAAYtMjguMTIBBgAAAAUAAAACMzcBAAAACjE2OTE3NjgyNjQCAAAABTIxNjc1AwAAAAMxNjAEAAAAATAHAAAACDEvMS8xOTAwsrNJbzQJ1giB/ZVvNAnWCDpDSVEuTkFTREFRR1M6RlBSWC5JUV9UT1RBTF9ERUJULjIwMDAuNy8zMS8yMDE4LkxGUi5GLlVTRC5IAQAAADddMwACAAAAATABCAAAAAUAAAABMQEAAAAKMTg4NzQwMjIyNwMAAAADMTYwAgAAAAQ0MTczBAAAAAEwBwAAAAk3LzMxLzIwMTgIAAAACTMvMzEvMjAxOAkAAAABMNaMETgICdYIGemhbzQJ1ggsQ0lRLklRVFI1NjE2MDYzNjUuSVFfVFJfVEFSR0VUX0VCSVREQS4uVVNELkgBAAAA3W55IQIAAAAAALKzSW80</t>
  </si>
  <si>
    <t>CdYINZuTbzQJ1ggrQ0lRLk5BU0RBUUdTOk5LLklRX01BUktFVENBUC41LzUvMjAxNy5VU0QuSAEAAAANfaEPAgAAAAoyNDAuNzE2Njc2AQYAAAAFAAAAATEBAAAACjE4MzE5ODc4ODQDAAAAAzE2MAIAAAAGMTAwMDU0BAAAAAEwBwAAAAg1LzUvMjAxN9aMETgICdYIGemhbzQJ1ggqQ0lRLklRVFI0MTE4NzEwODIuSVFfVFJfVEFSR0VUX0VCSVQuLlVTRC5IAQAAAGqnjBgCAAAAAACys0lvNAnWCDWbk280CdYIIENJUS5JUTYwMDQ4MjAxLklRX0NPTVBBTllfVElDS0VSAQAAAElDlAMDAAAADU5hc2RhcUNNOlNSTkUAsrNJbzQJ1ghzJJ1vNAnWCCdDSVEuTkFTREFRR006WE5DUi5JUV9CRVRBXzFZUi43LzE2LzIwMTgBAAAAploLAAIAAAAQMS4zNjI5MjY1Nzc1NjUyNgDE/xsRNQnWCBL+ZBI1CdYIH0NJUS5JUTMzNjYxOTkuSVFfQ09NUEFOWV9USUNLRVIBAAAAN10zAAMAAAANTmFzZGFxR1M6RlBSWAAMbRAONQnWCOOLkw41CdYIMENJUS5JUVRSNTMzMzg1NzQ0LklRX1RSX1RBUkdFVF9FQklUREFfRVNULi5VU0QuSAEAAAAQ0sofAgAAAAAADG0QDjUJ1gjA24IONQnWCC5DSVEuTkFTREFRR006TkxOSy5JUV9NQVJLRVRDQVAuNy8xNi8yMDE4LlVTRC5IAQAAAJV7jAACAAAACjE3My45MzI2NTkBBgAAAAUAAAABMQEAAAAKMTg4ODM1MjQ2MwMAAAADMTYwAgAAAAYxMDAwNTQEAAAAATAHAAAACTcvMTYvMjAx</t>
  </si>
  <si>
    <t>OCkclBA1CdYI5HRbEjUJ1ggiQ0lRLklRVFI0MTE4NzEwODIuSVFfVFJfVE9UQUxfQ0FTSAEAAABqp4wYAgAAAAUxOTYuMwEGAAAABQAAAAI1NAEAAAAGMTAxMDU2AgAAAAk0MTE4NzEwODIDAAAACTQxMTg3MTI5MQQAAAADMTYwBgAAAAVGYWxzZbKzSW80CdYINZuTbzQJ1ggwQ0lRLk5BU0RBUUdTOkJHTkUuSVFfVE9UQUxfUkVWLjE5OTYuLkxGUi5GLlVTRC5IAQAAAODk3QYCAAAAATABCAAAAAUAAAABMQEAAAAKMTg5OTkwMDYxOAMAAAADMTYwAgAAAAIyOAQAAAABMAcAAAAJOC8yMy8yMDE4CAAAAAk2LzMwLzIwMTcJAAAAATCcC9U4CAnWCJwL1TgICdYIP0NJUS5OQVNEQVFHUzpDQUxBLklRX0VCSVREQV81WVJfQU5OX0NBR1IuLjcvMTYvMjAxOC5MRlIuRi5VU0QuSAEAAAClJ4EGAwAAAAAAKRyUEDUJ1gjkdFsSNQnWCDZDSVEuTkFTREFRR1M6QVROWC5JUV9FQklUREEuMjAwMC43LzMxLzIwMTguTEZSLkYuVVNELkgBAAAA3JlrAQIAAAAHLTc5LjY5MQEIAAAABQAAAAExAQAAAAoxODg4NzAyOTgyAwAAAAMxNjACAAAABDQwNTEEAAAAATAHAAAACTcvMzEvMjAxOAgAAAAJMy8zMS8yMDE4CQAAAAEw1owROAgJ1ggkwppvNAnWCCdDSVEuTkFTREFRR006WE5DUi5JUV9CRVRBXzJZUi43LzE2LzIwMTgBAAAAploLAAIAAAAQMS43OTIyODQwNDE5NDI5OADE/xsRNQnWCBL+ZBI1CdYIRkNJUS5OQVNEQVFH</t>
  </si>
  <si>
    <t>UzpBVE5YLklRX01JTk9SSVRZX0lOVEVSRVNUX1RPVEFMLjIwMDAuNS81LzIwMTcuTEZSLkYuVVNELkgBAAAA3JlrAQIAAAAFMC44NjIBCAAAAAUAAAABMQEAAAAKMTg0MjQ5MDI4MQMAAAADMTYwAgAAAAQxMzEyBAAAAAEwBwAAAAg1LzUvMjAxNwgAAAAKMTIvMzEvMjAxNgkAAAABMNaMETgICdYIJMKabzQJ1gg8Q0lRLk5BU0RBUUdNOkFSUUwuSVFfRUJJVERBX0VTVC5DWTIwMTkuNy8zMS8yMDE4LkNPTi5GLlVTRC5IAQAAAPZhAAADAAAAAADWjBE4CAnWCHMknW80CdYII0NJUS5JUVRSMzA3ODYzOTg0LklRX1RSX1RPVEFMX1NUT0NLAQAAALChWRICAAAAAABYzxIONQnWCMDbgg41CdYIN0NJUS5OQVNEQVFHUzpNR05YLklRX0VCSVRfTUFSR0lOLi43LzE2LzIwMTguTEZSLkYuVVNELkgBAAAATysJAAIAAAAILTIxLjI4OTcBCAAAAAUAAAABMQEAAAAKMTg4NzExNDk0NQMAAAADMTYwAgAAAAQ0MDUzBAAAAAEwBwAAAAk3LzE2LzIwMTgIAAAACTMvMzEvMjAxOAkAAAABMMT/GxE1CdYIwptiEjUJ1gg9Q0lRLk5BU0RBUUNNOlpJT1AuSVFfRUJJVERBX01BUkdJTi4yMDAwLjcvMzEvMjAxOC5MRlIuRi5VU0QuSAEAAACzUbIAAwAAAAJOTQEIAAAABQAAAAExAQAAAAoxODg3OTcyMzU5AwAAAAMxNjACAAAABDQwNDcEAAAAATAHAAAACTcvMzEvMjAxOAgAAAAJMy8zMS8yMDE4CQAAAAEw1owROAgJ1gjDhp9v</t>
  </si>
  <si>
    <t>NAnWCC5DSVEuTkFTREFRQ006WklPUC5JUV9NQVJLRVRDQVAuNy8zMS8yMDE4LlVTRC5IAQAAALNRsgACAAAACjM2NC44NDQ4NDQBBgAAAAUAAAABMQEAAAAKMTg4Nzk3MjIwMQMAAAADMTYwAgAAAAYxMDAwNTQEAAAAATAHAAAACTcvMzEvMjAxONaMETgICdYIw4afbzQJ1gg+Q0lRLihJTlZBTElEIElERU5USUZJRVIpLklRX1BSRUZfRVFVSVRZLi45LzE1LzIwMTcuTEZSLkYuVVNELkgFAAAAAAAAAAgAAAAUKEludmFsaWQgSWRlbnRpZmllcinep34QNQnWCJgSWRI1CdYIO0NJUS5OQVNEQVFHUzpCR05FLklRX05FVF9XT1JLSU5HX0NBUC4uNy8xNi8yMDE4LkxGUi5GLlVTRC5IAQAAAODk3QYCAAAABy0xMC42NDQBCAAAAAUAAAABMQEAAAAKMTg4NzY4ODU4OAMAAAADMTYwAgAAAAQxMzExBAAAAAEwBwAAAAk3LzE2LzIwMTgIAAAACTMvMzEvMjAxOAkAAAABMMT/GxE1CdYIaGBnEjUJ1ggpQ0lRLklRVFI0MDg0MDc4MjIuSVFfVFJfSU1QTElFRF9FUV9OSV9MVE0BAAAADs9XGAMAAAACTk0AsrNJbzQJ1giB/ZVvNAnWCDhDSVEuTkFTREFRR1M6TUdOWC5JUV9UT1RBTF9FUVVJVFkuLjcvMTYvMjAxOC5MRlIuRi5VU0QuSAEAAABPKwkAAgAAAAcyNDcuMjc2AQgAAAAFAAAAATEBAAAACjE4ODcxMTQ5NDUDAAAAAzE2MAIAAAAEMTI3NQQAAAABMAcAAAAJNy8xNi8yMDE4CAAAAAkzLzMxLzIwMTgJAAAAATDE</t>
  </si>
  <si>
    <t>/xsRNQnWCMKbYhI1CdYIRENJUS4oSU5WQUxJRCBJREVOVElGSUVSKS5JUV9SRVZFTlVFX0VTVC5DWTIwMjAuNy8xNi8yMDE4LkNPTi5GLlVTRC5IBQAAAAAAAAAIAAAAFChJbnZhbGlkIElkZW50aWZpZXIpIAqBEDUJ1giYElkSNQnWCEZDSVEuTkFTREFRR006RkFURS5JUV9UT1RBTF9SRVZfMllSX0FOTl9DQUdSLjIwMDAuNy8zMS8yMDE4LkxGUi5GLlVTRC5IAQAAAGgxVwICAAAABjQuNTg0NQEIAAAABQAAAAExAQAAAAoxODg4NTAwNTI3AwAAAAMxNjACAAAABDQyMDcEAAAAATAHAAAACTcvMzEvMjAxOAgAAAAJMy8zMS8yMDE4CQAAAAEw1owROAgJ1gjDhp9vNAnWCDNDSVEuTkFTREFRR1M6U0dFTi5JUV9FQklUREFfRVNULkNZMjAxOC4uQ09OLkYuVVNELkgBAAAAYYUAAAIAAAAILTIwNS4yODQBDgAAAAUAAAACMTEBAAAAATACAAAACjEwMDAxMjQ3MjYDAAAABjEwMDE4NwQAAAABMgYAAAABMAcAAAADMTYwCAAAAAEwCQAAAAExCgAAAAEwCwAAAAsxMTAwMjQ3NzM1OQwAAAABNw0AAAAJOC8yNC8yMDE4EAAAAAk4LzIzLzIwMTjE/xsRNQnWCMT/GxE1CdYIIUNJUS5JUVRSMjczNTA3MTg1LklRX1RSX0JVWUVSTkFNRQEAAABxY00QAwAAAB9EYWlpY2hpIFNhbmt5byBDb21wYW55LCBMaW1pdGVkALKzSW80CdYIgf2VbzQJ1ggtQ0lRLk5BU0RBUUdTOlBCWUkuSVFfRElWSURFTkRfWUlFTEQuNy8xNi8y</t>
  </si>
  <si>
    <t>MDE4AQAAAAJqrAcDAAAAAABGnRkRNQnWCBL+ZBI1CdYIM0NJUS4oSU5WQUxJRCBJREVOVElGSUVSKS5JUV9HUC4yMDAwLjcvMzEvMjAxOC4uLlVTRAUAAAAAAAAACAAAABQoSW52YWxpZCBJZGVudGlmaWVyKbKzSW80CdYI7TawbzQJ1ggsQ0lRLklRVFI0MzE4NDE1ODEuSVFfVFJfVE9UQUxfR1JPU1NfVFYuVVNELkgFAAAAAAAAAAgAAAAaKEludmFsaWQgQ3VycmVuY3kgUmVxdWVzdCkMbRAONQnWCAw+hQ41CdYIRENJUS5OQVNEQVFHUzpOSy5JUV9UT1RBTF9SRVZfNVlSX0FOTl9DQUdSLjIwMDAuNy8zMS8yMDE4LkxGUi5GLlVTRC5IAQAAAA19oQ8DAAAAAADWjBE4CAnWCBnpoW80CdYIMkNJUS5OQVNEQVFHTTpJTU1VLklRX0VCSVREQS4uNy8xNi8yMDE4LkxGUi5GLlVTRC5IAQAAACBDBAACAAAACy0xMDcuMjQ0OTE3AQgAAAAFAAAAATEBAAAACjE4ODg1MjMzODQDAAAAAzE2MAIAAAAENDA1MQQAAAABMAcAAAAJNy8xNi8yMDE4CAAAAAkzLzMxLzIwMTgJAAAAATDE/xsRNQnWCBL+ZBI1CdYIO0NJUS5OQVNEQVFHUzpGUFJYLklRX1RPVEFMX1JFVi5DWTIwMTcuNy8xNi8yMDE4LkxGUi5GLlVTRC5IAQAAADddMwACAAAABjM5LjUwOAEIAAAABQAAAAExAQAAAAoxODc2MTM1OTkxAwAAAAMxNjACAAAAAjI4BAAAAAEwBwAAAAk3LzE2LzIwMTgIAAAACjEyLzMxLzIwMTcJAAAAATApHJQQNQnWCHM5YBI1</t>
  </si>
  <si>
    <t>CdYILkNJUS5JUVRSNDEzOTUzNjYxLklRX1RSX1RBUkdFVF9TVE9DS1BSRU1JVU1fMVcBAAAAfW6sGAIAAAAAALKzSW80CdYIgf2VbzQJ1gg3Q0lRLk5BU0RBUUdTOktVUkEuSVFfUEVSSU9EREFURV9JUy4yMDAwLjcvMzEvMjAxOC5MRlIuRgEAAAC4y9oQBQAAAAkzLzMxLzIwMTgA1owROAgJ1ghzJJ1vNAnWCDxDSVEuT1RDUEs6TUJWWC5JUV9FQklUREFfMllSX0FOTl9DQUdSLi43LzE2LzIwMTguTEZSLkYuVVNELkgBAAAA2ESLAgMAAAACTk0BCAAAAAUAAAABMQEAAAAKMTg4MTIxMzI0NQMAAAADMTYwAgAAAAQ0MjA5BAAAAAEwBwAAAAk3LzE2LzIwMTgIAAAACjEyLzMxLzIwMTcJAAAAATDep34QNQnWCJgSWRI1CdYII0NJUS5JUVRSNTQ4MzM4MDIwLklRX1RSX0NMT1NFRF9EQVRFAQAAAGT5riAFAAAACDEvMy8yMDE4AAxtEA41CdYIwNuCDjUJ1gg8Q0lRLk5BU0RBUUdNOkNSVlMuSVFfVE9UQUxfRVFVSVRZLjE5OTIuNy8zMS8yMDE4LkxGUi5GLlVTRC5IAQAAAPSwphACAAAABjE1Mi41NQEIAAAABQAAAAExAQAAAAoxODQwMTE2MTU0AwAAAAMxNjACAAAABDEyNzUEAAAAATAHAAAACTcvMzEvMjAxOAgAAAAJMy8zMS8yMDE2CQAAAAEw1owROAgJ1ggZ6aFvNAnWCDxDSVEuTkFTREFRR006RkFURS5JUV9UT1RBTF9FUVVJVFkuMTk5Ni43LzMxLzIwMTguTEZSLkYuVVNELkgBAAAAaDFXAgIAAAAGNjMu</t>
  </si>
  <si>
    <t>ODU4AQgAAAAFAAAAATEBAAAACjE4ODg1MDAzMzMDAAAAAzE2MAIAAAAEMTI3NQQAAAABMAcAAAAJNy8zMS8yMDE4CAAAAAkzLzMxLzIwMTcJAAAAATDWjBE4CAnWCMOGn280CdYIOkNJUS4oSU5WQUxJRCBJREVOVElGSUVSKS5JUV9QRVJJT0REQVRFX0lTLi43LzE2LzIwMTguTEZSLkYFAAAAAAAAAAgAAAAUKEludmFsaWQgSWRlbnRpZmllcinep34QNQnWCJgSWRI1CdYIMUNJUS5BU1g6SU1VLklRX1BSRUZfRVFVSVRZLi43LzE2LzIwMTguTEZSLkYuVVNELkgBAAAAmJOpAAMAAAAAACkclBA1CdYIMNddEjUJ1ghEQ0lRLihJTlZBTElEIElERU5USUZJRVIpLklRX1JFVkVOVUVfRVNULkNZMjAyMC43LzMxLzIwMTguQ09OLkYuVVNELkgFAAAAAAAAAAgAAAAUKEludmFsaWQgSWRlbnRpZmllcinIMLI3CAnWCO02sG80CdYILENJUS5JUVRSNTQ4MzM4MDIwLklRX1RSX1RPVEFMX0dST1NTX1RWLlVTRC5IBQAAAAAAAAAIAAAAGihJbnZhbGlkIEN1cnJlbmN5IFJlcXVlc3QpDG0QDjUJ1gjA24IONQnWCD9DSVEuTkFTREFRR006SU1NVS5JUV9ORVRfV09SS0lOR19DQVAuMjAwMC43LzMxLzIwMTguTEZSLkYuVVNELkgBAAAAIEMEAAIAAAAKLTgzLjI1NTU4MQEIAAAABQAAAAExAQAAAAoxODg4NTIzMzg0AwAAAAMxNjACAAAABDEzMTEEAAAAATAHAAAACTcvMzEvMjAxOAgAAAAJMy8zMS8yMDE4CQAAAAEwnAvV</t>
  </si>
  <si>
    <t>OAgJ1gjUX5hvNAnWCD9DSVEuTkFTREFRR1M6VFNSTy5JUV9ORVRfV09SS0lOR19DQVAuMTk5Mi43LzMxLzIwMTguTEZSLkYuVVNELkgBAAAAaNZYBgIAAAAHLTQ3LjYxNgEIAAAABQAAAAExAQAAAAoxODQwOTM0NjYzAwAAAAMxNjACAAAABDEzMTEEAAAAATAHAAAACTcvMzEvMjAxOAgAAAAJMy8zMS8yMDE2CQAAAAEwnAvVOAgJ1ggkwppvNAnWCDlDSVEuTkFTREFRR1M6QVROWC5JUV9OSV9NQVJHSU4uMjAwMC43LzMxLzIwMTguTEZSLkYuVVNELkgBAAAA3JlrAQIAAAAJLTEzNi43MjE5AQgAAAAFAAAAATEBAAAACjE4ODg3MDI5ODIDAAAAAzE2MAIAAAAENDA5NAQAAAABMAcAAAAJNy8zMS8yMDE4CAAAAAkzLzMxLzIwMTgJAAAAATDWjBE4CAnWCCTCmm80CdYIIENJUS5JUTM2MTgzODIyLklRX0xBU1RTQUxFUFJJQ0UuAQAAAA4fKAICAAAABDIuNDMAnAvVOAgJ1gh3eYAONQnWCDNDSVEuTkFTREFRR1M6U0dFTi5JUV9FQklUREFfRVNULkNZMjAyMC4uQ09OLkYuVVNELkgBAAAAYYUAAAIAAAAHLTEyLjkyMwEOAAAABQAAAAIxMQEAAAABMAIAAAAKMTAwMDEyNDcyOAMAAAAGMTAwMTg3BAAAAAEyBgAAAAEwBwAAAAMxNjAIAAAAATAJAAAAATEKAAAAATALAAAACzEwOTk3ODk1OTQ4DAAAAAE3DQAAAAk4LzI0LzIwMTgQAAAACTgvMjMvMjAxOMT/GxE1CdYIxP8bETUJ1gg9Q0lRLk5BU0RBUUdNOkFGTUQu</t>
  </si>
  <si>
    <t>SVFfUkVWRU5VRV9FU1QuQ1kyMDIwLjcvMTYvMjAxOC5DT04uRi5VU0QuSAEAAADb9wwAAgAAABA5LjYwNjk4OTgxNjg2NDM3AQ4AAAAFAAAAAjExAQAAAAEwAgAAAAoxMDAyODg0MDE1AwAAAAYxMDAxODAEAAAAATMGAAAAATAHAAAAAzE2MAgAAAABMAkAAAABMQoAAAABMAsAAAALMTA4ODcxNzYwMzIMAAAAATcNAAAACTcvMTcvMjAxOBAAAAAJNy8xNi8yMDE4KRyUEDUJ1ggw110SNQnWCDNDSVEuTkFTREFRR1M6UEJZSS5JUV9QRVJJT0REQVRFX0lTLi43LzE2LzIwMTguTEZSLkYBAAAAAmqsBwUAAAAJMy8zMS8yMDE4AMT/GxE1CdYIEv5kEjUJ1gg6Q0lRLkVOWFRQQTpJUEguSVFfUkVWRU5VRV9FU1QuQ1kyMDE4LjcvMTYvMjAxOC5DT04uRi5VU0QuSAEAAACZgAYAAgAAABA2OS4wMjU1ODI1MDYyMjI3AQ4AAAAFAAAAAjExAQAAAAEwAgAAAAoxMDAxNjQzMzkxAwAAAAYxMDAxODAEAAAAATMGAAAAATAHAAAAAzE2MAgAAAABMAkAAAABMQoAAAABMAsAAAALMTA5NTM4NDI0NzkMAAAAATcNAAAACTcvMTcvMjAxOBAAAAAJNy8xNi8yMDE4KRyUEDUJ1ghzOWASNQnWCCJDSVEuSVFUUjUzMzM4NTc0NC5JUV9UUl9QQ1RfU09VR0hUAQAAABDSyh8CAAAAAzEwMAEGAAAABQAAAAI1NAEAAAAGMTAxMDI0AgAAAAk1MzMzODU3NDQDAAAACTUzMzM4NTgyNAQAAAADMTYwBgAAAARUcnVlDG0QDjUJ1gh3eYAONQnW</t>
  </si>
  <si>
    <t>CDVDSVEuTkFTREFRR1M6VFNSTy5JUV9OSV9NQVJHSU4uLjcvMTYvMjAxOC5MRlIuRi5VU0QuSAEAAABo1lgGAgAAAAktMTkzLjQxNzIBCAAAAAUAAAABMQEAAAAKMTg4NjMzNzQ2NgMAAAADMTYwAgAAAAQ0MDk0BAAAAAEwBwAAAAk3LzE2LzIwMTgIAAAACTMvMzEvMjAxOAkAAAABMMT/GxE1CdYIEv5kEjUJ1gg3Q0lRLk5BU0RBUUdTOk5LLklRX05JX01BUkdJTi4yMDAwLjcvMzEvMjAxOC5MRlIuRi5VU0QuSAEAAAANfaEPAwAAAAJOTQEIAAAABQAAAAExAQAAAAoxODg3MTE4NzkxAwAAAAMxNjACAAAABDQwOTQEAAAAATAHAAAACTcvMzEvMjAxOAgAAAAJMy8zMS8yMDE4CQAAAAEw1owROAgJ1gjDhp9vNAnWCCRDSVEuTkFTREFRR1M6QkdORS5JUV9FRkZFQ1RfVEFYX1JBVEUBAAAA4OTdBgMAAAACTk0BCAAAAAUAAAABMQEAAAAKMTg5OTkwMDYzMQMAAAADMTYwAgAAAAQ0Mzc2BAAAAAEwBwAAAAk4LzIzLzIwMTgIAAAACTYvMzAvMjAxOAkAAAABMJwL1TgICdYIqAKKDjUJ1gg7Q0lRLk5BU0RBUUdTOkZQUlguSVFfVE9UQUxfUkVWLkNZMjAxNi43LzE2LzIwMTguTEZSLkYuVVNELkgBAAAAN10zAAIAAAAGMzAuNjkxAQgAAAAFAAAAATEBAAAACjE4NzYxMzU5ODgDAAAAAzE2MAIAAAACMjgEAAAAATAHAAAACTcvMTYvMjAxOAgAAAAKMTIvMzEvMjAxNgkAAAABMCkclBA1CdYIczlgEjUJ1gglQ0lRLklR</t>
  </si>
  <si>
    <t>VFIzMTQ4MjkyMzYuSVFfVFJfSU1QTElFRF9FUV9CVgEAAAC06cMSAgAAAAAAWM8SDjUJ1gjA24IONQnWCDFDSVEuWFRSQTpNT1IuSVFfRUJJVERBLjE5OTIuNy8zMS8yMDE4LkxGUi5GLlVTRC5IAQAAAN8RAgACAAAACS00OS40NjE3OAEIAAAABQAAAAExAQAAAAoxODM5OTQwNjkwAwAAAAMxNjACAAAABDQwNTEEAAAAATAHAAAACTcvMzEvMjAxOAgAAAAJMy8zMS8yMDE2CQAAAAEwnAvVOAgJ1gjUX5hvNAnWCDhDSVEuTkFTREFRR006TFBUWC5JUV9UT1RBTF9FUVVJVFkuLjcvMTYvMjAxOC5MRlIuRi5VU0QuSAEAAAAMNgkHAgAAAAYxNi4xMjgBCAAAAAUAAAABMQEAAAAKMTg5MDE2MzkzNgMAAAADMTYwAgAAAAQxMjc1BAAAAAEwBwAAAAk3LzE2LzIwMTgIAAAACTMvMzEvMjAxOAkAAAABMCkclBA1CdYIMNddEjUJ1gg8Q0lRLk5BU0RBUUdTOkdUSFguSVFfRUFSTklOR19DTy5DWTIwMTYuNy8zMS8yMDE4LkxGUi5GLlVTRC5IAQAAAGU0aQgCAAAABy0zMC4yOTEBCAAAAAUAAAABMQEAAAAKMTg3NTMyNzMwMQMAAAADMTYwAgAAAAE3BAAAAAEwBwAAAAk3LzMxLzIwMTgIAAAACjEyLzMxLzIwMTYJAAAAATDWjBE4CAnWCCTCmm80CdYIKUNJUS5JUVRSNTMzNjM5NTAxLklRX1RSX0lNUExJRURfRVFfTklfTFRNAQAAAE2xzh8CAAAAAAAMbRAONQnWCMDbgg41CdYIPUNJUS5OQVNEQVFHUzpKTkNFLklRX1JF</t>
  </si>
  <si>
    <t>VkVOVUVfRVNULkNZMjAxOC43LzE2LzIwMTguQ09OLkYuVVNELkgBAAAA4nmeDQIAAAAGNTEuMzI1AQ4AAAAFAAAAAjExAQAAAAEwAgAAAAoxMDAzNjI5MDk3AwAAAAYxMDAxODAEAAAAATIGAAAAATAHAAAAAzE2MAgAAAABMAkAAAABMQoAAAABMAsAAAALMTA5NDU1NzA4MDQMAAAAATcNAAAACTcvMTcvMjAxOBAAAAAJNy8xNi8yMDE4KRyUEDUJ1gjkdFsSNQnWCB5DSVEuLklRX1RSX0lNUExJRURfRVZfRUJJVF9GV0QFAAAAAAAAAAgAAAAUKEludmFsaWQgSWRlbnRpZmllcimcC9U4CAnWCHd5gA41CdYIJUNJUS5JUVRSNTQyODA2Njg2LklRX1RSX0lNUExJRURfRVFfQlYBAAAAnpJaIAIAAAAAALKzSW80CdYIgf2VbzQJ1gg9Q0lRLk5BU0RBUUNNOkFWRU8uSVFfUkVWRU5VRV9FU1QuQ1kyMDIwLjcvMTYvMjAxOC5DT04uRi5VU0QuSAEAAAD0Fh0AAgAAAAQ3MS41AQ4AAAAFAAAAAjExAQAAAAEwAgAAAAoxMDAwNzQ4MDgzAwAAAAYxMDAxODAEAAAAATIGAAAAATAHAAAAAzE2MAgAAAABMAkAAAABMQoAAAABMAsAAAALMTA4NzEyNjExNTcMAAAAATcNAAAACTcvMTcvMjAxOBAAAAAJNy8xNi8yMDE4xP8bETUJ1gjCm2ISNQnWCCVDSVEuSVFUUjI1Mzk1NDQ3My5JUV9UUl9NQUpfTUlOX1NUQUtFAQAAAKkJIw8DAAAACE1ham9yaXR5ALKzSW80CdYINZuTbzQJ1gg6Q0lRLk5BU0RBUUNNOkFWRU8uSVFfQ0FT</t>
  </si>
  <si>
    <t>SF9TVF9JTlZFU1QuLjcvMTYvMjAxOC5MRlIuRi5VU0QuSAEAAAD0Fh0AAgAAAAYyNi45OTUBCAAAAAUAAAABMQEAAAAKMTg4NzIzNDI5NQMAAAADMTYwAgAAAAQxMDAyBAAAAAEwBwAAAAk3LzE2LzIwMTgIAAAACTMvMzEvMjAxOAkAAAABMMT/GxE1CdYIwptiEjUJ1gg9Q0lRLk5BU0RBUUdNOkNSVlMuSVFfRUJJVERBX01BUkdJTi4yMDAwLjcvMzEvMjAxOC5MRlIuRi5VU0QuSAEAAAD0sKYQAwAAAAAA1owROAgJ1ggZ6aFvNAnWCDVDSVEuTkFTREFRR1M6TUdOWC5JUV9OSV9NQVJHSU4uLjcvMTYvMjAxOC5MRlIuRi5VU0QuSAEAAABPKwkAAgAAAAgtMTkuNjQ0OQEIAAAABQAAAAExAQAAAAoxODg3MTE0OTQ1AwAAAAMxNjACAAAABDQwOTQEAAAAATAHAAAACTcvMTYvMjAxOAgAAAAJMy8zMS8yMDE4CQAAAAEwxP8bETUJ1gjCm2ISNQnWCD1DSVEuTkFTREFRR1M6RlBSWC5JUV9SRVZFTlVFX0VTVC5DWTIwMTkuNy8zMS8yMDE4LkNPTi5GLlVTRC5IAQAAADddMwACAAAACDYwLjUwMTc4AQ4AAAAFAAAAAjExAQAAAAEwAgAAAAoxMDAxOTU2MzQ5AwAAAAYxMDAxODAEAAAAATIGAAAAATAHAAAAAzE2MAgAAAABMAkAAAABMQoAAAABMAsAAAALMTA5NDU1NzUwNTQMAAAAATcNAAAACDgvMS8yMDE4EAAAAAk3LzMxLzIwMTjWjBE4CAnWCBnpoW80CdYIQkNJUS5OQVNEQVFHUzpDVE1YLklRX1RPVEFMX1JFVl8y</t>
  </si>
  <si>
    <t>WVJfQU5OX0NBR1IuLjcvMTYvMjAxOC5MRlIuRi5VU0QuSAEAAADcOJsDAgAAAAgyMDAuODQ3MQEIAAAABQAAAAExAQAAAAoxODg3Njc1MzE2AwAAAAMxNjACAAAABDQyMDcEAAAAATAHAAAACTcvMTYvMjAxOAgAAAAJMy8zMS8yMDE4CQAAAAEwxP8bETUJ1gjCm2ISNQnWCCVDSVEuTkFTREFRR1M6U0dFTi5JUV9GSVJTVFBSSUNJTkdEQVRFAQAAAGGFAAAFAAAACDMvNy8yMDAxAEadGRE1CdYIaGBnEjUJ1gg7Q0lRLk5BU0RBUUdTOkFEWFMuSVFfVE9UQUxfUkVWLkNZMjAxNy43LzE2LzIwMTguTEZSLkYuVVNELkgBAAAAnux4AAIAAAAJMTAuMjk1ODM1AQgAAAAFAAAAATEBAAAACjE4NzgwMTI0NzMDAAAAAzE2MAIAAAACMjgEAAAAATAHAAAACTcvMTYvMjAxOAgAAAAJMS8zMS8yMDE4CQAAAAEwKRyUEDUJ1gjkdFsSNQnWCDxDSVEuTkFTREFRR1M6TVJTTi5JUV9FQklUREFfRVNULkNZMjAyMC43LzMxLzIwMTguQ09OLkYuVVNELkgBAAAA5sUYAAIAAAAHLTUyLjYwNQEOAAAABQAAAAIxMQEAAAABMAIAAAAKMTAwMzgwMzI4NQMAAAAGMTAwMTg3BAAAAAEyBgAAAAEwBwAAAAMxNjAIAAAAATAJAAAAATEKAAAAATALAAAACzEwOTgxNDE1MzY2DAAAAAE3DQAAAAg4LzEvMjAxOBAAAAAJNy8zMS8yMDE41owROAgJ1gjDhp9vNAnWCCJDSVEuSVFUUjUzNTcxOTk5OC5JUV9UUl9UT1RBTF9DQVNIAQAAAD5w7h8C</t>
  </si>
  <si>
    <t>AAAACzEwNDAxLjAzODgyAQYAAAAFAAAAAjU0AQAAAAYxMDEwNTYCAAAACTUzNTcxOTk5OAMAAAAJNTM1NzI0ODEzBAAAAAMxNjAGAAAABUZhbHNlsrNJbzQJ1giB/ZVvNAnWCClDSVEuSVEzNjE4Mzg0MC5JUV9MQVNUU0FMRVBSSUNFLjcvMzEvMjAxOAEAAAAgHygCAgAAAAQzLjAzAElTR280CdYIgf2VbzQJ1ggtQ0lRLk5BU0RBUUdTOk1SU04uSVFfRElWSURFTkRfWUlFTEQuNy8xNi8yMDE4AQAAAObFGAADAAAAAAApHJQQNQnWCHM5YBI1CdYIPENJUS5OQVNEQVFHTTpDUklTLklRX1RPVEFMX0VRVUlUWS4xOTk2LjcvMzEvMjAxOC5MRlIuRi5VU0QuSAEAAAAXagAAAgAAAAYyMS40NzcBCAAAAAUAAAABMQEAAAAKMTg4NjI0NzM5NQMAAAADMTYwAgAAAAQxMjc1BAAAAAEwBwAAAAk3LzMxLzIwMTgIAAAACTMvMzEvMjAxNwkAAAABMMgwsjcICdYI3UukbzQJ1gg6Q0lRLk5BU0RBUUdTOkVQWk0uSVFfVE9UQUxfREVCVC4yMDAwLjcvMzEvMjAxOC5MRlIuRi5VU0QuSAEAAAADJj0DAgAAAAEwAQgAAAAFAAAAATEBAAAACjE4ODcyNDYwNzcDAAAAAzE2MAIAAAAENDE3MwQAAAABMAcAAAAJNy8zMS8yMDE4CAAAAAkzLzMxLzIwMTgJAAAAATDWjBE4CAnWCCTCmm80CdYILUNJUS5OQVNEQVFHUzpCR05FLklRX01BUktFVENBUC41LzUvMjAxNy5VU0QuSAEAAADg5N0GAgAAAAsxNTY0LjUyNDk4MwEGAAAABQAA</t>
  </si>
  <si>
    <t>AAExAQAAAAoxODMyOTUwNTIxAwAAAAMxNjACAAAABjEwMDA1NAQAAAABMAcAAAAINS81LzIwMTecC9U4CAnWCIH9lW80CdYILUNJUS4uSVFfRUFSTklOR19DTy4xOTk2LjcvMzEvMjAxOC5MRlIuRi5VU0QuSAUAAAABAAAACAAAABQoSW52YWxpZCBJZGVudGlmaWVyKfWEMkc0CdYI9YQyRzQJ1gguQ0lRLklRVFI1NDI4MDY2ODYuSVFfVFJfVEFSR0VUX1NUT0NLUFJFTUlVTV8xVwEAAACeklogAgAAAAAAsrNJbzQJ1giB/ZVvNAnWCDlDSVEuTkFTREFRQ006U1JORS5JUV9UT1RBTF9SRVYuMjAwMC43LzMxLzIwMTguTEZSLkYuVVNELkgBAAAASUOUAwIAAAAHMTUzLjIyOAEIAAAABQAAAAExAQAAAAoxODg3OTg5ODMxAwAAAAMxNjACAAAAAjI4BAAAAAEwBwAAAAk3LzMxLzIwMTgIAAAACTMvMzEvMjAxOAkAAAABMNaMETgICdYIcySdbzQJ1gg7Q0lRLk5BU0RBUUdTOkNUTVguSVFfVE9UQUxfUkVWLkNZMjAxNi43LzE2LzIwMTguTEZSLkYuVVNELkgBAAAA3DibAwIAAAAGMTUuMDQzAQgAAAAFAAAAATEBAAAACjE4NzczMTY3MzQDAAAAAzE2MAIAAAACMjgEAAAAATAHAAAACTcvMTYvMjAxOAgAAAAKMTIvMzEvMjAxNgkAAAABMMT/GxE1CdYIwptiEjUJ1ggnQ0lRLk5BU0RBUUdTOkpOQ0UuSVFfQkVUQV8xWVIuNy8xNi8yMDE4AQAAAOJ5ng0CAAAAEDEuMzcyOTU2MTIxNzkyMjYAKRyUEDUJ1giYElkSNQnW</t>
  </si>
  <si>
    <t>CCVDSVEuSVFUUjQxMTg3MTA4Mi5JUV9UUl9NQUpfTUlOX1NUQUtFAQAAAGqnjBgDAAAACE1ham9yaXR5ALKzSW80CdYINZuTbzQJ1gg1Q0lRLk5BU0RBUUdTOkdUSFguSVFfQ0FQRVguMTk5Ni43LzMxLzIwMTguTEZSLkYuVVNELkgBAAAAZTRpCAIAAAAJLTAuMjA2NzM3AQgAAAAFAAAAATEBAAAACjE4ODYzNjc2NDgDAAAAAzE2MAIAAAAEMjAyMQQAAAABMAcAAAAJNy8zMS8yMDE4CAAAAAkzLzMxLzIwMTcJAAAAATCcC9U4CAnWCCTCmm80CdYIM0NJUS5OQVNEQVFHUzpCR05FLklRX1RPVEFMX0VRVUlUWS4yMDAwLi5MRlIuRi5VU0QuSAEAAADg5N0GAgAAAAgxMjI2LjY2OAEIAAAABQAAAAExAQAAAAoxODk5OTAwNjMxAwAAAAMxNjACAAAABDEyNzUEAAAAATAHAAAACTgvMjMvMjAxOAgAAAAJNi8zMC8yMDE4CQAAAAEwnAvVOAgJ1gicC9U4CAnWCD9DSVEuTkFTREFRR006TkxOSy5JUV9FQklUREFfM1lSX0FOTl9DQUdSLi43LzE2LzIwMTguTEZSLkYuVVNELkgBAAAAlXuMAAMAAAACTk0BCAAAAAUAAAABMQEAAAAKMTg4ODM1NDIwNwMAAAADMTYwAgAAAAQ0MjIyBAAAAAEwBwAAAAk3LzE2LzIwMTgIAAAACTMvMzEvMjAxOAkAAAABMCkclBA1CdYI5HRbEjUJ1gg5Q0lRLk5BU0RBUUdNOkFGTUQuSVFfRUJJVERBX01BUkdJTi4uNy8xNi8yMDE4LkxGUi5GLlVTRC5IAQAAANv3DAADAAAAAk5NAQgAAAAF</t>
  </si>
  <si>
    <t>AAAAATEBAAAACjE4ODk4NjYwNDkDAAAAAjUwAgAAAAQ0MDQ3BAAAAAEwBwAAAAk3LzE2LzIwMTgIAAAACTMvMzEvMjAxOAkAAAABMCkclBA1CdYIMNddEjUJ1ggkQ0lRLk5BU0RBUUdNOk5MTksuSVFfRUZGRUNUX1RBWF9SQVRFAQAAAJV7jAADAAAAAk5NAQgAAAAFAAAAATEBAAAACjE4OTkwODA1MjcDAAAAAzE2MAIAAAAENDM3NgQAAAABMAcAAAAJOC8yMy8yMDE4CAAAAAk2LzMwLzIwMTgJAAAAATApHJQQNQnWCOR0WxI1CdYIL0NJUS5JUVRSMjQ1ODMxMDA3LklRX1RSX1RBUkdFVF9UT1RBTF9SRVYuLlVTRC5IAQAAAF8Vpw4CAAAABTc5Ljk2AQYAAAAFAAAAAjM3AQAAAAoxNjMwMjk2OTcyAgAAAAIyOAMAAAADMTYwBAAAAAEwBwAAAAgxLzEvMTkwMLKzSW80CdYIgf2VbzQJ1ggpQ0lRLk5BU0RBUUdTOkJHTkUuSVFfQlVTSU5FU1NfREVTQ1JJUFRJT04BAAAA4OTdBgMAAAD9DkJlaUdlbmUsIEx0ZC4sIGEgY2xpbmljYWwtc3RhZ2UgYmlvcGhhcm1hY2V1dGljYWwgY29tcGFueSwgZGV2ZWxvcHMgYW5kIGNvbW1lcmNpYWxpemVzIG1vbGVjdWxhcmx5LXRhcmdldGVkIGFuZCBpbW11bm8tb25jb2xvZ3kgZHJ1Z3MgZm9yIHRoZSB0cmVhdG1lbnQgb2YgY2FuY2VyLiBJdHMgY29tbWVyY2lhbCBwcm9kdWN0cyBpbmNsdWRlIEFCUkFYQU5FLCBhIHNvbHZlbnQtZnJlZSBjaGVtb3RoZXJhcHkgcHJvZHVj</t>
  </si>
  <si>
    <t>dCBmb3IgdGhlIHRyZWF0bWVudCBvZiBicmVhc3QsIG5vbi1zbWFsbCBjZWxsIGx1bmcsIHBhbmNyZWF0aWMsIGFuZCBnYXN0cmljIGNhbmNlcjsgUkVWTElNSUQsIGFuIG9yYWwgaW1tdW5vbW9kdWxhdG9yeSBkcnVnIGZvciB0aGUgdHJlYXRtZW50IG9mIG11bHRpcGxlIG15ZWxvbWEgaW4gY29tYmluYXRpb24gd2l0aCBkZXhhbWV0aGFzb25lOyBhbmQgVklEQVpBLCBhIHB5cmltaWRpbmUgbnVjbGVvc2lkZSBhbmFsb2cgZm9yIHRoZSB0cmVhdG1lbnQgb2YgaW50ZXJtZWRpYXRlLTIgYW5kIGhpZ2gtcmlzayBteWVsb2R5c3BsYXN0aWMgc3luZHJvbWVzLCBjaHJvbmljIG15ZWxvbW9ub2N5dGUgbGV1a2VtaWEsIGFuZCBhY3V0ZSBteWVsb2lkIGxldWtlbWlhIHdpdGggMjAlIHRvIDMwJSBibGFzdHMgYW5kIG11bHRpLWxpbmVhZ2UgZHlzcGxhc2lhLiBUaGUgY29tcGFueeKAmXMgY2xpbmljYWwgc3RhZ2UgZHJ1ZyBjYW5kaWRhdGVzIGluY2x1ZGUgQkdCLTMxMTEsIGEgc21hbGwgbW9sZWN1bGUgQnJ1dG9u4oCZcyB0eXJvc2luZSBraW5hc2UgKEJUSykgaW5oaWJpdG9yIGZvciB0aGUgdHJlYXRtZW50IG9mIHZhcmlvdXMgbHltcGhvbWFzOyBCR0ItQTMxNywgYSBodW1hbml6ZWQgbW9ub2Nsb25hbCBhbnRpYm9keSBmb3Igc29saWQgYW5kIGhlbWF0b2xvZ2ljYWwgY2FuY2VyczsgQkdCLTI5MCwg</t>
  </si>
  <si>
    <t>YSBzbWFsbCBtb2xlY3VsZSBpbmhpYml0b3Igb2YgUEFSUDEgYW5kIFBBUlAyIGZvciB0aGUgdHJlYXRtZW50IG9mIGhvbW9sb2dvdXMgcmVjb21iaW5hdGlvbiBkZWZpY2llbnQgY2FuY2VyczsgQkdCLTI4MywgYSBzbWFsbCBtb2xlY3VsZSBSQUYgZGltZXIgaW5oaWJpdG9yIHRvIHRyZWF0IGNhbmNlcnMgd2l0aCBhYmVycmF0aW9ucyBpbiB0aGUgbWl0b2dlbi1hY3RpdmF0ZWQgcHJvdGVpbiBraW5hc2UgcGF0aHdheSwgaW5jbHVkaW5nIEJSQUYgbXV0YXRpb25zIGFuZCBLUkFTL05SQVMgZ2VuZSBtdXRhdGlvbnM7IEJHQi1BMzMzLCBhbiBodW1hbml6ZWQgbW9ub2Nsb25hbCBhbnRpYm9keSBmb3IgdGhlIGltbXVuZSBjaGVja3BvaW50IHJlY2VwdG9yIGxpZ2FuZCBQRC1MMTsgYW5kIE1HQ0QtMDUxNiwgYSBtdWx0aS1raW5hc2UgaW5oaWJpdG9yLiBJdHMgcHJlY2xpbmljYWwgcHJvZ3JhbXMgY29uc2lzdHMgb2YgdGFyZ2V0ZWQgdGhlcmFwaWVzIGFuZCBpbW11bm8tb25jb2xvZ3kgYWdlbnRzLCBpbmNsdWRpbmcgYW4gYWRkaXRpb25hbCBSQUYgZGltZXIgaW5oaWJpdG9yLCBhIFRJTS0zIGNlbGwgc3VyZmFjZSBwcm90ZWluIG1vbm9jbG9uYWwgYW50aWJvZHksIGFuZCBhIEJUSyBpbmhpYml0b3IgZm9yIG5vbi1vbmNvbG9neSBpbmRpY2F0aW9ucy4gVGhlIGNvbXBhbnkgaGFzIGEgc3RyYXRl</t>
  </si>
  <si>
    <t>Z2ljIGNvbGxhYm9yYXRpb24gd2l0aCBDZWxnZW5lIENvcnBvcmF0aW9uIHRvIHJlc2VhcmNoIGFuZCBkZXZlbG9wIEJlaUdlbmUsIEx0ZC7igJlzIGludmVzdGlnYXRpb25hbCBhbnRpLXByb2dyYW1tZWQgY2VsbCBkZWF0aCBwcm90ZWluIDEgKFBELTEpIGluaGliaXRvciwgQkdCLUEzMTc7IGFuZCB3aXRoIE1lcmNrIEtHYUEgdG8gcmVzZWFyY2ggYW5kIGRldmVsb3Agb24gQkdCLTI5MCBhbmQgQkdCLTI4My4gQmVpR2VuZSwgTHRkLiB3YXMgZm91bmRlZCBpbiAyMDEwIGFuZCBpcyBiYXNlZCBpbiBHZW9yZ2UgVG93biwgdGhlIENheW1hbiBJc2xhbmRzLgCcC9U4CAnWCKgCig41CdYINUNJUS5OQVNEQVFDTTpTUk5FLklRX0NBUEVYLjIwMDAuNy8zMS8yMDE4LkxGUi5GLlVTRC5IAQAAAElDlAMCAAAABi03LjI1OQEIAAAABQAAAAExAQAAAAoxODg3OTg5ODMxAwAAAAMxNjACAAAABDIwMjEEAAAAATAHAAAACTcvMzEvMjAxOAgAAAAJMy8zMS8yMDE4CQAAAAEw1owROAgJ1ghzJJ1vNAnWCCBDSVEuSVEzNjE4Mzg0My5JUV9MQVNUU0FMRVBSSUNFLgEAAAAjHygCAgAAAAQyLjk5AJwL1TgICdYId3mADjUJ1ggxQ0lRLk5BU0RBUUdTOlNHRU4uSVFfQ0FQRVguLjcvMTYvMjAxOC5MRlIuRi5VU0QuSAEAAABhhQAAAgAAAActMTguODEyAQgAAAAFAAAAATEBAAAACjE4ODQ4OTI4NTIDAAAAAzE2MAIAAAAE</t>
  </si>
  <si>
    <t>MjAyMQQAAAABMAcAAAAJNy8xNi8yMDE4CAAAAAkzLzMxLzIwMTgJAAAAATDE/xsRNQnWCGhgZxI1CdYIP0NJUS4oSU5WQUxJRCBJREVOVElGSUVSKS5JUV9HUk9TU19NQVJHSU4uLjcvMTYvMjAxOC5MRlIuRi5VU0QuSAUAAAAAAAAACAAAABQoSW52YWxpZCBJZGVudGlmaWVyKd6nfhA1CdYImBJZEjUJ1gglQ0lRLk5BU0RBUUdNOkNSVlMuSVFfRklSU1RQUklDSU5HREFURQEAAAD0sKYQBQAAAAkzLzIzLzIwMTYA1owROAgJ1ggZ6aFvNAnWCEFDSVEuKElOVkFMSUQgSURFTlRJRklFUikuSVFfQ0FTSF9TVF9JTlZFU1QuLjkvMTUvMjAxNy5MRlIuRi5VU0QuSAUAAAAAAAAACAAAABQoSW52YWxpZCBJZGVudGlmaWVyKd6nfhA1CdYImBJZEjUJ1ggiQ0lRLkFTWDpJTVUuSVFfVEVWLjcvMTYvMjAxOC5VU0QuSAEAAACYk6kAAgAAAAk1OS43OTg0OTcBBgAAAAUAAAABMQEAAAAKMTg3NzMwMDk2MgMAAAADMTYwAgAAAAYxMDAwNjAEAAAAATAHAAAACTcvMTYvMjAxOCkclBA1CdYIMNddEjUJ1gg/Q0lRLk5BU0RBUUdNOkFGTUQuSVFfRUJJVERBXzJZUl9BTk5fQ0FHUi4uNy8xNi8yMDE4LkxGUi5GLlVTRC5IAQAAANv3DAADAAAAAk5NAQgAAAAFAAAAATEBAAAACjE4ODk4NjYwNDkDAAAAAjUwAgAAAAQ0MjA5BAAAAAEwBwAAAAk3LzE2LzIwMTgIAAAACTMvMzEvMjAxOAkAAAABMCkclBA1CdYIMNddEjUJ1ggq</t>
  </si>
  <si>
    <t>Q0lRLihJTlZBTElEIElERU5USUZJRVIpLklRX0NPTVBBTllfVElDS0VSBQAAAAAAAAAIAAAAFChJbnZhbGlkIElkZW50aWZpZXIpDG0QDjUJ1ghCxa0ONQnWCCBDSVEuSVEzNjE4MzgyNS5JUV9MQVNUU0FMRVBSSUNFLgEAAAARHygCAgAAAAMyLjYAnAvVOAgJ1gh3eYAONQnWCDBDSVEuTkFTREFRR1M6RVBaTS5JUV9MQVNUU0FMRVBSSUNFLjcvMzEvMjAxOC5VU0QBAAAAAyY9AwIAAAAEMTIuOQDWjBE4CAnWCCTCmm80CdYIOkNJUS5OQVNEQVFHTTpGQVRFLklRX0VBUk5JTkdfQ08uMjAwMC43LzMxLzIwMTguTEZSLkYuVVNELkgBAAAAaDFXAgIAAAAHLTQ2Ljk2MQEIAAAABQAAAAExAQAAAAoxODg4NTAwNTI3AwAAAAMxNjACAAAAATcEAAAAATAHAAAACTcvMzEvMjAxOAgAAAAJMy8zMS8yMDE4CQAAAAEw1owROAgJ1gjDhp9vNAnWCDlDSVEuTkFTREFRR006RkFURS5JUV9UT1RBTF9SRVYuMTk5Mi43LzMxLzIwMTguTEZSLkYuVVNELkgBAAAAaDFXAgIAAAAFMy43NTMBCAAAAAUAAAABMQEAAAAKMTg0MzU0NDMyMQMAAAADMTYwAgAAAAIyOAQAAAABMAcAAAAJNy8zMS8yMDE4CAAAAAkzLzMxLzIwMTYJAAAAATDWjBE4CAnWCMOGn280CdYIQENJUS4oSU5WQUxJRCBJREVOVElGSUVSKS5JUV9UT1RBTF9SRVYuMTk5Mi43LzMxLzIwMTguTEZSLkYuVVNELkgFAAAAAAAAAAgAAAAUKEludmFsaWQgSWRlbnRp</t>
  </si>
  <si>
    <t>ZmllcinIMLI3CAnWCO02sG80CdYILUNJUS5OQVNEQVFHTTpGQVRFLklRX0RJVklERU5EX1lJRUxELjcvMzEvMjAxOAEAAABoMVcCAwAAAAAA1owROAgJ1gjDhp9vNAnWCCpDSVEuSVFUUjQwNzc2MDY5Mi5JUV9UUl9UQVJHRVRfRUJJVC4uVVNELkgBAAAANO9NGAIAAAAAAAxtEA41CdYIDD6FDjUJ1ggdQ0lRLk5BU0RBUUdNOk5MTksuSVFfRVhDSEFOR0UBAAAAlXuMAAMAAAAITmFzZGFxR00AKRyUEDUJ1gjkdFsSNQnWCDBDSVEuTkFTREFRR1M6QkdORS5JUV9MQVNUU0FMRVBSSUNFLjcvMTYvMjAxOC5VU0QBAAAA4OTdBgIAAAAGMTYzLjE5AEadGRE1CdYIaGBnEjUJ1ggdQ0lRLk5BU0RBUUdNOkxQVFguSVFfRVhDSEFOR0UBAAAADDYJBwMAAAAITmFzZGFxR00AKRyUEDUJ1ggw110SNQnWCDxDSVEuTkFTREFRR1M6R1RIWC5JUV9FQklUREFfRVNULkNZMjAxOS43LzMxLzIwMTguQ09OLkYuVVNELkgBAAAAZTRpCAIAAAAKLTExNC43NDkxNgEOAAAABQAAAAIxMQEAAAABMAIAAAAKMTAwMzc1MTU4NwMAAAAGMTAwMTg3BAAAAAEyBgAAAAEwBwAAAAMxNjAIAAAAATAJAAAAATEKAAAAATALAAAACzEwOTA5NTQzMDQ5DAAAAAE3DQAAAAg4LzEvMjAxOBAAAAAJNy8zMS8yMDE4nAvVOAgJ1ggkwppvNAnWCC5DSVEuSVFUUjMwMjg2NjYyNy5JUV9UUl9UQVJHRVRfU1RPQ0tQUkVNSVVNXzFNAQAAAMNgDRICAAAA</t>
  </si>
  <si>
    <t>AABYzxIONQnWCAw+hQ41CdYIPkNJUS5OQVNEQVFHUzpLVVJBLklRX0NBU0hfU1RfSU5WRVNULjIwMDAuNy8zMS8yMDE4LkxGUi5GLlVTRC5IAQAAALjL2hACAAAABTEzOC4yAQgAAAAFAAAAATEBAAAACjE4ODczODI5MzcDAAAAAzE2MAIAAAAEMTAwMgQAAAABMAcAAAAJNy8zMS8yMDE4CAAAAAkzLzMxLzIwMTgJAAAAATDWjBE4CAnWCHMknW80CdYIMENJUS5YVFJBOk1PUi5JUV9EQV9DRi4yMDAwLjcvMzEvMjAxOC5MRlIuRi5VU0QuSAEAAADfEQIAAgAAAAg0LjA5ODY1NwEIAAAABQAAAAExAQAAAAoxODg2MTUxNjQ4AwAAAAMxNjACAAAABDIxNjAEAAAAATAHAAAACTcvMzEvMjAxOAgAAAAJMy8zMS8yMDE4CQAAAAEwnAvVOAgJ1gjUX5hvNAnWCDVDSVEuTkFTREFRR1M6TVJTTi5JUV9DQVBFWC4xOTkyLjcvMzEvMjAxOC5MRlIuRi5VU0QuSAEAAADmxRgAAwAAAAAA1owROAgJ1gjDhp9vNAnWCEZDSVEuTkFTREFRR006Q1JWUy5JUV9UT1RBTF9SRVZfM1lSX0FOTl9DQUdSLjIwMDAuNy8zMS8yMDE4LkxGUi5GLlVTRC5IAQAAAPSwphADAAAAAADWjBE4CAnWCBnpoW80CdYIP0NJUS5OQVNEQVFDTTpNVEVNLklRX05FVF9XT1JLSU5HX0NBUC4xOTkyLjcvMzEvMjAxOC5MRlIuRi5VU0QuSAEAAACZm6kBAwAAAAAAyDCyNwgJ1ggZ6aFvNAnWCCBDSVEuSVFUUjU2MzkxOTA0OS5JUV9UUl9FQVJOT1VUUwEA</t>
  </si>
  <si>
    <t>AADJuJwhAgAAAAAADG0QDjUJ1gjA24IONQnWCCVDSVEuSVFUUjM3MTcxNTExOS5JUV9QUklNQVJZX0lORFVTVFJZAQAAAL/6awwDAAAADUJpb3RlY2hub2xvZ3kADG0QDjUJ1gjA24IONQnWCCpDSVEuSVFUUjQzMTg0MTU4MS5JUV9UUl9UQVJHRVRfRUJJVC4uVVNELkgBAAAALWG9GQIAAAAAAAxtEA41CdYIDD6FDjUJ1ggiQ0lRLklRVFIzMTIxMjI1MDQuSVFfVFJfVEFSR0VUTkFNRQEAAACInJoSAwAAAClCaW9Ob3Zpb24gQi5WLiAobmthOkFkdXJvIEJpb3RlY2ggRXVyb3BlKQBYzxIONQnWCMDbgg41CdYIIUNJUS5JUVRSNTUwMjU5Mzk3LklRX1RSX0JVWUVSTkFNRQEAAADFSswgAwAAABNDZWxnZW5lIENvcnBvcmF0aW9uAAxtEA41CdYId3mADjUJ1ggqQ0lRLklRVFIzMTIxMjI1MDQuSVFfVFJfVEFSR0VUX0VCSVQuLlVTRC5IAQAAAIicmhICAAAAAABYzxIONQnWCMDbgg41CdYIMUNJUS5OQVNEQVFHUzpGUFJYLklRX0NBUEVYLi43LzE2LzIwMTguTEZSLkYuVVNELkgBAAAAN10zAAIAAAAGLTMuOTU3AQgAAAAFAAAAATEBAAAACjE4ODc0MDIyMjcDAAAAAzE2MAIAAAAEMjAyMQQAAAABMAcAAAAJNy8xNi8yMDE4CAAAAAkzLzMxLzIwMTgJAAAAATApHJQQNQnWCHM5YBI1CdYITkNJUS4oSU5WQUxJRCBJREVOVElGSUVSKS5JUV9NSU5PUklUWV9JTlRFUkVTVF9UT1RBTC4yMDAwLjcvMzEvMjAxOC5M</t>
  </si>
  <si>
    <t>RlIuRi5VU0QuSAUAAAAAAAAACAAAABQoSW52YWxpZCBJZGVudGlmaWVyKcgwsjcICdYI7TawbzQJ1ggnQ0lRLk5BU0RBUUdNOkZBVEUuSVFfUEVSSU9EREFURV9JUy4xMDAwAQAAAGgxVwIFAAAACjEyLzMxLzIwMTcA1owROAgJ1gjLtrWLNAnWCDVDSVEuTkFTREFRR1M6QkdORS5JUV9OSV9NQVJHSU4uLjcvMTYvMjAxOC5MRlIuRi5VU0QuSAEAAADg5N0GAgAAAAgtNTQuMjg2MQEIAAAABQAAAAExAQAAAAoxODg3Njg4NTg4AwAAAAMxNjACAAAABDQwOTQEAAAAATAHAAAACTcvMTYvMjAxOAgAAAAJMy8zMS8yMDE4CQAAAAEwxP8bETUJ1ghoYGcSNQnWCD1DSVEuTkFTREFRR1M6Q0FMQS5JUV9SRVZFTlVFX0VTVC5DWTIwMTguNy8xNi8yMDE4LkNPTi5GLlVTRC5IAQAAAKUngQYCAAAACDIzLjYxOTc1AQ4AAAAFAAAAAjExAQAAAAEwAgAAAAoxMDAyODk2NDE4AwAAAAYxMDAxODAEAAAAATIGAAAAATAHAAAAAzE2MAgAAAABMAkAAAABMQoAAAABMAsAAAALMTA5MTMyNzg0ODUMAAAAATcNAAAACTcvMTcvMjAxOBAAAAAJNy8xNi8yMDE4KRyUEDUJ1gjkdFsSNQnWCCxDSVEuKElOVkFMSUQgSURFTlRJRklFUikuSVFfRklSU1RQUklDSU5HREFURQUAAAAAAAAACAAAABQoSW52YWxpZCBJZGVudGlmaWVyKQxtEA41CdYIQsWtDjUJ1ggxQ0lRLklRVFIzMTQ4MjkyMzYuSVFfVFJfVEFSR0VUX1JFVkVOVUVfRVNU</t>
  </si>
  <si>
    <t>Li5VU0QuSAEAAAC06cMSAgAAAAAAWM8SDjUJ1gjA24IONQnWCDxDSVEuTkFTREFRR006SU1NVS5JUV9FQklUREFfRVNULkNZMjAyMC43LzE2LzIwMTguQ09OLkYuVVNELkgBAAAAIEMEAAMAAAAAAMT/GxE1CdYIEv5kEjUJ1ggmQ0lRLiVVU1BNUlQuSVFfTEFTVFNBTEVQUklDRS43LzE2LzIwMTgBAAAAWe1aAAIAAAABNQAMbRAONQnWCAw+hQ41CdYIPENJUS5OQVNEQVFHUzpLVVJBLklRX0VBUk5JTkdfQ08uQ1kyMDE3LjcvMzEvMjAxOC5MRlIuRi5VU0QuSAEAAAC4y9oQAgAAAActMzUuNDM0AQgAAAAFAAAAATEBAAAACjE4NzgwMTI0NzgDAAAAAzE2MAIAAAABNwQAAAABMAcAAAAJNy8zMS8yMDE4CAAAAAoxMi8zMS8yMDE3CQAAAAEw1owROAgJ1ghzJJ1vNAnWCDFDSVEuSVFUUjU1MTE2NjI5Mi5JUV9UUl9UQVJHRVRfUkVWRU5VRV9FU1QuLlVTRC5IAQAAAFQh2iACAAAAAAAMbRAONQnWCMDbgg41CdYINUNJUS5OQVNEQVFHUzpFUFpNLklRX0NBUEVYLjIwMDAuNy8zMS8yMDE4LkxGUi5GLlVTRC5IAQAAAAMmPQMCAAAABi0wLjk3NAEIAAAABQAAAAExAQAAAAoxODg3MjQ2MDc3AwAAAAMxNjACAAAABDIwMjEEAAAAATAHAAAACTcvMzEvMjAxOAgAAAAJMy8zMS8yMDE4CQAAAAEw1owROAgJ1ghzJJ1vNAnWCD9DSVEuTkFTREFRR1M6QURYUy5JUV9FQklUREFfNVlSX0FOTl9DQUdSLi43LzE2LzIwMTgu</t>
  </si>
  <si>
    <t>TEZSLkYuVVNELkgBAAAAnux4AAMAAAACTk0BCAAAAAUAAAABMQEAAAAKMTg5Mjc4ODU0OAMAAAADMTYwAgAAAAQ0MjM1BAAAAAEwBwAAAAk3LzE2LzIwMTgIAAAACTQvMzAvMjAxOAkAAAABMCkclBA1CdYI5HRbEjUJ1gguQ0lRLklRVFI0MzE4NDE1ODEuSVFfVFJfVEFSR0VUX1NUT0NLUFJFTUlVTV8xVwEAAAAtYb0ZAgAAAAAADG0QDjUJ1ggMPoUONQnWCDZDSVEuTkFTREFRR1M6TVJTTi5JUV9FQklUREEuMTk5Ni43LzMxLzIwMTguTEZSLkYuVVNELkgBAAAA5sUYAAIAAAAHLTE1LjgyNAEIAAAABQAAAAExAQAAAAoxODg5MDk2NTk3AwAAAAMxNjACAAAABDQwNTEEAAAAATAHAAAACTcvMzEvMjAxOAgAAAAJMy8zMS8yMDE3CQAAAAEw1owROAgJ1gjDhp9vNAnWCD1DSVEuTkFTREFRR1M6UEJZSS5JUV9SRVZFTlVFX0VTVC5DWTIwMTkuNy8xNi8yMDE4LkNPTi5GLlVTRC5IAQAAAAJqrAcCAAAACTQwNC4xMTIyOAEOAAAABQAAAAIxMQEAAAABMAIAAAAKMTAwMTUxMzA3OQMAAAAGMTAwMTgwBAAAAAEyBgAAAAEwBwAAAAMxNjAIAAAAATAJAAAAATEKAAAAATALAAAACzEwOTUxMjQwNjk2DAAAAAE3DQAAAAk3LzE3LzIwMTgQAAAACTcvMTYvMjAxOMT/GxE1CdYIEv5kEjUJ1ghDQ0lRLk5BU0RBUUdTOk1HTlguSVFfTUlOT1JJVFlfSU5URVJFU1RfVE9UQUwuLjkvMTUvMjAxNy5MRlIuRi5VU0QuSAEAAABP</t>
  </si>
  <si>
    <t>KwkAAwAAAAAAxP8bETUJ1gjCm2ISNQnWCCdDSVEuTkFTREFRR1M6QVROWC5JUV9CRVRBXzJZUi43LzMxLzIwMTgBAAAA3JlrAQIAAAARMC44NTExNjQ0MTQ3MTk4MDUA1owROAgJ1ggkwppvNAnWCDpDSVEuTkFTREFRR1M6TVJTTi5JUV9QUkVGX0VRVUlUWS4yMDAwLjUvNS8yMDE3LkxGUi5GLlVTRC5IAQAAAObFGAADAAAAAADWjBE4CAnWCMOGn280CdYIPkNJUS5OQVNEQVFHTTpBUlJZLklRX1RPVEFMX0VRVUlUWS5DWTIwMTYuNy8zMS8yMDE4LkxGUi5GLlVTRC5IAQAAAPhhAAACAAAABjUyLjA1MgEIAAAABQAAAAExAQAAAAoxODczMjAzNzk1AwAAAAMxNjACAAAABDEyNzUEAAAAATAHAAAACTcvMzEvMjAxOAgAAAAKMTIvMzEvMjAxNgkAAAABMJwL1TgICdYIJMKabzQJ1gg+Q0lRLihJTlZBTElEIElERU5USUZJRVIpLklRX1BSRUZfRVFVSVRZLi43LzE2LzIwMTguTEZSLkYuVVNELkgFAAAAAAAAAAgAAAAUKEludmFsaWQgSWRlbnRpZmllcinep34QNQnWCJgSWRI1CdYIIkNJUS5JUVRSNTYxNjA2MzY1LklRX1RSX1RBUkdFVE5BTUUBAAAA3W55IQMAAAAWQmVuZXZpciBCaW9waGFybSwgSW5jLgCys0lvNAnWCDWbk280CdYIKkNJUS5JUVRSNDA4MjkxMzk1LklRX1RSX1RBUkdFVF9FQklULi5VU0QuSAEAAABDCFYYAgAAAActMzAuMTg1AQYAAAAFAAAAAjM3AQAAAAoxODI2NzUyMzU5AgAAAAUyMTY3</t>
  </si>
  <si>
    <t>NQMAAAADMTYwBAAAAAEwBwAAAAgxLzEvMTkwMFjPEg41CdYIwNuCDjUJ1gglQ0lRLk5BU0RBUUdTOk1SU04uSVFfRklSU1RQUklDSU5HREFURQEAAADmxRgABQAAAAk2LzI4LzIwMTcA1owROAgJ1gjji5MONQnWCCdDSVEuTkFTREFRR1M6TVJTTi5JUV9CRVRBXzJZUi43LzMxLzIwMTgBAAAA5sUYAAIAAAARMC42NzE1NjE3MTkyODA4MjMA1owROAgJ1gjDhp9vNAnWCCtDSVEuSVFUUjU1MTE2NjI5Mi5JUV9UUl9UT1RBTF9HUk9TU19UVi4uVVNEAQAAAFQh2iACAAAACjYyMy4wODg1NzEBBgAAAAUAAAACNTQBAAAABjEwMjA4OAIAAAAJNTUxMTY2MjkyAwAAAAk1NTExNzMzNzUEAAAAAzE2MAYAAAAFRmFsc2UMbRAONQnWCMDbgg41CdYIN0NJUS5OQVNEQVFHUzpDVE1YLklRX1BSRUZfRVFVSVRZLi45LzE1LzIwMTcuTEZSLkYuVVNELkgBAAAA3DibAwMAAAAAAMT/GxE1CdYIwptiEjUJ1gg7Q0lRLk5BU0RBUUdTOk5LLklRX1JFVkVOVUVfRVNULkNZMjAxOC43LzMxLzIwMTguQ09OLkYuVVNELkgBAAAADX2hDwIAAAAEMC4wMgEOAAAABQAAAAIxMQEAAAABMAIAAAAKMTAwMzE2NDgwMQMAAAAGMTAwMTgwBAAAAAEyBgAAAAEwBwAAAAMxNjAIAAAAATAJAAAAATEKAAAAATALAAAACzEwODkxMzUyOTEwDAAAAAE3DQAAAAg4LzEvMjAxOBAAAAAJNy8zMS8yMDE41owROAgJ1gjDhp9vNAnWCCJDSVEuSVFUUjI3</t>
  </si>
  <si>
    <t>MzUwNzE4NS5JUV9UUl9UT1RBTF9DQVNIAQAAAHFjTRACAAAACTI3OS4wMTk2MgEGAAAABQAAAAI1NAEAAAAGMTAxMDU2AgAAAAkyNzM1MDcxODUDAAAACTI3MzUwNzc4NwQAAAADMTYwBgAAAAVGYWxzZbKzSW80CdYIgf2VbzQJ1gg1Q0lRLk5BU0RBUUdTOk1SU04uSVFfTklfTUFSR0lOLi43LzE2LzIwMTguTEZSLkYuVVNELkgBAAAA5sUYAAIAAAAJLTI2My43OTY4AQgAAAAFAAAAATEBAAAACjE4ODkwOTY2NTMDAAAAAzE2MAIAAAAENDA5NAQAAAABMAcAAAAJNy8xNi8yMDE4CAAAAAkzLzMxLzIwMTgJAAAAATDE/xsRNQnWCHM5YBI1CdYIQkNJUS5OQVNEQVFHUzpGUFJYLklRX1RPVEFMX1JFVl8yWVJfQU5OX0NBR1IuLjcvMTYvMjAxOC5MRlIuRi5VU0QuSAEAAAA3XTMAAgAAAAgtNTkuNzYwNwEIAAAABQAAAAExAQAAAAoxODg3NDAyMjI3AwAAAAMxNjACAAAABDQyMDcEAAAAATAHAAAACTcvMTYvMjAxOAgAAAAJMy8zMS8yMDE4CQAAAAEwKRyUEDUJ1ghzOWASNQnWCC5DSVEuSVFUUjQyNDM0MjA0Ni5JUV9UUl9UQVJHRVRfU1RPQ0tQUkVNSVVNXzFXAQAAAB7yShkCAAAAAAAMbRAONQnWCMDbgg41CdYIPUNJUS5OQVNEQVFDTTpNVEVNLklRX0VCSVREQV9NQVJHSU4uMjAwMC43LzMxLzIwMTguTEZSLkYuVVNELkgBAAAAmZupAQMAAAACTk0BCAAAAAUAAAABMQEAAAAKMTg4ODczMzAwNAMAAAADMTYw</t>
  </si>
  <si>
    <t>AgAAAAQ0MDQ3BAAAAAEwBwAAAAk3LzMxLzIwMTgIAAAACTMvMzEvMjAxOAkAAAABMMgwsjcICdYIGemhbzQJ1gg3Q0lRLk5BU0RBUUdTOk1SU04uSVFfUEVSSU9EREFURV9JUy4yMDAwLjcvMzEvMjAxOC5MRlIuRgEAAADmxRgABQAAAAkzLzMxLzIwMTgA1owROAgJ1gjDhp9vNAnWCCtDSVEuSVFUUjMxNDgyOTIzNi5JUV9UUl9UT1RBTF9HUk9TU19UVi4uVVNEAQAAALTpwxICAAAAAzI1OABYzxIONQnWCMDbgg41CdYIJUNJUS5JUVRSNTQyODA2Njg2LklRX1RSX01BSl9NSU5fU1RBS0UBAAAAnpJaIAMAAAAITWFqb3JpdHkAsrNJbzQJ1giB/ZVvNAnWCDpDSVEuTkFTREFRR1M6S1VSQS5JUV9FQVJOSU5HX0NPLjIwMDAuNy8zMS8yMDE4LkxGUi5GLlVTRC5IAQAAALjL2hACAAAABy00Mi41MDUBCAAAAAUAAAABMQEAAAAKMTg4NzM4MjkzNwMAAAADMTYwAgAAAAE3BAAAAAEwBwAAAAk3LzMxLzIwMTgIAAAACTMvMzEvMjAxOAkAAAABMNaMETgICdYIcySdbzQJ1gg0Q0lRLkVOWFRQQTpJUEguSVFfRUJJVF9NQVJHSU4uLjcvMTYvMjAxOC5MRlIuRi5VU0QuSAEAAACZgAYAAgAAAAUtOTAuOAEIAAAABQAAAAExAQAAAAoxODg5NTUyMTY0AwAAAAI1MAIAAAAENDA1MwQAAAABMAcAAAAJNy8xNi8yMDE4CAAAAAoxMi8zMS8yMDE3CQAAAAEwKRyUEDUJ1ghzOWASNQnWCD1DSVEuTkFTREFRR1M6QVROWC5JUV9D</t>
  </si>
  <si>
    <t>QVNIX1NUX0lOVkVTVC4yMDAwLjUvNS8yMDE3LkxGUi5GLlVTRC5IAQAAANyZawECAAAABjQxLjc1MwEIAAAABQAAAAExAQAAAAoxODQyNDkwMjgxAwAAAAMxNjACAAAABDEwMDIEAAAAATAHAAAACDUvNS8yMDE3CAAAAAoxMi8zMS8yMDE2CQAAAAEw1owROAgJ1ggkwppvNAnWCD1DSVEuTkFTREFRR006Q1JJUy5JUV9SRVZFTlVFX0VTVC5DWTIwMTkuNy8zMS8yMDE4LkNPTi5GLlVTRC5IAQAAABdqAAACAAAACDEwLjM5MjQyAQ4AAAAFAAAAAjExAQAAAAEwAgAAAAoxMDAxMzg3NzQ4AwAAAAYxMDAxODAEAAAAATIGAAAAATAHAAAAAzE2MAgAAAABMAkAAAABMQoAAAABMAsAAAALMTA5NTEyNDI2MzQMAAAAATcNAAAACDgvMS8yMDE4EAAAAAk3LzMxLzIwMTjIMLI3CAnWCN1LpG80CdYILkNJUS4oSU5WQUxJRCBJREVOVElGSUVSKS5JUV9CRVRBXzJZUi43LzMxLzIwMTgFAAAAAAAAAAgAAAAUKEludmFsaWQgSWRlbnRpZmllcinIMLI3CAnWCO02sG80CdYIIkNJUS5JUVRSMzAyODY2NjI3LklRX1RSX1RBUkdFVE5BTUUBAAAAw2ANEgMAAAAMWC1CT0RZLCBJbmMuAFjPEg41CdYIDD6FDjUJ1ggyQ0lRLk5BU0RBUUdTOlNHRU4uSVFfRUJJVERBLi43LzE2LzIwMTguTEZSLkYuVVNELkgBAAAAYYUAAAIAAAAILTE5NS4zMTcBCAAAAAUAAAABMQEAAAAKMTg4NDg5Mjg1MgMAAAADMTYwAgAAAAQ0MDUxBAAAAAEw</t>
  </si>
  <si>
    <t>BwAAAAk3LzE2LzIwMTgIAAAACTMvMzEvMjAxOAkAAAABMMT/GxE1CdYIaGBnEjUJ1ggsQ0lRLklRVFI0MjQzNDIwNDYuSVFfVFJfVE9UQUxfR1JPU1NfVFYuVVNELkgFAAAAAAAAAAgAAAAaKEludmFsaWQgQ3VycmVuY3kgUmVxdWVzdCkMbRAONQnWCMDbgg41CdYIRkNJUS5OQVNEQVFDTTpTUk5FLklRX1RPVEFMX1JFVl8yWVJfQU5OX0NBR1IuMjAwMC43LzMxLzIwMTguTEZSLkYuVVNELkgBAAAASUOUAwIAAAAINDc3LjA4OTIBCAAAAAUAAAABMQEAAAAKMTg4Nzk4OTgzMQMAAAADMTYwAgAAAAQ0MjA3BAAAAAEwBwAAAAk3LzMxLzIwMTgIAAAACTMvMzEvMjAxOAkAAAABMNaMETgICdYIcySdbzQJ1ghDQ0lRLk5BU0RBUUdTOkVQWk0uSVFfRUJJVERBXzVZUl9BTk5fQ0FHUi4yMDAwLjcvMzEvMjAxOC5MRlIuRi5VU0QuSAEAAAADJj0DAwAAAAJOTQEIAAAABQAAAAExAQAAAAoxODg3MjQ2MDc3AwAAAAMxNjACAAAABDQyMzUEAAAAATAHAAAACTcvMzEvMjAxOAgAAAAJMy8zMS8yMDE4CQAAAAEw1owROAgJ1ghzJJ1vNAnWCDxDSVEuTkFTREFRR1M6VFNSTy5JUV9FQVJOSU5HX0NPLkNZMjAxNy43LzE2LzIwMTguTEZSLkYuVVNELkgBAAAAaNZYBgIAAAAILTQ5Ni4xMjYBCAAAAAUAAAABMQEAAAAKMTg3NzIyNjMwMQMAAAADMTYwAgAAAAE3BAAAAAEwBwAAAAk3LzE2LzIwMTgIAAAACjEyLzMxLzIwMTcJ</t>
  </si>
  <si>
    <t>AAAAATDE/xsRNQnWCBL+ZBI1CdYIJENJUS5OQVNEQVFHUzpQQllJLklRX0VGRkVDVF9UQVhfUkFURQEAAAACaqwHAwAAAAAAxP8bETUJ1ggS/mQSNQnWCDVDSVEuTkFTREFRR1M6Q0FMQS5JUV9DQVBFWC4xOTk2LjcvMzEvMjAxOC5MRlIuRi5VU0QuSAEAAAClJ4EGAgAAAAYtMC4yODYBCAAAAAUAAAABMQEAAAAKMTg4Nzk4MDI3NwMAAAADMTYwAgAAAAQyMDIxBAAAAAEwBwAAAAk3LzMxLzIwMTgIAAAACTMvMzEvMjAxNwkAAAABMMgwsjcICdYI3UukbzQJ1gg/Q0lRLk5BU0RBUUdTOk1SU04uSVFfRUJJVERBXzVZUl9BTk5fQ0FHUi4uNy8xNi8yMDE4LkxGUi5GLlVTRC5IAQAAAObFGAADAAAAAAApHJQQNQnWCHM5YBI1CdYIK0NJUS5JUVRSNDI0MzQyMDQ2LklRX1RSX1RPVEFMX0dST1NTX1RWLi5VU0QBAAAAHvJKGQIAAAABNgEGAAAABQAAAAI1NAEAAAAGMTAyMDg4AgAAAAk0MjQzNDIwNDYDAAAACTQyNDM0MjY1OAQAAAADMTYwBgAAAAVGYWxzZQxtEA41CdYIwNuCDjUJ1ggjQ0lRLklRVFI1NDI4MDY2ODYuSVFfVFJfVE9UQUxfU1RPQ0sBAAAAnpJaIAIAAAAAALKzSW80CdYIgf2VbzQJ1ghCQ0lRLk5BU0RBUUdNOkxQVFguSVFfVE9UQUxfUkVWXzVZUl9BTk5fQ0FHUi4uNy8xNi8yMDE4LkxGUi5GLlVTRC5IAQAAAAw2CQcDAAAAAAApHJQQNQnWCDDXXRI1CdYILkNJUS5OQVNEQVFDTTpDS1BULklR</t>
  </si>
  <si>
    <t>X01BUktFVENBUC45LzE1LzIwMTcuVVNELkgBAAAAuFEWEQIAAAAKMjI0LjUxMTg4OQEGAAAABQAAAAExAQAAAAoxODUyNzUxNjkwAwAAAAMxNjACAAAABjEwMDA1NAQAAAABMAcAAAAJOS8xNS8yMDE3KRyUEDUJ1gjkdFsSNQnWCDVDSVEuT1RDUEs6TUJWWC5JUV9UT1RBTF9FUVVJVFkuLjcvMTYvMjAxOC5MRlIuRi5VU0QuSAEAAADYRIsCAgAAAAcxLjEzMDQ0AQgAAAAFAAAAATEBAAAACjE4ODEyMTMyNDUDAAAAAzE2MAIAAAAEMTI3NQQAAAABMAcAAAAJNy8xNi8yMDE4CAAAAAoxMi8zMS8yMDE3CQAAAAEw3qd+EDUJ1giYElkSNQnWCEZDSVEuTkFTREFRR006QVJRTC5JUV9NSU5PUklUWV9JTlRFUkVTVF9UT1RBTC4yMDAwLjUvNS8yMDE3LkxGUi5GLlVTRC5IAQAAAPZhAAADAAAAAADWjBE4CAnWCHMknW80CdYIIUNJUS5OQVNEQVFHTTpBRk1ELklRX0NPTVBBTllfTkFNRQEAAADb9wwAAwAAAAxBZmZpbWVkIE4uVi4AKRyUEDUJ1ggw110SNQnWCChDSVEuTkFTREFRR006QVJSWS5JUV9URVYuNy8zMS8yMDE4LlVTRC5IAQAAAPhhAAACAAAACzI5MTAuNjQ5ODc2AQYAAAAFAAAAATEBAAAACjE4ODg0NzAxNzcDAAAAAzE2MAIAAAAGMTAwMDYwBAAAAAEwBwAAAAk3LzMxLzIwMTicC9U4CAnWCNRfmG80CdYIOkNJUS5OQVNEQVFHUzpDVE1YLklRX0NBU0hfU1RfSU5WRVNULi43LzE2LzIwMTguTEZSLkYu</t>
  </si>
  <si>
    <t>VVNELkgBAAAA3DibAwIAAAAHMzYxLjQ3NgEIAAAABQAAAAExAQAAAAoxODg3Njc1MzE2AwAAAAMxNjACAAAABDEwMDIEAAAAATAHAAAACTcvMTYvMjAxOAgAAAAJMy8zMS8yMDE4CQAAAAEwxP8bETUJ1gjCm2ISNQnWCDVDSVEuTkFTREFRR1M6QkdORS5JUV9DQVBFWC4xOTkyLjcvMzEvMjAxOC5MRlIuRi5VU0QuSAEAAADg5N0GAgAAAAYtNS4zODUBCAAAAAUAAAABMQEAAAAKMTg0MTE4MDE2OAMAAAADMTYwAgAAAAQyMDIxBAAAAAEwBwAAAAk3LzMxLzIwMTgIAAAACTMvMzEvMjAxNgkAAAABMJwL1TgICdYIgf2VbzQJ1gg/Q0lRLk5BU0RBUUNNOkFWRU8uSVFfRUJJVERBXzNZUl9BTk5fQ0FHUi4uNy8xNi8yMDE4LkxGUi5GLlVTRC5IAQAAAPQWHQADAAAAAADE/xsRNQnWCHM5YBI1CdYIO0NJUS5OQVNEQVFHUzpNR05YLklRX1RPVEFMX1JFVi5DWTIwMTcuNy8xNi8yMDE4LkxGUi5GLlVTRC5IAQAAAE8rCQACAAAABzE1Ny43NDIBCAAAAAUAAAABMQEAAAAKMTg3NjEzNTE3MgMAAAADMTYwAgAAAAIyOAQAAAABMAcAAAAJNy8xNi8yMDE4CAAAAAoxMi8zMS8yMDE3CQAAAAEwxP8bETUJ1gjCm2ISNQnWCC5DSVEuTkFTREFRR006QVJSWS5JUV9NQVJLRVRDQVAuNy8zMS8yMDE4LlVTRC5IAQAAAPhhAAACAAAACzMyNDEuNzA0ODc3AQYAAAAFAAAAATEBAAAACjE4ODg0NzAxNzcDAAAAAzE2MAIAAAAGMTAw</t>
  </si>
  <si>
    <t>MDU0BAAAAAEwBwAAAAk3LzMxLzIwMTicC9U4CAnWCNRfmG80CdYILkNJUS5OQVNEQVFHUzpDVE1YLklRX01BUktFVENBUC43LzE2LzIwMTguVVNELkgBAAAA3DibAwIAAAALMTAyNC4zODQ1MzgBBgAAAAUAAAABMQEAAAAKMTg4NzY3NDgyOQMAAAADMTYwAgAAAAYxMDAwNTQEAAAAATAHAAAACTcvMTYvMjAxOEadGRE1CdYIwptiEjUJ1gg6Q0lRLk5BU0RBUUdTOkNBTEEuSVFfRUFSTklOR19DTy4xOTk2LjcvMzEvMjAxOC5MRlIuRi5VU0QuSAEAAAClJ4EGAgAAAActMzQuMDA5AQgAAAAFAAAAATEBAAAACjE4ODc5ODAyNzcDAAAAAzE2MAIAAAABNwQAAAABMAcAAAAJNy8zMS8yMDE4CAAAAAkzLzMxLzIwMTcJAAAAATDIMLI3CAnWCN1LpG80CdYIOUNJUS5OQVNEQVFHTTpDUlZTLklRX1RPVEFMX1JFVi4xOTkyLjcvMzEvMjAxOC5MRlIuRi5VU0QuSAEAAAD0sKYQAwAAAAAA1owROAgJ1ggZ6aFvNAnWCCVDSVEuSVFUUjU0ODMzODAyMC5JUV9UUl9NQUpfTUlOX1NUQUtFAQAAAGT5riADAAAACE1ham9yaXR5AAxtEA41CdYIwNuCDjUJ1gg8Q0lRLk5BU0RBUUdNOkNSVlMuSVFfVE9UQUxfRVFVSVRZLjIwMDAuNy8zMS8yMDE4LkxGUi5GLlVTRC5IAQAAAPSwphACAAAABzEzNy4yMjgBCAAAAAUAAAABMQEAAAAKMTg4NjM2NzU5MQMAAAADMTYwAgAAAAQxMjc1BAAAAAEwBwAAAAk3LzMxLzIwMTgIAAAACTMv</t>
  </si>
  <si>
    <t>MzEvMjAxOAkAAAABMNaMETgICdYIGemhbzQJ1gg7Q0lRLk5BU0RBUUdNOkNSVlMuSVFfUFJFRl9FUVVJVFkuMjAwMC43LzMxLzIwMTguTEZSLkYuVVNELkgBAAAA9LCmEAMAAAAAANaMETgICdYIGemhbzQJ1gguQ0lRLklRVFI1NDc0MjM2ODAuSVFfVFJfVEFSR0VUX1NUT0NLUFJFTUlVTV8xVwEAAADABaEgAgAAAAc3Ny4wNDkyAQYAAAAFAAAAAjU0AQAAAAYxMDEwNTQCAAAACTU0NzQyMzY4MAMAAAAJNTQ3NDMzMDY1BAAAAAMxNjAGAAAABUZhbHNlDG0QDjUJ1ggMPoUONQnWCDBDSVEuTkFTREFRR006QUZNRC5JUV9MQVNUU0FMRVBSSUNFLjcvMTYvMjAxOC5VU0QBAAAA2/cMAAIAAAAEMS43NQApHJQQNQnWCDDXXRI1CdYIJENJUS5OQVNEQVFHUzpGUFJYLklRX0VGRkVDVF9UQVhfUkFURQEAAAA3XTMAAwAAAAJOTQEIAAAABQAAAAExAQAAAAoxODk5Mjg0MDY0AwAAAAMxNjACAAAABDQzNzYEAAAAATAHAAAACTgvMjMvMjAxOAgAAAAJNi8zMC8yMDE4CQAAAAEwyDCyNwgJ1gg27pUONQnWCENDSVEuTkFTREFRR006Q1JJUy5JUV9FQklUREFfNVlSX0FOTl9DQUdSLjIwMDAuNy8zMS8yMDE4LkxGUi5GLlVTRC5IAQAAABdqAAADAAAAAk5NAQgAAAAFAAAAATEBAAAACjE4ODYyNDc0MjADAAAAAzE2MAIAAAAENDIzNQQAAAABMAcAAAAJNy8zMS8yMDE4CAAAAAkzLzMxLzIwMTgJAAAAATDIMLI3CAnWCN1L</t>
  </si>
  <si>
    <t>pG80CdYIOUNJUS5OQVNEQVFHUzpDQUxBLklRX1RPVEFMX0RFQlQuMjAwMC41LzUvMjAxNy5MRlIuRi5VU0QuSAEAAAClJ4EGAgAAAAEwAQgAAAAFAAAAATEBAAAACjE4MzIxNzc2NjYDAAAAAzE2MAIAAAAENDE3MwQAAAABMAcAAAAINS81LzIwMTcIAAAACjEyLzMxLzIwMTYJAAAAATDIMLI3CAnWCN1LpG80CdYII0NJUS5OQVNEQVFHUzpUU1JPLklRX1BFUklPRERBVEVfSVMuAQAAAGjWWAYFAAAACTYvMzAvMjAxOADE/xsRNQnWCBL+ZBI1CdYINkNJUS5OQVNEQVFHUzpNR05YLklRX0VBUk5JTkdfQ08uLjcvMTYvMjAxOC5MRlIuRi5VU0QuSAEAAABPKwkAAgAAAActMzEuNTA3AQgAAAAFAAAAATEBAAAACjE4ODcxMTQ5NDUDAAAAAzE2MAIAAAABNwQAAAABMAcAAAAJNy8xNi8yMDE4CAAAAAkzLzMxLzIwMTgJAAAAATDE/xsRNQnWCMKbYhI1CdYIO0NJUS5PVENQSzpNQlZYLklRX1RPVEFMX0VRVUlUWS5DWTIwMTYuNy8xNi8yMDE4LkxGUi5GLlVTRC5IAQAAANhEiwICAAAACDMuMzQyNTIyAQgAAAAFAAAAATEBAAAACjE4ODEyMTMyMjADAAAAAzE2MAIAAAAEMTI3NQQAAAABMAcAAAAJNy8xNi8yMDE4CAAAAAoxMi8zMS8yMDE2CQAAAAEw3qd+EDUJ1giYElkSNQnWCCdDSVEuTkFTREFRR006TkxOSy5JUV9CRVRBXzJZUi43LzE2LzIwMTgBAAAAlXuMAAIAAAAPMi4wOTg3MTM5NTI1MjE1ACkclBA1CdYI</t>
  </si>
  <si>
    <t>5HRbEjUJ1gg8Q0lRLk5BU0RBUUdTOkNBTEEuSVFfRUJJVERBX0VTVC5DWTIwMTguNy8xNi8yMDE4LkNPTi5GLlVTRC5IAQAAAKUngQYDAAAAAAApHJQQNQnWCOR0WxI1CdYIOUNJUS5OQVNEQVFHUzpFUFpNLklRX1RPVEFMX1JFVi4xOTkyLjcvMzEvMjAxOC5MRlIuRi5VU0QuSAEAAAADJj0DAgAAAAUyLjEyMQEIAAAABQAAAAExAQAAAAoxODQwNjMwMzk0AwAAAAMxNjACAAAAAjI4BAAAAAEwBwAAAAk3LzMxLzIwMTgIAAAACTMvMzEvMjAxNgkAAAABMNaMETgICdYIJMKabzQJ1ghGQ0lRLk5BU0RBUUdTOkJHTkUuSVFfVE9UQUxfUkVWXzVZUl9BTk5fQ0FHUi4yMDAwLjcvMzEvMjAxOC5MRlIuRi5VU0QuSAEAAADg5N0GAwAAAAAAnAvVOAgJ1gjUX5hvNAnWCD9DSVEuTkFTREFRR006WE5DUi5JUV9FQklUREFfMllSX0FOTl9DQUdSLi43LzE2LzIwMTguTEZSLkYuVVNELkgBAAAAploLAAMAAAACTk0BCAAAAAUAAAABMQEAAAAKMTg4NzEyNTg1NQMAAAADMTYwAgAAAAQ0MjA5BAAAAAEwBwAAAAk3LzE2LzIwMTgIAAAACTMvMzEvMjAxOAkAAAABMMT/GxE1CdYIEv5kEjUJ1ggxQ0lRLk5BU0RBUUdTOkJHTkUuSVFfVE9UQUxfREVCVC4yMDAwLi5MRlIuRi5VU0QuSAEAAADg5N0GAgAAAAcyMDkuNzUxAQgAAAAFAAAAATEBAAAACjE4OTk5MDA2MzEDAAAAAzE2MAIAAAAENDE3MwQAAAABMAcAAAAJOC8yMy8y</t>
  </si>
  <si>
    <t>MDE4CAAAAAk2LzMwLzIwMTgJAAAAATCcC9U4CAnWCJwL1TgICdYIPENJUS5OQVNEQVFHTTpYTkNSLklRX0VCSVREQV9FU1QuQ1kyMDE4LjcvMTYvMjAxOC5DT04uRi5VU0QuSAEAAACmWgsAAgAAAAMtOTgBDgAAAAUAAAACMTEBAAAAATACAAAACjEwMDIwMjUyNDcDAAAABjEwMDE4NwQAAAABMgYAAAABMAcAAAADMTYwCAAAAAEwCQAAAAExCgAAAAEwCwAAAAsxMDkxNTgzNDM1NgwAAAABNw0AAAAJNy8xNy8yMDE4EAAAAAk3LzE2LzIwMTjE/xsRNQnWCBL+ZBI1CdYIKkNJUS5JUVRSNTQ4MzM4MDIwLklRX1RSX1RBUkdFVF9FQklULi5VU0QuSAEAAABk+a4gAgAAAAAADG0QDjUJ1gjA24IONQnWCCVDSVEuTkFTREFRR1M6TksuSVFfUEVSSU9EREFURV9JUy4xMDAwAQAAAA19oQ8FAAAACjEyLzMxLzIwMTcA1owROAgJ1ggDQL+LNAnWCBZDSVEuMC5JUV9UUl9UQVJHRVROQU1FBQAAAAAAAAAIAAAAGChJbnZhbGlkIFRyYW5zYWN0aW9uIElkKUlTR280CdYIB+LwgTQJ1gg1Q0lRLk5BU0RBUUdTOkZQUlguSVFfTklfTUFSR0lOLi43LzE2LzIwMTguTEZSLkYuVVNELkgBAAAAN10zAAIAAAAJLTIyMS43NDQ2AQgAAAAFAAAAATEBAAAACjE4ODc0MDIyMjcDAAAAAzE2MAIAAAAENDA5NAQAAAABMAcAAAAJNy8xNi8yMDE4CAAAAAkzLzMxLzIwMTgJAAAAATApHJQQNQnWCHM5YBI1CdYIM0NJUS5OQVNEQVFHUzpO</t>
  </si>
  <si>
    <t>Sy5JUV9EQV9DRi4yMDAwLjcvMzEvMjAxOC5MRlIuRi5VU0QuSAEAAAANfaEPAgAAAAU2LjAyNwEIAAAABQAAAAExAQAAAAoxODg3MTE4NzkxAwAAAAMxNjACAAAABDIxNjAEAAAAATAHAAAACTcvMzEvMjAxOAgAAAAJMy8zMS8yMDE4CQAAAAEw1owROAgJ1ggZ6aFvNAnWCCJDSVEuSVFUUjU1MTE2NjI5Mi5JUV9UUl9UQVJHRVROQU1FAQAAAFQh2iADAAAAHENhc2NhZGlhbiBUaGVyYXBldXRpY3MsIEluYy4ADG0QDjUJ1gjA24IONQnWCDFDSVEuTkFTREFRR1M6Sk5DRS5JUV9EQV9DRi4uNy8xNi8yMDE4LkxGUi5GLlVTRC5IAQAAAOJ5ng0CAAAABTQuNDAzAQgAAAAFAAAAATEBAAAACjE4ODgxODYzNzQDAAAAAzE2MAIAAAAEMjE2MAQAAAABMAcAAAAJNy8xNi8yMDE4CAAAAAkzLzMxLzIwMTgJAAAAATDep34QNQnWCOR0WxI1CdYIMkNJUS5BU1g6SU1VLklRX1RPVEFMX0VRVUlUWS4uNy8xNi8yMDE4LkxGUi5GLlVTRC5IAQAAAJiTqQACAAAACTEzLjkzNTA2OAEIAAAABQAAAAExAQAAAAoxODc3MzA1MzIwAwAAAAMxNjACAAAABDEyNzUEAAAAATAHAAAACTcvMTYvMjAxOAgAAAAKMTIvMzEvMjAxNwkAAAABMCkclBA1CdYIMNddEjUJ1gg/Q0lRLk5BU0RBUUdTOlNHRU4uSVFfRUJJVERBXzNZUl9BTk5fQ0FHUi4uNy8xNi8yMDE4LkxGUi5GLlVTRC5IAQAAAGGFAAADAAAAAk5NAQgAAAAFAAAAATEBAAAA</t>
  </si>
  <si>
    <t>CjE4ODQ4OTI4NTIDAAAAAzE2MAIAAAAENDIyMgQAAAABMAcAAAAJNy8xNi8yMDE4CAAAAAkzLzMxLzIwMTgJAAAAATDE/xsRNQnWCGhgZxI1CdYIPkNJUS5OQVNEQVFHUzpUU1JPLklRX1RPVEFMX0VRVUlUWS5DWTIwMTcuNy8zMS8yMDE4LkxGUi5GLlVTRC5IAQAAAGjWWAYCAAAABzI0OS4wODYBCAAAAAUAAAABMQEAAAAKMTg3NzIyNjMwMQMAAAADMTYwAgAAAAQxMjc1BAAAAAEwBwAAAAk3LzMxLzIwMTgIAAAACjEyLzMxLzIwMTcJAAAAATCcC9U4CAnWCCTCmm80CdYIIUNJUS5JUVRSNDA4MjkxMzk1LklRX1RSX0JVWUVSTkFNRQEAAABDCFYYAwAAABpDZWxsZGV4IFRoZXJhcGV1dGljcywgSW5jLgBYzxIONQnWCMDbgg41CdYIPENJUS5OQVNEQVFHTTpDUklTLklRX0dST1NTX01BUkdJTi4yMDAwLjcvMzEvMjAxOC5MRlIuRi5VU0QuSAEAAAAXagAAAgAAAAktMjk0LjA4ODkBCAAAAAUAAAABMQEAAAAKMTg4NjI0NzQyMAMAAAADMTYwAgAAAAQ0MDc0BAAAAAEwBwAAAAk3LzMxLzIwMTgIAAAACTMvMzEvMjAxOAkAAAABMMgwsjcICdYI3UukbzQJ1ggnQ0lRLk5BU0RBUUdNOkFSUlkuSVFfQkVUQV8yWVIuNy8zMS8yMDE4AQAAAPhhAAACAAAAETAuNDc4NDIwMTM4MzMwMDc1AJwL1TgICdYIJMKabzQJ1ggtQ0lRLi5JUV9QUkVGX0VRVUlUWS4yMDAwLjUvNS8yMDE3LkxGUi5GLlVTRC5IBQAAAAEAAAAI</t>
  </si>
  <si>
    <t>AAAAFChJbnZhbGlkIElkZW50aWZpZXIp9YQyRzQJ1gj1hDJHNAnWCDFDSVEuTkFTREFRR1M6QU5BQi5JUV9DQVBFWC4uNy8xNi8yMDE4LkxGUi5GLlVTRC5IAQAAACFMsgECAAAABi0wLjQzNwEIAAAABQAAAAExAQAAAAoxODg3NDAwMDQzAwAAAAMxNjACAAAABDIwMjEEAAAAATAHAAAACTcvMTYvMjAxOAgAAAAJMy8zMS8yMDE4CQAAAAEwxP8bETUJ1gjCm2ISNQnWCDxDSVEuTkFTREFRQ006U1JORS5JUV9FQVJOSU5HX0NPLkNZMjAxNy43LzMxLzIwMTguTEZSLkYuVVNELkgBAAAASUOUAwIAAAAGMTEuMTA5AQgAAAAFAAAAATEBAAAACjE4Nzg2Nzc0NTYDAAAAAzE2MAIAAAABNwQAAAABMAcAAAAJNy8zMS8yMDE4CAAAAAoxMi8zMS8yMDE3CQAAAAEw1owROAgJ1ghzJJ1vNAnWCEJDSVEuTkFTREFRR006WE5DUi5JUV9UT1RBTF9SRVZfNVlSX0FOTl9DQUdSLi43LzE2LzIwMTguTEZSLkYuVVNELkgBAAAAploLAAIAAAAHMzEuNzcyMQEIAAAABQAAAAExAQAAAAoxODg3MTI1ODU1AwAAAAMxNjACAAAABDQyMzMEAAAAATAHAAAACTcvMTYvMjAxOAgAAAAJMy8zMS8yMDE4CQAAAAEwxP8bETUJ1ggS/mQSNQnWCDxDSVEuTkFTREFRQ006TVRFTS5JUV9UT1RBTF9FUVVJVFkuMjAwMC43LzMxLzIwMTguTEZSLkYuVVNELkgBAAAAmZupAQIAAAAGNzAuOTQxAQgAAAAFAAAAATEBAAAACjE4ODg3MzMwMDQDAAAA</t>
  </si>
  <si>
    <t>AzE2MAIAAAAEMTI3NQQAAAABMAcAAAAJNy8zMS8yMDE4CAAAAAkzLzMxLzIwMTgJAAAAATDIMLI3CAnWCBnpoW80CdYINUNJUS5OQVNEQVFDTTpaSU9QLklRX0RBX0NGLjIwMDAuNy8zMS8yMDE4LkxGUi5GLlVTRC5IAQAAALNRsgACAAAABTAuNDA3AQgAAAAFAAAAATEBAAAACjE4ODc5NzIzNTkDAAAAAzE2MAIAAAAEMjE2MAQAAAABMAcAAAAJNy8zMS8yMDE4CAAAAAkzLzMxLzIwMTgJAAAAATDWjBE4CAnWCMOGn280CdYIIkNJUS5JUVRSNDA4NDA3ODIyLklRX1RSX1RBUkdFVE5BTUUBAAAADs9XGAMAAABAVGV0cmFsb2dpYyBQaGFybWFjZXV0aWNhbHMgQ29ycG9yYXRpb24sIFN1YnN0YW50aWFsbHkgQWxsIEFzc2V0cwCys0lvNAnWCIH9lW80CdYIMENJUS5FTlhUUEE6SVBILklRX1BFUklPRERBVEVfSVMuLjcvMTYvMjAxOC5MRlIuRgEAAACZgAYABQAAAAoxMi8zMS8yMDE3ACkclBA1CdYIczlgEjUJ1gg7Q0lRLk5BU0RBUUNNOkFWRU8uSVFfTkVUX1dPUktJTkdfQ0FQLi43LzE2LzIwMTguTEZSLkYuVVNELkgBAAAA9BYdAAIAAAAHLTE1LjIzNQEIAAAABQAAAAExAQAAAAoxODg3MjM0Mjk1AwAAAAMxNjACAAAABDEzMTEEAAAAATAHAAAACTcvMTYvMjAxOAgAAAAJMy8zMS8yMDE4CQAAAAEwxP8bETUJ1gjCm2ISNQnWCENDSVEuTkFTREFRR1M6QU5BQi5JUV9NSU5PUklUWV9JTlRFUkVTVF9UT1RB</t>
  </si>
  <si>
    <t>TC4uOS8xNS8yMDE3LkxGUi5GLlVTRC5IAQAAACFMsgEDAAAAAADE/xsRNQnWCMKbYhI1CdYIOkNJUS5OQVNEQVFHUzpUU1JPLklRX1RPVEFMX0RFQlQuMjAwMC43LzMxLzIwMTguTEZSLkYuVVNELkgBAAAAaNZYBgIAAAAHNDQwLjQxNwEIAAAABQAAAAExAQAAAAoxODg2MzM3NDY2AwAAAAMxNjACAAAABDQxNzMEAAAAATAHAAAACTcvMzEvMjAxOAgAAAAJMy8zMS8yMDE4CQAAAAEwnAvVOAgJ1ggkwppvNAnWCB9DSVEuMC5JUV9UUl9JTVBMSUVEX0VWX0VCSVRfRldEBQAAAAAAAAAIAAAAGChJbnZhbGlkIFRyYW5zYWN0aW9uIElkKUlTR280CdYIB+LwgTQJ1ggwQ0lRLk5BU0RBUUdTOlRTUk8uSVFfTEFTVFNBTEVQUklDRS43LzMxLzIwMTguVVNEAQAAAGjWWAYCAAAABTM0LjgzAJwL1TgICdYIJMKabzQJ1ggpQ0lRLklRMzYxODM4MTMuSVFfTEFTVFNBTEVQUklDRS43LzE2LzIwMTgBAAAABR8oAgIAAAADMS45AAxtEA41CdYIDD6FDjUJ1ggnQ0lRLk5BU0RBUUdTOkNBTEEuSVFfQkVUQV8xWVIuNy8xNi8yMDE4AQAAAKUngQYCAAAAETAuOTEzNjYyNDM0NjA1ODQzACkclBA1CdYI5HRbEjUJ1gg+Q0lRLk5BU0RBUUdNOkZBVEUuSVFfVE9UQUxfRVFVSVRZLkNZMjAxNi43LzMxLzIwMTguTEZSLkYuVVNELkgBAAAAaDFXAgIAAAAGNzMuMTU0AQgAAAAFAAAAATEBAAAACjE4NzcwNjkwNjcDAAAAAzE2MAIA</t>
  </si>
  <si>
    <t>AAAEMTI3NQQAAAABMAcAAAAJNy8zMS8yMDE4CAAAAAoxMi8zMS8yMDE2CQAAAAEw1owROAgJ1gjDhp9vNAnWCEVDSVEuKElOVkFMSUQgSURFTlRJRklFUikuSVFfVE9UQUxfRVFVSVRZLkNZMjAxNy43LzE2LzIwMTguTEZSLkYuVVNELkgFAAAAAAAAAAgAAAAUKEludmFsaWQgSWRlbnRpZmllcinep34QNQnWCJgSWRI1CdYIGkNJUS4uSVFfQkVUQV8yWVIuNy8zMS8yMDE4BQAAAAEAAAAIAAAAFChJbnZhbGlkIElkZW50aWZpZXIp9YQyRzQJ1gj1hDJHNAnWCDdDSVEuKElOVkFMSUQgSURFTlRJRklFUikuSVFfTEFTVFNBTEVQUklDRS43LzE2LzIwMTguVVNEBQAAAAAAAAAIAAAAFChJbnZhbGlkIElkZW50aWZpZXIp3qd+EDUJ1giYElkSNQnWCD1DSVEuTkFTREFRR1M6S1VSQS5JUV9SRVZFTlVFX0VTVC5DWTIwMjEuNy8zMS8yMDE4LkNPTi5GLlVTRC5IAQAAALjL2hACAAAABTg4Ni40AQ4AAAAFAAAAAjExAQAAAAEwAgAAAAoxMDAzMTg0OTkyAwAAAAYxMDAxODAEAAAAATIGAAAAATAHAAAAAzE2MAgAAAABMAkAAAABMQoAAAABMAsAAAALMTEwMzMzNzg0MjgMAAAAATcNAAAACDgvMS8yMDE4EAAAAAk3LzMxLzIwMTjWjBE4CAnWCHMknW80CdYIIENJUS5JUVRSMjUzOTU0NDczLklRX1RSX0VBUk5PVVRTAQAAAKkJIw8CAAAAAACys0lvNAnWCDWbk280CdYIN0NJUS5OQVNEQVFHUzpDVE1YLklRX1BSRUZf</t>
  </si>
  <si>
    <t>RVFVSVRZLi43LzE2LzIwMTguTEZSLkYuVVNELkgBAAAA3DibAwMAAAAAAMT/GxE1CdYIwptiEjUJ1ggwQ0lRLklRVFIzMDc4NjM5ODQuSVFfVFJfVEFSR0VUX0VCSVREQV9FU1QuLlVTRC5IAQAAALChWRICAAAAAABYzxIONQnWCMDbgg41CdYILUNJUS5OQVNEQVFDTTpDS1BULklRX0RJVklERU5EX1lJRUxELjcvMTYvMjAxOAEAAAC4URYRAwAAAAAAKRyUEDUJ1gjkdFsSNQnWCDxDSVEuTkFTREFRQ006TVRFTS5JUV9HUk9TU19NQVJHSU4uMjAwMC43LzMxLzIwMTguTEZSLkYuVVNELkgBAAAAmZupAQMAAAACTk0BCAAAAAUAAAABMQEAAAAKMTg4ODczMzAwNAMAAAADMTYwAgAAAAQ0MDc0BAAAAAEwBwAAAAk3LzMxLzIwMTgIAAAACTMvMzEvMjAxOAkAAAABMMgwsjcICdYIGemhbzQJ1gg2Q0lRLk5BU0RBUUdTOlRTUk8uSVFfRUJJVERBLjE5OTIuNy8zMS8yMDE4LkxGUi5GLlVTRC5IAQAAAGjWWAYCAAAACC0yNzAuNjg1AQgAAAAFAAAAATEBAAAACjE4NDA5MzQ2NjMDAAAAAzE2MAIAAAAENDA1MQQAAAABMAcAAAAJNy8zMS8yMDE4CAAAAAkzLzMxLzIwMTYJAAAAATCcC9U4CAnWCCTCmm80CdYIPUNJUS4oSU5WQUxJRCBJREVOVElGSUVSKS5JUV9UT1RBTF9ERUJULi43LzE2LzIwMTguTEZSLkYuVVNELkgFAAAAAAAAAAgAAAAUKEludmFsaWQgSWRlbnRpZmllcinep34QNQnWCJgSWRI1CdYII0NJUS5J</t>
  </si>
  <si>
    <t>UVRSMjYzNzE4NjQ3LklRX1RSX0NMT1NFRF9EQVRFAQAAAPcGuA8FAAAACDcvOC8yMDE0ALKzSW80CdYINZuTbzQJ1ggjQ0lRLk5BU0RBUUdTOlNHRU4uSVFfUEVSSU9EREFURV9JUy4BAAAAYYUAAAUAAAAJNi8zMC8yMDE4AEadGRE1CdYIaGBnEjUJ1ggzQ0lRLk5BU0RBUUdTOkJHTkUuSVFfRUFSTklOR19DTy5DWTIwMTcuLkxGUi5GLlVTRC5IAQAAAODk3QYCAAAABy05NS44NjcBCAAAAAUAAAABMQEAAAAKMTg5OTg4MTE5NAMAAAADMTYwAgAAAAE3BAAAAAEwBwAAAAk4LzIzLzIwMTgIAAAACjEyLzMxLzIwMTcJAAAAATCcC9U4CAnWCJwL1TgICdYINUNJUS5BU1g6SU1VLklRX05FVF9XT1JLSU5HX0NBUC4uNy8xNi8yMDE4LkxGUi5GLlVTRC5IAQAAAJiTqQACAAAACDAuMjE1NTU0AQgAAAAFAAAAATEBAAAACjE4NzczMDUzMjADAAAAAzE2MAIAAAAEMTMxMQQAAAABMAcAAAAJNy8xNi8yMDE4CAAAAAoxMi8zMS8yMDE3CQAAAAEwKRyUEDUJ1ggw110SNQnWCDVDSVEuTkFTREFRR006Q1JJUy5JUV9DQVBFWC4yMDAwLjcvMzEvMjAxOC5MRlIuRi5VU0QuSAEAAAAXagAAAgAAAAYtMC4yMTMBCAAAAAUAAAABMQEAAAAKMTg4NjI0NzQyMAMAAAADMTYwAgAAAAQyMDIxBAAAAAEwBwAAAAk3LzMxLzIwMTgIAAAACTMvMzEvMjAxOAkAAAABMMgwsjcICdYI3UukbzQJ1gg8Q0lRLk5BU0RBUUdTOkZQUlguSVFf</t>
  </si>
  <si>
    <t>RUFSTklOR19DTy5DWTIwMTcuNy8xNi8yMDE4LkxGUi5GLlVTRC5IAQAAADddMwACAAAACC0xNTAuMjIyAQgAAAAFAAAAATEBAAAACjE4NzYxMzU5OTEDAAAAAzE2MAIAAAABNwQAAAABMAcAAAAJNy8xNi8yMDE4CAAAAAoxMi8zMS8yMDE3CQAAAAEwKRyUEDUJ1ghzOWASNQnWCCxDSVEuSVFUUjMwMjg2NjYyNy5JUV9UUl9UT1RBTF9HUk9TU19UVi5VU0QuSAUAAAAAAAAACAAAABooSW52YWxpZCBDdXJyZW5jeSBSZXF1ZXN0KQxtEA41CdYIDD6FDjUJ1gg1Q0lRLk5BU0RBUUdTOkJHTkUuSVFfQ0FTSF9TVF9JTlZFU1QuMjAwMC4uTEZSLkYuVVNELkgBAAAA4OTdBgIAAAAIMTM2OS42MjgBCAAAAAUAAAABMQEAAAAKMTg5OTkwMDYzMQMAAAADMTYwAgAAAAQxMDAyBAAAAAEwBwAAAAk4LzIzLzIwMTgIAAAACTYvMzAvMjAxOAkAAAABMJwL1TgICdYInAvVOAgJ1ggrQ0lRLk5BU0RBUUdTOk5LLklRX0RJVklERU5EX1lJRUxELjcvMzEvMjAxOAEAAAANfaEPAwAAAAAA1owROAgJ1ggZ6aFvNAnWCC5DSVEuSVFUUjU0MjgwNjY4Ni5JUV9UUl9UQVJHRVRfU1RPQ0tQUkVNSVVNXzFNAQAAAJ6SWiACAAAAAACys0lvNAnWCIH9lW80CdYILENJUS5JUVRSNDAzNzkxNzY3LklRX1RSX1RBUkdFVF9FQklUREEuLlVTRC5IAQAAAJdfERgCAAAAAABYzxIONQnWCMDbgg41CdYINkNJUS5OQVNEQVFHUzpDVE1YLklRX0VB</t>
  </si>
  <si>
    <t>Uk5JTkdfQ08uLjcvMTYvMjAxOC5MRlIuRi5VU0QuSAEAAADcOJsDAgAAAActNTAuMzM1AQgAAAAFAAAAATEBAAAACjE4ODc2NzUzMTYDAAAAAzE2MAIAAAABNwQAAAABMAcAAAAJNy8xNi8yMDE4CAAAAAkzLzMxLzIwMTgJAAAAATDE/xsRNQnWCMKbYhI1CdYIJUNJUS5JUVRSNTMzNjM5NTAxLklRX1BSSU1BUllfSU5EVVNUUlkBAAAAW47aAQMAAAANQmlvdGVjaG5vbG9neQAMbRAONQnWCMDbgg41CdYIQ0NJUS5OQVNEQVFHUzpGUFJYLklRX01JTk9SSVRZX0lOVEVSRVNUX1RPVEFMLi43LzE2LzIwMTguTEZSLkYuVVNELkgBAAAAN10zAAMAAAAAACkclBA1CdYIczlgEjUJ1ghCQ0lRLihJTlZBTElEIElERU5USUZJRVIpLklRX1BSRUZfRVFVSVRZLjIwMDAuNy8zMS8yMDE4LkxGUi5GLlVTRC5IBQAAAAAAAAAIAAAAFChJbnZhbGlkIElkZW50aWZpZXIpyDCyNwgJ1gjtNrBvNAnWCDZDSVEuTkFTREFRR1M6QVROWC5JUV9FQklUREEuMTk5Mi43LzMxLzIwMTguTEZSLkYuVVNELkgBAAAA3JlrAQIAAAAHLTE3LjUwNwEIAAAABQAAAAExAQAAAAoxODQyNDkwMjczAwAAAAMxNjACAAAABDQwNTEEAAAAATAHAAAACTcvMzEvMjAxOAgAAAAKMTIvMzEvMjAxNAkAAAABMNaMETgICdYIJMKabzQJ1gguQ0lRLk5BU0RBUUdTOlBCWUkuSVFfTUFSS0VUQ0FQLjcvMTYvMjAxOC5VU0QuSAEAAAACaqwHAgAAAAsxOTg3</t>
  </si>
  <si>
    <t>LjAwMDE1OAEGAAAABQAAAAExAQAAAAoxODg4NjY3MTE1AwAAAAMxNjACAAAABjEwMDA1NAQAAAABMAcAAAAJNy8xNi8yMDE4Rp0ZETUJ1ggS/mQSNQnWCDZDSVEuTkFTREFRR1M6TVJTTi5JUV9FQVJOSU5HX0NPLi43LzE2LzIwMTguTEZSLkYuVVNELkgBAAAA5sUYAAIAAAAHLTQzLjA0OQEIAAAABQAAAAExAQAAAAoxODg5MDk2NjUzAwAAAAMxNjACAAAAATcEAAAAATAHAAAACTcvMTYvMjAxOAgAAAAJMy8zMS8yMDE4CQAAAAEwKRyUEDUJ1ghzOWASNQnWCDxDSVEuTkFTREFRR1M6QVROWC5JUV9UT1RBTF9FUVVJVFkuMjAwMC43LzMxLzIwMTguTEZSLkYuVVNELkgBAAAA3JlrAQIAAAAHMTU2LjA4NQEIAAAABQAAAAExAQAAAAoxODg4NzAyOTgyAwAAAAMxNjACAAAABDEyNzUEAAAAATAHAAAACTcvMzEvMjAxOAgAAAAJMy8zMS8yMDE4CQAAAAEw1owROAgJ1ggkwppvNAnWCDVDSVEuTkFTREFRR006TFBUWC5JUV9OSV9NQVJHSU4uLjcvMTYvMjAxOC5MRlIuRi5VU0QuSAEAAAAMNgkHAwAAAAAAKRyUEDUJ1ggw110SNQnWCCxDSVEuSVFUUjQwODI5MTM5NS5JUV9UUl9UT1RBTF9HUk9TU19UVi5VU0QuSAUAAAAAAAAACAAAABooSW52YWxpZCBDdXJyZW5jeSBSZXF1ZXN0KQxtEA41CdYIwNuCDjUJ1ggnQ0lRLk5BU0RBUUdTOlRTUk8uSVFfQkVUQV8yWVIuNy8xNi8yMDE4AQAAAGjWWAYCAAAAEDEuMDMy</t>
  </si>
  <si>
    <t>MjQwNDAyMTg4NjYAxP8bETUJ1ggS/mQSNQnWCD5DSVEuTkFTREFRR1M6QkdORS5JUV9DQVNIX1NUX0lOVkVTVC4yMDAwLjcvMzEvMjAxOC5MRlIuRi5VU0QuSAEAAADg5N0GAgAAAAgxNDY0LjAxNQEIAAAABQAAAAExAQAAAAoxODg3Njg4NTg4AwAAAAMxNjACAAAABDEwMDIEAAAAATAHAAAACTcvMzEvMjAxOAgAAAAJMy8zMS8yMDE4CQAAAAEwnAvVOAgJ1giB/ZVvNAnWCCxDSVEuSVFUUjU0NzQyMzY4MC5JUV9UUl9UT1RBTF9HUk9TU19UVi5VU0QuSAUAAAAAAAAACAAAABooSW52YWxpZCBDdXJyZW5jeSBSZXF1ZXN0KQxtEA41CdYIwNuCDjUJ1gglQ0lRLklRVFI0MzE4NDE1ODEuSVFfVFJfTUFKX01JTl9TVEFLRQEAAAAtYb0ZAwAAAAhNYWpvcml0eQAMbRAONQnWCAw+hQ41CdYIKUNJUS5JUVRSNTUxMTY2MjkyLklRX0JVU0lORVNTX0RFU0NSSVBUSU9OAQAAAAtkAAADAAAAgQpDYXNjYWRpYW4gVGhlcmFwZXV0aWNzLCBJbmMuLCBhIGNsaW5pY2FsLXN0YWdlIGJpb3BoYXJtYWNldXRpY2FsIGNvbXBhbnksIGZvY3VzZXMgb24gdGhlIGRldmVsb3BtZW50IG9mIHRoZXJhcGV1dGljIHByb2R1Y3RzIGZvciB0aGUgdHJlYXRtZW50IG9mIGNhbmNlci4gSXRzIGxlYWQgY2xpbmljYWwtc3RhZ2UgcHJvZHVjdCBjYW5kaWRhdGUgaXMgdHVjYXRpbmliLCBhbiBvcmFsLCBIRVIyLXNlbGVjdGl2ZSBzbWFs</t>
  </si>
  <si>
    <t>bCBtb2xlY3VsZSB0eXJvc2luZSBraW5hc2UgaW5oaWJpdG9yLCB3aGljaCBpcyBpbiB0d28gUGhhc2UgSWIgY2xpbmljYWwgdHJpYWxzLCBvbmUgaW4gY29tYmluYXRpb24gd2l0aCBULURNMSBhbmQgYW5vdGhlciBpbiBjb21iaW5hdGlvbiB3aXRoIGNhcGVjaXRhYmluZSBhbmQvb3IgdHJhc3R1enVtYWIgZm9yIHRoZSB0cmVhdG1lbnQgb2YgbWV0YXN0YXRpYyBicmVhc3QgY2FuY2VyLiBUaGUgY29tcGFueeKAmXMgcHJvZHVjdCBwaXBlbGluZSBhbHNvIGluY2x1ZGVzIHR3byBwcmVjbGluaWNhbC1zdGFnZSBwcm9kdWN0IGNhbmRpZGF0ZXMsIHdoaWNoIGluY2x1ZGUgQ0FTQy01NzgsIGEgQ2hrMSBjZWxsIGN5Y2xlIGluaGliaXRvcjsgYW5kIENBU0MtNjc0LCBhbiBhbnRpYm9keSBhZ2FpbnN0IGFuIGltbXVuby1vbmNvbG9neSB0YXJnZXQuIEl0IGhhcyBhIGxpY2Vuc2UgYWdyZWVtZW50IHdpdGggQXJyYXkgQmlvUGhhcm1hIEluYy4gdG8gZGV2ZWxvcCwgbWFudWZhY3R1cmUsIGFuZCBjb21tZXJjaWFsaXplIHR1Y2F0aW5pYjsgcmVzZWFyY2ggY29sbGFib3JhdGlvbiBhZ3JlZW1lbnQgd2l0aCBTZW50aW5lbCBPbmNvbG9neSBMdGQuIGZvciB0aGUgZGlzY292ZXJ5IG9mIG5vdmVsIENoazEgaW5oaWJpdG9yczsgYW5kIGNvbGxhYm9yYXRpb24gYWdyZWVtZW50IHdpdGggQWRpbWFiIExMQyBm</t>
  </si>
  <si>
    <t>b3IgdGhlIGRpc2NvdmVyeSBvZiBub3ZlbCBhbnRpYm9kaWVzIGFnYWluc3QgaW1tdW5vdGhlcmFweSB0YXJnZXRzIGluIG9uY29sb2d5LiBUaGUgY29tcGFueSB3YXMgZm9ybWVybHkga25vd24gYXMgT25jb3RoeXJlb24gSW5jLiBhbmQgY2hhbmdlZCBpdHMgbmFtZSB0byBDYXNjYWRpYW4gVGhlcmFwZXV0aWNzLCBJbmMuIGluIEp1bmUgMjAxNi4gQ2FzY2FkaWFuIFRoZXJhcGV1dGljcywgSW5jLiB3YXMgZm91bmRlZCBpbiAxOTg1IGFuZCBpcyBoZWFkcXVhcnRlcmVkIGluIFNlYXR0bGUsIFdhc2hpbmd0b24uIENhc2NhZGlhbiBUaGVyYXBldXRpY3MsIEluYy4gaXMgYSBzdWJzaWRpYXJ5IG9mIFNlYXR0bGUgR2VuZXRpY3MsIEluYy4ADG0QDjUJ1gjA24IONQnWCC9DSVEuSVFUUjQzMTg0MTU4MS5JUV9UUl9UQVJHRVRfVE9UQUxfUkVWLi5VU0QuSAEAAAAtYb0ZAgAAAAAADG0QDjUJ1ggMPoUONQnWCDVDSVEuTkFTREFRR006WE5DUi5JUV9OSV9NQVJHSU4uLjcvMTYvMjAxOC5MRlIuRi5VU0QuSAEAAACmWgsAAgAAAAktMTk1LjQwODQBCAAAAAUAAAABMQEAAAAKMTg4NzEyNTg1NQMAAAADMTYwAgAAAAQ0MDk0BAAAAAEwBwAAAAk3LzE2LzIwMTgIAAAACTMvMzEvMjAxOAkAAAABMMT/GxE1CdYIEv5kEjUJ1ggmQ0lRLkVOWFRQQTpJUEguSVFfQlVTSU5FU1NfREVTQ1JJUFRJT04BAAAAmYAGAAMA</t>
  </si>
  <si>
    <t>AADKCUlubmF0ZSBQaGFybWEgUy5BLiwgYSBjbGluaWNhbC1zdGFnZSBiaW90ZWNobm9sb2d5IGNvbXBhbnksIGRpc2NvdmVycyBhbmQgZGV2ZWxvcHMgdGhlcmFwZXV0aWMgYW50aWJvZGllcyBmb3IgdGhlIHRyZWF0bWVudCBvZiBjYW5jZXIgaW4gRnJhbmNlIGFuZCBpbnRlcm5hdGlvbmFsbHkuIEl0IG9mZmVycyBJUEg0MTAyLCBhbiBhbnRpLUtJUjNETDIgaHVtYW5pemVkIGN5dG90b3hpY2l0eS1pbmR1Y2luZyBhbnRpYm9keSwgd2hpY2ggaXMgaW4gUGhhc2UgSSBjbGluaWNhbCB0cmlhbCBmb3IgY3V0YW5lb3VzIFQtY2VsbCBseW1waG9tYXM7IE1vbmFsaXp1bWFiLCBhIGNoZWNrcG9pbnQgaW5oaWJpdG9yIHRoYXQgaXMgaW4gUGhhc2UgSUkgY2xpbmljYWwgdHJpYWwgdG8gdHJlYXQgdmFyaW91cyBjYW5jZXIgaW5kaWNhdGlvbnMsIGFzIHdlbGwgYXMgaW4gUGhhc2UgSS9JSSBjbGluaWNhbCB0cmlhbCBmb3IgdGhlIHRyZWF0bWVudCBvZiBzb2xpZCB0dW1vcnM7IGFuZCBJUEg1NDAxLCBhIHRoZXJhcGV1dGljIGFudGlib2R5IHRoYXQgYmluZHMgYW5kIGJsb2NrcyBDNWEgcmVjZXB0b3JzIGV4cHJlc3NlZCBvbiBzdWJzZXRzIG9mIG15ZWxvaWQtZGVyaXZlZCBzdXBwcmVzc29yIGNlbGxzIGFuZCBuZXV0cm9waGlscy4gVGhlIGNvbXBhbnkgYWxzbyBwcm92aWRlcyBMaXJpbHVtYWIgKElQ</t>
  </si>
  <si>
    <t>SDIxMDIvQk1TLTk4NjAxNSksIGEgaHVtYW4gbW9ub2Nsb25hbCBhbnRpYm9keSB0aGF0IGJsb2NrcyB0aGUgaW50ZXJhY3Rpb24gYmV0d2VlbiBLSVIyREwtMSwtMiwtMyBpbmhpYml0b3J5IHJlY2VwdG9ycyBhbmQgdGhlaXIgbGlnYW5kczsgSVBINTIsIGFuIGFudGktQ0QzOSBhbnRpYm9keSBmb3IgaW1tdW5vLW9uY29sb2d5OyBJUEg1MywgYW4gYW50aS1DRDczIGFudGlib2R5IGZvciBpbW11bm8tb25jb2xvZ3k7IGFuZCBJUEg0MzAxLCBhbiBhbnRpLU1JQ0EvQiB0aGVyYXBldXRpYyBhbnRpYm9keSB0byB0cmVhdCBvbmNvbG9neS4gVGhlIGNvbXBhbnkgaGFzIGxpY2Vuc2luZyBhZ3JlZW1lbnRzIHdpdGggQXN0cmFaZW5lY2EsIEJyaXN0b2wtTXllcnMgU3F1aWJiLCBOb3ZvIE5vcmRpc2sgQS9TLCBhbmQgU2Fub2ZpLiBJbm5hdGUgUGhhcm1hIFMuQS4gaGFzIGEgY2xpbmljYWwgdHJpYWwgY29sbGFib3JhdGlvbiB3aXRoIE1lZEltbXVuZS4gVGhlIGNvbXBhbnkgd2FzIGZvdW5kZWQgaW4gMTk5OSBhbmQgaXMgYmFzZWQgaW4gTWFyc2VpbGxlLCBGcmFuY2UuACkclBA1CdYIczlgEjUJ1gg8Q0lRLk5BU0RBUUdNOklNTVUuSVFfRUJJVERBX0VTVC5DWTIwMTkuNy8xNi8yMDE4LkNPTi5GLlVTRC5IAQAAACBDBAADAAAAAADE/xsRNQnWCBL+ZBI1CdYILENJUS5OQVNEQVFHUzpCR05FLklRX0NB</t>
  </si>
  <si>
    <t>UEVYLjIwMDAuLkxGUi5GLlVTRC5IAQAAAODk3QYCAAAABy01Ny44MDIBCAAAAAUAAAABMQEAAAAKMTg5OTkwMDYzMQMAAAADMTYwAgAAAAQyMDIxBAAAAAEwBwAAAAk4LzIzLzIwMTgIAAAACTYvMzAvMjAxOAkAAAABMJwL1TgICdYInAvVOAgJ1ggtQ0lRLk5BU0RBUUdTOkJHTkUuSVFfRUJJVERBLjE5OTYuLkxGUi5GLlVTRC5IAQAAAODk3QYCAAAABy0xNzkuMjgBCAAAAAUAAAABMQEAAAAKMTg5OTkwMDYxOAMAAAADMTYwAgAAAAQ0MDUxBAAAAAEwBwAAAAk4LzIzLzIwMTgIAAAACTYvMzAvMjAxNwkAAAABMJwL1TgICdYInAvVOAgJ1gg6Q0lRLk5BU0RBUUdTOkJHTkUuSVFfRUFSTklOR19DTy4xOTkyLjcvMzEvMjAxOC5MRlIuRi5VU0QuSAEAAADg5N0GAgAAAActNjguODkxAQgAAAAFAAAAATEBAAAACjE4NDExODAxNjgDAAAAAzE2MAIAAAABNwQAAAABMAcAAAAJNy8zMS8yMDE4CAAAAAkzLzMxLzIwMTYJAAAAATCcC9U4CAnWCIH9lW80CdYIPENJUS5OQVNEQVFHUzpDVE1YLklRX0VBUk5JTkdfQ08uQ1kyMDE2LjcvMTYvMjAxOC5MRlIuRi5VU0QuSAEAAADcOJsDAgAAAAUtNTguOQEIAAAABQAAAAExAQAAAAoxODc3MzE2NzM0AwAAAAMxNjACAAAAATcEAAAAATAHAAAACTcvMTYvMjAxOAgAAAAKMTIvMzEvMjAxNgkAAAABMMT/GxE1CdYIwptiEjUJ1ggaQ0lRLi5JUV9QRVJJT0REQVRFX0lTLjEw</t>
  </si>
  <si>
    <t>MDAFAAAAAAAAAAgAAAAUKEludmFsaWQgSWRlbnRpZmllcin1hDJHNAnWCHsd7IE0CdYIOkNJUS5OQVNEQVFHUzpGUFJYLklRX0VBUk5JTkdfQ08uMTk5Ni43LzMxLzIwMTguTEZSLkYuVVNELkgBAAAAN10zAAIAAAAFLTg2LjEBCAAAAAUAAAABMQEAAAAKMTg4NzQwMjIyNAMAAAADMTYwAgAAAAE3BAAAAAEwBwAAAAk3LzMxLzIwMTgIAAAACTMvMzEvMjAxNwkAAAABMMgwsjcICdYIGemhbzQJ1gg1Q0lRLk5BU0RBUUdNOkFSUlkuSVFfQ0FQRVguMTk5Mi43LzMxLzIwMTguTEZSLkYuVVNELkgBAAAA+GEAAAIAAAAGLTMuMTU5AQgAAAAFAAAAATEBAAAACjE4NDEwOTUwMjYDAAAAAzE2MAIAAAAEMjAyMQQAAAABMAcAAAAJNy8zMS8yMDE4CAAAAAkzLzMxLzIwMTYJAAAAATCcC9U4CAnWCNRfmG80CdYIPUNJUS5OQVNEQVFHTTpMUFRYLklRX1JFVkVOVUVfRVNULkNZMjAxOC43LzE2LzIwMTguQ09OLkYuVVNELkgBAAAADDYJBwIAAAABMAEOAAAABQAAAAIxMQEAAAABMAIAAAAKMTAwMzYzOTU0NwMAAAAGMTAwMTgwBAAAAAEyBgAAAAEwBwAAAAMxNjAIAAAAATAJAAAAATEKAAAAATALAAAACzEwOTM1NDM5MjkwDAAAAAE3DQAAAAk3LzE3LzIwMTgQAAAACTcvMTYvMjAxOCkclBA1CdYIMNddEjUJ1gg9Q0lRLk5BU0RBUUdTOlBCWUkuSVFfUkVWRU5VRV9FU1QuQ1kyMDE4LjcvMTYvMjAxOC5DT04uRi5VU0Qu</t>
  </si>
  <si>
    <t>SAEAAAACaqwHAgAAAAgyMTcuNzgxMQEOAAAABQAAAAIxMQEAAAABMAIAAAAKMTAwMTUxMzA3NAMAAAAGMTAwMTgwBAAAAAEyBgAAAAEwBwAAAAMxNjAIAAAAATAJAAAAATEKAAAAATALAAAACzEwOTUxMjQwODk0DAAAAAE3DQAAAAk3LzE3LzIwMTgQAAAACTcvMTYvMjAxOMT/GxE1CdYIEv5kEjUJ1gg9Q0lRLk5BU0RBUUdTOlNHRU4uSVFfUkVWRU5VRV9FU1QuQ1kyMDE5LjcvMTYvMjAxOC5DT04uRi5VU0QuSAEAAABhhQAAAgAAAAk3NzIuMTM4OTIBDgAAAAUAAAACMTEBAAAAATACAAAACjEwMDAxMjQ3MjcDAAAABjEwMDE4MAQAAAABMgYAAAABMAcAAAADMTYwCAAAAAEwCQAAAAExCgAAAAEwCwAAAAsxMDk2NzY0MTU4OQwAAAABNw0AAAAJNy8xNy8yMDE4EAAAAAk3LzE2LzIwMTjE/xsRNQnWCGhgZxI1CdYIN0NJUS5OQVNEQVFHUzpCR05FLklRX1BSRUZfRVFVSVRZLi43LzE2LzIwMTguTEZSLkYuVVNELkgBAAAA4OTdBgMAAAAAAMT/GxE1CdYIaGBnEjUJ1gg9Q0lRLk5BU0RBUUdNOkNSSVMuSVFfUkVWRU5VRV9FU1QuQ1kyMDIwLjcvMzEvMjAxOC5DT04uRi5VU0QuSAEAAAAXagAAAgAAAAcyMC4yOTg1AQ4AAAAFAAAAAjExAQAAAAEwAgAAAAoxMDAxMzg3NzUzAwAAAAYxMDAxODAEAAAAATIGAAAAATAHAAAAAzE2MAgAAAABMAkAAAABMQoAAAABMAsAAAALMTA5NTEyNDI1MjAMAAAAATcNAAAACDgv</t>
  </si>
  <si>
    <t>MS8yMDE4EAAAAAk3LzMxLzIwMTjIMLI3CAnWCN1LpG80CdYIIENJUS5JUVRSMzEyMTIyNTA0LklRX1RSX0VBUk5PVVRTAQAAAIicmhICAAAABjI4Ljk3NgBYzxIONQnWCMDbgg41CdYINENJUS5BU1g6SU1VLklRX0NBU0hfU1RfSU5WRVNULi43LzE2LzIwMTguTEZSLkYuVVNELkgBAAAAmJOpAAIAAAAIOS4zMTM5MjQBCAAAAAUAAAABMQEAAAAKMTg3NzMwNTMyMAMAAAADMTYwAgAAAAQxMDAyBAAAAAEwBwAAAAk3LzE2LzIwMTgIAAAACjEyLzMxLzIwMTcJAAAAATApHJQQNQnWCDDXXRI1CdYINUNJUS5OQVNEQVFHUzpBVE5YLklRX0RBX0NGLjIwMDAuNy8zMS8yMDE4LkxGUi5GLlVTRC5IAQAAANyZawECAAAABTMuNzI1AQgAAAAFAAAAATEBAAAACjE4ODg3MDI5ODIDAAAAAzE2MAIAAAAEMjE2MAQAAAABMAcAAAAJNy8zMS8yMDE4CAAAAAkzLzMxLzIwMTgJAAAAATDWjBE4CAnWCCTCmm80CdYIO0NJUS5OQVNEQVFHUzpDVE1YLklRX05FVF9XT1JLSU5HX0NBUC4uNy8xNi8yMDE4LkxGUi5GLlVTRC5IAQAAANw4mwMCAAAABy02NC4xNTIBCAAAAAUAAAABMQEAAAAKMTg4NzY3NTMxNgMAAAADMTYwAgAAAAQxMzExBAAAAAEwBwAAAAk3LzE2LzIwMTgIAAAACTMvMzEvMjAxOAkAAAABMMT/GxE1CdYIwptiEjUJ1ghCQ0lRLk5BU0RBUUNNOkNLUFQuSVFfVE9UQUxfUkVWXzVZUl9BTk5fQ0FHUi4uNy8xNi8y</t>
  </si>
  <si>
    <t>MDE4LkxGUi5GLlVTRC5IAQAAALhRFhEDAAAAAAApHJQQNQnWCOR0WxI1CdYIPUNJUS5OQVNEQVFHTTpYTkNSLklRX1JFVkVOVUVfRVNULkNZMjAxOC43LzE2LzIwMTguQ09OLkYuVVNELkgBAAAAploLAAIAAAAIMTUuMjQyNTcBDgAAAAUAAAACMTEBAAAAATACAAAACjEwMDIwMjUyNDcDAAAABjEwMDE4MAQAAAABMgYAAAABMAcAAAADMTYwCAAAAAEwCQAAAAExCgAAAAEwCwAAAAsxMDkxNTgzNDM2OAwAAAABNw0AAAAJNy8xNy8yMDE4EAAAAAk3LzE2LzIwMTjE/xsRNQnWCBL+ZBI1CdYINUNJUS5OQVNEQVFDTTpaSU9QLklRX0NBUEVYLjIwMDAuNy8zMS8yMDE4LkxGUi5GLlVTRC5IAQAAALNRsgACAAAABi0wLjUyOQEIAAAABQAAAAExAQAAAAoxODg3OTcyMzU5AwAAAAMxNjACAAAABDIwMjEEAAAAATAHAAAACTcvMzEvMjAxOAgAAAAJMy8zMS8yMDE4CQAAAAEw1owROAgJ1gjDhp9vNAnWCDxDSVEuTkFTREFRR1M6Q0FMQS5JUV9FQVJOSU5HX0NPLkNZMjAxNy43LzMxLzIwMTguTEZSLkYuVVNELkgBAAAApSeBBgIAAAAHLTI3LjgyNgEIAAAABQAAAAExAQAAAAoxODc3OTU1NzA3AwAAAAMxNjACAAAAATcEAAAAATAHAAAACTcvMzEvMjAxOAgAAAAKMTIvMzEvMjAxNwkAAAABMMgwsjcICdYI3UukbzQJ1ggrQ0lRLk5BU0RBUUNNOlpJT1AuSVFfTEFTVFNBTEVQUklDRS41LzUvMjAxNwEAAACzUbIAAgAA</t>
  </si>
  <si>
    <t>AAQ3LjEyANaMETgICdYIw4afbzQJ1ggiQ0lRLklRVFI1MzM2Mzk1MDEuSVFfVFJfUENUX1NPVUdIVAEAAABNsc4fAgAAAAMxMDAADG0QDjUJ1gjA24IONQnWCDVDSVEuTkFTREFRR006RkFURS5JUV9DQVBFWC4xOTkyLjcvMzEvMjAxOC5MRlIuRi5VU0QuSAEAAABoMVcCAgAAAAYtMS4yMjQBCAAAAAUAAAABMQEAAAAKMTg0MzU0NDMyMQMAAAADMTYwAgAAAAQyMDIxBAAAAAEwBwAAAAk3LzMxLzIwMTgIAAAACTMvMzEvMjAxNgkAAAABMNaMETgICdYIw4afbzQJ1ggoQ0lRLk5BU0RBUUdTOkVQWk0uSVFfVEVWLjcvMzEvMjAxOC5VU0QuSAEAAAADJj0DAgAAAAo2NDguNDY5NzIzAQYAAAAFAAAAATEBAAAACjE4ODcyNDU0NDgDAAAAAzE2MAIAAAAGMTAwMDYwBAAAAAEwBwAAAAk3LzMxLzIwMTjWjBE4CAnWCCTCmm80CdYIIENJUS4uSVFfTUFSS0VUQ0FQLjUvNS8yMDE3LlVTRC5IBQAAAAEAAAAIAAAAFChJbnZhbGlkIElkZW50aWZpZXIp9YQyRzQJ1gj1hDJHNAnWCDxDSVEuTkFTREFRR1M6Q0FMQS5JUV9FQklUREFfRVNULkNZMjAyMC43LzE2LzIwMTguQ09OLkYuVVNELkgBAAAApSeBBgMAAAAAACkclBA1CdYI5HRbEjUJ1ggrQ0lRLklRVFI0MTM5NTM2NjEuSVFfVFJfVE9UQUxfR1JPU1NfVFYuLlVTRAEAAAB9bqwYAgAAAAM3ODABBgAAAAUAAAACNTQBAAAABjEwMjA4OAIAAAAJNDEzOTUzNjYxAwAA</t>
  </si>
  <si>
    <t>AAk0MTM5NTc2NDAEAAAAAzE2MAYAAAAFRmFsc2Wys0lvNAnWCIH9lW80CdYIPENJUS5OQVNEQVFDTTpDS1BULklRX0VBUk5JTkdfQ08uQ1kyMDE2LjcvMTYvMjAxOC5MRlIuRi5VU0QuSAEAAAC4URYRAgAAAActMjIuNDYxAQgAAAAFAAAAATEBAAAACjE4Nzg3ODQ1NzUDAAAAAzE2MAIAAAABNwQAAAABMAcAAAAJNy8xNi8yMDE4CAAAAAoxMi8zMS8yMDE2CQAAAAEwKRyUEDUJ1gjkdFsSNQnWCClDSVEuSVFUUjU2MTYwNjM2NS5JUV9CVVNJTkVTU19ERVNDUklQVElPTgEAAAA4Od4KAwAAAJoFQmVuZXZpciBCaW9waGFybSwgSW5jLiBkZXZlbG9wcyBvbmNvbHl0aWMgaW1tdW5vdGhlcmFwaWVzIGZvciBhZHZhbmNlZCBzb2xpZCB0dW1vcnMuIFRoZSBjb21wYW55IG9mZmVycyBvbmNvbHl0aWMgdmlydXMsIHdoaWNoIGlzIGEgdmlydXMgZGVzaWduZWQgdG8gc3BlY2lmaWNhbGx5IGluZmVjdCBhbmQgZGVzdHJveSBjYW5jZXIgY2VsbHM7IGFuZCBtaXRpZ2F0ZSBhbnRhZ29uaXNtIGJldHdlZW4gb25jb2x5dGljIHZpcnVzZXMgYW5kIGltbXVuZSBjaGVja3BvaW50IGluaGliaXRvcnMuIEl0cyBvbmNvbHl0aWMgdmlydXMgcGxhdGZvcm0gaXMgYmFzZWQgb24gVC1TdGVhbHRoIHRlY2hub2xvZ3kgdGhhdCBvdmVyY29tZXMgdGhlIGJhcnJpZXIgb2YgYm9keeKAmXMgaW1tdW5lIHN5c3RlbSwgd2hpY2gg</t>
  </si>
  <si>
    <t>aXMgZWZmZWN0aXZlIGF0IGtpbGxpbmcgaGFybWZ1bCB2aXJ1c2VzLCBzdWNoIGFzIGZsdSwgYXMgd2VsbCBhcyBiZW5lZmljaWFsIHZpcnVzZXMsIHN1Y2ggYXMgb25jb2x5dGljIHZpcnVzZXMuIEJlbmV2aXIgQmlvcGhhcm0sIEluYy4gaXMgYmFzZWQgaW4gR2FpdGhlcnNidXJnLCBNYXJ5bGFuZC4gQXMgb2YgSnVuZSAxMSwgMjAxOCwgQmVuZXZpciBCaW9waGFybSwgSW5jLiBvcGVyYXRlcyBhcyBhIHN1YnNpZGlhcnkgb2YgSmFuc3NlbiBCaW90ZWNoLCBJbmMuALKzSW80CdYINZuTbzQJ1gg1Q0lRLk5BU0RBUUdTOkJHTkUuSVFfVE9UQUxfRVFVSVRZLkNZMjAxNi4uTEZSLkYuVVNELkgBAAAA4OTdBgIAAAAHMzUyLjkwNwEIAAAABQAAAAExAQAAAAoxODk5ODgxMjA0AwAAAAMxNjACAAAABDEyNzUEAAAAATAHAAAACTgvMjMvMjAxOAgAAAAKMTIvMzEvMjAxNgkAAAABMJwL1TgICdYInAvVOAgJ1gg2Q0lRLk5BU0RBUUdTOkVQWk0uSVFfRUJJVERBLjE5OTIuNy8zMS8yMDE4LkxGUi5GLlVTRC5IAQAAAAMmPQMCAAAABy05Mi43MzgBCAAAAAUAAAABMQEAAAAKMTg0MDYzMDM5NAMAAAADMTYwAgAAAAQ0MDUxBAAAAAEwBwAAAAk3LzMxLzIwMTgIAAAACTMvMzEvMjAxNgkAAAABMNaMETgICdYIcySdbzQJ1ggzQ0lRLk5BU0RBUUdTOkJHTkUuSVFfRUJJVERBX0VTVC5DWTIwMjAuLkNPTi5GLlVTRC5I</t>
  </si>
  <si>
    <t>AQAAAODk3QYCAAAACS00MDYuOTY0NwEOAAAABQAAAAIxMQEAAAABMAIAAAAKMTAwMzMyNjI3NwMAAAAGMTAwMTg3BAAAAAEyBgAAAAEwBwAAAAMxNjAIAAAAATAJAAAAATEKAAAAATALAAAACzExMDMyMzY3ODM0DAAAAAE3DQAAAAk4LzI0LzIwMTgQAAAACTgvMjMvMjAxOJwL1TgICdYInAvVOAgJ1gg8Q0lRLk5BU0RBUUdNOklNTVUuSVFfVE9UQUxfRVFVSVRZLjE5OTIuNy8zMS8yMDE4LkxGUi5GLlVTRC5IAQAAACBDBAACAAAACi00NS4wMDY0ODUBCAAAAAUAAAABMQEAAAAKMTg0MTE3MTIyNAMAAAADMTYwAgAAAAQxMjc1BAAAAAEwBwAAAAk3LzMxLzIwMTgIAAAACTMvMzEvMjAxNgkAAAABMJwL1TgICdYI1F+YbzQJ1ggbQ0lRLi5JUV9URVYuNy8zMS8yMDE4LlVTRC5IBQAAAAEAAAAIAAAAFChJbnZhbGlkIElkZW50aWZpZXIp9YQyRzQJ1gj1hDJHNAnWCD5DSVEuTkFTREFRR1M6QkdORS5JUV9UT1RBTF9FUVVJVFkuQ1kyMDE3LjcvMTYvMjAxOC5MRlIuRi5VU0QuSAEAAADg5N0GAgAAAAc2ODQuMjMxAQgAAAAFAAAAATEBAAAACjE4NzYzNTc0NDkDAAAAAzE2MAIAAAAEMTI3NQQAAAABMAcAAAAJNy8xNi8yMDE4CAAAAAoxMi8zMS8yMDE3CQAAAAEwxP8bETUJ1ghoYGcSNQnWCDNDSVEuTkFTREFRR006WE5DUi5JUV9QRVJJT0REQVRFX0lTLi43LzE2LzIwMTguTEZSLkYBAAAAploLAAUAAAAJMy8z</t>
  </si>
  <si>
    <t>MS8yMDE4AMT/GxE1CdYIEv5kEjUJ1ghEQ0lRLihJTlZBTElEIElERU5USUZJRVIpLklRX0VCSVREQV9NQVJHSU4uMjAwMC43LzMxLzIwMTguTEZSLkYuVVNELkgFAAAAAAAAAAgAAAAUKEludmFsaWQgSWRlbnRpZmllcinIMLI3CAnWCO02sG80CdYILkNJUS5JUVRSMzEyMTIyNTA0LklRX1RSX1RBUkdFVF9TVE9DS1BSRU1JVU1fMVcBAAAAiJyaEgIAAAAAAFjPEg41CdYIwNuCDjUJ1ggyQ0lRLk5BU0RBUUdTOlRTUk8uSVFfRUJJVERBLi43LzE2LzIwMTguTEZSLkYuVVNELkgBAAAAaNZYBgIAAAAILTQ3Ny4yOTcBCAAAAAUAAAABMQEAAAAKMTg4NjMzNzQ2NgMAAAADMTYwAgAAAAQ0MDUxBAAAAAEwBwAAAAk3LzE2LzIwMTgIAAAACTMvMzEvMjAxOAkAAAABMMT/GxE1CdYIEv5kEjUJ1ggtQ0lRLkVOWFRQQTpJUEguSVFfTEFTVFNBTEVQUklDRS43LzE2LzIwMTguVVNEAQAAAJmABgACAAAACDUuMzc4NzYxACkclBA1CdYIczlgEjUJ1gggQ0lRLklRMzYxODM4MzcuSVFfTEFTVFNBTEVQUklDRS4BAAAAHR8oAgIAAAAEMi44MgCcC9U4CAnWCHd5gA41CdYIJUNJUS5OQVNEQVFHUzpBVE5YLklRX0ZJUlNUUFJJQ0lOR0RBVEUBAAAA3JlrAQUAAAAJNi8xNC8yMDE3ANaMETgICdYIJMKabzQJ1gg7Q0lRLk5BU0RBUUdTOkdUSFguSVFfVE9UQUxfUkVWLkNZMjAxNi43LzMxLzIwMTguTEZSLkYuVVNELkgBAAAA</t>
  </si>
  <si>
    <t>ZTRpCAMAAAAAAJwL1TgICdYIJMKabzQJ1ggvQ0lRLk5BU0RBUUdTOkJHTkUuSVFfRUJJVERBLkNZMjAxNi4uTEZSLkYuVVNELkgBAAAA4OTdBgIAAAAILTExNS4xNTEBCAAAAAUAAAABMQEAAAAKMTg5OTg4MTIwNAMAAAADMTYwAgAAAAQ0MDUxBAAAAAEwBwAAAAk4LzIzLzIwMTgIAAAACjEyLzMxLzIwMTYJAAAAATCcC9U4CAnWCJwL1TgICdYILkNJUS5JUVRSNDA3NzYwNjkyLklRX1RSX1RBUkdFVF9TVE9DS1BSRU1JVU1fMU0BAAAANO9NGAIAAAAAAFjPEg41CdYIDD6FDjUJ1ggwQ0lRLklRVFI0MzE4NDE1ODEuSVFfVFJfVEFSR0VUX0VCSVREQV9FU1QuLlVTRC5IAQAAAC1hvRkCAAAAAAAMbRAONQnWCAw+hQ41CdYIOkNJUS5OQVNEQVFHTTpGQVRFLklRX0VBUk5JTkdfQ08uMTk5Mi43LzMxLzIwMTguTEZSLkYuVVNELkgBAAAAaDFXAgIAAAAHLTMwLjQ4OAEIAAAABQAAAAExAQAAAAoxODQzNTQ0MzIxAwAAAAMxNjACAAAAATcEAAAAATAHAAAACTcvMzEvMjAxOAgAAAAJMy8zMS8yMDE2CQAAAAEw1owROAgJ1gjDhp9vNAnWCDpDSVEuTkFTREFRR1M6Q0FMQS5JUV9DQVNIX1NUX0lOVkVTVC4uNy8xNi8yMDE4LkxGUi5GLlVTRC5IAQAAAKUngQYCAAAABzE1MC45NjQBCAAAAAUAAAABMQEAAAAKMTg4Nzk4MDMwNQMAAAADMTYwAgAAAAQxMDAyBAAAAAEwBwAAAAk3LzE2LzIwMTgIAAAACTMvMzEvMjAx</t>
  </si>
  <si>
    <t>OAkAAAABMCkclBA1CdYI5HRbEjUJ1ggrQ0lRLklRVFI1NDgzMzgwMjAuSVFfVFJfSU1QTElFRF9FVl9FQklUX0ZXRAEAAABk+a4gAgAAAAAADG0QDjUJ1gjA24IONQnWCClDSVEuSVEzNjE4MzgxOS5JUV9MQVNUU0FMRVBSSUNFLjcvMTYvMjAxOAEAAAALHygCAgAAAAQyLjE5AAxtEA41CdYIDD6FDjUJ1ghCQ0lRLihJTlZBTElEIElERU5USUZJRVIpLklRX05FVF9XT1JLSU5HX0NBUC4uNy8xNi8yMDE4LkxGUi5GLlVTRC5IBQAAAAAAAAAIAAAAFChJbnZhbGlkIElkZW50aWZpZXIp3qd+EDUJ1giYElkSNQnWCChDSVEuTkFTREFRR006SU1NVS5JUV9URVYuNy8xNi8yMDE4LlVTRC5IAQAAACBDBAACAAAACjQ0MzguMzAzMTkBBgAAAAUAAAABMQEAAAAKMTg4ODUyMjQ0MwMAAAADMTYwAgAAAAYxMDAwNjAEAAAAATAHAAAACTcvMTYvMjAxOEadGRE1CdYIaGBnEjUJ1gg8Q0lRLk5BU0RBUUdTOkFEWFMuSVFfRUJJVERBX0VTVC5DWTIwMTkuNy8xNi8yMDE4LkNPTi5GLlVTRC5IAQAAAJ7seAADAAAAAAApHJQQNQnWCOR0WxI1CdYINUNJUS5OQVNEQVFHTTpJTU1VLklRX05JX01BUkdJTi4uNy8xNi8yMDE4LkxGUi5GLlVTRC5IAQAAACBDBAADAAAAAk5NAQgAAAAFAAAAATEBAAAACjE4ODg1MjMzODQDAAAAAzE2MAIAAAAENDA5NAQAAAABMAcAAAAJNy8xNi8yMDE4CAAAAAkzLzMxLzIwMTgJAAAAATDE/xsR</t>
  </si>
  <si>
    <t>NQnWCBL+ZBI1CdYIK0NJUS5FTlhUUEE6SVBILklRX01BUktFVENBUC45LzE1LzIwMTcuVVNELkgBAAAAmYAGAAIAAAAKNzYxLjM5NDA5NgEGAAAABQAAAAExAQAAAAoxODM3OTYyMjM3AwAAAAMxNjACAAAABjEwMDA1NAQAAAABMAcAAAAJOS8xNS8yMDE3KRyUEDUJ1ghzOWASNQnWCD1DSVEuTkFTREFRR1M6Q0FMQS5JUV9SRVZFTlVFX0VTVC5DWTIwMTguNy8zMS8yMDE4LkNPTi5GLlVTRC5IAQAAAKUngQYCAAAACDIzLjYxOTc1AQ4AAAAFAAAAAjExAQAAAAEwAgAAAAoxMDAyODk2NDE4AwAAAAYxMDAxODAEAAAAATIGAAAAATAHAAAAAzE2MAgAAAABMAkAAAABMQoAAAABMAsAAAALMTA5MTMyNzg0ODUMAAAAATcNAAAACDgvMS8yMDE4EAAAAAk3LzMxLzIwMTjIMLI3CAnWCN1LpG80CdYIJENJUS5OQVNEQVFDTTpTUk5FLklRX0VGRkVDVF9UQVhfUkFURQEAAABJQ5QDAwAAAAJOTQEIAAAABQAAAAExAQAAAAoxODk5NTMxMDUwAwAAAAMxNjACAAAABDQzNzYEAAAAATAHAAAACTgvMjMvMjAxOAgAAAAJNi8zMC8yMDE4CQAAAAEw1owROAgJ1ghzJJ1vNAnWCENDSVEuTkFTREFRR1M6QkdORS5JUV9FQklUREFfNVlSX0FOTl9DQUdSLjIwMDAuNy8zMS8yMDE4LkxGUi5GLlVTRC5IAQAAAODk3QYDAAAAAACcC9U4CAnWCNRfmG80CdYIP0NJUS5OQVNEQVFHUzpNUlNOLklRX05FVF9XT1JLSU5HX0NBUC4xOTky</t>
  </si>
  <si>
    <t>LjcvMzEvMjAxOC5MRlIuRi5VU0QuSAEAAADmxRgAAwAAAAAA1owROAgJ1gjDhp9vNAnWCClDSVEuTkFTREFRQ006U1JORS5JUV9CVVNJTkVTU19ERVNDUklQVElPTgEAAABJQ5QDAwAAAKMMU29ycmVudG8gVGhlcmFwZXV0aWNzLCBJbmMuLCBhIGNsaW5pY2FsIHN0YWdlIGJpb3RlY2hub2xvZ3kgY29tcGFueSwgcHJpbWFyaWx5IGVuZ2FnZXMgaW4gdGhlIGRpc2NvdmVyeSBhbmQgZGV2ZWxvcG1lbnQgb2YgdGhlcmFwaWVzIGZvY3VzZWQgb24gb25jb2xvZ3kgYW5kIHRoZSB0cmVhdG1lbnQgb2YgY2hyb25pYyBjYW5jZXIgcGFpbiB3b3JsZHdpZGUuIFRoZSBjb21wYW55IGlzIGZvY3VzaW5nIG9uIHRoZSBkZXZlbG9wbWVudCBvZiBjaGltZXJpYyBhbnRpZ2VuIHJlY2VwdG9yIChDQVIpLWJhc2VkIGltbXVub3RoZXJhcGllcyB1c2luZyBhdXRvbG9nb3VzIFQtY2VsbHMuIEl0IGlzIGRldmVsb3BpbmcgQ0QzOCBEaXJlY3RlZCBDQVItVCwgYSBjZWxsdWxhciB0aGVyYXB5IHVzZWQgZm9yIHRoZSB0cmVhdG1lbnQgb2YgbXVsdGlwbGUgbXllbG9tYSwgYXMgd2VsbCBhcyBmb3IgYW15bG9pZG9zaXMgYW5kIGdyYWZ0LXZlcnN1cy1ob3N0IGRpc2Vhc2VzOyBDRDEyMyBEaXJlY3RlZCBDQVItVCBmb3IgdGhlIHRyZWF0bWVudCBvZiBhY3V0ZSBteWVsb2dlbm91cyBsZXVrZW1pYTsgYW5kIGh1bWFuIGFu</t>
  </si>
  <si>
    <t>dGlib2RpZXMsIGluY2x1ZGluZyBQRC0xLCBQRC1MMSwgQ0QzOCwgQ0QxMjMsIENENDcsIGMtTUVULCBWRUdGUjIsIENDUjIsIE9YNDAsIFRJR0lULCBhbmQgQ0QxMzcuIFRoZSBjb21wYW55IGlzIGFsc28gZGV2ZWxvcGluZyBpbnRyYWNlbGx1bGFyIHRhcmdldGluZyBhbnRpYm9kaWVzIGNvbXByaXNpbmcgU1RBVDMsIE11dGFudCBLUkFTLCBNWUMsIHA1MywgYW5kIFRBVSB0byBtb2R1bGF0ZSB0aGUgZXZvbHV0aW9uIG9mIGNhbmNlciwgaW5mbGFtbWF0aW9uLCBhdXRvaW1tdW5lIGRpc2Vhc2VzLCBkaWFiZXRlcywgY2VudHJhbCBuZXJ2b3VzIHN5c3RlbSBkaXNlYXNlcywgY2FyZGlvdmFzY3VsYXIgZGlzZWFzZXMsIGFuZCB2aXJhbCBpbmZlY3Rpb25zOyBhbmQgb25jb2x5dGljIHZpcnVzZXMgdGhhdCBpbmZlY3QgYW5kIHNlbGVjdGl2ZWx5IG11bHRpcGx5IGluIGFuZCBkZXN0cm95IHR1bW9yIGNlbGxzIHdpdGhvdXQgZGFtYWdpbmcgaGVhbHRoeSB0aXNzdWUuIEluIGFkZGl0aW9uLCBpdCBvZmZlcnMgcmVzaW5pZmVyYXRveGluLCBhIG5vbi1vcGlvaWQtYmFzZWQgVFJQVjEgYWdvbmlzdCBuZXVyb3RveGluIGZvciB0aGUgdHJlYXRtZW50IG9mIGludHJhY3RhYmxlIHBhaW4gdHJlYXRtZW50OyBhbmQgWlRsaWRvLCBhIGxpZG9jYWluZSBkZWxpdmVyeSBzeXN0ZW0gZm9yIHRoZSB0cmVhdG1l</t>
  </si>
  <si>
    <t>bnQgb2YgcG9zdGhlcnBldGljIG5ldXJhbGdpYS4gVGhlIGNvbXBhbnkgaGFzIGEgbGljZW5zaW5nIGFncmVlbWVudCB3aXRoIE1hYnRlY2ggTGltaXRlZCB0byBkZXZlbG9wIGFuZCBjb21tZXJjaWFsaXplIG11bHRpcGxlIHByZXNwZWNpZmllZCBiaW9zaW1pbGFyIGFuZCBiaW9iZXR0ZXIgYW50aWJvZGllcyBmcm9tIGJhc2VkIG9uIEVyYml0dXgsIFJlbWljYWRlLCBYb2xhaXIsIGFuZCBTaW11bGVjdC4gU29ycmVudG8gVGhlcmFwZXV0aWNzLCBJbmMuIHdhcyBmb3VuZGVkIGluIDIwMDYgYW5kIGlzIGJhc2VkIGluIFNhbiBEaWVnbywgQ2FsaWZvcm5pYS4A1owROAgJ1ghzJJ1vNAnWCDpDSVEuTkFTREFRR006SU1NVS5JUV9UT1RBTF9ERUJULjIwMDAuNy8zMS8yMDE4LkxGUi5GLlVTRC5IAQAAACBDBAACAAAACjIwMS45NDIzMTcBCAAAAAUAAAABMQEAAAAKMTg4ODUyMzM4NAMAAAADMTYwAgAAAAQ0MTczBAAAAAEwBwAAAAk3LzMxLzIwMTgIAAAACTMvMzEvMjAxOAkAAAABMJwL1TgICdYI1F+YbzQJ1ggwQ0lRLklRVFI1NTAyNTkzOTcuSVFfVFJfVEFSR0VUX0VCSVREQV9FU1QuLlVTRC5IAQAAAMVKzCACAAAACS00MjQuNjEyMQAMbRAONQnWCHd5gA41CdYIQ0NJUS5OQVNEQVFHUzpHVEhYLklRX0VCSVREQV81WVJfQU5OX0NBR1IuMjAwMC43LzMxLzIwMTguTEZSLkYuVVNELkgBAAAAZTRpCAMA</t>
  </si>
  <si>
    <t>AAAAANaMETgICdYIJMKabzQJ1gguQ0lRLk5BU0RBUUdTOkFUTlguSVFfTUFSS0VUQ0FQLjcvMzEvMjAxOC5VU0QuSAEAAADcmWsBAgAAAAsxMjI0LjQ4NDM4MgEGAAAABQAAAAExAQAAAAoxODg4NzAyNzAyAwAAAAMxNjACAAAABjEwMDA1NAQAAAABMAcAAAAJNy8zMS8yMDE41owROAgJ1ggkwppvNAnWCDBDSVEuTkFTREFRR1M6TUdOWC5JUV9MQVNUU0FMRVBSSUNFLjcvMTYvMjAxOC5VU0QBAAAATysJAAIAAAAEMjEuNgBGnRkRNQnWCMKbYhI1CdYIHUNJUS5OQVNEQVFDTTpTUk5FLklRX0VYQ0hBTkdFAQAAAElDlAMDAAAACE5hc2RhcUNNANaMETgICdYIcySdbzQJ1ggsQ0lRLk5BU0RBUUdTOkNUTVguSVFfTEFTVFNBTEVQUklDRS45LzE1LzIwMTcBAAAA3DibAwIAAAAFMTcuMzEARp0ZETUJ1gjCm2ISNQnWCDxDSVEuTkFTREFRR1M6TVJTTi5JUV9FQVJOSU5HX0NPLkNZMjAxNy43LzE2LzIwMTguTEZSLkYuVVNELkgBAAAA5sUYAAIAAAAHLTM4LjcwNwEIAAAABQAAAAExAQAAAAoxODgwNTQ3Mzk1AwAAAAMxNjACAAAAATcEAAAAATAHAAAACTcvMTYvMjAxOAgAAAAKMTIvMzEvMjAxNwkAAAABMCkclBA1CdYIczlgEjUJ1ggwQ0lRLk5BU0RBUUdNOklNTVUuSVFfTEFTVFNBTEVQUklDRS43LzE2LzIwMTguVVNEAQAAACBDBAACAAAABTI1LjQ3AEadGRE1CdYIaGBnEjUJ1ghCQ0lRLk5BU0RBUUdNOklN</t>
  </si>
  <si>
    <t>TVUuSVFfVE9UQUxfUkVWXzJZUl9BTk5fQ0FHUi4uNy8xNi8yMDE4LkxGUi5GLlVTRC5IAQAAACBDBAACAAAACC0yOC4zMzk3AQgAAAAFAAAAATEBAAAACjE4ODg1MjMzODQDAAAAAzE2MAIAAAAENDIwNwQAAAABMAcAAAAJNy8xNi8yMDE4CAAAAAkzLzMxLzIwMTgJAAAAATDE/xsRNQnWCBL+ZBI1CdYILUNJUS5OQVNEQVFHUzpCR05FLklRX0RJVklERU5EX1lJRUxELjcvMTYvMjAxOAEAAADg5N0GAwAAAAAARp0ZETUJ1ghoYGcSNQnWCB1DSVEuTkFTREFRR1M6UEJZSS5JUV9FWENIQU5HRQEAAAACaqwHAwAAAAhOYXNkYXFHUwBGnRkRNQnWCBL+ZBI1CdYIOENJUS5YVFJBOk1PUi5JUV9SRVZFTlVFX0VTVC5DWTIwMTguNy8zMS8yMDE4LkNPTi5GLlVTRC5IAQAAAN8RAgACAAAAEDgxLjg0OTc3MTgyMjM1OTUBDgAAAAUAAAACMTEBAAAAATACAAAACjEwMDA4MDIwMTADAAAABjEwMDE4MAQAAAABMwYAAAABMAcAAAADMTYwCAAAAAEwCQAAAAExCgAAAAEwCwAAAAsxMTA1MjI5NTAzMQwAAAABNw0AAAAIOC8xLzIwMTgQAAAACTcvMzEvMjAxOJwL1TgICdYI1F+YbzQJ1ggsQ0lRLk5BU0RBUUdTOk5LLklRX01BUktFVENBUC43LzMxLzIwMTguVVNELkgBAAAADX2hDwIAAAAKMjczLjMwOTY2NgEGAAAABQAAAAExAQAAAAoxODg3MTE2OTI5AwAAAAMxNjACAAAABjEwMDA1NAQAAAABMAcAAAAJNy8zMS8yMDE4</t>
  </si>
  <si>
    <t>1owROAgJ1gjDhp9vNAnWCC1DSVEuTkFTREFRR1M6QVROWC5JUV9ESVZJREVORF9ZSUVMRC43LzMxLzIwMTgBAAAA3JlrAQMAAAAAANaMETgICdYIJMKabzQJ1ggwQ0lRLk5BU0RBUUdTOktVUkEuSVFfTEFTVFNBTEVQUklDRS43LzMxLzIwMTguVVNEAQAAALjL2hACAAAABDIwLjMA1owROAgJ1ghzJJ1vNAnWCChDSVEuTkFTREFRR1M6U0dFTi5JUV9URVYuNy8xNi8yMDE4LlVTRC5IAQAAAGGFAAACAAAADDEwNTE1Ljk4NzI4NwEGAAAABQAAAAExAQAAAAoxODg0ODkxMTU3AwAAAAMxNjACAAAABjEwMDA2MAQAAAABMAcAAAAJNy8xNi8yMDE4Rp0ZETUJ1ghoYGcSNQnWCD1DSVEuTkFTREFRQ006TVRFTS5JUV9SRVZFTlVFX0VTVC5DWTIwMTguNy8zMS8yMDE4LkNPTi5GLlVTRC5IAQAAAJmbqQECAAAAAzAuNQEOAAAABQAAAAIxMQEAAAABMAIAAAAKMTAwMzgxNjQ1OAMAAAAGMTAwMTgwBAAAAAEyBgAAAAEwBwAAAAMxNjAIAAAAATAJAAAAATEKAAAAATALAAAACzEwODg3MzM2NDE5DAAAAAE3DQAAAAg4LzEvMjAxOBAAAAAJNy8zMS8yMDE4yDCyNwgJ1ggZ6aFvNAnWCDVDSVEuTkFTREFRR1M6TUdOWC5JUV9UT1RBTF9SRVYuLjcvMTYvMjAxOC5MRlIuRi5VU0QuSAEAAABPKwkAAgAAAAcxNjAuMzgyAQgAAAAFAAAAATEBAAAACjE4ODcxMTQ5NDUDAAAAAzE2MAIAAAACMjgEAAAAATAHAAAACTcvMTYvMjAx</t>
  </si>
  <si>
    <t>OAgAAAAJMy8zMS8yMDE4CQAAAAEwxP8bETUJ1gjCm2ISNQnWCElDSVEuKElOVkFMSUQgSURFTlRJRklFUikuSVFfVE9UQUxfUkVWXzVZUl9BTk5fQ0FHUi4uNy8xNi8yMDE4LkxGUi5GLlVTRC5IBQAAAAAAAAAIAAAAFChJbnZhbGlkIElkZW50aWZpZXIp3qd+EDUJ1giYElkSNQnWCCpDSVEuT1RDUEs6TldCTy5JUV9ESVZJREVORF9ZSUVMRC43LzE2LzIwMTgBAAAAo3oUAAMAAAAAACkclBA1CdYIMNddEjUJ1ggUQ0lRLi5JUV9DT01QQU5ZX05BTUUFAAAAAAAAAAgAAAAUKEludmFsaWQgSWRlbnRpZmllcin1hDJHNAnWCC9IDvc0CdYIN0NJUS5OQVNEQVFHTTpMUFRYLklRX1BSRUZfRVFVSVRZLi43LzE2LzIwMTguTEZSLkYuVVNELkgBAAAADDYJBwMAAAAAACkclBA1CdYIMNddEjUJ1gg8Q0lRLk5BU0RBUUdTOlNHRU4uSVFfRUJJVERBX0VTVC5DWTIwMTguNy8xNi8yMDE4LkNPTi5GLlVTRC5IAQAAAGGFAAACAAAACC0yMjguMDc5AQ4AAAAFAAAAAjExAQAAAAEwAgAAAAoxMDAwMTI0NzI2AwAAAAYxMDAxODcEAAAAATIGAAAAATAHAAAAAzE2MAgAAAABMAkAAAABMQoAAAABMAsAAAALMTA4NTc4NzMxMTcMAAAAATcNAAAACTcvMTcvMjAxOBAAAAAJNy8xNi8yMDE4xP8bETUJ1ghoYGcSNQnWCCJDSVEuSVFUUjU0MjgwNjY4Ni5JUV9UUl9UT1RBTF9DQVNIAQAAAJ6SWiACAAAAAACys0lvNAnWCIH9lW80</t>
  </si>
  <si>
    <t>CdYIOUNJUS5OQVNEQVFHUzpUU1JPLklRX0VCSVREQV9NQVJHSU4uLjcvMTYvMjAxOC5MRlIuRi5VU0QuSAEAAABo1lgGAgAAAAktMTc2Ljc3OTkBCAAAAAUAAAABMQEAAAAKMTg4NjMzNzQ2NgMAAAADMTYwAgAAAAQ0MDQ3BAAAAAEwBwAAAAk3LzE2LzIwMTgIAAAACTMvMzEvMjAxOAkAAAABMMT/GxE1CdYIEv5kEjUJ1ggvQ0lRLi5JUV9UT1RBTF9FUVVJVFkuMTk5Mi43LzMxLzIwMTguTEZSLkYuVVNELkgFAAAAAQAAAAgAAAAUKEludmFsaWQgSWRlbnRpZmllcin1hDJHNAnWCPWEMkc0CdYIO0NJUS5OQVNEQVFHUzpBRFhTLklRX05FVF9XT1JLSU5HX0NBUC4uNy8xNi8yMDE4LkxGUi5GLlVTRC5IAQAAAJ7seAACAAAACi0xMS4yNDYwNjQBCAAAAAUAAAABMQEAAAAKMTg5Mjc4ODU0OAMAAAADMTYwAgAAAAQxMzExBAAAAAEwBwAAAAk3LzE2LzIwMTgIAAAACTQvMzAvMjAxOAkAAAABMCkclBA1CdYI5HRbEjUJ1ggzQ0lRLk5BU0RBUUdNOkxQVFguSVFfUEVSSU9EREFURV9JUy4uNy8xNi8yMDE4LkxGUi5GAQAAAAw2CQcFAAAACTMvMzEvMjAxOAApHJQQNQnWCDDXXRI1CdYIMENJUS5JUVRSNDA4MjkxMzk1LklRX1RSX1RBUkdFVF9FQklUREFfRVNULi5VU0QuSAEAAABDCFYYAgAAAAAAWM8SDjUJ1gjA24IONQnWCC5DSVEuTkFTREFRR1M6Sk5DRS5JUV9NQVJLRVRDQVAuOS8xNS8yMDE3LlVTRC5IAQAA</t>
  </si>
  <si>
    <t>AOJ5ng0CAAAACjQ5Mi4yNDk1MTcBBgAAAAUAAAABMQEAAAAKMTg1Mjc5MDYzMQMAAAADMTYwAgAAAAYxMDAwNTQEAAAAATAHAAAACTkvMTUvMjAxN96nfhA1CdYImBJZEjUJ1ggnQ0lRLk5BU0RBUUdNOkNSSVMuSVFfUEVSSU9EREFURV9JUy4xMDAwAQAAABdqAAAFAAAACjEyLzMxLzIwMTcAyDCyNwgJ1gjdS6RvNAnWCDtDSVEuTkFTREFRR1M6VFNSTy5JUV9FQklUX01BUkdJTi4yMDAwLjcvMzEvMjAxOC5MRlIuRi5VU0QuSAEAAABo1lgGAgAAAAktMTgwLjg2NTUBCAAAAAUAAAABMQEAAAAKMTg4NjMzNzQ2NgMAAAADMTYwAgAAAAQ0MDUzBAAAAAEwBwAAAAk3LzMxLzIwMTgIAAAACTMvMzEvMjAxOAkAAAABMJwL1TgICdYIJMKabzQJ1ghHQ0lRLk5BU0RBUUdTOktVUkEuSVFfTUlOT1JJVFlfSU5URVJFU1RfVE9UQUwuMjAwMC43LzMxLzIwMTguTEZSLkYuVVNELkgBAAAAuMvaEAMAAAAAANaMETgICdYIcySdbzQJ1ghCQ0lRLk5BU0RBUUNNOkFWRU8uSVFfVE9UQUxfUkVWXzNZUl9BTk5fQ0FHUi4uNy8xNi8yMDE4LkxGUi5GLlVTRC5IAQAAAPQWHQACAAAABjI2Ljk1NAEIAAAABQAAAAExAQAAAAoxODg3MjM0Mjk1AwAAAAMxNjACAAAABDQyMjAEAAAAATAHAAAACTcvMTYvMjAxOAgAAAAJMy8zMS8yMDE4CQAAAAEwxP8bETUJ1ghzOWASNQnWCCVDSVEuSVFUUjU2MTYwNjM2NS5JUV9UUl9JTVBMSUVE</t>
  </si>
  <si>
    <t>X0VRX0JWAQAAAN1ueSECAAAAAACys0lvNAnWCDWbk280CdYINENJUS5OQVNEQVFHUzpCR05FLklRX1JFVkVOVUVfRVNULkNZMjAxOS4uQ09OLkYuVVNELkgBAAAA4OTdBgIAAAAJMjIwLjc4NTU3AQ4AAAAFAAAAAjExAQAAAAEwAgAAAAoxMDAzMzI2MjcyAwAAAAYxMDAxODAEAAAAATIGAAAAATAHAAAAAzE2MAgAAAABMAkAAAABMQoAAAABMAsAAAALMTEwNTExMjAzMDAMAAAAATcNAAAACTgvMjQvMjAxOBAAAAAJOC8yMy8yMDE4nAvVOAgJ1gicC9U4CAnWCB1DSVEuSVEyNTA4MC5JUV9DT01QQU5ZX1RJQ0tFUgEAAAD4YQAAAwAAAA1OYXNkYXFHTTpBUlJZALKzSW80CdYI1F+YbzQJ1ggoQ0lRLk5BU0RBUUNNOlNSTkUuSVFfVEVWLjcvMzEvMjAxOC5VU0QuSAEAAABJQ5QDAgAAAAo1OTcuMDM0NTczAQYAAAAFAAAAATEBAAAACjE4ODc5ODk3NjYDAAAAAzE2MAIAAAAGMTAwMDYwBAAAAAEwBwAAAAk3LzMxLzIwMTjWjBE4CAnWCHMknW80CdYIJENJUS5OQVNEQVFHUzpBVE5YLklRX0VGRkVDVF9UQVhfUkFURQEAAADcmWsBAwAAAAJOTQEIAAAABQAAAAExAQAAAAoxOTAwNTM2NjAyAwAAAAMxNjACAAAABDQzNzYEAAAAATAHAAAACTgvMjMvMjAxOAgAAAAJNi8zMC8yMDE4CQAAAAEw1owROAgJ1ggkwppvNAnWCDJDSVEuRU5YVFBBOklQSC5JUV9UT1RBTF9SRVYuLjcvMTYvMjAxOC5MRlIuRi5VU0QuSAEA</t>
  </si>
  <si>
    <t>AACZgAYAAgAAAAk1Mi44NzM0MzkBCAAAAAUAAAABMQEAAAAKMTg4OTU1MjE2NAMAAAADMTYwAgAAAAIyOAQAAAABMAcAAAAJNy8xNi8yMDE4CAAAAAoxMi8zMS8yMDE3CQAAAAEwKRyUEDUJ1ghzOWASNQnWCD1DSVEuTkFTREFRR1M6RlBSWC5JUV9DQVNIX1NUX0lOVkVTVC4yMDAwLjUvNS8yMDE3LkxGUi5GLlVTRC5IAQAAADddMwACAAAABzM4MC4zMTcBCAAAAAUAAAABMQEAAAAKMTg0MDU2NTgzNgMAAAADMTYwAgAAAAQxMDAyBAAAAAEwBwAAAAg1LzUvMjAxNwgAAAAJMy8zMS8yMDE3CQAAAAEwyDCyNwgJ1ggZ6aFvNAnWCDxDSVEuTkFTREFRR1M6S1VSQS5JUV9UT1RBTF9FUVVJVFkuMTk5Ni43LzMxLzIwMTguTEZSLkYuVVNELkgBAAAAuMvaEAIAAAAGNTAuMjQxAQgAAAAFAAAAATEBAAAACjE4ODczODI5MjIDAAAAAzE2MAIAAAAEMTI3NQQAAAABMAcAAAAJNy8zMS8yMDE4CAAAAAkzLzMxLzIwMTcJAAAAATDWjBE4CAnWCHMknW80CdYIMkNJUS5OQVNEQVFHUzpCR05FLklRX0VCSVRfTUFSR0lOLjIwMDAuLkxGUi5GLlVTRC5IAQAAAODk3QYCAAAACC03Mi40NzQ4AQgAAAAFAAAAATEBAAAACjE4OTk5MDA2MzEDAAAAAzE2MAIAAAAENDA1MwQAAAABMAcAAAAJOC8yMy8yMDE4CAAAAAk2LzMwLzIwMTgJAAAAATCcC9U4CAnWCJwL1TgICdYIOkNJUS5YVFJBOk1PUi5JUV9ORVRfV09SS0lOR19DQVAu</t>
  </si>
  <si>
    <t>MTk5Mi43LzMxLzIwMTguTEZSLkYuVVNELkgBAAAA3xECAAIAAAAKLTEyLjE2MzQxMwEIAAAABQAAAAExAQAAAAoxODM5OTQwNjkwAwAAAAMxNjACAAAABDEzMTEEAAAAATAHAAAACTcvMzEvMjAxOAgAAAAJMy8zMS8yMDE2CQAAAAEwnAvVOAgJ1gjUX5hvNAnWCC9DSVEuSVFUUjI3MzUwNzE4NS5JUV9UUl9JTVBMSUVEX0VWX0ZJTkFMLi5VU0QuSAEAAABxY00QAgAAAAozMzMuMzAxODcxAQYAAAAFAAAAAjU0AQAAAAYxMDIwNDUCAAAACTI3MzUwNzE4NQMAAAAJMjczNTA3Nzg3BAAAAAMxNjAGAAAABUZhbHNlsrNJbzQJ1giB/ZVvNAnWCCdDSVEuTkFTREFRR1M6TVJTTi5JUV9CRVRBXzFZUi43LzMxLzIwMTgBAAAA5sUYAAIAAAARMC42NDEzODg1MDc4MDQ3MjQA1owROAgJ1gjDhp9vNAnWCDhDSVEuTkFTREFRQ006QVZFTy5JUV9HUk9TU19NQVJHSU4uLjcvMTYvMjAxOC5MRlIuRi5VU0QuSAEAAAD0Fh0AAgAAAAktMjcyLjU4MzUBCAAAAAUAAAABMQEAAAAKMTg4NzIzNDI5NQMAAAADMTYwAgAAAAQ0MDc0BAAAAAEwBwAAAAk3LzE2LzIwMTgIAAAACTMvMzEvMjAxOAkAAAABMMT/GxE1CdYIwptiEjUJ1ggpQ0lRLklRVFI1NDc0MjM2ODAuSVFfQlVTSU5FU1NfREVTQ1JJUFRJT04BAAAAAhhzCAMAAACcCElnbnl0YSwgSW5jLiwgYSBwcmVjaXNpb24gb25jb2xvZ3kgYmlvdGVjaG5vbG9neSBjb21wYW55</t>
  </si>
  <si>
    <t>LCBlbmdhZ2VzIGluIGRpc2NvdmVyaW5nLCBpbi1saWNlbnNpbmcgb3IgYWNxdWlyaW5nLCBkZXZlbG9waW5nLCBhbmQgY29tbWVyY2lhbGl6aW5nIG1vbGVjdWxhcmx5IHRhcmdldGVkIHRoZXJhcGllcyBmb3IgZXJhZGljYXRpbmcgcmVzaWR1YWwgZGlzZWFzZXMuIEl0cyBwcm9kdWN0cyBwaXBlbGluZSBpbmNsdWRlcyBlbnRyZWN0aW5pYiwgYSB0eXJvc2luZSBraW5hc2UgaW5oaWJpdG9yIGRpcmVjdGVkIHRvIHRoZSB0cm9wb215b3NpbiByZWNlcHRvciBraW5hc2UgZmFtaWx5IHR5cm9zaW5lIGtpbmFzZSByZWNlcHRvcnMsIFJPUzEsIGFuZCBhbmFwbGFzdGljIGx5bXBob21hIGtpbmFzZSBwcm90ZWlucywgd2hpY2ggaXMgaW4gUGhhc2UgSUkgYW5kIHR3byBQaGFzZSBJIGNsaW5pY2FsIHN0dWRpZXMgaW4gbW9sZWN1bGFybHkgZGVmaW5lZCBhZHVsdCBwYXRpZW50IHBvcHVsYXRpb25zIGZvciB0aGUgdHJlYXRtZW50IG9mIHNvbGlkIHR1bW9ycywgYXMgd2VsbCBhcyBpbiBQaGFzZSBJL0liIGNsaW5pY2FsIHN0dWR5IGluIHBlZGlhdHJpYyBwYXRpZW50cyB3aXRoIGFkdmFuY2VkIHNvbGlkIHR1bW9yIG1hbGlnbmFuY2llczsgUlhEWC0xMDUsIGFuIG9yYWxseSBiaW9hdmFpbGFibGUgYW5kIHZhc2N1bGFyIGVuZG90aGVsaWFsIGdyb3d0aCBmYWN0b3IgcmVjZXB0b3IsIGFuZCBzbWFsbCBt</t>
  </si>
  <si>
    <t>b2xlY3VsZSB0eXJvc2luZSBraW5hc2UgaW5oaWJpdG9yIG9mIFJFVC1kcml2ZW4gc29saWQgdHVtb3JzOyBhbmQgUlhEWC0xMDYsIGEgcHNldWRvLWlycmV2ZXJzaWJsZSBpbmhpYml0b3IsIHdoaWNoIGlzIGluIGxhdGUgcHJlY2xpbmljYWwgZGV2ZWxvcG1lbnQuIFRoZSBjb21wYW55IHdhcyBmb3VuZGVkIGluIDIwMTEgYW5kIGlzIGhlYWRxdWFydGVyZWQgaW4gU2FuIERpZWdvLCBDYWxpZm9ybmlhLiBBcyBvZiBGZWJydWFyeSA3LCAyMDE4LCBJZ255dGEsIEluYy4gb3BlcmF0ZXMgYXMgYSBzdWJzaWRpYXJ5IG9mIFJvY2hlIEhvbGRpbmdzLCBJbmMuAAxtEA41CdYIDD6FDjUJ1ggxQ0lRLklRVFI1NjE2MDYzNjUuSVFfVFJfVEFSR0VUX1JFVkVOVUVfRVNULi5VU0QuSAEAAADdbnkhAgAAAAAAsrNJbzQJ1gg1m5NvNAnWCD1DSVEuTkFTREFRR1M6VFNSTy5JUV9SRVZFTlVFX0VTVC5DWTIwMjEuNy8zMS8yMDE4LkNPTi5GLlVTRC5IAQAAAGjWWAYCAAAACTkyMC4yOTg2NAEOAAAABQAAAAIxMQEAAAABMAIAAAAKMTAwMTU4MDM1NQMAAAAGMTAwMTgwBAAAAAEyBgAAAAEwBwAAAAMxNjAIAAAAATAJAAAAATEKAAAAATALAAAACzEwOTY3MjE1NjM0DAAAAAE3DQAAAAg4LzEvMjAxOBAAAAAJNy8zMS8yMDE4nAvVOAgJ1ggkwppvNAnWCDlDSVEuT1RDUEs6TldCTy5JUV9FQklUREFfRVNULkNZMjAxOS43</t>
  </si>
  <si>
    <t>LzE2LzIwMTguQ09OLkYuVVNELkgBAAAAo3oUAAMAAAAAACkclBA1CdYIczlgEjUJ1gg9Q0lRLk5BU0RBUUdNOkNSVlMuSVFfUkVWRU5VRV9FU1QuQ1kyMDE4LjcvMzEvMjAxOC5DT04uRi5VU0QuSAEAAAD0sKYQAgAAAAEwAQ4AAAAFAAAAAjExAQAAAAEwAgAAAAoxMDAzMzcwMzU0AwAAAAYxMDAxODAEAAAAATIGAAAAATAHAAAAAzE2MAgAAAABMAkAAAABMQoAAAABMAsAAAALMTA5NTU0NjE4ODkMAAAAATcNAAAACDgvMS8yMDE4EAAAAAk3LzMxLzIwMTjWjBE4CAnWCBnpoW80CdYILkNJUS5OQVNEQVFHTTpJTU1VLklRX01BUktFVENBUC43LzMxLzIwMTguVVNELkgBAAAAIEMEAAIAAAALNDMxOC4wNzY2MzMBBgAAAAUAAAABMQEAAAAKMTg4ODUyMjQ0MwMAAAADMTYwAgAAAAYxMDAwNTQEAAAAATAHAAAACTcvMzEvMjAxOJwL1TgICdYI1F+YbzQJ1ggsQ0lRLklRVFI0MDc3NjA2OTIuSVFfVFJfVE9UQUxfR1JPU1NfVFYuVVNELkgFAAAAAAAAAAgAAAAaKEludmFsaWQgQ3VycmVuY3kgUmVxdWVzdCkMbRAONQnWCAw+hQ41CdYIL0NJUS4uSVFfRUFSTklOR19DTy5DWTIwMTcuNy8zMS8yMDE4LkxGUi5GLlVTRC5IBQAAAAEAAAAIAAAAFChJbnZhbGlkIElkZW50aWZpZXIp9YQyRzQJ1gj1hDJHNAnWCDtDSVEuTkFTREFRR1M6R1RIWC5JUV9QUkVGX0VRVUlUWS4yMDAwLjcvMzEvMjAxOC5MRlIuRi5VU0Qu</t>
  </si>
  <si>
    <t>SAEAAABlNGkIAwAAAAAAnAvVOAgJ1ggkwppvNAnWCCxDSVEuTkFTREFRR1M6Sk5DRS5JUV9MQVNUU0FMRVBSSUNFLjkvMTUvMjAxNwEAAADieZ4NAgAAAAUxNS4yOQDep34QNQnWCJgSWRI1CdYIPENJUS5OQVNEQVFHTTpOTE5LLklRX0VCSVREQV9FU1QuQ1kyMDE4LjcvMTYvMjAxOC5DT04uRi5VU0QuSAEAAACVe4wAAgAAAAktNjkuNzkyMTEBDgAAAAUAAAACMTEBAAAAATACAAAACjEwMDE0MjUwODcDAAAABjEwMDE4NwQAAAABMgYAAAABMAcAAAADMTYwCAAAAAEwCQAAAAExCgAAAAEwCwAAAAsxMDg2NDI5OTg1MgwAAAABNw0AAAAJNy8xNy8yMDE4EAAAAAk3LzE2LzIwMTgpHJQQNQnWCOR0WxI1CdYIQ0NJUS4oSU5WQUxJRCBJREVOVElGSUVSKS5JUV9FQklUREFfRVNULkNZMjAxOC43LzMxLzIwMTguQ09OLkYuVVNELkgFAAAAAAAAAAgAAAAUKEludmFsaWQgSWRlbnRpZmllcinIMLI3CAnWCO02sG80CdYILENJUS5JUVRSNTQyODA2Njg2LklRX1RSX1RBUkdFVF9FQklUREEuLlVTRC5IAQAAAJ6SWiACAAAAAACys0lvNAnWCIH9lW80CdYIKkNJUS5JUVRSNDI0MzQyMDQ2LklRX1RSX1RBUkdFVF9FQklULi5VU0QuSAEAAAAe8koZAgAAAAAADG0QDjUJ1gjA24IONQnWCC5DSVEuTkFTREFRR1M6QU5BQi5JUV9NQVJLRVRDQVAuOS8xNS8yMDE3LlVTRC5IAQAAACFMsgECAAAACjY1Mi4zODM0NjIBBgAA</t>
  </si>
  <si>
    <t>AAUAAAABMQEAAAAKMTg1MzAxODkxOAMAAAADMTYwAgAAAAYxMDAwNTQEAAAAATAHAAAACTkvMTUvMjAxN0adGRE1CdYIwptiEjUJ1ghGQ0lRLk5BU0RBUUdNOklNTVUuSVFfVE9UQUxfUkVWXzJZUl9BTk5fQ0FHUi4yMDAwLjcvMzEvMjAxOC5MRlIuRi5VU0QuSAEAAAAgQwQAAgAAAAgtMjguMzM5NwEIAAAABQAAAAExAQAAAAoxODg4NTIzMzg0AwAAAAMxNjACAAAABDQyMDcEAAAAATAHAAAACTcvMzEvMjAxOAgAAAAJMy8zMS8yMDE4CQAAAAEwnAvVOAgJ1gjUX5hvNAnWCDxDSVEuTkFTREFRR1M6R1RIWC5JUV9HUk9TU19NQVJHSU4uMjAwMC43LzMxLzIwMTguTEZSLkYuVVNELkgBAAAAZTRpCAMAAAAAAJwL1TgICdYIJMKabzQJ1ghAQ0lRLk9UQ1BLOk5XQk8uSVFfTUlOT1JJVFlfSU5URVJFU1RfVE9UQUwuLjcvMTYvMjAxOC5MRlIuRi5VU0QuSAEAAACjehQAAwAAAAAAKRyUEDUJ1ghzOWASNQnWCEZDSVEuTkFTREFRQ006WklPUC5JUV9UT1RBTF9SRVZfNVlSX0FOTl9DQUdSLjIwMDAuNy8zMS8yMDE4LkxGUi5GLlVTRC5IAQAAALNRsgACAAAABzQzLjkxMDQBCAAAAAUAAAABMQEAAAAKMTg4Nzk3MjM1OQMAAAADMTYwAgAAAAQ0MjMzBAAAAAEwBwAAAAk3LzMxLzIwMTgIAAAACTMvMzEvMjAxOAkAAAABMNaMETgICdYIw4afbzQJ1gg6Q0lRLk5BU0RBUUNNOk1URU0uSVFfUFJFRl9FUVVJVFkuMjAw</t>
  </si>
  <si>
    <t>MC41LzUvMjAxNy5MRlIuRi5VU0QuSAEAAACZm6kBAwAAAAAAyDCyNwgJ1ggZ6aFvNAnWCCNDSVEuSVFUUjU0MjgwNjY4Ni5JUV9UUl9DTE9TRURfREFURQEAAACeklogBQAAAAkxMS8zLzIwMTcAsrNJbzQJ1giB/ZVvNAnWCD5DSVEuTkFTREFRR1M6RlBSWC5JUV9DQVNIX1NUX0lOVkVTVC4yMDAwLjcvMzEvMjAxOC5MRlIuRi5VU0QuSAEAAAA3XTMAAgAAAAczODkuNDI2AQgAAAAFAAAAATEBAAAACjE4ODc0MDIyMjcDAAAAAzE2MAIAAAAEMTAwMgQAAAABMAcAAAAJNy8zMS8yMDE4CAAAAAkzLzMxLzIwMTgJAAAAATDWjBE4CAnWCBnpoW80CdYILENJUS5JUVRSNDA4NDA3ODIyLklRX1RSX1RPVEFMX0dST1NTX1RWLlVTRC5IBQAAAAAAAAAIAAAAGihJbnZhbGlkIEN1cnJlbmN5IFJlcXVlc3QpSVNHbzQJ1giB/ZVvNAnWCCZDSVEuJVVTUE1SVC5JUV9MQVNUU0FMRVBSSUNFLjcvMzEvMjAxOAEAAABZ7VoAAgAAAAE1AElTR280CdYIgf2VbzQJ1gg9Q0lRLk5BU0RBUUdTOkpOQ0UuSVFfUkVWRU5VRV9FU1QuQ1kyMDIwLjcvMTYvMjAxOC5DT04uRi5VU0QuSAEAAADieZ4NAgAAAAcxMDYuMzExAQ4AAAAFAAAAAjExAQAAAAEwAgAAAAoxMDAzNjI5MjYwAwAAAAYxMDAxODAEAAAAATIGAAAAATAHAAAAAzE2MAgAAAABMAkAAAABMQoAAAABMAsAAAALMTA5NDU1NzAyOTIMAAAAATcNAAAACTcvMTcvMjAxOBAA</t>
  </si>
  <si>
    <t>AAAJNy8xNi8yMDE4KRyUEDUJ1giYElkSNQnWCCxDSVEuSVFUUjMwMjg2NjYyNy5JUV9UUl9UQVJHRVRfRUJJVERBLi5VU0QuSAEAAADDYA0SAgAAAAAAWM8SDjUJ1ggMPoUONQnWCDxDSVEuTkFTREFRR1M6QVROWC5JUV9UT1RBTF9FUVVJVFkuMTk5Mi43LzMxLzIwMTguTEZSLkYuVVNELkgBAAAA3JlrAQIAAAAGMjcuODM1AQgAAAAFAAAAATEBAAAACjE4NDI0OTAyNzMDAAAAAzE2MAIAAAAEMTI3NQQAAAABMAcAAAAJNy8zMS8yMDE4CAAAAAoxMi8zMS8yMDE0CQAAAAEw1owROAgJ1ggkwppvNAnWCB1DSVEuTkFTREFRR1M6QkdORS5JUV9FWENIQU5HRQEAAADg5N0GAwAAAAhOYXNkYXFHUwCcC9U4CAnWCKgCig41CdYINkNJUS5OQVNEQVFHTTpDUklTLklRX0VCSVREQS4xOTk2LjcvMzEvMjAxOC5MRlIuRi5VU0QuSAEAAAAXagAAAgAAAActNDYuMDgyAQgAAAAFAAAAATEBAAAACjE4ODYyNDczOTUDAAAAAzE2MAIAAAAENDA1MQQAAAABMAcAAAAJNy8zMS8yMDE4CAAAAAkzLzMxLzIwMTcJAAAAATDIMLI3CAnWCN1LpG80CdYINUNJUS5OQVNEQVFHUzpDQUxBLklRX0NBUEVYLjIwMDAuNy8zMS8yMDE4LkxGUi5GLlVTRC5IAQAAAKUngQYCAAAABi0xLjIwNQEIAAAABQAAAAExAQAAAAoxODg3OTgwMzA1AwAAAAMxNjACAAAABDIwMjEEAAAAATAHAAAACTcvMzEvMjAxOAgAAAAJMy8zMS8yMDE4CQAAAAEw</t>
  </si>
  <si>
    <t>yDCyNwgJ1gjdS6RvNAnWCD1DSVEuTkFTREFRR1M6RVBaTS5JUV9DQVNIX1NUX0lOVkVTVC4yMDAwLjUvNS8yMDE3LkxGUi5GLlVTRC5IAQAAAAMmPQMCAAAABzI0Mi4xOTIBCAAAAAUAAAABMQEAAAAKMTgzMTcyODc2MAMAAAADMTYwAgAAAAQxMDAyBAAAAAEwBwAAAAg1LzUvMjAxNwgAAAAKMTIvMzEvMjAxNgkAAAABMNaMETgICdYIcySdbzQJ1ggwQ0lRLk5BU0RBUUdNOkFSUlkuSVFfTEFTVFNBTEVQUklDRS43LzMxLzIwMTguVVNEAQAAAPhhAAACAAAABTE1LjM5AJwL1TgICdYI1F+YbzQJ1gg+Q0lRLk5BU0RBUUdTOlBCWUkuSVFfVE9UQUxfRVFVSVRZLkNZMjAxNi43LzE2LzIwMTguTEZSLkYuVVNELkgBAAAAAmqsBwIAAAAHMjA5LjgyNAEIAAAABQAAAAExAQAAAAoxODc4MDYzMzMwAwAAAAMxNjACAAAABDEyNzUEAAAAATAHAAAACTcvMTYvMjAxOAgAAAAKMTIvMzEvMjAxNgkAAAABMMT/GxE1CdYIEv5kEjUJ1gg9Q0lRLk5BU0RBUUdNOkFGTUQuSVFfUkVWRU5VRV9FU1QuQ1kyMDE5LjcvMTYvMjAxOC5DT04uRi5VU0QuSAEAAADb9wwAAgAAABAyLjQ1NDAyMTc3ODA4MjIyAQ4AAAAFAAAAAjExAQAAAAEwAgAAAAoxMDAyODg0MDEwAwAAAAYxMDAxODAEAAAAATMGAAAAATAHAAAAAzE2MAgAAAABMAkAAAABMQoAAAABMAsAAAALMTEwMjYyODMzMDMMAAAAATcNAAAACTcvMTcvMjAxOBAAAAAJNy8x</t>
  </si>
  <si>
    <t>Ni8yMDE4KRyUEDUJ1ggw110SNQnWCEFDSVEuTkFTREFRR1M6TksuSVFfRUJJVERBXzVZUl9BTk5fQ0FHUi4yMDAwLjcvMzEvMjAxOC5MRlIuRi5VU0QuSAEAAAANfaEPAwAAAAAA1owROAgJ1ggZ6aFvNAnWCChDSVEuLklRX0NBUEVYLjE5OTYuNy8zMS8yMDE4LkxGUi5GLlVTRC5IBQAAAAEAAAAIAAAAFChJbnZhbGlkIElkZW50aWZpZXIp9YQyRzQJ1gj1hDJHNAnWCB5DSVEuSVEzNjE4Mzg0MC5JUV9DT01QQU5ZX05BTUUBAAAAIB8oAgMAAAAyVW5pdGVkIFN0YXRlcyBUcmVhc3VyeSBDb25zdGFudCBNYXR1cml0eSAtIDIwIFllYXIADG0QDjUJ1gh3eYAONQnWCClDSVEuSVEzNjE4MzgzMS5JUV9MQVNUU0FMRVBSSUNFLjcvMzEvMjAxOAEAAAAXHygCAgAAAAQyLjg1AElTR280CdYIgf2VbzQJ1ggsQ0lRLklRVFIzMjE4NjUyOTcuSVFfVFJfVEFSR0VUX0VCSVREQS4uVVNELkgBAAAAUUYvEwIAAAAAAFjPEg41CdYIDD6FDjUJ1ghDQ0lRLk5BU0RBUUdTOkZQUlguSVFfRUJJVERBXzVZUl9BTk5fQ0FHUi4yMDAwLjcvMzEvMjAxOC5MRlIuRi5VU0QuSAEAAAA3XTMAAwAAAAJOTQEIAAAABQAAAAExAQAAAAoxODg3NDAyMjI3AwAAAAMxNjACAAAABDQyMzUEAAAAATAHAAAACTcvMzEvMjAxOAgAAAAJMy8zMS8yMDE4CQAAAAEwyDCyNwgJ1ggZ6aFvNAnWCCFDSVEuSVFUUjQwODQwNzgyMi5JUV9UUl9CVVlF</t>
  </si>
  <si>
    <t>Uk5BTUUBAAAADs9XGAMAAAARTWVkaXZpciBBQiAocHVibCkAsrNJbzQJ1giB/ZVvNAnWCD1DSVEuTkFTREFRQ006WklPUC5JUV9SRVZFTlVFX0VTVC5DWTIwMTkuNy8zMS8yMDE4LkNPTi5GLlVTRC5IAQAAALNRsgACAAAABDYuMjYBDgAAAAUAAAACMTEBAAAAATACAAAACjEwMDA4OTgwNzUDAAAABjEwMDE4MAQAAAABMgYAAAABMAcAAAADMTYwCAAAAAEwCQAAAAExCgAAAAEwCwAAAAsxMDkzMTUzMzY2NQwAAAABNw0AAAAIOC8xLzIwMTgQAAAACTcvMzEvMjAxONaMETgICdYIw4afbzQJ1gglQ0lRLjAuSVFfVFJfVEFSR0VUX1JFVkVOVUVfRVNULi5VU0QuSAUAAAAAAAAACAAAABgoSW52YWxpZCBUcmFuc2FjdGlvbiBJZClJU0dvNAnWCAfi8IE0CdYIJUNJUS5JUVRSNDI0MzQyMDQ2LklRX1BSSU1BUllfSU5EVVNUUlkBAAAAAbgGDwMAAAAPUGhhcm1hY2V1dGljYWxzAAxtEA41CdYIwNuCDjUJ1ggvQ0lRLklRVFI1NjE2MDYzNjUuSVFfVFJfVEFSR0VUX1RPVEFMX1JFVi4uVVNELkgBAAAA3W55IQIAAAAAALKzSW80CdYINZuTbzQJ1gg/Q0lRLk5BU0RBUUdTOktVUkEuSVFfTkVUX1dPUktJTkdfQ0FQLjIwMDAuNy8zMS8yMDE4LkxGUi5GLlVTRC5IAQAAALjL2hACAAAABi02Ljg5NgEIAAAABQAAAAExAQAAAAoxODg3MzgyOTM3AwAAAAMxNjACAAAABDEzMTEEAAAAATAHAAAACTcvMzEvMjAxOAgAAAAJ</t>
  </si>
  <si>
    <t>My8zMS8yMDE4CQAAAAEw1owROAgJ1ghzJJ1vNAnWCD1DSVEuTkFTREFRR1M6UEJZSS5JUV9SRVZFTlVFX0VTVC5DWTIwMjAuNy8xNi8yMDE4LkNPTi5GLlVTRC5IAQAAAAJqrAcCAAAABTgzNy43AQ4AAAAFAAAAAjExAQAAAAEwAgAAAAoxMDAxNTEzMDg0AwAAAAYxMDAxODAEAAAAATIGAAAAATAHAAAAAzE2MAgAAAABMAkAAAABMQoAAAABMAsAAAALMTA5NTEyNDA1MTYMAAAAATcNAAAACTcvMTcvMjAxOBAAAAAJNy8xNi8yMDE4xP8bETUJ1ggS/mQSNQnWCEJDSVEuTkFTREFRR1M6VFNSTy5JUV9UT1RBTF9SRVZfM1lSX0FOTl9DQUdSLi43LzE2LzIwMTguTEZSLkYuVVNELkgBAAAAaNZYBgMAAAAAAMT/GxE1CdYIEv5kEjUJ1gg9Q0lRLk5BU0RBUUdTOlBCWUkuSVFfUkVWRU5VRV9FU1QuQ1kyMDIxLjcvMTYvMjAxOC5DT04uRi5VU0QuSAEAAAACaqwHAgAAAAcxMjA2LjY1AQ4AAAAFAAAAAjExAQAAAAEwAgAAAAoxMDAxNTE1MzczAwAAAAYxMDAxODAEAAAAATIGAAAAATAHAAAAAzE2MAgAAAABMAkAAAABMQoAAAABMAsAAAALMTA5NTEyNDAzNTQMAAAAATcNAAAACTcvMTcvMjAxOBAAAAAJNy8xNi8yMDE4xP8bETUJ1ggS/mQSNQnWCDlDSVEuTkFTREFRR1M6RlBSWC5JUV9UT1RBTF9SRVYuMTk5Mi43LzMxLzIwMTguTEZSLkYuVVNELkgBAAAAN10zAAIAAAAHMzgyLjAzNAEIAAAABQAAAAExAQAAAAox</t>
  </si>
  <si>
    <t>ODQwNTY1Nzk0AwAAAAMxNjACAAAAAjI4BAAAAAEwBwAAAAk3LzMxLzIwMTgIAAAACTMvMzEvMjAxNgkAAAABMNaMETgICdYIGemhbzQJ1ggtQ0lRLk5BU0RBUUdTOkdUSFguSVFfRElWSURFTkRfWUlFTEQuNy8zMS8yMDE4AQAAAGU0aQgDAAAAAACcC9U4CAnWCCTCmm80CdYILUNJUS5OQVNEQVFHTTpJTU1VLklRX0RJVklERU5EX1lJRUxELjcvMzEvMjAxOAEAAAAgQwQAAwAAAAAAnAvVOAgJ1gjUX5hvNAnWCDhDSVEuTkFTREFRR1M6R1RIWC5JUV9FQklUREEuQ1kyMDE3LjcvMzEvMjAxOC5MRlIuRi5VU0QuSAEAAABlNGkIAgAAAActNjAuODc5AQgAAAAFAAAAATEBAAAACjE4NzUzMjczMDYDAAAAAzE2MAIAAAAENDA1MQQAAAABMAcAAAAJNy8zMS8yMDE4CAAAAAoxMi8zMS8yMDE3CQAAAAEwnAvVOAgJ1ggkwppvNAnWCC9DSVEuSVFUUjMwNzg2Mzk4NC5JUV9UUl9UQVJHRVRfVE9UQUxfUkVWLi5VU0QuSAEAAACwoVkSAgAAAAAAWM8SDjUJ1gjA24IONQnWCDxDSVEuT1RDUEs6TUJWWC5JUV9FQklUREFfM1lSX0FOTl9DQUdSLi43LzE2LzIwMTguTEZSLkYuVVNELkgBAAAA2ESLAgMAAAACTk0BCAAAAAUAAAABMQEAAAAKMTg4MTIxMzI0NQMAAAADMTYwAgAAAAQ0MjIyBAAAAAEwBwAAAAk3LzE2LzIwMTgIAAAACjEyLzMxLzIwMTcJAAAAATDep34QNQnWCJgSWRI1CdYIQkNJUS5OQVNEQVFHTTpOTE5L</t>
  </si>
  <si>
    <t>LklRX1RPVEFMX1JFVl8zWVJfQU5OX0NBR1IuLjcvMTYvMjAxOC5MRlIuRi5VU0QuSAEAAACVe4wAAgAAAAgtNDQuNjUzMwEIAAAABQAAAAExAQAAAAoxODg4MzU0MjA3AwAAAAMxNjACAAAABDQyMjAEAAAAATAHAAAACTcvMTYvMjAxOAgAAAAJMy8zMS8yMDE4CQAAAAEwKRyUEDUJ1gjkdFsSNQnWCDZDSVEuWFRSQTpNT1IuSVFfRUJJVF9NQVJHSU4uMjAwMC43LzMxLzIwMTguTEZSLkYuVVNELkgBAAAA3xECAAIAAAAJLTEwNi4wMzkyAQgAAAAFAAAAATEBAAAACjE4ODYxNTE2NDgDAAAAAjUwAgAAAAQ0MDUzBAAAAAEwBwAAAAk3LzMxLzIwMTgIAAAACTMvMzEvMjAxOAkAAAABMJwL1TgICdYI1F+YbzQJ1ggjQ0lRLklRVFI1NjE2MDYzNjUuSVFfVFJfVE9UQUxfU1RPQ0sBAAAA3W55IQIAAAAAALKzSW80CdYINZuTbzQJ1ggvQ0lRLklRVFIyNDU4MzEwMDcuSVFfVFJfSU1QTElFRF9FVl9GSU5BTC4uVVNELkgBAAAAXxWnDgIAAAAKNzQ4LjE4MTYxNwCys0lvNAnWCIH9lW80CdYILENJUS5JUVRSNTYzOTE5MDQ5LklRX1RSX1RBUkdFVF9FQklUREEuLlVTRC5IAQAAAMm4nCECAAAABy01NS4xNzIBBgAAAAUAAAACMzcBAAAACjE4ODg5NzkwOTUCAAAABTIxNjc3AwAAAAMxNjAEAAAAATAHAAAACDEvMS8xOTAwDG0QDjUJ1gjA24IONQnWCDlDSVEuTkFTREFRR006Q1JWUy5JUV9UT1RBTF9SRVYuMjAwMC43</t>
  </si>
  <si>
    <t>LzMxLzIwMTguTEZSLkYuVVNELkgBAAAA9LCmEAMAAAAAANaMETgICdYIGemhbzQJ1gg5Q0lRLk5BU0RBUUdTOkpOQ0UuSVFfRUJJVERBX01BUkdJTi4uNy8xNi8yMDE4LkxGUi5GLlVTRC5IAQAAAOJ5ng0CAAAACC00NS4yOTgxAQgAAAAFAAAAATEBAAAACjE4ODgxODYzNzQDAAAAAzE2MAIAAAAENDA0NwQAAAABMAcAAAAJNy8xNi8yMDE4CAAAAAkzLzMxLzIwMTgJAAAAATApHJQQNQnWCJgSWRI1CdYINkNJUS5OQVNEQVFHUzpDVE1YLklRX1RPVEFMX0RFQlQuLjcvMTYvMjAxOC5MRlIuRi5VU0QuSAEAAADcOJsDAgAAAAEwAQgAAAAFAAAAATEBAAAACjE4ODc2NzUzMTYDAAAAAzE2MAIAAAAENDE3MwQAAAABMAcAAAAJNy8xNi8yMDE4CAAAAAkzLzMxLzIwMTgJAAAAATDE/xsRNQnWCMKbYhI1CdYIQkNJUS5OQVNEQVFHTTpYTkNSLklRX1RPVEFMX1JFVl8zWVJfQU5OX0NBR1IuLjcvMTYvMjAxOC5MRlIuRi5VU0QuSAEAAACmWgsAAgAAAAc1My45NTYxAQgAAAAFAAAAATEBAAAACjE4ODcxMjU4NTUDAAAAAzE2MAIAAAAENDIyMAQAAAABMAcAAAAJNy8xNi8yMDE4CAAAAAkzLzMxLzIwMTgJAAAAATDE/xsRNQnWCBL+ZBI1CdYIPUNJUS5BU1g6SU1VLklRX01JTk9SSVRZX0lOVEVSRVNUX1RPVEFMLi45LzE1LzIwMTcuTEZSLkYuVVNELkgBAAAAmJOpAAMAAAAAACkclBA1CdYIMNddEjUJ1ggsQ0lRLk5B</t>
  </si>
  <si>
    <t>U0RBUUdTOkFEWFMuSVFfTEFTVFNBTEVQUklDRS45LzE1LzIwMTcBAAAAnux4AAIAAAAENC44MQApHJQQNQnWCOR0WxI1CdYIOUNJUS5OQVNEQVFHTTpYTkNSLklRX0VCSVREQV9NQVJHSU4uLjcvMTYvMjAxOC5MRlIuRi5VU0QuSAEAAACmWgsAAgAAAAktMjAyLjEyMzQBCAAAAAUAAAABMQEAAAAKMTg4NzEyNTg1NQMAAAADMTYwAgAAAAQ0MDQ3BAAAAAEwBwAAAAk3LzE2LzIwMTgIAAAACTMvMzEvMjAxOAkAAAABMMT/GxE1CdYIEv5kEjUJ1gg2Q0lRLk5BU0RBUUdTOkJHTkUuSVFfVE9UQUxfREVCVC4uNy8xNi8yMDE4LkxGUi5GLlVTRC5IAQAAAODk3QYCAAAABzE3My42ODEBCAAAAAUAAAABMQEAAAAKMTg4NzY4ODU4OAMAAAADMTYwAgAAAAQ0MTczBAAAAAEwBwAAAAk3LzE2LzIwMTgIAAAACTMvMzEvMjAxOAkAAAABMMT/GxE1CdYIaGBnEjUJ1ggxQ0lRLk5BU0RBUUdTOk1SU04uSVFfREFfQ0YuLjcvMTYvMjAxOC5MRlIuRi5VU0QuSAEAAADmxRgAAgAAAAUwLjk3NwEIAAAABQAAAAExAQAAAAoxODg5MDk2NjUzAwAAAAMxNjACAAAABDIxNjAEAAAAATAHAAAACTcvMTYvMjAxOAgAAAAJMy8zMS8yMDE4CQAAAAEwKRyUEDUJ1ghzOWASNQnWCDBDSVEuSVFUUjQyMjg4NzcwMS5JUV9UUl9UQVJHRVRfRUJJVERBX0VTVC4uVVNELkgBAAAAFcE0GQIAAAAAAAxtEA41CdYIwNuCDjUJ1ggsQ0lRLklRVFI1</t>
  </si>
  <si>
    <t>MzM2Mzk1MDEuSVFfVFJfVE9UQUxfR1JPU1NfVFYuVVNELkgFAAAAAAAAAAgAAAAaKEludmFsaWQgQ3VycmVuY3kgUmVxdWVzdCkMbRAONQnWCMDbgg41CdYIOkNJUS5OQVNEQVFHUzpHVEhYLklRX0VBUk5JTkdfQ08uMTk5Mi43LzMxLzIwMTguTEZSLkYuVVNELkgBAAAAZTRpCAMAAAAAANaMETgICdYIJMKabzQJ1gg8Q0lRLk5BU0RBUUdTOkVQWk0uSVFfVE9UQUxfRVFVSVRZLjE5OTYuNy8zMS8yMDE4LkxGUi5GLlVTRC5IAQAAAAMmPQMCAAAABzE3NC41MjEBCAAAAAUAAAABMQEAAAAKMTg4NzI0NjA0OQMAAAADMTYwAgAAAAQxMjc1BAAAAAEwBwAAAAk3LzMxLzIwMTgIAAAACTMvMzEvMjAxNwkAAAABMNaMETgICdYIcySdbzQJ1ghHQ0lRLk5BU0RBUUdNOkNSVlMuSVFfTUlOT1JJVFlfSU5URVJFU1RfVE9UQUwuMjAwMC43LzMxLzIwMTguTEZSLkYuVVNELkgBAAAA9LCmEAMAAAAAANaMETgICdYIGemhbzQJ1gg6Q0lRLk5BU0RBUUdTOkFUTlguSVFfVE9UQUxfREVCVC4yMDAwLjcvMzEvMjAxOC5MRlIuRi5VU0QuSAEAAADcmWsBAgAAAAUxLjY2MwEIAAAABQAAAAExAQAAAAoxODg4NzAyOTgyAwAAAAMxNjACAAAABDQxNzMEAAAAATAHAAAACTcvMzEvMjAxOAgAAAAJMy8zMS8yMDE4CQAAAAEw1owROAgJ1ggkwppvNAnWCDtDSVEuTkFTREFRR1M6TksuSVFfQ0FTSF9TVF9JTlZFU1QuMjAwMC41LzUv</t>
  </si>
  <si>
    <t>MjAxNy5MRlIuRi5VU0QuSAEAAAANfaEPAgAAAAcxOTguOTIxAQgAAAAFAAAAATEBAAAACjE4MzE5ODc5MzcDAAAAAzE2MAIAAAAEMTAwMgQAAAABMAcAAAAINS81LzIwMTcIAAAACjEyLzMxLzIwMTYJAAAAATDWjBE4CAnWCBnpoW80CdYIMkNJUS5PVENQSzpOV0JPLklRX1RPVEFMX1JFVi4uNy8xNi8yMDE4LkxGUi5GLlVTRC5IAQAAAKN6FAACAAAAAzAuNAEIAAAABQAAAAExAQAAAAoxODg5MzAyODI0AwAAAAMxNjACAAAAAjI4BAAAAAEwBwAAAAk3LzE2LzIwMTgIAAAACTMvMzEvMjAxOAkAAAABMCkclBA1CdYIczlgEjUJ1ghGQ0lRLk5BU0RBUUNNOlpJT1AuSVFfVE9UQUxfUkVWXzJZUl9BTk5fQ0FHUi4yMDAwLjcvMzEvMjAxOC5MRlIuRi5VU0QuSAEAAACzUbIAAgAAAActOS40OTkxAQgAAAAFAAAAATEBAAAACjE4ODc5NzIzNTkDAAAAAzE2MAIAAAAENDIwNwQAAAABMAcAAAAJNy8zMS8yMDE4CAAAAAkzLzMxLzIwMTgJAAAAATDWjBE4CAnWCMOGn280CdYIP0NJUS5OQVNEQVFHUzpDVE1YLklRX0VCSVREQV8yWVJfQU5OX0NBR1IuLjcvMTYvMjAxOC5MRlIuRi5VU0QuSAEAAADcOJsDAwAAAAJOTQEIAAAABQAAAAExAQAAAAoxODg3Njc1MzE2AwAAAAMxNjACAAAABDQyMDkEAAAAATAHAAAACTcvMTYvMjAxOAgAAAAJMy8zMS8yMDE4CQAAAAEwxP8bETUJ1gjCm2ISNQnWCClDSVEuTkFTREFRR1M6</t>
  </si>
  <si>
    <t>TksuSVFfTEFTVFNBTEVQUklDRS41LzUvMjAxNwEAAAANfaEPAgAAAAQyLjkzANaMETgICdYIGemhbzQJ1gg2Q0lRLk5BU0RBUUNNOk1URU0uSVFfRUJJVERBLjE5OTYuNy8zMS8yMDE4LkxGUi5GLlVTRC5IAQAAAJmbqQECAAAACS05LjI1NzEyMgEIAAAABQAAAAExAQAAAAoxODg4NzMzMDAyAwAAAAMxNjACAAAABDQwNTEEAAAAATAHAAAACTcvMzEvMjAxOAgAAAAJMy8zMS8yMDE3CQAAAAEwyDCyNwgJ1ggZ6aFvNAnWCDJDSVEuTkFTREFRR1M6T1ZJRC5JUV9UT1RBTF9SRVYuMjAwMC4xMC8xOC8yMDE2Li4uLgEAAAAg0DcRAwAAAAAAsrNJbzQJ1gg1m5NvNAnWCDxDSVEuTkFTREFRR1M6RVBaTS5JUV9UT1RBTF9FUVVJVFkuMjAwMC43LzMxLzIwMTguTEZSLkYuVVNELkgBAAAAAyY9AwIAAAAHMjMxLjEzMgEIAAAABQAAAAExAQAAAAoxODg3MjQ2MDc3AwAAAAMxNjACAAAABDEyNzUEAAAAATAHAAAACTcvMzEvMjAxOAgAAAAJMy8zMS8yMDE4CQAAAAEw1owROAgJ1ghzJJ1vNAnWCDZDSVEuTkFTREFRR006SU1NVS5JUV9FQklUREEuMjAwMC43LzMxLzIwMTguTEZSLkYuVVNELkgBAAAAIEMEAAIAAAALLTEwNy4yNDQ5MTcBCAAAAAUAAAABMQEAAAAKMTg4ODUyMzM4NAMAAAADMTYwAgAAAAQ0MDUxBAAAAAEwBwAAAAk3LzMxLzIwMTgIAAAACTMvMzEvMjAxOAkAAAABMJwL1TgICdYI1F+YbzQJ1gg7Q0lR</t>
  </si>
  <si>
    <t>Lk5BU0RBUUdTOk1HTlguSVFfTkVUX1dPUktJTkdfQ0FQLi43LzE2LzIwMTguTEZSLkYuVVNELkgBAAAATysJAAIAAAAHLTM4Ljk5OAEIAAAABQAAAAExAQAAAAoxODg3MTE0OTQ1AwAAAAMxNjACAAAABDEzMTEEAAAAATAHAAAACTcvMTYvMjAxOAgAAAAJMy8zMS8yMDE4CQAAAAEwxP8bETUJ1gjCm2ISNQnWCCxDSVEuLklRX05JX01BUkdJTi4yMDAwLjcvMzEvMjAxOC5MRlIuRi5VU0QuSAUAAAABAAAACAAAABQoSW52YWxpZCBJZGVudGlmaWVyKZYkMEc0CdYIliQwRzQJ1gg3Q0lRLk5BU0RBUUdTOkZQUlguSVFfRUJJVF9NQVJHSU4uLjcvMTYvMjAxOC5MRlIuRi5VU0QuSAEAAAA3XTMAAgAAAAktMjI0LjQzNzgBCAAAAAUAAAABMQEAAAAKMTg4NzQwMjIyNwMAAAADMTYwAgAAAAQ0MDUzBAAAAAEwBwAAAAk3LzE2LzIwMTgIAAAACTMvMzEvMjAxOAkAAAABMCkclBA1CdYIczlgEjUJ1gglQ0lRLk5BU0RBUUdNOkNSSVMuSVFfRklSU1RQUklDSU5HREFURQEAAAAXagAABQAAAAg4LzEvMjAwMADIMLI3CAnWCN1LpG80CdYIK0NJUS5JUVRSNDEzOTUzNjYxLklRX1RSX0lNUExJRURfRVZfRUJJVF9GV0QBAAAAfW6sGAIAAAAAALKzSW80CdYIgf2VbzQJ1gghQ0lRLklRVFIyNDU4MzEwMDcuSVFfVFJfQlVZRVJOQU1FAQAAAF8Vpw4DAAAAFE90c3VrYSBBbWVyaWNhLCBJbmMuALKzSW80CdYIgf2VbzQJ1ggg</t>
  </si>
  <si>
    <t>Q0lRLklRVFI0MTE4NzEwODIuSVFfVFJfRUFSTk9VVFMBAAAAaqeMGAIAAAAEMTUwMAEGAAAABQAAAAI1NAEAAAAGMTAxNDAzAgAAAAk0MTE4NzEwODIDAAAACTQxMTg3MTI5MQQAAAADMTYwBgAAAAVGYWxzZbKzSW80CdYINZuTbzQJ1gg4Q0lRLk5BU0RBUUdNOk5MTksuSVFfVE9UQUxfRVFVSVRZLi43LzE2LzIwMTguTEZSLkYuVVNELkgBAAAAlXuMAAIAAAAHMTM3Ljk1NAEIAAAABQAAAAExAQAAAAoxODg4MzU0MjA3AwAAAAMxNjACAAAABDEyNzUEAAAAATAHAAAACTcvMTYvMjAxOAgAAAAJMy8zMS8yMDE4CQAAAAEwKRyUEDUJ1gjkdFsSNQnWCEJDSVEuTkFTREFRR1M6U0dFTi5JUV9UT1RBTF9SRVZfMllSX0FOTl9DQUdSLi43LzE2LzIwMTguTEZSLkYuVVNELkgBAAAAYYUAAAIAAAAGMTguNTA1AQgAAAAFAAAAATEBAAAACjE4ODQ4OTI4NTIDAAAAAzE2MAIAAAAENDIwNwQAAAABMAcAAAAJNy8xNi8yMDE4CAAAAAkzLzMxLzIwMTgJAAAAATDE/xsRNQnWCGhgZxI1CdYIIkNJUS5JUVRSMjUzOTU0NDczLklRX1RSX1RPVEFMX0NBU0gBAAAAqQkjDwIAAAAAALKzSW80CdYINZuTbzQJ1ggyQ0lRLk5BU0RBUUdNOlhOQ1IuSVFfRUJJVERBLi43LzE2LzIwMTguTEZSLkYuVVNELkgBAAAAploLAAIAAAAHLTY1LjEwNgEIAAAABQAAAAExAQAAAAoxODg3MTI1ODU1AwAAAAMxNjACAAAABDQwNTEEAAAAATAH</t>
  </si>
  <si>
    <t>AAAACTcvMTYvMjAxOAgAAAAJMy8zMS8yMDE4CQAAAAEwxP8bETUJ1ggS/mQSNQnWCDZDSVEuLklRX0VCSVREQV81WVJfQU5OX0NBR1IuMjAwMC43LzMxLzIwMTguTEZSLkYuVVNELkgFAAAAAQAAAAgAAAAUKEludmFsaWQgSWRlbnRpZmllcin1hDJHNAnWCPWEMkc0CdYIOUNJUS5OQVNEQVFHUzpFUFpNLklRX05JX01BUkdJTi4yMDAwLjcvMzEvMjAxOC5MRlIuRi5VU0QuSAEAAAADJj0DAwAAAAJOTQEIAAAABQAAAAExAQAAAAoxODg3MjQ2MDc3AwAAAAMxNjACAAAABDQwOTQEAAAAATAHAAAACTcvMzEvMjAxOAgAAAAJMy8zMS8yMDE4CQAAAAEw1owROAgJ1ghzJJ1vNAnWCDVDSVEuTkFTREFRR006SU1NVS5JUV9DQVBFWC4xOTkyLjcvMzEvMjAxOC5MRlIuRi5VU0QuSAEAAAAgQwQAAgAAAAgtMS43NzM2NgEIAAAABQAAAAExAQAAAAoxODQxMTcxMjI0AwAAAAMxNjACAAAABDIwMjEEAAAAATAHAAAACTcvMzEvMjAxOAgAAAAJMy8zMS8yMDE2CQAAAAEwnAvVOAgJ1gjUX5hvNAnWCDZDSVEuTkFTREFRR1M6QkdORS5JUV9UT1RBTF9ERUJULi45LzE1LzIwMTcuTEZSLkYuVVNELkgBAAAA4OTdBgIAAAAHMTUyLjcyOAEIAAAABQAAAAExAQAAAAoxODUyNzAwNTY0AwAAAAMxNjACAAAABDQxNzMEAAAAATAHAAAACTkvMTUvMjAxNwgAAAAJNi8zMC8yMDE3CQAAAAEwxP8bETUJ1ghoYGcSNQnWCCRDSVEuT1RD</t>
  </si>
  <si>
    <t>UEs6TldCTy5JUV9CRVRBXzVZUi43LzE2LzIwMTgBAAAAo3oUAAIAAAAQMS45ODc1Mjc3NDg4NjEzNAApHJQQNQnWCDDXXRI1CdYIO0NJUS5OQVNEQVFHUzpFUFpNLklRX0VCSVRfTUFSR0lOLjIwMDAuNy8zMS8yMDE4LkxGUi5GLlVTRC5IAQAAAAMmPQMDAAAAAk5NAQgAAAAFAAAAATEBAAAACjE4ODcyNDYwNzcDAAAAAzE2MAIAAAAENDA1MwQAAAABMAcAAAAJNy8zMS8yMDE4CAAAAAkzLzMxLzIwMTgJAAAAATDWjBE4CAnWCHMknW80CdYIPUNJUS5OQVNEQVFHTTpJTU1VLklRX1JFVkVOVUVfRVNULkNZMjAyMS43LzMxLzIwMTguQ09OLkYuVVNELkgBAAAAIEMEAAIAAAAINTIxLjcxNjcBDgAAAAUAAAACMTEBAAAAATACAAAACTcyODM3NTU5NQMAAAAGMTAwMTgwBAAAAAEyBgAAAAEwBwAAAAMxNjAIAAAAATAJAAAAATEKAAAAATALAAAACzEwOTgwMjY0NDAyDAAAAAE3DQAAAAg4LzEvMjAxOBAAAAAJNy8zMS8yMDE4nAvVOAgJ1gjUX5hvNAnWCCdDSVEuTkFTREFRR1M6RlBSWC5JUV9CRVRBXzFZUi43LzMxLzIwMTgBAAAAN10zAAIAAAARMC43MDU4MTc2MjAyODMyNzIA1owROAgJ1ggZ6aFvNAnWCDZDSVEuLklRX0VCSVREQV8yWVJfQU5OX0NBR1IuMjAwMC43LzMxLzIwMTguTEZSLkYuVVNELkgFAAAAAQAAAAgAAAAUKEludmFsaWQgSWRlbnRpZmllcin1hDJHNAnWCPWEMkc0CdYIN0NJUS5OQVNEQVFH</t>
  </si>
  <si>
    <t>TTpYTkNSLklRX1BSRUZfRVFVSVRZLi43LzE2LzIwMTguTEZSLkYuVVNELkgBAAAAploLAAMAAAAAAMT/GxE1CdYIEv5kEjUJ1gguQ0lRLk5BU0RBUUdTOktVUkEuSVFfTUFSS0VUQ0FQLjcvMzEvMjAxOC5VU0QuSAEAAAC4y9oQAgAAAAo3NTQuMzY0NDIzAQYAAAAFAAAAATEBAAAACjE4ODczODIyODEDAAAAAzE2MAIAAAAGMTAwMDU0BAAAAAEwBwAAAAk3LzMxLzIwMTjWjBE4CAnWCHMknW80CdYIPkNJUS5OQVNEQVFHTTpMUFRYLklRX1RPVEFMX0VRVUlUWS5DWTIwMTcuNy8xNi8yMDE4LkxGUi5GLlVTRC5IAQAAAAw2CQcCAAAABjExLjExNwEIAAAABQAAAAExAQAAAAoxODc1NTU5OTYzAwAAAAMxNjACAAAABDEyNzUEAAAAATAHAAAACTcvMTYvMjAxOAgAAAAKMTIvMzEvMjAxNwkAAAABMCkclBA1CdYIMNddEjUJ1ggeQ0lRLklRMzYxODM4MTkuSVFfQ09NUEFOWV9OQU1FAQAAAAsfKAIDAAAAMlVuaXRlZCBTdGF0ZXMgVHJlYXN1cnkgQ29uc3RhbnQgTWF0dXJpdHkgLSA2IE1vbnRoAAxtEA41CdYId3mADjUJ1gguQ0lRLklRVFI0MDc3NjA2OTIuSVFfVFJfVEFSR0VUX1NUT0NLUFJFTUlVTV8xVwEAAAA0700YAgAAAAAAWM8SDjUJ1ggMPoUONQnWCDxDSVEuTkFTREFRR006QVJRTC5JUV9FQVJOSU5HX0NPLkNZMjAxNi43LzMxLzIwMTguTEZSLkYuVVNELkgBAAAA9mEAAAIAAAAHLTIyLjcxOAEIAAAA</t>
  </si>
  <si>
    <t>BQAAAAExAQAAAAoxODc4NTA4Njk1AwAAAAMxNjACAAAAATcEAAAAATAHAAAACTcvMzEvMjAxOAgAAAAKMTIvMzEvMjAxNgkAAAABMNaMETgICdYIcySdbzQJ1gg2Q0lRLk5BU0RBUUdNOklNTVUuSVFfVE9UQUxfREVCVC4uOS8xNS8yMDE3LkxGUi5GLlVTRC5IAQAAACBDBAACAAAACTk4LjA4NDIxOQEIAAAABQAAAAExAQAAAAoxODU0MzgyMzE0AwAAAAMxNjACAAAABDQxNzMEAAAAATAHAAAACTkvMTUvMjAxNwgAAAAJNi8zMC8yMDE3CQAAAAEwxP8bETUJ1ggS/mQSNQnWCC5DSVEuKElOVkFMSUQgSURFTlRJRklFUikuSVFfQkVUQV81WVIuNy8xNi8yMDE4BQAAAAAAAAAIAAAAFChJbnZhbGlkIElkZW50aWZpZXIpIAqBEDUJ1giYElkSNQnWCEZDSVEuTkFTREFRR1M6VFNSTy5JUV9UT1RBTF9SRVZfM1lSX0FOTl9DQUdSLjIwMDAuNy8zMS8yMDE4LkxGUi5GLlVTRC5IAQAAAGjWWAYDAAAAAACcC9U4CAnWCCTCmm80CdYII0NJUS5JUVRSNDMxODQxNTgxLklRX1RSX1RPVEFMX1NUT0NLAQAAAC1hvRkCAAAAAAAMbRAONQnWCAw+hQ41CdYILkNJUS5OWVNFOkJIVk4uSVFfVE9UQUxfUkVWLjIwMDAuMTAvMTgvMjAxNi4uLi4BAAAA3GcgDwMAAAAAALKzSW80CdYINZuTbzQJ1gg/Q0lRLk5BU0RBUUdTOkJHTkUuSVFfTkVUX1dPUktJTkdfQ0FQLjE5OTYuNy8zMS8yMDE4LkxGUi5GLlVTRC5IAQAAAODk3QYC</t>
  </si>
  <si>
    <t>AAAABy0zOC44MTMBCAAAAAUAAAABMQEAAAAKMTg4NzY4ODU4MwMAAAADMTYwAgAAAAQxMzExBAAAAAEwBwAAAAk3LzMxLzIwMTgIAAAACTMvMzEvMjAxNwkAAAABMJwL1TgICdYIgf2VbzQJ1ggwQ0lRLklRVFI0MDk5NTE4ODYuSVFfVFJfVEFSR0VUX0VCSVREQV9FU1QuLlVTRC5IAQAAAI5ebxgCAAAAAAAMbRAONQnWCMDbgg41CdYISkNJUS4oSU5WQUxJRCBJREVOVElGSUVSKS5JUV9FQklUREFfNVlSX0FOTl9DQUdSLjIwMDAuNy8zMS8yMDE4LkxGUi5GLlVTRC5IBQAAAAAAAAAIAAAAFChJbnZhbGlkIElkZW50aWZpZXIpyDCyNwgJ1gg8mbJvNAnWCCpDSVEuSVFUUjQxMzk1MzY2MS5JUV9UUl9UQVJHRVRfRUJJVC4uVVNELkgBAAAAfW6sGAIAAAAGLTkuNzQyALKzSW80CdYIgf2VbzQJ1gglQ0lRLklRVFIzMjE4NjUyOTcuSVFfVFJfSU1QTElFRF9FUV9CVgEAAABRRi8TAgAAAAAAWM8SDjUJ1ggMPoUONQnWCDZDSVEuTkFTREFRR1M6VFNSTy5JUV9FQklUREEuMjAwMC43LzMxLzIwMTguTEZSLkYuVVNELkgBAAAAaNZYBgIAAAAILTQ3Ny4yOTcBCAAAAAUAAAABMQEAAAAKMTg4NjMzNzQ2NgMAAAADMTYwAgAAAAQ0MDUxBAAAAAEwBwAAAAk3LzMxLzIwMTgIAAAACTMvMzEvMjAxOAkAAAABMJwL1TgICdYIJMKabzQJ1ggpQ0lRLklRMzYxODM4MzQuSVFfTEFTVFNBTEVQUklDRS43LzE2LzIwMTgBAAAA</t>
  </si>
  <si>
    <t>Gh8oAgIAAAAEMi44MgAMbRAONQnWCAw+hQ41CdYIPENJUS5OQVNEQVFHUzpBVE5YLklRX0VBUk5JTkdfQ08uQ1kyMDE2LjcvMzEvMjAxOC5MRlIuRi5VU0QuSAEAAADcmWsBAgAAAActODcuOTA2AQgAAAAFAAAAATEBAAAACjE4Nzk5MDc2MTkDAAAAAzE2MAIAAAABNwQAAAABMAcAAAAJNy8zMS8yMDE4CAAAAAoxMi8zMS8yMDE2CQAAAAEw1owROAgJ1ggkwppvNAnWCB5DSVEuSVEzNjE4MzgzNy5JUV9DT01QQU5ZX05BTUUBAAAAHR8oAgMAAAAyVW5pdGVkIFN0YXRlcyBUcmVhc3VyeSBDb25zdGFudCBNYXR1cml0eSAtIDEwIFllYXIADG0QDjUJ1gh3eYAONQnWCCpDSVEuSVFUUjMyMTg2NTI5Ny5JUV9UUl9UQVJHRVRfRUJJVC4uVVNELkgBAAAAUUYvEwIAAAAAAFjPEg41CdYIDD6FDjUJ1ghGQ0lRLk5BU0RBUUdTOk1SU04uSVFfVE9UQUxfUkVWXzJZUl9BTk5fQ0FHUi4yMDAwLjcvMzEvMjAxOC5MRlIuRi5VU0QuSAEAAADmxRgAAwAAAAAA1owROAgJ1gjDhp9vNAnWCENDSVEuTkFTREFRR006QVJSWS5JUV9FQklUREFfNVlSX0FOTl9DQUdSLjIwMDAuNy8zMS8yMDE4LkxGUi5GLlVTRC5IAQAAAPhhAAADAAAAAk5NAQgAAAAFAAAAATEBAAAACjE4ODg0NzA2NzYDAAAAAzE2MAIAAAAENDIzNQQAAAABMAcAAAAJNy8zMS8yMDE4CAAAAAkzLzMxLzIwMTgJAAAAATCcC9U4CAnWCCTCmm80CdYIPENJUS5O</t>
  </si>
  <si>
    <t>QVNEQVFHUzpTR0VOLklRX0VCSVREQV9FU1QuQ1kyMDE5LjcvMTYvMjAxOC5DT04uRi5VU0QuSAEAAABhhQAAAgAAAAgtMTIxLjYyNwEOAAAABQAAAAIxMQEAAAABMAIAAAAKMTAwMDEyNDcyNwMAAAAGMTAwMTg3BAAAAAEyBgAAAAEwBwAAAAMxNjAIAAAAATAJAAAAATEKAAAAATALAAAACzEwODU3ODc0OTcyDAAAAAE3DQAAAAk3LzE3LzIwMTgQAAAACTcvMTYvMjAxOMT/GxE1CdYIaGBnEjUJ1ggmQ0lRLkFTWDpJTVUuSVFfTEFTVFNBTEVQUklDRS45LzE1LzIwMTcBAAAAmJOpAAIAAAAIMC4wMTI3OTkAKRyUEDUJ1ggw110SNQnWCCdDSVEuTkFTREFRR1M6Q0FMQS5JUV9QRVJJT0REQVRFX0lTLjEwMDABAAAApSeBBgUAAAAKMTIvMzEvMjAxNwDIMLI3CAnWCN1LpG80CdYIKUNJUS5JUVRSMzcxNzE1MTE5LklRX1RSX0lNUExJRURfRVFfTklfTFRNAQAAAC/sJxYCAAAAAABYzxIONQnWCMDbgg41CdYIRkNJUS5OQVNEQVFHTTpJTU1VLklRX1RPVEFMX1JFVl8zWVJfQU5OX0NBR1IuMjAwMC43LzMxLzIwMTguTEZSLkYuVVNELkgBAAAAIEMEAAIAAAAILTE4LjQzNDEBCAAAAAUAAAABMQEAAAAKMTg4ODUyMzM4NAMAAAADMTYwAgAAAAQ0MjIwBAAAAAEwBwAAAAk3LzMxLzIwMTgIAAAACTMvMzEvMjAxOAkAAAABMJwL1TgICdYI1F+YbzQJ1gg6Q0lRLk5BU0RBUUNNOlpJT1AuSVFfRUFSTklOR19DTy4xOTky</t>
  </si>
  <si>
    <t>LjcvMzEvMjAxOC5MRlIuRi5VU0QuSAEAAACzUbIAAgAAAActNTMuODc2AQgAAAAFAAAAATEBAAAACjE4MzkzNDEwNjcDAAAAAzE2MAIAAAABNwQAAAABMAcAAAAJNy8zMS8yMDE4CAAAAAkzLzMxLzIwMTYJAAAAATDWjBE4CAnWCMOGn280CdYIPENJUS5OQVNEQVFHTTpMUFRYLklRX0VBUk5JTkdfQ08uQ1kyMDE3LjcvMTYvMjAxOC5MRlIuRi5VU0QuSAEAAAAMNgkHAgAAAActMjkuNzI3AQgAAAAFAAAAATEBAAAACjE4NzU1NTk5NjMDAAAAAzE2MAIAAAABNwQAAAABMAcAAAAJNy8xNi8yMDE4CAAAAAoxMi8zMS8yMDE3CQAAAAEwKRyUEDUJ1ggw110SNQnWCENDSVEuTkFTREFRR1M6QVROWC5JUV9FQklUREFfNVlSX0FOTl9DQUdSLjIwMDAuNy8zMS8yMDE4LkxGUi5GLlVTRC5IAQAAANyZawEDAAAAAADWjBE4CAnWCCTCmm80CdYIKUNJUS4uSVFfRUJJVERBLjIwMDAuNy8zMS8yMDE4LkxGUi5GLlVTRC5IBQAAAAEAAAAIAAAAFChJbnZhbGlkIElkZW50aWZpZXIp9YQyRzQJ1gj1hDJHNAnWCDdDSVEuTkFTREFRR1M6VFNSTy5JUV9FQklUX01BUkdJTi4uNy8xNi8yMDE4LkxGUi5GLlVTRC5IAQAAAGjWWAYCAAAACS0xODAuODY1NQEIAAAABQAAAAExAQAAAAoxODg2MzM3NDY2AwAAAAMxNjACAAAABDQwNTMEAAAAATAHAAAACTcvMTYvMjAxOAgAAAAJMy8zMS8yMDE4CQAAAAEwxP8bETUJ1ggS/mQSNQnW</t>
  </si>
  <si>
    <t>CCxDSVEuTkFTREFRQ006QVZFTy5JUV9MQVNUU0FMRVBSSUNFLjkvMTUvMjAxNwEAAAD0Fh0AAgAAAAQzLjU1AEadGRE1CdYIczlgEjUJ1gg4Q0lRLk9UQ1BLOk1CVlguSVFfVE9UQUxfUkVWLkNZMjAxNy43LzE2LzIwMTguTEZSLkYuVVNELkgBAAAA2ESLAgMAAAAAAN6nfhA1CdYIaGBnEjUJ1gg/Q0lRLk5BU0RBUUNNOkFWRU8uSVFfRUJJVERBXzJZUl9BTk5fQ0FHUi4uNy8xNi8yMDE4LkxGUi5GLlVTRC5IAQAAAPQWHQADAAAAAADE/xsRNQnWCHM5YBI1CdYIN0NJUS5OQVNEQVFHTTpJTU1VLklRX1BFUklPRERBVEVfSVMuMjAwMC43LzMxLzIwMTguTEZSLkYBAAAAIEMEAAUAAAAJMy8zMS8yMDE4AJwL1TgICdYI1F+YbzQJ1ggvQ0lRLi5JUV9FQklUREFfRVNULkNZMjAxOC43LzMxLzIwMTguQ09OLkYuVVNELkgFAAAAAQAAAAgAAAAUKEludmFsaWQgSWRlbnRpZmllcin1hDJHNAnWCPWEMkc0CdYIPkNJUS4oSU5WQUxJRCBJREVOVElGSUVSKS5JUV9QRVJJT0REQVRFX0lTLjIwMDAuNy8zMS8yMDE4LkxGUi5GBQAAAAAAAAAIAAAAFChJbnZhbGlkIElkZW50aWZpZXIpyDCyNwgJ1gjtNrBvNAnWCCxDSVEuSVFUUjU1MTE2NjI5Mi5JUV9UUl9UQVJHRVRfRUJJVERBLi5VU0QuSAEAAABUIdogAgAAAActNTcuMTMzAQYAAAAFAAAAAjM3AQAAAAoxODc3NDc4MTk3AgAAAAUyMTY3NwMAAAADMTYwBAAAAAEw</t>
  </si>
  <si>
    <t>BwAAAAgxLzEvMTkwMAxtEA41CdYIwNuCDjUJ1ghDQ0lRLihJTlZBTElEIElERU5USUZJRVIpLklRX1RPVEFMX0VRVUlUWS4xOTkyLjcvMzEvMjAxOC5MRlIuRi5VU0QuSAUAAAAAAAAACAAAABQoSW52YWxpZCBJZGVudGlmaWVyKcgwsjcICdYI7TawbzQJ1gg4Q0lRLk5BU0RBUUNNOk1URU0uSVFfRUJJVERBLkNZMjAxNi43LzMxLzIwMTguTEZSLkYuVVNELkgBAAAAmZupAQIAAAAHLTEwLjU1NAEIAAAABQAAAAExAQAAAAoxODgxMTE4NzQ0AwAAAAMxNjACAAAABDQwNTEEAAAAATAHAAAACTcvMzEvMjAxOAgAAAAKMTIvMzEvMjAxNgkAAAABMMgwsjcICdYIGemhbzQJ1gg7Q0lRLk5BU0RBUUdTOlBCWUkuSVFfVE9UQUxfUkVWLkNZMjAxNi43LzE2LzIwMTguTEZSLkYuVVNELkgBAAAAAmqsBwMAAAAAAMT/GxE1CdYIEv5kEjUJ1gg4Q0lRLk5BU0RBUUdNOklNTVUuSVFfRUJJVERBLkNZMjAxNy43LzMxLzIwMTguTEZSLkYuVVNELkgBAAAAIEMEAAIAAAAKLTkxLjg3NjU5NAEIAAAABQAAAAExAQAAAAoxODczNDkzNTI4AwAAAAMxNjACAAAABDQwNTEEAAAAATAHAAAACTcvMzEvMjAxOAgAAAAKMTIvMzEvMjAxNwkAAAABMJwL1TgICdYI1F+YbzQJ1gg7Q0lRLk5BU0RBUUdTOkNBTEEuSVFfUFJFRl9FUVVJVFkuMjAwMC43LzMxLzIwMTguTEZSLkYuVVNELkgBAAAApSeBBgMAAAAAAMgwsjcICdYI3UukbzQJ</t>
  </si>
  <si>
    <t>1ggtQ0lRLk5BU0RBUUdTOkZQUlguSVFfRElWSURFTkRfWUlFTEQuNy8xNi8yMDE4AQAAADddMwADAAAAAAApHJQQNQnWCHM5YBI1CdYILENJUS5JUVRSMjUzOTU0NDczLklRX1RSX1RPVEFMX0dST1NTX1RWLlVTRC5IBQAAAAAAAAAIAAAAGihJbnZhbGlkIEN1cnJlbmN5IFJlcXVlc3QpSVNHbzQJ1gg1m5NvNAnWCEdDSVEuTkFTREFRR1M6QVROWC5JUV9NSU5PUklUWV9JTlRFUkVTVF9UT1RBTC4yMDAwLjcvMzEvMjAxOC5MRlIuRi5VU0QuSAEAAADcmWsBAgAAAAUwLjY0NAEIAAAABQAAAAExAQAAAAoxODg4NzAyOTgyAwAAAAMxNjACAAAABDEzMTIEAAAAATAHAAAACTcvMzEvMjAxOAgAAAAJMy8zMS8yMDE4CQAAAAEw1owROAgJ1ggkwppvNAnWCDVDSVEuTkFTREFRR1M6VFNSTy5JUV9EQV9DRi4yMDAwLjcvMzEvMjAxOC5MRlIuRi5VU0QuSAEAAABo1lgGAgAAAAYxMS4wMzEBCAAAAAUAAAABMQEAAAAKMTg4NjMzNzQ2NgMAAAADMTYwAgAAAAQyMTYwBAAAAAEwBwAAAAk3LzMxLzIwMTgIAAAACTMvMzEvMjAxOAkAAAABMJwL1TgICdYIJMKabzQJ1gg4Q0lRLk5BU0RBUUNNOlNSTkUuSVFfRUJJVERBLkNZMjAxNy43LzMxLzIwMTguTEZSLkYuVVNELkgBAAAASUOUAwIAAAAGNTkuMjUzAQgAAAAFAAAAATEBAAAACjE4Nzg2Nzc0NTYDAAAAAzE2MAIAAAAENDA1MQQAAAABMAcAAAAJNy8zMS8yMDE4CAAA</t>
  </si>
  <si>
    <t>AAoxMi8zMS8yMDE3CQAAAAEw1owROAgJ1ghzJJ1vNAnWCCRDSVEuRU5YVFBBOklQSC5JUV9CRVRBXzJZUi43LzE2LzIwMTgBAAAAmYAGAAIAAAAQMS4wOTU0OTQ2NjQ4ODI1MgApHJQQNQnWCHM5YBI1CdYIIUNJUS5JUVRSMjUzOTU0NDczLklRX1RSX0JVWUVSTkFNRQEAAACpCSMPAwAAAB1TdW5lc2lzIFBoYXJtYWNldXRpY2FscywgSW5jLgCys0lvNAnWCDWbk280CdYIO0NJUS5OQVNEQVFHUzpBTkFCLklRX1RPVEFMX1JFVi5DWTIwMTcuNy8xNi8yMDE4LkxGUi5GLlVTRC5IAQAAACFMsgECAAAAAjEwAQgAAAAFAAAAATEBAAAACjE4NzcwNjUyMzEDAAAAAzE2MAIAAAACMjgEAAAAATAHAAAACTcvMTYvMjAxOAgAAAAKMTIvMzEvMjAxNwkAAAABMMT/GxE1CdYIwptiEjUJ1ggnQ0lRLk5BU0RBUUdTOkVQWk0uSVFfQkVUQV8xWVIuNy8zMS8yMDE4AQAAAAMmPQMCAAAAEDEuMjE2MTc5MjQzNTk0ODIA1owROAgJ1ghzJJ1vNAnWCC5DSVEuTkFTREFRR006SU1NVS5JUV9NQVJLRVRDQVAuNy8xNi8yMDE4LlVTRC5IAQAAACBDBAACAAAACzQ1OTUuOTYzNzIxAQYAAAAFAAAAATEBAAAACjE4ODg1MjI0NDMDAAAAAzE2MAIAAAAGMTAwMDU0BAAAAAEwBwAAAAk3LzE2LzIwMThGnRkRNQnWCGhgZxI1CdYIOkNJUS5PVENQSzpNQlZYLklRX1JFVkVOVUVfRVNULkNZMjAyMS43LzE2LzIwMTguQ09OLkYuVVNELkgB</t>
  </si>
  <si>
    <t>AAAA2ESLAgMAAAAAAN6nfhA1CdYImBJZEjUJ1ghDQ0lRLk5BU0RBUUdNOklNTVUuSVFfRUJJVERBXzNZUl9BTk5fQ0FHUi4yMDAwLjcvMzEvMjAxOC5MRlIuRi5VU0QuSAEAAAAgQwQAAwAAAAJOTQEIAAAABQAAAAExAQAAAAoxODg4NTIzMzg0AwAAAAMxNjACAAAABDQyMjIEAAAAATAHAAAACTcvMzEvMjAxOAgAAAAJMy8zMS8yMDE4CQAAAAEwnAvVOAgJ1gjUX5hvNAnWCDZDSVEuTkFTREFRR1M6TksuSVFfRUJJVERBLkNZMjAxNy43LzMxLzIwMTguTEZSLkYuVVNELkgBAAAADX2hDwIAAAAHLTkzLjU1NAEIAAAABQAAAAExAQAAAAoxODc4MDEyNTk3AwAAAAMxNjACAAAABDQwNTEEAAAAATAHAAAACTcvMzEvMjAxOAgAAAAKMTIvMzEvMjAxNwkAAAABMNaMETgICdYIw4afbzQJ1gg/Q0lRLk5BU0RBUUdTOktVUkEuSVFfTkVUX1dPUktJTkdfQ0FQLjE5OTYuNy8zMS8yMDE4LkxGUi5GLlVTRC5IAQAAALjL2hACAAAABi0yLjY0MQEIAAAABQAAAAExAQAAAAoxODg3MzgyOTIyAwAAAAMxNjACAAAABDEzMTEEAAAAATAHAAAACTcvMzEvMjAxOAgAAAAJMy8zMS8yMDE3CQAAAAEw1owROAgJ1ghzJJ1vNAnWCDlDSVEuTkFTREFRQ006TVRFTS5JUV9UT1RBTF9SRVYuMjAwMC43LzMxLzIwMTguTEZSLkYuVVNELkgBAAAAmZupAQIAAAAFMS45OTIBCAAAAAUAAAABMQEAAAAKMTg4ODczMzAwNAMAAAADMTYwAgAA</t>
  </si>
  <si>
    <t>AAIyOAQAAAABMAcAAAAJNy8zMS8yMDE4CAAAAAkzLzMxLzIwMTgJAAAAATDIMLI3CAnWCBnpoW80CdYIPENJUS5OQVNEQVFHUzpKTkNFLklRX0VCSVREQV9FU1QuQ1kyMDIwLjcvMTYvMjAxOC5DT04uRi5VU0QuSAEAAADieZ4NAgAAAActMzguNDQ3AQ4AAAAFAAAAAjExAQAAAAEwAgAAAAoxMDAzNjI5MjYwAwAAAAYxMDAxODcEAAAAATIGAAAAATAHAAAAAzE2MAgAAAABMAkAAAABMQoAAAABMAsAAAALMTA4ODc0MTc0MjIMAAAAATcNAAAACTcvMTcvMjAxOBAAAAAJNy8xNi8yMDE4KRyUEDUJ1giYElkSNQnWCDtDSVEuTkFTREFRR1M6RlBSWC5JUV9QUkVGX0VRVUlUWS4yMDAwLjcvMzEvMjAxOC5MRlIuRi5VU0QuSAEAAAA3XTMAAwAAAAAA1owROAgJ1ggZ6aFvNAnWCC1DSVEuTkFTREFRQ006WklPUC5JUV9ESVZJREVORF9ZSUVMRC43LzMxLzIwMTgBAAAAs1GyAAMAAAAAANaMETgICdYIw4afbzQJ1gg4Q0lRLk5BU0RBUUNNOkNLUFQuSVFfR1JPU1NfTUFSR0lOLi43LzE2LzIwMTguTEZSLkYuVVNELkgBAAAAuFEWEQMAAAACTk0BCAAAAAUAAAABMQEAAAAKMTg4ODAwNzIyMwMAAAADMTYwAgAAAAQ0MDc0BAAAAAEwBwAAAAk3LzE2LzIwMTgIAAAACTMvMzEvMjAxOAkAAAABMCkclBA1CdYI5HRbEjUJ1ggnQ0lRLk5BU0RBUUNNOlNSTkUuSVFfQkVUQV81WVIuNy8zMS8yMDE4AQAAAElDlAMCAAAAEDIu</t>
  </si>
  <si>
    <t>MjM4NDQ2MDQ5MjkyODMA1owROAgJ1ghzJJ1vNAnWCD1DSVEuTkFTREFRR1M6TVJTTi5JUV9SRVZFTlVFX0VTVC5DWTIwMTguNy8zMS8yMDE4LkNPTi5GLlVTRC5IAQAAAObFGAACAAAABjE1LjM2OAEOAAAABQAAAAIxMQEAAAABMAIAAAAKMTAwMzgwMzI3NQMAAAAGMTAwMTgwBAAAAAEyBgAAAAEwBwAAAAMxNjAIAAAAATAJAAAAATEKAAAAATALAAAACzExMDQxNzkzMzY0DAAAAAE3DQAAAAg4LzEvMjAxOBAAAAAJNy8zMS8yMDE41owROAgJ1gjDhp9vNAnWCDhDSVEuTkFTREFRR1M6Q0FMQS5JUV9FQklUREEuQ1kyMDE2LjcvMzEvMjAxOC5MRlIuRi5VU0QuSAEAAAClJ4EGAgAAAActMzcuNzM3AQgAAAAFAAAAATEBAAAACjE4Nzc5NTU2MDEDAAAAAzE2MAIAAAAENDA1MQQAAAABMAcAAAAJNy8zMS8yMDE4CAAAAAoxMi8zMS8yMDE2CQAAAAEwyDCyNwgJ1gjdS6RvNAnWCDZDSVEuTkFTREFRR006WE5DUi5JUV9UT1RBTF9ERUJULi45LzE1LzIwMTcuTEZSLkYuVVNELkgBAAAAploLAAIAAAABMAEIAAAABQAAAAExAQAAAAoxODUyMjQyMzkwAwAAAAMxNjACAAAABDQxNzMEAAAAATAHAAAACTkvMTUvMjAxNwgAAAAJNi8zMC8yMDE3CQAAAAEwxP8bETUJ1ggS/mQSNQnWCD5DSVEuTkFTREFRR006QVJRTC5JUV9UT1RBTF9FUVVJVFkuQ1kyMDE3LjcvMzEvMjAxOC5MRlIuRi5VU0QuSAEAAAD2YQAAAgAAAAYy</t>
  </si>
  <si>
    <t>NC41MzYBCAAAAAUAAAABMQEAAAAKMTg3ODUwODY5OAMAAAADMTYwAgAAAAQxMjc1BAAAAAEwBwAAAAk3LzMxLzIwMTgIAAAACjEyLzMxLzIwMTcJAAAAATDWjBE4CAnWCHMknW80CdYIPUNJUS5OQVNEQVFHUzpTR0VOLklRX1JFVkVOVUVfRVNULkNZMjAxOC43LzE2LzIwMTguQ09OLkYuVVNELkgBAAAAYYUAAAIAAAAJNTk2Ljc4ODg4AQ4AAAAFAAAAAjExAQAAAAEwAgAAAAoxMDAwMTI0NzI2AwAAAAYxMDAxODAEAAAAATIGAAAAATAHAAAAAzE2MAgAAAABMAkAAAABMQoAAAABMAsAAAALMTA5Njc2NDE1NzAMAAAAATcNAAAACTcvMTcvMjAxOBAAAAAJNy8xNi8yMDE4xP8bETUJ1ghoYGcSNQnWCEdDSVEuTkFTREFRR1M6R1RIWC5JUV9NSU5PUklUWV9JTlRFUkVTVF9UT1RBTC4yMDAwLjcvMzEvMjAxOC5MRlIuRi5VU0QuSAEAAABlNGkIAwAAAAAAnAvVOAgJ1ggkwppvNAnWCDZDSVEuTkFTREFRR1M6Sk5DRS5JUV9UT1RBTF9ERUJULi43LzE2LzIwMTguTEZSLkYuVVNELkgBAAAA4nmeDQIAAAABMAEIAAAABQAAAAExAQAAAAoxODg4MTg2Mzc0AwAAAAMxNjACAAAABDQxNzMEAAAAATAHAAAACTcvMTYvMjAxOAgAAAAJMy8zMS8yMDE4CQAAAAEwKRyUEDUJ1gjkdFsSNQnWCCdDSVEuTkFTREFRR1M6TksuSVFfQlVTSU5FU1NfREVTQ1JJUFRJT04BAAAADX2hDwMAAADiCE5hbnRLd2VzdCwgSW5jLiwgYSBj</t>
  </si>
  <si>
    <t>bGluaWNhbC1zdGFnZSBpbW11bm90aGVyYXB5IGJpb3RlY2hub2xvZ3kgY29tcGFueSwgZGV2ZWxvcHMgaW1tdW5vdGhlcmFwZXV0aWMgdHJlYXRtZW50cyBmb3IgY2FuY2VyLCBpbmZlY3Rpb3VzIGRpc2Vhc2VzLCBhbmQgaW5mbGFtbWF0b3J5IGRpc2Vhc2VzIGluIHRoZSBVbml0ZWQgU3RhdGVzLiBUaGUgY29tcGFueSBkZXZlbG9wcyBhY3RpdmF0ZWQgbmF0dXJhbCBraWxsZXIgY2VsbCwgYSBuYXR1cmFsIGtpbGxlciBjZWxsLWxpbmUgYW5kIGdlbmV0aWNhbGx5IG1vZGlmaWVkIGRlcml2YXRpdmUgY2FwYWJsZSBvZiBraWxsaW5nIGNhbmNlciBhbmQgdmlyYWxseSBpbmZlY3RlZCBjZWxsczsgYW5kIE5BTlQgY2FuY2VyIHZhY2NpbmUsIGEgcGVyc29uYWxpemVkIHRoZXJhcHkgdGhhdCB1dGlsaXplcyBpdHMgb2ZmLXRoZS1zaGVsZiBuYXR1cmFsIGtpbGxlciBjZWxscy4gSXQgaXMgYWxzbyBkZXZlbG9waW5nIGhpZ2gtYWZmaW5pdHkgbmF0dXJhbCBraWxsZXIgcHJvZHVjdCBjYW5kaWRhdGVzIHByaW1hcmlseSBmb3IgdGhlIHRyZWF0bWVudCBvZiB2YXJpb3VzIGNhbmNlcnM7IGFuZCB0YXJnZXQgYWN0aXZhdGVkIG5hdHVyYWwga2lsbGVyIHByb2R1Y3QgY2FuZGlkYXRlcyB0byB0cmVhdCBoZW1hdG9sb2dpY2FsIG1hbGlnbmFuY2llcyBhbmQgc29saWQgdHVtb3JzLiBOYW50S3dlc3QsIElu</t>
  </si>
  <si>
    <t>Yy4gaGFzIGEgY28tZGV2ZWxvcG1lbnQgYWdyZWVtZW50IHdpdGggQWx0b3IgQmlvIFNjaWVuY2UgQ29ycG9yYXRpb24gdG8gY29sbGFib3JhdGUgb24gdGhlIGRldmVsb3BtZW50IG9mIHRoZXJhcGV1dGljIGFwcGxpY2F0aW9ucyBjb21iaW5pbmcgdGhlIGNvbXBhbnnigJlzIHByb3ByaWV0YXJ5IG5hdHVyYWwga2lsbGVyIGNlbGxzIHdpdGggQWx0b3IncyBBTFQtODAxIGFuZC9vciBBTFQtODAzIHByb2R1Y3RzLiBUaGUgY29tcGFueSB3YXMgZm9ybWVybHkga25vd24gYXMgQ29ua3dlc3QsIEluYy4gYW5kIGNoYW5nZWQgaXRzIG5hbWUgdG8gTmFudEt3ZXN0LCBJbmMuIGluIEp1bHkgMjAxNS4gTmFudEt3ZXN0LCBJbmMuIHdhcyBmb3VuZGVkIGluIDIwMDIgYW5kIGlzIGhlYWRxdWFydGVyZWQgaW4gU2FuIERpZWdvLCBDYWxpZm9ybmlhLgDWjBE4CAnWCEVr+oE0CdYIOENJUS5OQVNEQVFHUzpDVE1YLklRX1RPVEFMX0VRVUlUWS4uNy8xNi8yMDE4LkxGUi5GLlVTRC5IAQAAANw4mwMCAAAABjQ5LjY0NwEIAAAABQAAAAExAQAAAAoxODg3Njc1MzE2AwAAAAMxNjACAAAABDEyNzUEAAAAATAHAAAACTcvMTYvMjAxOAgAAAAJMy8zMS8yMDE4CQAAAAEwxP8bETUJ1gjCm2ISNQnWCDhDSVEuTkFTREFRR1M6QkdORS5JUV9UT1RBTF9FUVVJVFkuLjcvMTYvMjAxOC5MRlIuRi5VU0QuSAEAAADg5N0GAgAA</t>
  </si>
  <si>
    <t>AAgxMzU4LjcyMgEIAAAABQAAAAExAQAAAAoxODg3Njg4NTg4AwAAAAMxNjACAAAABDEyNzUEAAAAATAHAAAACTcvMTYvMjAxOAgAAAAJMy8zMS8yMDE4CQAAAAEwxP8bETUJ1ghoYGcSNQnWCDFDSVEuTkFTREFRQ006Q0tQVC5JUV9EQV9DRi4uNy8xNi8yMDE4LkxGUi5GLlVTRC5IAQAAALhRFhEDAAAAAAApHJQQNQnWCDDXXRI1CdYIO0NJUS5OQVNEQVFHUzpOSy5JUV9SRVZFTlVFX0VTVC5DWTIwMTkuNy8zMS8yMDE4LkNPTi5GLlVTRC5IAQAAAA19oQ8CAAAABDAuMDYBDgAAAAUAAAACMTEBAAAAATACAAAACjEwMDMxNjQ4MDYDAAAABjEwMDE4MAQAAAABMgYAAAABMAcAAAADMTYwCAAAAAEwCQAAAAExCgAAAAEwCwAAAAsxMDg5MTM1MjgwOAwAAAABNw0AAAAIOC8xLzIwMTgQAAAACTcvMzEvMjAxONaMETgICdYIw4afbzQJ1ghGQ0lRLk5BU0RBUUdTOlRTUk8uSVFfVE9UQUxfUkVWXzJZUl9BTk5fQ0FHUi4yMDAwLjcvMzEvMjAxOC5MRlIuRi5VU0QuSAEAAABo1lgGAgAAAAkxOTkxLjg3MjgBCAAAAAUAAAABMQEAAAAKMTg4NjMzNzQ2NgMAAAADMTYwAgAAAAQ0MjA3BAAAAAEwBwAAAAk3LzMxLzIwMTgIAAAACTMvMzEvMjAxOAkAAAABMJwL1TgICdYIJMKabzQJ1ggxQ0lRLklRVFIzMjE4NjUyOTcuSVFfVFJfVEFSR0VUX1JFVkVOVUVfRVNULi5VU0QuSAEAAABRRi8TAgAAAAAAWM8SDjUJ1ggMPoUO</t>
  </si>
  <si>
    <t>NQnWCDJDSVEuTkFTREFRR1M6U0dFTi5JUV9UT1RBTF9SRVYuQ1kyMDE2Li5MRlIuRi5VU0QuSAEAAABhhQAAAgAAAAc0MTguMTQ3AQgAAAAFAAAAATEBAAAACjE4NzQ2OTYxOTYDAAAAAzE2MAIAAAACMjgEAAAAATAHAAAACTgvMjMvMjAxOAgAAAAKMTIvMzEvMjAxNgkAAAABMEadGRE1CdYIRp0ZETUJ1gg0Q0lRLk5BU0RBUUdTOlNHRU4uSVFfUkVWRU5VRV9FU1QuQ1kyMDE4Li5DT04uRi5VU0QuSAEAAABhhQAAAgAAAAk2NTIuNzE1NTIBDgAAAAUAAAACMTEBAAAAATACAAAACjEwMDAxMjQ3MjYDAAAABjEwMDE4MAQAAAABMgYAAAABMAcAAAADMTYwCAAAAAEwCQAAAAExCgAAAAEwCwAAAAsxMTA1MjE1MDY1OQwAAAABNw0AAAAJOC8yNC8yMDE4EAAAAAk4LzIzLzIwMTjE/xsRNQnWCMT/GxE1CdYINENJUS5PVENQSzpOV0JPLklRX0VCSVRfTUFSR0lOLi43LzE2LzIwMTguTEZSLkYuVVNELkgBAAAAo3oUAAMAAAACTk0BCAAAAAUAAAABMQEAAAAKMTg4OTMwMjgyNAMAAAADMTYwAgAAAAQ0MDUzBAAAAAEwBwAAAAk3LzE2LzIwMTgIAAAACTMvMzEvMjAxOAkAAAABMCkclBA1CdYIczlgEjUJ1ggnQ0lRLk5BU0RBUUdNOkNSSVMuSVFfQkVUQV81WVIuNy8zMS8yMDE4AQAAABdqAAACAAAAETAuOTc5NjYwNDYwMzg4NDI4AMgwsjcICdYI3UukbzQJ1gglQ0lRLklRVFI0MjQzNDIwNDYuSVFfVFJfTUFKX01J</t>
  </si>
  <si>
    <t>Tl9TVEFLRQEAAAAe8koZAwAAAAhNYWpvcml0eQAMbRAONQnWCMDbgg41CdYIL0NJUS5JUVRSMzEyMTIyNTA0LklRX1RSX0lNUExJRURfRVZfRklOQUwuLlVTRC5IAQAAAIicmhICAAAACTYwLjA5OTg4NgBYzxIONQnWCMDbgg41CdYIJ0NJUS5OQVNEQVFHUzpDQUxBLklRX0JFVEFfMllSLjcvMTYvMjAxOAEAAAClJ4EGAgAAABAxLjc3MTk2NjE3MDE4MDU3ACkclBA1CdYI5HRbEjUJ1gghQ0lRLk5BU0RBUUdTOkNBTEEuSVFfQ09NUEFOWV9OQU1FAQAAAKUngQYDAAAAG0NhbGl0aGVyYSBCaW9zY2llbmNlcywgSW5jLgDIMLI3CAnWCB8VnQ41CdYINkNJUS5OQVNEQVFHUzpCR05FLklRX05FVF9XT1JLSU5HX0NBUC4xOTk2Li5MRlIuRi5VU0QuSAEAAADg5N0GAgAAAActMzguNjkxAQgAAAAFAAAAATEBAAAACjE4OTk5MDA2MTgDAAAAAzE2MAIAAAAEMTMxMQQAAAABMAcAAAAJOC8yMy8yMDE4CAAAAAk2LzMwLzIwMTcJAAAAATCcC9U4CAnWCJwL1TgICdYIOkNJUS5OQVNEQVFHTTpDUklTLklRX0VBUk5JTkdfQ08uMjAwMC43LzMxLzIwMTguTEZSLkYuVVNELkgBAAAAF2oAAAIAAAAHLTQ4LjMyMgEIAAAABQAAAAExAQAAAAoxODg2MjQ3NDIwAwAAAAMxNjACAAAAATcEAAAAATAHAAAACTcvMzEvMjAxOAgAAAAJMy8zMS8yMDE4CQAAAAEwyDCyNwgJ1gjdS6RvNAnWCB1DSVEuQVNYOklNVS5JUV9QRVJJT0RE</t>
  </si>
  <si>
    <t>QVRFX0lTLgEAAACYk6kABQAAAAoxMi8zMS8yMDE3ACkclBA1CdYIMNddEjUJ1gg/Q0lRLk5BU0RBUUdNOkFSUUwuSVFfTkVUX1dPUktJTkdfQ0FQLjIwMDAuNy8zMS8yMDE4LkxGUi5GLlVTRC5IAQAAAPZhAAACAAAABi02LjM1NgEIAAAABQAAAAExAQAAAAoxODg4Nzg4NzcwAwAAAAMxNjACAAAABDEzMTEEAAAAATAHAAAACTcvMzEvMjAxOAgAAAAJMy8zMS8yMDE4CQAAAAEw1owROAgJ1ghzJJ1vNAnWCCRDSVEuT1RDUEs6TUJWWC5JUV9CRVRBXzFZUi43LzE2LzIwMTgBAAAA2ESLAgIAAAARMC45MDQ0NTczNjMzMzc0MTcAIAqBEDUJ1giYElkSNQnWCENDSVEuTkFTREFRR1M6Q1RNWC5JUV9NSU5PUklUWV9JTlRFUkVTVF9UT1RBTC4uOS8xNS8yMDE3LkxGUi5GLlVTRC5IAQAAANw4mwMDAAAAAADE/xsRNQnWCMKbYhI1CdYIPENJUS5BU1g6SU1VLklRX1RPVEFMX1JFVl8yWVJfQU5OX0NBR1IuLjcvMTYvMjAxOC5MRlIuRi5VU0QuSAEAAACYk6kAAgAAAAcxOS4zMDMyAQgAAAAFAAAAATEBAAAACjE4NzczMDUzMjADAAAAATkCAAAABDQyMDcEAAAAATAHAAAACTcvMTYvMjAxOAgAAAAKMTIvMzEvMjAxNwkAAAABMCkclBA1CdYIMNddEjUJ1gg1Q0lRLk5BU0RBUUNNOlpJT1AuSVFfQ0FQRVguMTk5Mi43LzMxLzIwMTguTEZSLkYuVVNELkgBAAAAs1GyAAIAAAAGLTAuNTUyAQgAAAAFAAAAATEBAAAACjE4</t>
  </si>
  <si>
    <t>MzkzNDEwNjcDAAAAAzE2MAIAAAAEMjAyMQQAAAABMAcAAAAJNy8zMS8yMDE4CAAAAAkzLzMxLzIwMTYJAAAAATDWjBE4CAnWCMOGn280CdYIP0NJUS5OQVNEQVFHUzpNUlNOLklRX0VCSVREQV8zWVJfQU5OX0NBR1IuLjcvMTYvMjAxOC5MRlIuRi5VU0QuSAEAAADmxRgAAwAAAAAAKRyUEDUJ1ghzOWASNQnWCCtDSVEuT1RDUEs6TUJWWC5JUV9NQVJLRVRDQVAuOS8xNS8yMDE3LlVTRC5IAQAAANhEiwICAAAACDcuODAxODA4AQYAAAAFAAAAATEBAAAACjE4NTQyNjU1NjcDAAAAAzE2MAIAAAAGMTAwMDU0BAAAAAEwBwAAAAk5LzE1LzIwMTfep34QNQnWCJgSWRI1CdYIM0NJUS5OQVNEQVFHUzpGUFJYLklRX1BFUklPRERBVEVfSVMuLjcvMTYvMjAxOC5MRlIuRgEAAAA3XTMABQAAAAkzLzMxLzIwMTgAKRyUEDUJ1ghzOWASNQnWCCFDSVEuSVFUUjMyMTg2NTI5Ny5JUV9UUl9CVVlFUk5BTUUBAAAAUUYvEwMAAAARTWVyY2sgJiBDby4sIEluYy4AWM8SDjUJ1ggMPoUONQnWCCNDSVEuSVFUUjQwMzc5MTc2Ny5JUV9UUl9DTE9TRURfREFURQEAAACXXxEYBQAAAAk5LzI3LzIwMTYAWM8SDjUJ1gjA24IONQnWCDBDSVEuSVFUUjI1Mzk1NDQ3My5JUV9UUl9UQVJHRVRfRUJJVERBX0VTVC4uVVNELkgBAAAAqQkjDwIAAAAAALKzSW80CdYINZuTbzQJ1gg4Q0lRLk5BU0RBUUdTOkZQUlguSVFfRUJJVERBLkNZMjAx</t>
  </si>
  <si>
    <t>Ni43LzE2LzIwMTguTEZSLkYuVVNELkgBAAAAN10zAAIAAAAGLTk3LjQ3AQgAAAAFAAAAATEBAAAACjE4NzYxMzU5ODgDAAAAAzE2MAIAAAAENDA1MQQAAAABMAcAAAAJNy8xNi8yMDE4CAAAAAoxMi8zMS8yMDE2CQAAAAEwKRyUEDUJ1ghzOWASNQnWCDJDSVEuTkFTREFRR006QUZNRC5JUV9FQklUREEuLjcvMTYvMjAxOC5MRlIuRi5VU0QuSAEAAADb9wwAAgAAAAotMzMuODkzMDY0AQgAAAAFAAAAATEBAAAACjE4ODk4NjYwNDkDAAAAAzE2MAIAAAAENDA1MQQAAAABMAcAAAAJNy8xNi8yMDE4CAAAAAkzLzMxLzIwMTgJAAAAATApHJQQNQnWCDDXXRI1CdYIKkNJUS5JUVRSNTMzNjM5NTAxLklRX1RSX1RBUkdFVF9FQklULi5VU0QuSAEAAABNsc4fAgAAAActMjMuNjA2AQYAAAAFAAAAAjM3AQAAAAoxODUzOTQ3OTE2AgAAAAUyMTY3NQMAAAADMTYwBAAAAAEwBwAAAAgxLzEvMTkwMAxtEA41CdYIwNuCDjUJ1gg1Q0lRLk9UQ1BLOk5XQk8uSVFfR1JPU1NfTUFSR0lOLi43LzE2LzIwMTguTEZSLkYuVVNELkgBAAAAo3oUAAMAAAACTk0BCAAAAAUAAAABMQEAAAAKMTg4OTMwMjgyNAMAAAADMTYwAgAAAAQ0MDc0BAAAAAEwBwAAAAk3LzE2LzIwMTgIAAAACTMvMzEvMjAxOAkAAAABMCkclBA1CdYIczlgEjUJ1gggQ0lRLklRNDI2ODE1NjAuSVFfQ09NUEFOWV9USUNLRVIBAAAA2ESLAgMAAAAKT1RDUEs6TUJW</t>
  </si>
  <si>
    <t>WAAMbRAONQnWCB8VnQ41CdYIPUNJUS5OQVNEQVFDTTpaSU9QLklRX1JFVkVOVUVfRVNULkNZMjAxOC43LzMxLzIwMTguQ09OLkYuVVNELkgBAAAAs1GyAAIAAAAFNC45NTkBDgAAAAUAAAACMTEBAAAAATACAAAACjEwMDA3Njg4MjQDAAAABjEwMDE4MAQAAAABMgYAAAABMAcAAAADMTYwCAAAAAEwCQAAAAExCgAAAAEwCwAAAAsxMDkzMTUzMzk0NAwAAAABNw0AAAAIOC8xLzIwMTgQAAAACTcvMzEvMjAxONaMETgICdYIw4afbzQJ1gg1Q0lRLk5BU0RBUUdTOkVQWk0uSVFfQ0FQRVguMTk5Ni43LzMxLzIwMTguTEZSLkYuVVNELkgBAAAAAyY9AwIAAAAGLTAuNjcyAQgAAAAFAAAAATEBAAAACjE4ODcyNDYwNDkDAAAAAzE2MAIAAAAEMjAyMQQAAAABMAcAAAAJNy8zMS8yMDE4CAAAAAkzLzMxLzIwMTcJAAAAATDWjBE4CAnWCHMknW80CdYIPkNJUS5OQVNEQVFHUzpKTkNFLklRX1RPVEFMX0VRVUlUWS5DWTIwMTcuNy8xNi8yMDE4LkxGUi5GLlVTRC5IAQAAAOJ5ng0CAAAABzE2Ny4xMDkBCAAAAAUAAAABMQEAAAAKMTg3NzcxNjYxMwMAAAADMTYwAgAAAAQxMjc1BAAAAAEwBwAAAAk3LzE2LzIwMTgIAAAACjEyLzMxLzIwMTcJAAAAATDep34QNQnWCJgSWRI1CdYILkNJUS5JUVRSNDIyODg3NzAxLklRX1RSX1RBUkdFVF9TVE9DS1BSRU1JVU1fMVcBAAAAFcE0GQIAAAAAAAxtEA41CdYIwNuCDjUJ1gg6Q0lR</t>
  </si>
  <si>
    <t>Lk5BU0RBUUdNOkNSSVMuSVFfVE9UQUxfREVCVC4yMDAwLjcvMzEvMjAxOC5MRlIuRi5VU0QuSAEAAAAXagAAAgAAAAYzOS43NDkBCAAAAAUAAAABMQEAAAAKMTg4NjI0NzQyMAMAAAADMTYwAgAAAAQ0MTczBAAAAAEwBwAAAAk3LzMxLzIwMTgIAAAACTMvMzEvMjAxOAkAAAABMMgwsjcICdYI3UukbzQJ1ggrQ0lRLk5BU0RBUUdTOkJHTkUuSVFfTEFTVFNBTEVQUklDRS41LzUvMjAxNwEAAADg5N0GAgAAAAQzOS4zAJwL1TgICdYIgf2VbzQJ1ggjQ0lRLkFTWDpJTVUuSVFfQlVTSU5FU1NfREVTQ1JJUFRJT04BAAAAmJOpAAMAAACEB0ltdWdlbmUgTGltaXRlZCwgYW4gaW1tdW5vLW9uY29sb2d5IGJpb3BoYXJtYWNldXRpY2FsIGNvbXBhbnksIGVuZ2FnZXMgaW4gZGV2ZWxvcGluZyBIRVIyICt2ZSBnYXN0cmljIGFuZCBicmVhc3QgY2FuY2VyIGltbXVub3RoZXJhcGllcyBpbiBBdXN0cmFsaWEuIEl0cyBsZWFkIHByb2R1Y3QgaXMgSEVSLVZheHgsIGEgcHJvcHJpZXRhcnkgSEVSMiArdmUgY2FuY2VyIHZhY2NpbmUgdGhhdCBzdGltdWxhdGVzIGEgcG9seWNsb25hbCBhbnRpYm9keSByZXNwb25zZSB0byBIRVIyL25ldS4gVGhlIGNvbXBhbnnigJlzIEhFUi1WYXh4IGlzIGEgY2FuY2VyIGltbXVub3RoZXJhcHkgZGVzaWduZWQgdG8gdHJlYXQgdHVtb3JzIHRoYXQgb3Zlci1leHByZXNzIHRoZSBIRVIt</t>
  </si>
  <si>
    <t>Mi9uZXUgcmVjZXB0b3IsIHN1Y2ggYXMgZ2FzdHJpYywgYnJlYXN0LCBvdmFyaWFuLCBsdW5nLCBhbmQgcGFuY3JlYXRpYyBjYW5jZXJzLiBJdHMgSEVSLVZheHggaGFzIGNvbXBsZXRlZCBhIFBoYXNlIEkgc3R1ZHkgdG8gdHJlYXQgYnJlYXN0IGNhbmNlciwgYXMgd2VsbCBhcyBpbiBQaGFzZSBJYi9JSSBzdHVkeSBmb3IgZ2FzdHJpYyBjYW5jZXIuIFRoZSBjb21wYW55IGlzIGFsc28gZGV2ZWxvcGluZyBtaW1vdG9wZS1iYXNlZCBpbW11bm90aGVyYXBpZXMgYWdhaW5zdCB2YWxpZGF0ZWQgYW5kIG90aGVyIG9uY29sb2d5IHRhcmdldHMuIEl0IGhhcyBhbiBhZ3JlZW1lbnQgd2l0aCB0aGUgQmFrZXIgSURJIEhlYXJ0ICYgRGlhYmV0ZXMgSW5zdGl0dXRlIHRvIHJlc2VhcmNoLCBkZXZlbG9wLCBhbmQgY29tbWVyY2lhbGl6ZSBhIHBvcnRmb2xpbyBvZiBzbWFsbCBtb2xlY3VsZSBhcmdpbmluZSBtb2R1bGF0b3JzIGZvciBvbmNvbG9neS4gVGhlIGNvbXBhbnkgaXMgYmFzZWQgaW4gQ2FybHRvbiwgQXVzdHJhbGlhLgApHJQQNQnWCDDXXRI1CdYIPENJUS5OQVNEQVFHTTpMUFRYLklRX0VCSVREQV9FU1QuQ1kyMDE4LjcvMTYvMjAxOC5DT04uRi5VU0QuSAEAAAAMNgkHAwAAAAAAKRyUEDUJ1ggw110SNQnWCC5DSVEuTkFTREFRR1M6VFNSTy5JUV9NQVJLRVRDQVAuNy8zMS8yMDE4LlVTRC5IAQAAAGjW</t>
  </si>
  <si>
    <t>WAYCAAAACzE5MDkuNTA0Njk5AQYAAAAFAAAAATEBAAAACjE4ODYzMzY1NzkDAAAAAzE2MAIAAAAGMTAwMDU0BAAAAAEwBwAAAAk3LzMxLzIwMTicC9U4CAnWCCTCmm80CdYIPkNJUS5OQVNEQVFHUzpGUFJYLklRX1RPVEFMX0VRVUlUWS5DWTIwMTYuNy8xNi8yMDE4LkxGUi5GLlVTRC5IAQAAADddMwACAAAABzM5MS41NzUBCAAAAAUAAAABMQEAAAAKMTg3NjEzNTk4OAMAAAADMTYwAgAAAAQxMjc1BAAAAAEwBwAAAAk3LzE2LzIwMTgIAAAACjEyLzMxLzIwMTYJAAAAATApHJQQNQnWCHM5YBI1CdYIL0NJUS5JUVRSMzIxODY1Mjk3LklRX1RSX1RBUkdFVF9UT1RBTF9SRVYuLlVTRC5IAQAAAFFGLxMCAAAAAABYzxIONQnWCAw+hQ41CdYILUNJUS5OQVNEQVFHTTpGQVRFLklRX01BUktFVENBUC41LzUvMjAxNy5VU0QuSAEAAABoMVcCAgAAAAoxNzkuNjE3NDM2AQYAAAAFAAAAATEBAAAACjE4MzIxNjc4OTQDAAAAAzE2MAIAAAAGMTAwMDU0BAAAAAEwBwAAAAg1LzUvMjAxN9aMETgICdYIw4afbzQJ1gg1Q0lRLkFTWDpJTVUuSVFfVE9UQUxfUkVWLkNZMjAxNy43LzE2LzIwMTguTEZSLkYuVVNELkgBAAAAmJOpAAIAAAAHMC44ODE2OQEIAAAABQAAAAExAQAAAAoxODc3MzA1MzIwAwAAAAMxNjACAAAAAjI4BAAAAAEwBwAAAAk3LzE2LzIwMTgIAAAACjEyLzMxLzIwMTcJAAAAATApHJQQNQnWCDDXXRI1CdYI</t>
  </si>
  <si>
    <t>I0NJUS5JUVRSNTUxMTY2MjkyLklRX1RSX1RPVEFMX1NUT0NLAQAAAFQh2iACAAAAAAAMbRAONQnWCMDbgg41CdYIJ0NJUS5OQVNEQVFHUzpHVEhYLklRX0JFVEFfMllSLjcvMzEvMjAxOAEAAABlNGkIAgAAABAxLjA5OTcyNzU4NzA1NTYyAJwL1TgICdYIJMKabzQJ1gg0Q0lRLlhUUkE6TU9SLklRX1RPVEFMX0RFQlQuMjAwMC41LzUvMjAxNy5MRlIuRi5VU0QuSAEAAADfEQIAAgAAAAgwLjIzMzQxOQEIAAAABQAAAAExAQAAAAoxODM5OTQwNzIxAwAAAAMxNjACAAAABDQxNzMEAAAAATAHAAAACDUvNS8yMDE3CAAAAAkzLzMxLzIwMTcJAAAAATCcC9U4CAnWCNRfmG80CdYIIENJUS5JUVRSNDI0MzQyMDQ2LklRX1RSX0VBUk5PVVRTAQAAAB7yShkCAAAAAAAMbRAONQnWCMDbgg41CdYIOENJUS5OQVNEQVFHTTpBRk1ELklRX0VCSVREQS5DWTIwMTYuNy8xNi8yMDE4LkxGUi5GLlVTRC5IAQAAANv3DAACAAAACi0zMy40MzcxMzcBCAAAAAUAAAABMQEAAAAKMTg3OTE0NzY2MgMAAAADMTYwAgAAAAQ0MDUxBAAAAAEwBwAAAAk3LzE2LzIwMTgIAAAACjEyLzMxLzIwMTYJAAAAATApHJQQNQnWCDDXXRI1CdYIPENJUS5OQVNEQVFDTTpTUk5FLklRX1RPVEFMX0VRVUlUWS4xOTk2LjcvMzEvMjAxOC5MRlIuRi5VU0QuSAEAAABJQ5QDAgAAAAY2Mi4xMDYBCAAAAAUAAAABMQEAAAAKMTg4Nzk4OTgyOAMAAAADMTYw</t>
  </si>
  <si>
    <t>AgAAAAQxMjc1BAAAAAEwBwAAAAk3LzMxLzIwMTgIAAAACTMvMzEvMjAxNwkAAAABMNaMETgICdYIcySdbzQJ1gglQ0lRLk5BU0RBUUdTOktVUkEuSVFfRklSU1RQUklDSU5HREFURQEAAAC4y9oQBQAAAAk5LzE2LzIwMTUA1owROAgJ1ghzJJ1vNAnWCDVDSVEuWFRSQTpNT1IuSVFfRUFSTklOR19DTy4xOTk2LjcvMzEvMjAxOC5MRlIuRi5VU0QuSAEAAADfEQIAAgAAAAotNzIuOTQ0MjU4AQgAAAAFAAAAATEBAAAACjE4ODYxNTE2NDcDAAAAAzE2MAIAAAABNwQAAAABMAcAAAAJNy8zMS8yMDE4CAAAAAkzLzMxLzIwMTcJAAAAATCcC9U4CAnWCNRfmG80CdYIOENJUS5OQVNEQVFHUzpDVE1YLklRX0dST1NTX01BUkdJTi4uNy8xNi8yMDE4LkxGUi5GLlVTRC5IAQAAANw4mwMCAAAAAzEwMAEIAAAABQAAAAExAQAAAAoxODg3Njc1MzE2AwAAAAMxNjACAAAABDQwNzQEAAAAATAHAAAACTcvMTYvMjAxOAgAAAAJMy8zMS8yMDE4CQAAAAEwxP8bETUJ1gjCm2ISNQnWCC9DSVEuSVFUUjI1Mzk1NDQ3My5JUV9UUl9JTVBMSUVEX0VWX0ZJTkFMLi5VU0QuSAEAAACpCSMPAgAAAAAAsrNJbzQJ1gg1m5NvNAnWCDxDSVEuTkFTREFRR1M6RVBaTS5JUV9FQklUREFfRVNULkNZMjAyMC43LzMxLzIwMTguQ09OLkYuVVNELkgBAAAAAyY9AwMAAAAAANaMETgICdYIcySdbzQJ1ggwQ0lRLklRVFIzMTIxMjI1MDQuSVFfVFJf</t>
  </si>
  <si>
    <t>VEFSR0VUX0VCSVREQV9FU1QuLlVTRC5IAQAAAIicmhICAAAAAABYzxIONQnWCMDbgg41CdYIH0NJUS5OQVNEQVFHUzpCR05FLklRX1RFVi4uVVNELkgBAAAA4OTdBgIAAAALODc1MS42Mzg3ODQBBgAAAAUAAAABMQEAAAAKMTg5OTg5OTcxMwMAAAADMTYwAgAAAAYxMDAwNjAEAAAAATAHAAAACTgvMjIvMjAxOJwL1TgICdYInAvVOAgJ1gg7Q0lRLk5BU0RBUUNNOlNSTkUuSVFfRUJJVF9NQVJHSU4uMjAwMC43LzMxLzIwMTguTEZSLkYuVVNELkgBAAAASUOUAwIAAAAGMzYuMTgyAQgAAAAFAAAAATEBAAAACjE4ODc5ODk4MzEDAAAAAzE2MAIAAAAENDA1MwQAAAABMAcAAAAJNy8zMS8yMDE4CAAAAAkzLzMxLzIwMTgJAAAAATDWjBE4CAnWCHMknW80CdYILkNJUS5JUVRSNTUzNTQ4MDI1LklRX1RSX1RBUkdFVF9TVE9DS1BSRU1JVU1fMVcBAAAA+Xj+IAIAAAAHMTYxLjE5NAEGAAAABQAAAAI1NAEAAAAGMTAxMDU0AgAAAAk1NTM1NDgwMjUDAAAACTU1MzU2NDk3MQQAAAADMTYwBgAAAAVGYWxzZbKzSW80CdYIgf2VbzQJ1gg9Q0lRLk5BU0RBUUdTOkJHTkUuSVFfQ0FTSF9TVF9JTlZFU1QuMjAwMC41LzUvMjAxNy5MRlIuRi5VU0QuSAEAAADg5N0GAgAAAAczNjguMTc0AQgAAAAFAAAAATEBAAAACjE4MzI5NTA1MjMDAAAAAzE2MAIAAAAEMTAwMgQAAAABMAcAAAAINS81LzIwMTcIAAAACjEyLzMxLzIwMTYJ</t>
  </si>
  <si>
    <t>AAAAATCcC9U4CAnWCIH9lW80CdYIIUNJUS5JUVRSNDEzOTUzNjYxLklRX1RSX0JVWUVSTkFNRQEAAAB9bqwYAwAAAF5EYWluaXBwb24gU3VtaXRvbW8gUGhhcm1hIEFtZXJpY2EgSG9sZGluZ3MsIEluYy4gKG5rYTpTdW1pdG9tbyBEYWluaXBwb24gUGhhcm1hIEFtZXJpY2EsIEluYy4pALKzSW80CdYIgf2VbzQJ1gg/Q0lRLk9UQ1BLOk1CVlguSVFfVE9UQUxfUkVWXzJZUl9BTk5fQ0FHUi4uNy8xNi8yMDE4LkxGUi5GLlVTRC5IAQAAANhEiwIDAAAAAADep34QNQnWCJgSWRI1CdYIPENJUS5OQVNEQVFHUzpNUlNOLklRX0VBUk5JTkdfQ08uQ1kyMDE3LjcvMzEvMjAxOC5MRlIuRi5VU0QuSAEAAADmxRgAAgAAAActMzguNzA3AQgAAAAFAAAAATEBAAAACjE4ODA1NDczOTUDAAAAAzE2MAIAAAABNwQAAAABMAcAAAAJNy8zMS8yMDE4CAAAAAoxMi8zMS8yMDE3CQAAAAEw1owROAgJ1gjDhp9vNAnWCC5DSVEuTkFTREFRQ006QVZFTy5JUV9NQVJLRVRDQVAuOS8xNS8yMDE3LlVTRC5IAQAAAPQWHQACAAAACjQxOS45OTI3NjEBBgAAAAUAAAABMQEAAAAKMTg1MjU3MjU5NQMAAAADMTYwAgAAAAYxMDAwNTQEAAAAATAHAAAACTkvMTUvMjAxN0adGRE1CdYIczlgEjUJ1gglQ0lRLklRVFI0MDk5NTE4ODYuSVFfUFJJTUFSWV9JTkRVU1RSWQEAAACYs1wNAwAAAA1CaW90ZWNobm9sb2d5AAxtEA41CdYIwNuCDjUJ</t>
  </si>
  <si>
    <t>1ggnQ0lRLk5BU0RBUUdNOkNSVlMuSVFfQkVUQV8xWVIuNy8zMS8yMDE4AQAAAPSwphACAAAAEDEuMjUxNjE3NTMzODM2MTIA1owROAgJ1ggZ6aFvNAnWCD1DSVEuTkFTREFRR1M6QU5BQi5JUV9SRVZFTlVFX0VTVC5DWTIwMTguNy8xNi8yMDE4LkNPTi5GLlVTRC5IAQAAACFMsgECAAAAAzEuNQEOAAAABQAAAAIxMQEAAAABMAIAAAAKMTAwMzYyOTM3NAMAAAAGMTAwMTgwBAAAAAEyBgAAAAEwBwAAAAMxNjAIAAAAATAJAAAAATEKAAAAATALAAAACzEwODg3NTEzNDM3DAAAAAE3DQAAAAk3LzE3LzIwMTgQAAAACTcvMTYvMjAxOMT/GxE1CdYIwptiEjUJ1ggiQ0lRLklRVFI1NDc0MjM2ODAuSVFfVFJfVEFSR0VUTkFNRQEAAADABaEgAwAAAAxJZ255dGEsIEluYy4ADG0QDjUJ1gjA24IONQnWCCVDSVEuSVFUUjM3MTcxNTExOS5JUV9UUl9NQUpfTUlOX1NUQUtFAQAAAC/sJxYDAAAACE1ham9yaXR5AFjPEg41CdYIwNuCDjUJ1gggQ0lRLlhUUkE6TU9SLklRX0ZJUlNUUFJJQ0lOR0RBVEUBAAAA3xECAAUAAAAINi83LzE5OTkAnAvVOAgJ1gjUX5hvNAnWCCNDSVEuTkFTREFRR1M6QURYUy5JUV9QRVJJT0REQVRFX0lTLgEAAACe7HgABQAAAAk0LzMwLzIwMTgAKRyUEDUJ1gjkdFsSNQnWCChDSVEuTkFTREFRR1M6VFNSTy5JUV9URVYuNy8xNi8yMDE4LlVTRC5IAQAAAGjWWAYCAAAACzIxNjQuNTMyNDc5AQYA</t>
  </si>
  <si>
    <t>AAAFAAAAATEBAAAACjE4ODYzMzY1NzkDAAAAAzE2MAIAAAAGMTAwMDYwBAAAAAEwBwAAAAk3LzE2LzIwMThGnRkRNQnWCBL+ZBI1CdYIK0NJUS5JUVRSNDA4NDA3ODIyLklRX1RSX0lNUExJRURfRVZfRUJJVF9GV0QBAAAADs9XGAIAAAAAALKzSW80CdYIgf2VbzQJ1ggwQ0lRLi5JUV9SRVZFTlVFX0VTVC5DWTIwMjAuNy8zMS8yMDE4LkNPTi5GLlVTRC5IBQAAAAEAAAAIAAAAFChJbnZhbGlkIElkZW50aWZpZXIp9YQyRzQJ1gj1hDJHNAnWCD5DSVEuTkFTREFRR1M6TVJTTi5JUV9DQVNIX1NUX0lOVkVTVC4yMDAwLjcvMzEvMjAxOC5MRlIuRi5VU0QuSAEAAADmxRgAAgAAAAcxMDcuOTU5AQgAAAAFAAAAATEBAAAACjE4ODkwOTY2NTMDAAAAAzE2MAIAAAAEMTAwMgQAAAABMAcAAAAJNy8zMS8yMDE4CAAAAAkzLzMxLzIwMTgJAAAAATDWjBE4CAnWCMOGn280CdYIKENJUS5OQVNEQVFHUzpUU1JPLklRX1RFVi43LzMxLzIwMTguVVNELkgBAAAAaNZYBgIAAAALMTg1MC45NDE2OTkBBgAAAAUAAAABMQEAAAAKMTg4NjMzNjU3OQMAAAADMTYwAgAAAAYxMDAwNjAEAAAAATAHAAAACTcvMzEvMjAxOJwL1TgICdYIJMKabzQJ1gglQ0lRLklRVFIyNjM3MTg2NDcuSVFfUFJJTUFSWV9JTkRVU1RSWQEAAAA+8AEAAwAAAA1CaW90ZWNobm9sb2d5ALKzSW80CdYINZuTbzQJ1gg1Q0lRLk5BU0RBUUdNOkFGTUQuSVFf</t>
  </si>
  <si>
    <t>VE9UQUxfUkVWLi43LzE2LzIwMTguTEZSLkYuVVNELkgBAAAA2/cMAAIAAAAHMi44OTAyMwEIAAAABQAAAAExAQAAAAoxODg5ODY2MDQ5AwAAAAMxNjACAAAAAjI4BAAAAAEwBwAAAAk3LzE2LzIwMTgIAAAACTMvMzEvMjAxOAkAAAABMCkclBA1CdYIMNddEjUJ1gg0Q0lRLkVOWFRQQTpJUEguSVFfUFJFRl9FUVVJVFkuLjkvMTUvMjAxNy5MRlIuRi5VU0QuSAEAAACZgAYAAwAAAAAAKRyUEDUJ1ghzOWASNQnWCDZDSVEuTkFTREFRR1M6RlBSWC5JUV9UT1RBTF9ERUJULi45LzE1LzIwMTcuTEZSLkYuVVNELkgBAAAAN10zAAIAAAABMAEIAAAABQAAAAExAQAAAAoxODUyNDc1MDcyAwAAAAMxNjACAAAABDQxNzMEAAAAATAHAAAACTkvMTUvMjAxNwgAAAAJNi8zMC8yMDE3CQAAAAEwKRyUEDUJ1ghzOWASNQnWCCNDSVEuSVFUUjU1MTE2NjI5Mi5JUV9UUl9DTE9TRURfREFURQEAAABUIdogBQAAAAgzLzkvMjAxOAAMbRAONQnWCMDbgg41CdYIM0NJUS5PVENQSzpNQlZYLklRX0VBUk5JTkdfQ08uLjcvMTYvMjAxOC5MRlIuRi5VU0QuSAEAAADYRIsCAgAAAAotMTkuMDIwNjc5AQgAAAAFAAAAATEBAAAACjE4ODEyMTMyNDUDAAAAAzE2MAIAAAABNwQAAAABMAcAAAAJNy8xNi8yMDE4CAAAAAoxMi8zMS8yMDE3CQAAAAEw3qd+EDUJ1giYElkSNQnWCDxDSVEuTkFTREFRQ006QVZFTy5JUV9FQklUREFfRVNULkNZ</t>
  </si>
  <si>
    <t>MjAxOS43LzE2LzIwMTguQ09OLkYuVVNELkgBAAAA9BYdAAIAAAAFLTU1LjUBDgAAAAUAAAACMTEBAAAAATACAAAACjEwMDA3NDgwNzgDAAAABjEwMDE4NwQAAAABMgYAAAABMAcAAAADMTYwCAAAAAEwCQAAAAExCgAAAAEwCwAAAAsxMDQ4MTA5NDI5MgwAAAABNw0AAAAJNy8xNy8yMDE4EAAAAAk3LzE2LzIwMTjE/xsRNQnWCMKbYhI1CdYIHUNJUS5OQVNEQVFDTTpNVEVNLklRX0VYQ0hBTkdFAQAAAJmbqQEDAAAACE5hc2RhcUNNAMgwsjcICdYIGemhbzQJ1gg+Q0lRLk5BU0RBUUdTOktVUkEuSVFfVE9UQUxfRVFVSVRZLkNZMjAxNy43LzMxLzIwMTguTEZSLkYuVVNELkgBAAAAuMvaEAIAAAAGNzkuODY1AQgAAAAFAAAAATEBAAAACjE4NzgwMTI0NzgDAAAAAzE2MAIAAAAEMTI3NQQAAAABMAcAAAAJNy8zMS8yMDE4CAAAAAoxMi8zMS8yMDE3CQAAAAEw1owROAgJ1ghzJJ1vNAnWCDxDSVEuKElOVkFMSUQgSURFTlRJRklFUikuSVFfQ0FQRVguMjAwMC43LzMxLzIwMTguTEZSLkYuVVNELkgFAAAAAAAAAAgAAAAUKEludmFsaWQgSWRlbnRpZmllcinIMLI3CAnWCO02sG80CdYILUNJUS5OQVNEQVFHTTpBUlFMLklRX01BUktFVENBUC41LzUvMjAxNy5VU0QuSAEAAAD2YQAAAgAAAAk3Mi41Njk1MjkBBgAAAAUAAAABMQEAAAAKMTg0MTk4MzE2MQMAAAADMTYwAgAAAAYxMDAwNTQEAAAAATAHAAAACDUvNS8y</t>
  </si>
  <si>
    <t>MDE31owROAgJ1ghzJJ1vNAnWCDtDSVEuTkFTREFRR1M6QkdORS5JUV9QUkVGX0VRVUlUWS4yMDAwLjcvMzEvMjAxOC5MRlIuRi5VU0QuSAEAAADg5N0GAwAAAAAAnAvVOAgJ1giB/ZVvNAnWCDhDSVEuRU5YVFBBOklQSC5JUV9ORVRfV09SS0lOR19DQVAuLjcvMTYvMjAxOC5MRlIuRi5VU0QuSAEAAACZgAYAAgAAAAotNjEuNDI0MTExAQgAAAAFAAAAATEBAAAACjE4ODk1NTIxNjQDAAAAAzE2MAIAAAAEMTMxMQQAAAABMAcAAAAJNy8xNi8yMDE4CAAAAAoxMi8zMS8yMDE3CQAAAAEwKRyUEDUJ1ghzOWASNQnWCDlDSVEuTkFTREFRR1M6R1RIWC5JUV9UT1RBTF9SRVYuMTk5Mi43LzMxLzIwMTguTEZSLkYuVVNELkgBAAAAZTRpCAMAAAAAAJwL1TgICdYIJMKabzQJ1ggnQ0lRLk5BU0RBUUdTOktVUkEuSVFfUEVSSU9EREFURV9JUy4xMDAwAQAAALjL2hAFAAAACjEyLzMxLzIwMTcA1owROAgJ1ghzJJ1vNAnWCDhDSVEuTkFTREFRR1M6QkdORS5JUV9HUk9TU19NQVJHSU4uLjcvMTYvMjAxOC5MRlIuRi5VU0QuSAEAAADg5N0GAgAAAAgtMjcuNTExOAEIAAAABQAAAAExAQAAAAoxODg3Njg4NTg4AwAAAAMxNjACAAAABDQwNzQEAAAAATAHAAAACTcvMTYvMjAxOAgAAAAJMy8zMS8yMDE4CQAAAAEwxP8bETUJ1ghoYGcSNQnWCDpDSVEuTkFTREFRR1M6QkdORS5JUV9UT1RBTF9ERUJULjIwMDAuNy8zMS8yMDE4</t>
  </si>
  <si>
    <t>LkxGUi5GLlVTRC5IAQAAAODk3QYCAAAABzE3My42ODEBCAAAAAUAAAABMQEAAAAKMTg4NzY4ODU4OAMAAAADMTYwAgAAAAQ0MTczBAAAAAEwBwAAAAk3LzMxLzIwMTgIAAAACTMvMzEvMjAxOAkAAAABMJwL1TgICdYIgf2VbzQJ1gg2Q0lRLk5BU0RBUUdTOkFEWFMuSVFfRUFSTklOR19DTy4uNy8xNi8yMDE4LkxGUi5GLlVTRC5IAQAAAJ7seAACAAAACi04OS43ODYyODIBCAAAAAUAAAABMQEAAAAKMTg5Mjc4ODU0OAMAAAADMTYwAgAAAAE3BAAAAAEwBwAAAAk3LzE2LzIwMTgIAAAACTQvMzAvMjAxOAkAAAABMCkclBA1CdYI5HRbEjUJ1gg/Q0lRLk5BU0RBUUdTOkZQUlguSVFfTkVUX1dPUktJTkdfQ0FQLjE5OTYuNy8zMS8yMDE4LkxGUi5GLlVTRC5IAQAAADddMwACAAAABy0xNy40NjkBCAAAAAUAAAABMQEAAAAKMTg4NzQwMjIyNAMAAAADMTYwAgAAAAQxMzExBAAAAAEwBwAAAAk3LzMxLzIwMTgIAAAACTMvMzEvMjAxNwkAAAABMNaMETgICdYIGemhbzQJ1gg1Q0lRLk5BU0RBUUdTOktVUkEuSVFfQ0FQRVguMTk5Mi43LzMxLzIwMTguTEZSLkYuVVNELkgBAAAAuMvaEAIAAAAGLTAuMDU0AQgAAAAFAAAAATEBAAAACjE4NDIyODA3MTcDAAAAAzE2MAIAAAAEMjAyMQQAAAABMAcAAAAJNy8zMS8yMDE4CAAAAAkzLzMxLzIwMTYJAAAAATDWjBE4CAnWCHMknW80CdYINUNJUS5OQVNEQVFHUzpGUFJYLklR</t>
  </si>
  <si>
    <t>X0RBX0NGLjIwMDAuNy8zMS8yMDE4LkxGUi5GLlVTRC5IAQAAADddMwACAAAABTMuMTQ5AQgAAAAFAAAAATEBAAAACjE4ODc0MDIyMjcDAAAAAzE2MAIAAAAEMjE2MAQAAAABMAcAAAAJNy8zMS8yMDE4CAAAAAkzLzMxLzIwMTgJAAAAATDIMLI3CAnWCBnpoW80CdYIOUNJUS5OQVNEQVFDTTpTUk5FLklRX1RPVEFMX0RFQlQuMjAwMC41LzUvMjAxNy5MRlIuRi5VU0QuSAEAAABJQ5QDAgAAAAY0Ny4zMTYBCAAAAAUAAAABMQEAAAAKMTgzMzU2NjU5OQMAAAADMTYwAgAAAAQ0MTczBAAAAAEwBwAAAAg1LzUvMjAxNwgAAAAKMTIvMzEvMjAxNgkAAAABMNaMETgICdYIcySdbzQJ1gg8Q0lRLk5BU0RBUUdNOkZBVEUuSVFfR1JPU1NfTUFSR0lOLjIwMDAuNy8zMS8yMDE4LkxGUi5GLlVTRC5IAQAAAGgxVwIDAAAAAk5NAQgAAAAFAAAAATEBAAAACjE4ODg1MDA1MjcDAAAAAzE2MAIAAAAENDA3NAQAAAABMAcAAAAJNy8zMS8yMDE4CAAAAAkzLzMxLzIwMTgJAAAAATDWjBE4CAnWCMOGn280CdYIH0NJUS5OQVNEQVFHUzpTR0VOLklRX1RFVi4uVVNELkgBAAAAYYUAAAIAAAAMMTE2MDEuMTIwNjU0AQYAAAAFAAAAATEBAAAACjE4OTcyMzMyNTEDAAAAAzE2MAIAAAAGMTAwMDYwBAAAAAEwBwAAAAk4LzIyLzIwMThGnRkRNQnWCEadGRE1CdYIRkNJUS4oSU5WQUxJRCBJREVOVElGSUVSKS5JUV9ORVRfV09SS0lOR19D</t>
  </si>
  <si>
    <t>QVAuMjAwMC43LzMxLzIwMTguTEZSLkYuVVNELkgFAAAAAAAAAAgAAAAUKEludmFsaWQgSWRlbnRpZmllcinIMLI3CAnWCO02sG80CdYIJUNJUS5JUVRSNTMzNjM5NTAxLklRX1RSX0lNUExJRURfRVFfQlYBAAAATbHOHwIAAAAAAAxtEA41CdYIwNuCDjUJ1ggpQ0lRLk5BU0RBUUdTOlRTUk8uSVFfQlVTSU5FU1NfREVTQ1JJUFRJT04BAAAAaNZYBgMAAAD7ClRlc2FybywgSW5jLiwgYW4gb25jb2xvZ3ktZm9jdXNlZCBiaW9waGFybWFjZXV0aWNhbCBjb21wYW55LCBpZGVudGlmaWVzLCBhY3F1aXJlcywgZGV2ZWxvcHMsIGFuZCBjb21tZXJjaWFsaXplcyBjYW5jZXIgdGhlcmFwZXV0aWNzIGFuZCBvbmNvbG9neSBzdXBwb3J0aXZlIGNhcmUgcHJvZHVjdHMgaW4gdGhlIFVuaXRlZCBTdGF0ZXMuIEl0IG9mZmVycyBaRUpVTEEgKG5pcmFwYXJpYiksIGFuIG9yYWxseSBhY3RpdmUgYW5kIHBvdGVudCBwb2x5IHBvbHltZXJhc2UgaW5oaWJpdG9yIGZvciB0aGUgbWFpbnRlbmFuY2UgdHJlYXRtZW50IG9mIHdvbWVuIHdpdGggcmVjdXJyZW50IGVwaXRoZWxpYWwgb3ZhcmlhbiwgZmFsbG9waWFuIHR1YmUsIG9yIHByaW1hcnkgcGVyaXRvbmVhbCBjYW5jZXI7IGFuZCBWQVJVQkkgKHJvbGFwaXRhbnQpLCBhIG5ldXJva2luaW4tMSwgb3IgTkstMSwgcmVjZXB0b3IgYW50YWdvbmlzdCBmb3IgdGhlIHByZXZl</t>
  </si>
  <si>
    <t>bnRpb24gb2YgY2hlbW90aGVyYXB5IGluZHVjZWQgbmF1c2VhIGFuZCB2b21pdGluZy4gVGhlIGNvbXBhbnkgYWxzbyBkZXZlbG9wcyBOaXJhcGFyaWIgZm9yIHRoZSB0cmVhdG1lbnQgb2YgdmFyaW91cyB0dW1vcnMuIEluIGFkZGl0aW9uLCBpdCBpcyBkZXZlbG9waW5nIGltbXVub3RoZXJhcHkgYW50aWJvZHkgcHJvZHVjdCBjYW5kaWRhdGVzLCBpbmNsdWRpbmcgVFNSLTA0Miwgd2hpY2ggaXMgaW4gYSBwaGFzZSBJIGNsaW5pY2FsIHRyaWFsIHRhcmdldGluZyBwcm9ncmFtbWVkIGNlbGwgZGVhdGggcHJvdGVpbiAxOyBUU1ItMDIyIHRoYXQgaXMgaW4gcGhhc2UgSSBjbGluaWNhbCB0cmlhbCB0YXJnZXRpbmcgVC1jZWxsIGltbXVub2dsb2J1bGluIGRvbWFpbiBhbmQgbXVjaW4gZG9tYWluLTM7IGFuZCBUU1ItMDMzLCBhbiBhbnRpYm9keSBjYW5kaWRhdGUsIHdoaWNoIGlzIGluIHBoYXNlIEkgY2xpbmljYWwgdHJpYWwgdGFyZ2V0aW5nIGx5bXBob2N5dGUtYWN0aXZhdGlvbiBnZW5lLTMuIFRoZSBjb21wYW55IGhhcyBjb2xsYWJvcmF0aW9uIGFuZCBleGNsdXNpdmUgbGljZW5zZSBhZ3JlZW1lbnQgd2l0aCBBbmFwdHlzQmlvLCBJbmMuLCBhcyB3ZWxsIGFzIGNvbGxhYm9yYXRpb24gYWdyZWVtZW50cyB3aXRoIEphbnNzZW4gQmlvdGVjaCwgSW5jLiwgTWlsbGVubml1bSBQaGFybWFjZXV0aWNh</t>
  </si>
  <si>
    <t>bHMsIEluYy4sIFphaSBMYWIgKFNoYW5naGFpKSBDby4sIEx0ZCwgSmlhbmdzdSBIZW5ncnVpIE1lZGljaW5lIENvLiwgTHRkLiwgTWVyY2sgU2hhcnAgJiBEb2htZSBCLlYuLCBhbmQgSmlhbmdzdSBIZW5ncnVpIE1lZGljaW5lIENvLiwgTHRkLiwgYXMgd2VsbCBhcyBHZW5lbnRlY2guIFRlc2FybywgSW5jLiB3YXMgZm91bmRlZCBpbiAyMDEwIGFuZCBpcyBoZWFkcXVhcnRlcmVkIGluIFdhbHRoYW0sIE1hc3NhY2h1c2V0dHMuAJwL1TgICdYID2WMDjUJ1ggaQ0lRLk9UQ1BLOk5XQk8uSVFfRVhDSEFOR0UBAAAAo3oUAAMAAAAFT1RDUEsAKRyUEDUJ1ghzOWASNQnWCDlDSVEuTkFTREFRR1M6QVROWC5JUV9UT1RBTF9SRVYuMjAwMC43LzMxLzIwMTguTEZSLkYuVVNELkgBAAAA3JlrAQIAAAAGNzEuMjk4AQgAAAAFAAAAATEBAAAACjE4ODg3MDI5ODIDAAAAAzE2MAIAAAACMjgEAAAAATAHAAAACTcvMzEvMjAxOAgAAAAJMy8zMS8yMDE4CQAAAAEw1owROAgJ1ggkwppvNAnWCCJDSVEuSVFUUjU0ODMzODAyMC5JUV9UUl9UT1RBTF9DQVNIAQAAAGT5riACAAAAAjEyAQYAAAAFAAAAAjU0AQAAAAYxMDEwNTYCAAAACTU0ODMzODAyMAMAAAAJNTQ4MzQwOTg1BAAAAAMxNjAGAAAABUZhbHNlDG0QDjUJ1gjA24IONQnWCDVDSVEuTkFTREFRR1M6S1VSQS5JUV9EQV9DRi4yMDAwLjcvMzEvMjAxOC5MRlIuRi5V</t>
  </si>
  <si>
    <t>U0QuSAEAAAC4y9oQAgAAAAUwLjAyNwEIAAAABQAAAAExAQAAAAoxODg3MzgyOTM3AwAAAAMxNjACAAAABDIxNjAEAAAAATAHAAAACTcvMzEvMjAxOAgAAAAJMy8zMS8yMDE4CQAAAAEw1owROAgJ1ghzJJ1vNAnWCEdDSVEuTkFTREFRR1M6QkdORS5JUV9NSU5PUklUWV9JTlRFUkVTVF9UT1RBTC4yMDAwLjcvMzEvMjAxOC5MRlIuRi5VU0QuSAEAAADg5N0GAgAAAAYxNC4zNDEBCAAAAAUAAAABMQEAAAAKMTg4NzY4ODU4OAMAAAADMTYwAgAAAAQxMzEyBAAAAAEwBwAAAAk3LzMxLzIwMTgIAAAACTMvMzEvMjAxOAkAAAABMJwL1TgICdYIgf2VbzQJ1gglQ0lRLklRVFI1NTAyNTkzOTcuSVFfVFJfSU1QTElFRF9FUV9CVgEAAADFSswgAgAAAAg5LjYxNDM1NwEGAAAABQAAAAI1NAEAAAAGMTAyMDk3AgAAAAk1NTAyNTkzOTcDAAAACTU1MDI2NDU2NAQAAAADMTYwBgAAAAVGYWxzZQxtEA41CdYId3mADjUJ1ggjQ0lRLi5JUV9UUl9UQVJHRVRfRUJJVERBX0VTVC4uVVNELkgFAAAAAAAAAAgAAAAUKEludmFsaWQgSWRlbnRpZmllcimcC9U4CAnWCHd5gA41CdYIK0NJUS5JUVRSNDA4NDA3ODIyLklRX1RSX1RPVEFMX0dST1NTX1RWLi5VU0QBAAAADs9XGAIAAAAKMTk1LjgzMTEyOQEGAAAABQAAAAI1NAEAAAAGMTAyMDg4AgAAAAk0MDg0MDc4MjIDAAAACTQwODQxMDU0MQQAAAADMTYwBgAAAAVGYWxzZbKzSW80</t>
  </si>
  <si>
    <t>CdYIgf2VbzQJ1ggpQ0lRLklRVFI1NDc0MjM2ODAuSVFfVFJfSU1QTElFRF9FUV9OSV9MVE0BAAAAwAWhIAMAAAACTk0ADG0QDjUJ1gjA24IONQnWCDxDSVEuTkFTREFRR1M6QU5BQi5JUV9FQklUREFfRVNULkNZMjAxOC43LzE2LzIwMTguQ09OLkYuVVNELkgBAAAAIUyyAQMAAAAAAMT/GxE1CdYIwptiEjUJ1ggjQ0lRLk5BU0RBUUdTOkJHTkUuSVFfUEVSSU9EREFURV9JUy4BAAAA4OTdBgUAAAAJNi8zMC8yMDE4AMT/GxE1CdYIaGBnEjUJ1gg/Q0lRLk5BU0RBUUdTOkFEWFMuSVFfRUJJVERBXzJZUl9BTk5fQ0FHUi4uNy8xNi8yMDE4LkxGUi5GLlVTRC5IAQAAAJ7seAADAAAAAk5NAQgAAAAFAAAAATEBAAAACjE4OTI3ODg1NDgDAAAAAzE2MAIAAAAENDIwOQQAAAABMAcAAAAJNy8xNi8yMDE4CAAAAAk0LzMwLzIwMTgJAAAAATApHJQQNQnWCOR0WxI1CdYIO0NJUS5OQVNEQVFHUzpTR0VOLklRX05FVF9XT1JLSU5HX0NBUC4uNy8xNi8yMDE4LkxGUi5GLlVTRC5IAQAAAGGFAAACAAAABjY2LjU5OAEIAAAABQAAAAExAQAAAAoxODg0ODkyODUyAwAAAAMxNjACAAAABDEzMTEEAAAAATAHAAAACTcvMTYvMjAxOAgAAAAJMy8zMS8yMDE4CQAAAAEwxP8bETUJ1ghoYGcSNQnWCCpDSVEuSVFUUjI1Mzk1NDQ3My5JUV9UUl9UQVJHRVRfRUJJVC4uVVNELkgBAAAAqQkjDwIAAAAAALKzSW80CdYINZuTbzQJ1ggu</t>
  </si>
  <si>
    <t>Q0lRLi5JUV9UT1RBTF9SRVYuQ1kyMDE2LjcvMzEvMjAxOC5MRlIuRi5VU0QuSAUAAAABAAAACAAAABQoSW52YWxpZCBJZGVudGlmaWVyKfWEMkc0CdYI9YQyRzQJ1ggnQ0lRLk5BU0RBUUdTOkJHTkUuSVFfQkVUQV8xWVIuNy8zMS8yMDE4AQAAAODk3QYCAAAAETAuOTQxMjUwNzU4MTEzMzUyAJwL1TgICdYIgf2VbzQJ1gg6Q0lRLk5BU0RBUUdTOkNBTEEuSVFfRUFSTklOR19DTy4yMDAwLjcvMzEvMjAxOC5MRlIuRi5VU0QuSAEAAAClJ4EGAgAAAActMzUuNDQ1AQgAAAAFAAAAATEBAAAACjE4ODc5ODAzMDUDAAAAAzE2MAIAAAABNwQAAAABMAcAAAAJNy8zMS8yMDE4CAAAAAkzLzMxLzIwMTgJAAAAATDIMLI3CAnWCN1LpG80CdYIPkNJUS5OQVNEQVFHTTpJTU1VLklRX1RPVEFMX0VRVUlUWS5DWTIwMTcuNy8xNi8yMDE4LkxGUi5GLlVTRC5IAQAAACBDBAACAAAACTE2LjQ0OTE4NwEIAAAABQAAAAExAQAAAAoxODczNDkzNTI4AwAAAAMxNjACAAAABDEyNzUEAAAAATAHAAAACTcvMTYvMjAxOAgAAAAKMTIvMzEvMjAxNwkAAAABMMT/GxE1CdYIEv5kEjUJ1gg8Q0lRLk5BU0RBUUdTOkZQUlguSVFfRUJJVERBX0VTVC5DWTIwMjAuNy8xNi8yMDE4LkNPTi5GLlVTRC5IAQAAADddMwACAAAACC0yNTcuNjQ5AQ4AAAAFAAAAAjExAQAAAAEwAgAAAAoxMDAxOTU2MzU0AwAAAAYxMDAxODcEAAAAATIGAAAAATAH</t>
  </si>
  <si>
    <t>AAAAAzE2MAgAAAABMAkAAAABMQoAAAABMAsAAAALMTA5Mjc5ODA0MDMMAAAAATcNAAAACTcvMTcvMjAxOBAAAAAJNy8xNi8yMDE4KRyUEDUJ1ghzOWASNQnWCCJDSVEuSVFUUjQwODQwNzgyMi5JUV9UUl9QQ1RfU09VR0hUAQAAAA7PVxgCAAAAAzEwMAEGAAAABQAAAAI1NAEAAAAGMTAxMDI0AgAAAAk0MDg0MDc4MjIDAAAACTQwODQxMDU0MQQAAAADMTYwBgAAAARUcnVlsrNJbzQJ1giB/ZVvNAnWCB5DSVEuT1RDUEs6TUJWWC5JUV9DT01QQU5ZX05BTUUBAAAA2ESLAgMAAAAiTWFiVmF4IFRoZXJhcGV1dGljcyBIb2xkaW5ncywgSW5jLgDep34QNQnWCJgSWRI1CdYIPkNJUS5OQVNEQVFHTTpBUlJZLklRX0NBU0hfU1RfSU5WRVNULjIwMDAuNy8zMS8yMDE4LkxGUi5GLlVTRC5IAQAAAPhhAAACAAAABjQzOC40MQEIAAAABQAAAAExAQAAAAoxODg4NDcwNjc2AwAAAAMxNjACAAAABDEwMDIEAAAAATAHAAAACTcvMzEvMjAxOAgAAAAJMy8zMS8yMDE4CQAAAAEwnAvVOAgJ1gjUX5hvNAnWCDlDSVEuTkFTREFRQ006Q0tQVC5JUV9FQklUREFfTUFSR0lOLi43LzE2LzIwMTguTEZSLkYuVVNELkgBAAAAuFEWEQMAAAAAACkclBA1CdYI5HRbEjUJ1gguQ0lRLklRVFI1NDgzMzgwMjAuSVFfVFJfVEFSR0VUX1NUT0NLUFJFTUlVTV8xTQEAAABk+a4gAgAAAAAADG0QDjUJ1gjA24IONQnWCD5DSVEuTkFTREFRR006</t>
  </si>
  <si>
    <t>Q1JJUy5JUV9UT1RBTF9FUVVJVFkuQ1kyMDE2LjcvMzEvMjAxOC5MRlIuRi5VU0QuSAEAAAAXagAAAgAAAAYyOS4yNjYBCAAAAAUAAAABMQEAAAAKMTg3ODAxMTY1NAMAAAADMTYwAgAAAAQxMjc1BAAAAAEwBwAAAAk3LzMxLzIwMTgIAAAACjEyLzMxLzIwMTYJAAAAATDIMLI3CAnWCN1LpG80CdYIIkNJUS5JUVRSNTQ3NDIzNjgwLklRX1RSX1RPVEFMX0NBU0gBAAAAwAWhIAIAAAAKMTgzMS4xNTM3NwEGAAAABQAAAAI1NAEAAAAGMTAxMDU2AgAAAAk1NDc0MjM2ODADAAAACTU0NzQzMzA2NQQAAAADMTYwBgAAAAVGYWxzZQxtEA41CdYIwNuCDjUJ1gg8Q0lRLk5BU0RBUUdNOk5MTksuSVFfRUJJVERBX0VTVC5DWTIwMTkuNy8xNi8yMDE4LkNPTi5GLlVTRC5IAQAAAJV7jAACAAAACS03MS4wMzA5MwEOAAAABQAAAAIxMQEAAAABMAIAAAAKMTAwMTQyNTA5MgMAAAAGMTAwMTg3BAAAAAEyBgAAAAEwBwAAAAMxNjAIAAAAATAJAAAAATEKAAAAATALAAAACzEwODY0Mjk5Nzk4DAAAAAE3DQAAAAk3LzE3LzIwMTgQAAAACTcvMTYvMjAxOCkclBA1CdYI5HRbEjUJ1gg4Q0lRLk5BU0RBUUdTOlBCWUkuSVFfRUJJVERBLkNZMjAxNy43LzE2LzIwMTguTEZSLkYuVVNELkgBAAAAAmqsBwIAAAAILTI4OS41NzkBCAAAAAUAAAABMQEAAAAKMTg3ODA2MzM0NAMAAAADMTYwAgAAAAQ0MDUxBAAAAAEwBwAAAAk3LzE2LzIw</t>
  </si>
  <si>
    <t>MTgIAAAACjEyLzMxLzIwMTcJAAAAATDE/xsRNQnWCBL+ZBI1CdYIP0NJUS5OQVNEQVFHTTpBRk1ELklRX0VCSVREQV81WVJfQU5OX0NBR1IuLjcvMTYvMjAxOC5MRlIuRi5VU0QuSAEAAADb9wwAAwAAAAAAKRyUEDUJ1ggw110SNQnWCCZDSVEuT1RDUEs6TUJWWC5JUV9CVVNJTkVTU19ERVNDUklQVElPTgEAAADYRIsCAwAAAOMMTWFiVmF4IFRoZXJhcGV1dGljcyBIb2xkaW5ncywgSW5jLiwgYSBjbGluaWNhbCBzdGFnZSBiaW9waGFybWFjZXV0aWNhbCBjb21wYW55LCBkaXNjb3ZlcnMsIGRldmVsb3BzLCBhbmQgY29tbWVyY2lhbGl6ZXMgcHJvcHJpZXRhcnkgaHVtYW4gbW9ub2Nsb25hbCBhbnRpYm9keSBwcm9kdWN0cyBhbmQgdmFjY2luZXMgZm9yIHRoZSB0cmVhdG1lbnQgb2YgdmFyaW91cyBjYW5jZXJzLiBUaGUgY29tcGFueSBoYXMgYSBwaXBlbGluZSBvZiBodW1hbiBtb25vY2xvbmFsIGFudGlib2R5IHByb2R1Y3RzIGJhc2VkIG9uIHRoZSBwcm90ZWN0aXZlIGltbXVuZSByZXNwb25zZXMgZ2VuZXJhdGVkIGJ5IHBhdGllbnRzIHdobyBoYXZlIGJlZW4gaW1tdW5pemVkIGFnYWluc3QgdGFyZ2V0ZWQgY2FuY2Vycy4gSXRzIGxlYWQgY2FuY2VyIHZhY2NpbmVzIHRhcmdldGluZyByZWN1cnJlbnQgc2FyY29tYSBhbmQgb3ZhcmlhbiBjYW5jZXIgYXJlIGluIHByb29mIG9mIGNvbmNlcHQgUGhh</t>
  </si>
  <si>
    <t>c2UgSUkgbXVsdGktY2VudGVyIGNsaW5pY2FsIHRyaWFscy4gVGhlIGNvbXBhbnnigJlzIHByb2R1Y3QgY2FuZGlkYXRlcyBpbmNsdWRlIE1WVC01ODczLCBhIHRoZXJhcGV1dGljIGFudGlib2R5IHRoYXQgaXMgaW4gUGhhc2UgSSBjbGluaWNhbCB0cmlhbCBmb3IgcGF0aWVudHMgd2l0aCBhZHZhbmNlZCBvciBtZXRhc3RhdGljIGFkZW5vY2FyY2lub21hIG9mIHRoZSBwYW5jcmVhcyAoUERBQykgYW5kIG90aGVyIENBMTktOSBwb3NpdGl2ZSBtYWxpZ25hbmNpZXM7IGFuZCBNVlQtMjE2MywgYW4gaW1tdW5vLXBvc2l0cm9uIGVtaXNzaW9uIHRvbW9ncmFwaHkgKFBFVCkgaW1hZ2luZyBhZ2VudCwgd2hpY2ggaXMgaW4gUGhhc2UgSSBjbGluaWNhbCB0cmlhbCBkZXNpZ25lZCB0byBldmFsdWF0ZSBhIG5leHQgZ2VuZXJhdGlvbiBkaWFnbm9zdGljIFBFVCBpbWFnaW5nIGFnZW50IGluIHBhdGllbnRzIHdpdGggUERBQyBvciBvdGhlciBDQTE5LTkgcG9zaXRpdmUgbWFsaWduYW5jaWVzLiBJdHMgcHJvZHVjdCBjYW5kaWRhdGVzIGFsc28gY29tcHJpc2UgTVZULTEwNzUsIGEgcmFkaW9pbW11bm90aGVyYXB5IGFnZW50IHRoYXQgY29tYmluZXMgdGhlIGNvbXBhbnnigJlzIEh1TWFiLTVCMSBhbnRpYm9keSB3aXRoIHRoZSByYWRpb3BoYXJtYWNldXRpY2FsICgxNzcpIEx1dGV0aXVtIHRvIHRyZWF0IHBh</t>
  </si>
  <si>
    <t>bmNyZWF0aWMgY2FuY2VyLiBUaGUgY29tcGFueSBoYXMgdmFyaW91cyByZXNlYXJjaCBhZ3JlZW1lbnRzIGFuZCBjb2xsYWJvcmF0aW9ucyB3aXRoIE1lbW9yaWFsIFNsb2FuIEtldHRlcmluZyBDYW5jZXIgQ2VudGVyOyBhIGxpY2Vuc2luZyBhZ3JlZW1lbnQgd2l0aCBMaWZlIFRlY2hub2xvZ2llcyBDb3Jwb3JhdGlvbjsgYSByZXNlYXJjaCBjb2xsYWJvcmF0aW9uIGFncmVlbWVudCB3aXRoIFJvY2tlZmVsbGVyIFVuaXZlcnNpdHkncyBMYWJvcmF0b3J5IG9mIE1vbGVjdWxhciBHZW5ldGljcyBhbmQgSW1tdW5vbG9neTsgYW5kIGEgZGV2ZWxvcG1lbnQgYW5kIG1hbnVmYWN0dXJpbmcgc2VydmljZXMgYWdyZWVtZW50IHdpdGggUGF0aGVvbi4gTWFiVmF4IFRoZXJhcGV1dGljcyBIb2xkaW5ncywgSW5jLiB3YXMgZm91bmRlZCBpbiAyMDA2IGFuZCBpcyBiYXNlZCBpbiBTYW4gRGllZ28sIENhbGlmb3JuaWEuAN6nfhA1CdYImBJZEjUJ1ghCQ0lRLk5BU0RBUUdNOkFGTUQuSVFfVE9UQUxfUkVWXzNZUl9BTk5fQ0FHUi4uNy8xNi8yMDE4LkxGUi5GLlVTRC5IAQAAANv3DAACAAAACC0yNS44ODczAQgAAAAFAAAAATEBAAAACjE4ODk4NjYwNDkDAAAAAjUwAgAAAAQ0MjIwBAAAAAEwBwAAAAk3LzE2LzIwMTgIAAAACTMvMzEvMjAxOAkAAAABMCkclBA1CdYIMNddEjUJ1gg8Q0lRLk5BU0RBUUdNOkxQVFgu</t>
  </si>
  <si>
    <t>SVFfRUFSTklOR19DTy5DWTIwMTYuNy8xNi8yMDE4LkxGUi5GLlVTRC5IAQAAAAw2CQcCAAAABy0yNS42MzIBCAAAAAUAAAABMQEAAAAKMTg3NTU1OTkzOQMAAAADMTYwAgAAAAE3BAAAAAEwBwAAAAk3LzE2LzIwMTgIAAAACjEyLzMxLzIwMTYJAAAAATApHJQQNQnWCDDXXRI1CdYILENJUS5BU1g6SU1VLklRX0VCSVREQS4uNy8xNi8yMDE4LkxGUi5GLlVTRC5IAQAAAJiTqQACAAAACS0yLjA2NjYyNAEIAAAABQAAAAExAQAAAAoxODc3MzA1MzIwAwAAAAMxNjACAAAABDQwNTEEAAAAATAHAAAACTcvMTYvMjAxOAgAAAAKMTIvMzEvMjAxNwkAAAABMCkclBA1CdYIMNddEjUJ1ggiQ0lRLklRVFIzMTQ4MjkyMzYuSVFfVFJfVEFSR0VUTkFNRQEAAAC06cMSAwAAABdBZG11bmUgVGhlcmFwZXV0aWNzIExMQwBYzxIONQnWCMDbgg41CdYIOENJUS5OQVNEQVFHTTpMUFRYLklRX0dST1NTX01BUkdJTi4uNy8xNi8yMDE4LkxGUi5GLlVTRC5IAQAAAAw2CQcDAAAAAAApHJQQNQnWCDDXXRI1CdYIL0NJUS5JUVRSMzE0ODI5MjM2LklRX1RSX1RBUkdFVF9UT1RBTF9SRVYuLlVTRC5IAQAAALTpwxICAAAAAABYzxIONQnWCMDbgg41CdYILkNJUS5JUVRSMzIxODY1Mjk3LklRX1RSX1RBUkdFVF9TVE9DS1BSRU1JVU1fMU0BAAAAUUYvEwIAAAAAAFjPEg41CdYIDD6FDjUJ1ggrQ0lRLklRVFIzMDc4NjM5ODQuSVFfVFJf</t>
  </si>
  <si>
    <t>VE9UQUxfR1JPU1NfVFYuLlVTRAEAAACwoVkSAgAAAAM2MDUBBgAAAAUAAAACNTQBAAAABjEwMjA4OAIAAAAJMzA3ODYzOTg0AwAAAAkzMDc4NjQyODAEAAAAAzE2MAYAAAAFRmFsc2VYzxIONQnWCMDbgg41CdYIPENJUS5OQVNEQVFHUzpTR0VOLklRX0VCSVREQV9FU1QuQ1kyMDIwLjcvMTYvMjAxOC5DT04uRi5VU0QuSAEAAABhhQAAAgAAAActMTguMDg1AQ4AAAAFAAAAAjExAQAAAAEwAgAAAAoxMDAwMTI0NzI4AwAAAAYxMDAxODcEAAAAATIGAAAAATAHAAAAAzE2MAgAAAABMAkAAAABMQoAAAABMAsAAAALMTA4NTE0ODUwNjEMAAAAATcNAAAACTcvMTcvMjAxOBAAAAAJNy8xNi8yMDE4xP8bETUJ1ghoYGcSNQnWCD1DSVEuTkFTREFRR006QVJSWS5JUV9DQVNIX1NUX0lOVkVTVC4yMDAwLjUvNS8yMDE3LkxGUi5GLlVTRC5IAQAAAPhhAAACAAAABzIxMy45MzIBCAAAAAUAAAABMQEAAAAKMTgyNjgzODI1NgMAAAADMTYwAgAAAAQxMDAyBAAAAAEwBwAAAAg1LzUvMjAxNwgAAAAKMTIvMzEvMjAxNgkAAAABMJwL1TgICdYIJMKabzQJ1gglQ0lRLklRVFIyNDU4MzEwMDcuSVFfVFJfTUFKX01JTl9TVEFLRQEAAABfFacOAwAAAAhNYWpvcml0eQCys0lvNAnWCIH9lW80CdYIJ0NJUS5OQVNEQVFHUzpDVE1YLklRX0JFVEFfMVlSLjcvMTYvMjAxOAEAAADcOJsDAgAAABEwLjQ5ODc0NzU0MDQyNDQ2OADE/xsR</t>
  </si>
  <si>
    <t>NQnWCMKbYhI1CdYIOENJUS5OQVNEQVFHTTpYTkNSLklRX0dST1NTX01BUkdJTi4uNy8xNi8yMDE4LkxGUi5GLlVTRC5IAQAAAKZaCwACAAAACS0xNTcuMDg5MQEIAAAABQAAAAExAQAAAAoxODg3MTI1ODU1AwAAAAMxNjACAAAABDQwNzQEAAAAATAHAAAACTcvMTYvMjAxOAgAAAAJMy8zMS8yMDE4CQAAAAEwxP8bETUJ1ggS/mQSNQnWCClDSVEuTkFTREFRR1M6QU5BQi5JUV9CVVNJTkVTU19ERVNDUklQVElPTgEAAAAhTLIBAwAAAI8KQW5hcHR5c0JpbywgSW5jLiwgYSBjbGluaWNhbCBzdGFnZSBiaW90ZWNobm9sb2d5IGNvbXBhbnksIGVuZ2FnZXMgaW4gZGV2ZWxvcGluZyBhbnRpYm9keSBwcm9kdWN0IGNhbmRpZGF0ZXMgZm9jdXNlZCBvbiB1bm1ldCBtZWRpY2FsIG5lZWRzIGluIGluZmxhbW1hdGlvbi4gVGhlIGNvbXBhbnnigJlzIHByb3ByaWV0YXJ5IGFudGktaW5mbGFtbWF0b3J5IHBpcGVsaW5lIGluY2x1ZGVzIEFOQjAyMCwgYW4gYW50aS1pbnRlcmxldWtpbi0zMyBhbnRpYm9keSBmb3IgdGhlIHRyZWF0bWVudCBvZiBtb2RlcmF0ZS10by1zZXZlcmUgYWR1bHQgYXRvcGljIGRlcm1hdGl0aXMsIHNldmVyZSBhZHVsdCBwZWFudXQgYWxsZXJneSwgYW5kIHNldmVyZSBhZHVsdCBlb3Npbm9waGlsaWMgYXN0aG1hOyBBTkIwMTksIGFuIGFudGktaW50ZXJsZXVraW4tMzZSIGFudGlib2R5IGZv</t>
  </si>
  <si>
    <t>ciB0aGUgdHJlYXRtZW50IG9mIHJhcmUgaW5mbGFtbWF0b3J5IGRpc2Vhc2VzLCBpbmNsdWRpbmcgZ2VuZXJhbGl6ZWQgcHVzdHVsYXIgcHNvcmlhc2lzIGFuZCBwYWxtby1wbGFudGFyIHB1c3R1bGFyIHBzb3JpYXNpczsgYW5kIGEgcG9ydGZvbGlvIG9mIGNoZWNrcG9pbnQgcmVjZXB0b3IgYWdvbmlzdCBhbnRpYm9kaWVzIGZvciB0aGUgdHJlYXRtZW50IG9mIGNlcnRhaW4gYXV0b2ltbXVuZSBkaXNlYXNlcy4gSXQgYWxzbyBoYXMgYW4gaW1tdW5vLW9uY29sb2d5IHBhcnRuZXJzaGlwIHdpdGggVEVTQVJPLCBJbmMuIGFuZCBURVNBUk8gRGV2ZWxvcG1lbnQsIEluYy4gdG8gZGV2ZWxvcCBhbmQgY29tbWVyY2lhbGl6ZSBtb25vc3BlY2lmaWMgYW50aWJvZHkgcHJvZHVjdCBjYW5kaWRhdGVzIHRhcmdldGluZyBUSU0tMyAoVFNSLTAyMiksIExBRy0zIChUU1ItMDMzKSwgYW5kIFBELTEgKFRTUi0wNDIpLCBhcyB3ZWxsIGFzIGEgYmlzcGVjaWZpYyBhbnRpYm9keSBwcm9kdWN0IGNhbmRpZGF0ZSB0YXJnZXRpbmcgUEQtMSBhbmQgTEFHLTM7IGFuZCBhbiBpbmZsYW1tYXRpb24gcGFydG5lcnNoaXAgd2l0aCBDZWxnZW5lIENvcnBvcmF0aW9uIHRvIGRldmVsb3AgYW4gYW50aS1QRC0xIGFnb25pc3QgYW50aWJvZHkgKENDLTkwMDA2KSB0aGF0IGlzIGluIFBoYXNlIDEgdHJpYWwuIFRoZSBjb21wYW55</t>
  </si>
  <si>
    <t>IHdhcyBmb3JtZXJseSBrbm93biBhcyBBbmFwdHlzIEJpb3NjaWVuY2VzLCBJbmMuIGFuZCBjaGFuZ2VkIGl0cyBuYW1lIHRvIEFuYXB0eXNCaW8sIEluYy4gaW4gSnVseSAyMDA2LiBBbmFwdHlzQmlvLCBJbmMuIHdhcyBmb3VuZGVkIGluIDIwMDUgYW5kIGlzIGJhc2VkIGluIFNhbiBEaWVnbywgQ2FsaWZvcm5pYS4ARp0ZETUJ1gjCm2ISNQnWCDZDSVEuTkFTREFRR006SU1NVS5JUV9FQklUREEuMTk5Mi43LzMxLzIwMTguTEZSLkYuVVNELkgBAAAAIEMEAAIAAAAKLTU0Ljg4NjIyNAEIAAAABQAAAAExAQAAAAoxODQxMTcxMjI0AwAAAAMxNjACAAAABDQwNTEEAAAAATAHAAAACTcvMzEvMjAxOAgAAAAJMy8zMS8yMDE2CQAAAAEwnAvVOAgJ1gjUX5hvNAnWCDRDSVEuQVNYOklNVS5JUV9DQVNIX1NUX0lOVkVTVC4uOS8xNS8yMDE3LkxGUi5GLlVTRC5IAQAAAJiTqQACAAAACDMuNjk0NDIxAQgAAAAFAAAAATEBAAAACjE4NTY4NTEyMzgDAAAAAzE2MAIAAAAEMTAwMgQAAAABMAcAAAAJOS8xNS8yMDE3CAAAAAk2LzMwLzIwMTcJAAAAATApHJQQNQnWCDDXXRI1CdYIJUNJUS5JUVRSNTYxNjA2MzY1LklRX1BSSU1BUllfSU5EVVNUUlkBAAAAODneCgMAAAANQmlvdGVjaG5vbG9neQBJU0dvNAnWCDWbk280CdYIIkNJUS5JUVRSMzIxODY1Mjk3LklRX1RSX1RPVEFMX0NBU0gBAAAAUUYvEwIAAAAAAFjPEg41</t>
  </si>
  <si>
    <t>CdYIDD6FDjUJ1ggpQ0lRLk5BU0RBUUdTOlNHRU4uSVFfQlVTSU5FU1NfREVTQ1JJUFRJT04BAAAAYYUAAAMAAACSDVNlYXR0bGUgR2VuZXRpY3MsIEluYy4sIGEgYmlvdGVjaG5vbG9neSBjb21wYW55LCBmb2N1c2VzIG9uIHRoZSBkZXZlbG9wbWVudCBhbmQgY29tbWVyY2lhbGl6YXRpb24gb2YgdGFyZ2V0ZWQgdGhlcmFwaWVzIGZvciB0aGUgdHJlYXRtZW50IG9mIGNhbmNlciB3b3JsZHdpZGUuIEl0IG1hcmtldHMgQURDRVRSSVMsIGFuIGFudGlib2R5LWRydWcgY29uanVnYXRlIGZvciB0aGUgdHJlYXRtZW50IG9mIHJlbGFwc2VkIEhvZGdraW4gbHltcGhvbWEgYW5kIHJlbGFwc2VkIHN5c3RlbWljIGFuYXBsYXN0aWMgbGFyZ2UgY2VsbCBseW1waG9tYS4gVGhlIGNvbXBhbnkgYWxzbyBkZXZlbG9wcyBlbmZvcnR1bWFiIHZlZG90aW4sIHdoaWNoIGlzIGluIFBoYXNlIDEgY2xpbmljYWwgdHJpYWwgZm9yIE5lY3Rpbi00LXBvc2l0aXZlIHNvbGlkIHR1bW9ycywgaW5jbHVkaW5nIGJsYWRkZXIgY2FuY2VyOyBhbmQgdGlzb3R1bWFiIHZlZG90aW4gdGhhdCBpcyBpbiBQaGFzZSBJSSBjbGluaWNhbCB0cmlhbCBmb3IgcGF0aWVudHMgd2l0aCBjZXJ2aWNhbCBjYW5jZXIgYW5kIHNvbGlkIHR1bW9ycy4gSW4gYWRkaXRpb24sIGl0IGNvbmR1Y3RzIHBoYXNlIDMgY2xpbmljYWwgdHJpYWxzIG9mIEFE</t>
  </si>
  <si>
    <t>Q0VUUklTIHdoaWNoIGluY2x1ZGVzIEVDSEVMT04tMSBmb3IgcGF0aWVudHMgd2l0aCBuZXdseSBkaWFnbm9zZWQgYWR2YW5jZWQgc3RhZ2UgY2xhc3NpY2FsIEhvZGdraW4gbHltcGhvbWE7IEVDSEVMT04tMiBmb3IgcGF0aWVudHMgd2l0aCBuZXdseSBkaWFnbm9zZWQgQ0QzMC1leHByZXNzaW5nIE1UQ0w7IGFuZCB0aGUgQ0hFQ0tNQVRFIDgxMiBmb3IgcGF0aWVudHMgd2l0aCByZWxhcHNlZCBvciByZWZyYWN0b3J5IG9yIHRyYW5zcGxhbnQtaW5lbGlnaWJsZSwgYW5kIGFkdmFuY2VkIGNsYXNzaWNhbCBIb2Rna2luIGx5bXBob21hLiBGdXJ0aGVyLCB0aGUgY29tcGFueeKAmXMgZWFybGllciBzdGFnZSBjbGluaWNhbCBwaXBlbGluZSBpbmNsdWRlcyBzaXggb3RoZXIgQURDIHByb2dyYW1zIGNvbnNpc3Rpbmcgb2YgbGFkaXJhdHV6dW1hYiB2ZWRvdGluLCBkZW5pbnR1enVtYWIgbWFmb2RvdGluLCBTR04tQ0QxOUIsIFNHTi1DRDEyM0EsIFNHTi1DRDMzQSwgYW5kIFNHTi1DRDM1MkEsIGFzIHdlbGwgYXMgdHdvIGltbXVuby1vbmNvbG9neSBhZ2VudHMsIGluY2x1ZGluZyBTRUEtQ0Q0MCBhbmQgU0dOLTJGRi4gSXQgaGFzIGNvbGxhYm9yYXRpb25zIGZvciBpdHMgQURDIHRlY2hub2xvZ3kgd2l0aCB2YXJpb3VzIGJpb3RlY2hub2xvZ3kgYW5kIHBoYXJtYWNldXRpY2FsIGNvbXBhbmllcywgaW5j</t>
  </si>
  <si>
    <t>bHVkaW5nIEFiYlZpZSBCaW90ZWNobm9sb2d5IEx0ZC47IEJheWVyIFBoYXJtYSBBRzsgQ2VsbGRleCBUaGVyYXBldXRpY3MsIEluYy47IEdlbmVudGVjaCwgSW5jLjsgR2xheG9TbWl0aEtsaW5lIExMQzsgUGZpemVyLCBJbmMuLCBQU01BIERldmVsb3BtZW50IENvbXBhbnkgTExDOyBUYWtlZGEgUGhhcm1hY2V1dGljYWwgQ29tcGFueSBMaW1pdGVkLCBVbnVtIFRoZXJhcGV1dGljcywgSW5jLiwgYW5kIEdlbm1hYiBBL1MsIGFzIHdlbGwgYXMgaGFzIGNvLWRldmVsb3BtZW50IGFncmVlbWVudCB3aXRoIEFnZW5zeXMsIEluYy4gU2VhdHRsZSBHZW5ldGljcywgSW5jLiB3YXMgZm91bmRlZCBpbiAxOTk4IGFuZCBpcyBoZWFkcXVhcnRlcmVkIGluIEJvdGhlbGwsIFdhc2hpbmd0b24uAEadGRE1CdYIaGBnEjUJ1gg7Q0lRLk5BU0RBUUdTOkZQUlguSVFfVE9UQUxfUkVWLkNZMjAxNi43LzMxLzIwMTguTEZSLkYuVVNELkgBAAAAN10zAAIAAAAGMzAuNjkxAQgAAAAFAAAAATEBAAAACjE4NzYxMzU5ODgDAAAAAzE2MAIAAAACMjgEAAAAATAHAAAACTcvMzEvMjAxOAgAAAAKMTIvMzEvMjAxNgkAAAABMNaMETgICdYIGemhbzQJ1gglQ0lRLklRVFI0MzE4NDE1ODEuSVFfUFJJTUFSWV9JTkRVU1RSWQEAAABvBOYOAwAAAA1CaW90ZWNobm9sb2d5AAxtEA41CdYIDD6FDjUJ1gg3Q0lRLkVOWFRQQTpJUEguSVFf</t>
  </si>
  <si>
    <t>Q0FTSF9TVF9JTlZFU1QuLjkvMTUvMjAxNy5MRlIuRi5VU0QuSAEAAACZgAYAAgAAAAoyMDguNjg1NzM4AQgAAAAFAAAAATEBAAAACjE4Mzc5NjIyNDIDAAAAAzE2MAIAAAAEMTAwMgQAAAABMAcAAAAJOS8xNS8yMDE3CAAAAAoxMi8zMS8yMDE2CQAAAAEwKRyUEDUJ1ghzOWASNQnWCDRDSVEuTkFTREFRR1M6U0dFTi5JUV9SRVZFTlVFX0VTVC5DWTIwMjEuLkNPTi5GLlVTRC5IAQAAAGGFAAACAAAACTE1NjQuNjk2NQEOAAAABQAAAAIxMQEAAAABMAIAAAAKMTAwMTAxMDQ1NQMAAAAGMTAwMTgwBAAAAAEyBgAAAAEwBwAAAAMxNjAIAAAAATAJAAAAATEKAAAAATALAAAACzExMDUyMTUwNTUxDAAAAAE3DQAAAAk4LzI0LzIwMTgQAAAACTgvMjMvMjAxOMT/GxE1CdYIxP8bETUJ1ggyQ0lRLk5BU0RBUUdTOkJHTkUuSVFfUFJFRl9FUVVJVFkuMjAwMC4uTEZSLkYuVVNELkgBAAAA4OTdBgMAAAAAAJwL1TgICdYInAvVOAgJ1ghGQ0lRLk5BU0RBUUdTOkdUSFguSVFfTUlOT1JJVFlfSU5URVJFU1RfVE9UQUwuMjAwMC41LzUvMjAxNy5MRlIuRi5VU0QuSAEAAABlNGkIAwAAAAAA1owROAgJ1ggkwppvNAnWCDZDSVEuTkFTREFRR1M6RlBSWC5JUV9FQklUREEuMTk5Ni43LzMxLzIwMTguTEZSLkYuVVNELkgBAAAAN10zAAIAAAAILTExMS4wNDgBCAAAAAUAAAABMQEAAAAKMTg4NzQwMjIyNAMAAAADMTYwAgAAAAQ0</t>
  </si>
  <si>
    <t>MDUxBAAAAAEwBwAAAAk3LzMxLzIwMTgIAAAACTMvMzEvMjAxNwkAAAABMNaMETgICdYIGemhbzQJ1gg8Q0lRLk5BU0RBUUdTOk1HTlguSVFfRUFSTklOR19DTy5DWTIwMTYuNy8xNi8yMDE4LkxGUi5GLlVTRC5IAQAAAE8rCQACAAAABy01OC41MjgBCAAAAAUAAAABMQEAAAAKMTg3NjEzNTE1NwMAAAADMTYwAgAAAAE3BAAAAAEwBwAAAAk3LzE2LzIwMTgIAAAACjEyLzMxLzIwMTYJAAAAATDE/xsRNQnWCMKbYhI1CdYIIkNJUS5YVFJBOk1PUi5JUV9CRVRBXzVZUi43LzMxLzIwMTgBAAAA3xECAAIAAAARMC45ODEzNDI2MzkzMjAwNDIAnAvVOAgJ1gjUX5hvNAnWCDNDSVEuKElOVkFMSUQgSURFTlRJRklFUikuSVFfTEFTVFNBTEVQUklDRS45LzE1LzIwMTcFAAAAAAAAAAgAAAAUKEludmFsaWQgSWRlbnRpZmllcinep34QNQnWCJgSWRI1CdYIKUNJUS5JUVRSMzAyODY2NjI3LklRX1RSX0lNUExJRURfRVFfTklfTFRNAQAAAMNgDRICAAAAAABYzxIONQnWCAw+hQ41CdYILkNJUS5JUVRSMzcxNzE1MTE5LklRX1RSX1RBUkdFVF9TVE9DS1BSRU1JVU1fMU0BAAAAL+wnFgIAAAAAAFjPEg41CdYIwNuCDjUJ1gg7Q0lRLk5BU0RBUUdTOkFUTlguSVFfVE9UQUxfUkVWLkNZMjAxNi43LzMxLzIwMTguTEZSLkYuVVNELkgBAAAA3JlrAQIAAAAGMjAuNTUxAQgAAAAFAAAAATEBAAAACjE4Nzk5MDc2MTkDAAAAAzE2</t>
  </si>
  <si>
    <t>MAIAAAACMjgEAAAAATAHAAAACTcvMzEvMjAxOAgAAAAKMTIvMzEvMjAxNgkAAAABMNaMETgICdYIJMKabzQJ1ghBQ0lRLihJTlZBTElEIElERU5USUZJRVIpLklRX1RPVEFMX0RFQlQuMjAwMC43LzMxLzIwMTguTEZSLkYuVVNELkgFAAAAAAAAAAgAAAAUKEludmFsaWQgSWRlbnRpZmllcinIMLI3CAnWCO02sG80CdYIOENJUS5OQVNEQVFHUzpBTkFCLklRX0VCSVREQS5DWTIwMTcuNy8xNi8yMDE4LkxGUi5GLlVTRC5IAQAAACFMsgECAAAABy0yOC41OTgBCAAAAAUAAAABMQEAAAAKMTg3NzA2NTIzMQMAAAADMTYwAgAAAAQ0MDUxBAAAAAEwBwAAAAk3LzE2LzIwMTgIAAAACjEyLzMxLzIwMTcJAAAAATDE/xsRNQnWCMKbYhI1CdYINUNJUS5OQVNEQVFDTTpNVEVNLklRX0NBUEVYLjE5OTIuNy8zMS8yMDE4LkxGUi5GLlVTRC5IAQAAAJmbqQEDAAAAAADIMLI3CAnWCBnpoW80CdYIMUNJUS5JUVRSNTMzMzg1NzQ0LklRX1RSX1RBUkdFVF9SRVZFTlVFX0VTVC4uVVNELkgBAAAAENLKHwIAAAAAAAxtEA41CdYIwNuCDjUJ1gg+Q0lRLk5BU0RBUUNNOlpJT1AuSVFfVE9UQUxfRVFVSVRZLkNZMjAxNi43LzMxLzIwMTguTEZSLkYuVVNELkgBAAAAs1GyAAIAAAAGNDguMDIzAQgAAAAFAAAAATEBAAAACjE4NzcyMDQ0MTYDAAAAAzE2MAIAAAAEMTI3NQQAAAABMAcAAAAJNy8zMS8yMDE4CAAAAAoxMi8zMS8yMDE2</t>
  </si>
  <si>
    <t>CQAAAAEw1owROAgJ1gjDhp9vNAnWCCFDSVEuSVFUUjQyMjg4NzcwMS5JUV9UUl9CVVlFUk5BTUUBAAAAFcE0GQMAAAAUSGVhdCBCaW9sb2dpY3MsIEluYy4ADG0QDjUJ1gjA24IONQnWCENDSVEuTkFTREFRR006Q1JJUy5JUV9FQklUREFfM1lSX0FOTl9DQUdSLjIwMDAuNy8zMS8yMDE4LkxGUi5GLlVTRC5IAQAAABdqAAADAAAAAk5NAQgAAAAFAAAAATEBAAAACjE4ODYyNDc0MjADAAAAAzE2MAIAAAAENDIyMgQAAAABMAcAAAAJNy8zMS8yMDE4CAAAAAkzLzMxLzIwMTgJAAAAATDIMLI3CAnWCN1LpG80CdYIF0NJUS5BU1g6SU1VLklRX0VYQ0hBTkdFAQAAAJiTqQADAAAAA0FTWAApHJQQNQnWCDDXXRI1CdYII0NJUS5JUVRSMzE0ODI5MjM2LklRX1RSX0NMT1NFRF9EQVRFAQAAALTpwxIFAAAACjEwLzE2LzIwMTUAWM8SDjUJ1gjA24IONQnWCDVDSVEuTkFTREFRR006SU1NVS5JUV9UT1RBTF9SRVYuLjcvMTYvMjAxOC5MRlIuRi5VU0QuSAEAAAAgQwQAAgAAAAgyLjQxMTgzNQEIAAAABQAAAAExAQAAAAoxODg4NTIzMzg0AwAAAAMxNjACAAAAAjI4BAAAAAEwBwAAAAk3LzE2LzIwMTgIAAAACTMvMzEvMjAxOAkAAAABMMT/GxE1CdYIaGBnEjUJ1gg3Q0lRLk5BU0RBUUdNOklNTVUuSVFfUFJFRl9FUVVJVFkuLjcvMTYvMjAxOC5MRlIuRi5VU0QuSAEAAAAgQwQAAwAAAAAAxP8bETUJ1ghoYGcSNQnWCDhD</t>
  </si>
  <si>
    <t>SVEuTkFTREFRR006SU1NVS5JUV9FQklUREEuQ1kyMDE2LjcvMTYvMjAxOC5MRlIuRi5VU0QuSAEAAAAgQwQAAgAAAAotNTguNjQ3NDQ4AQgAAAAFAAAAATEBAAAACjE4NzM0OTM0OTEDAAAAAzE2MAIAAAAENDA1MQQAAAABMAcAAAAJNy8xNi8yMDE4CAAAAAoxMi8zMS8yMDE2CQAAAAEwxP8bETUJ1ggS/mQSNQnWCCdDSVEuTkFTREFRR1M6R1RIWC5JUV9CRVRBXzVZUi43LzMxLzIwMTgBAAAAZTRpCAMAAAAAAJwL1TgICdYIJMKabzQJ1gg4Q0lRLk9UQ1BLOk5XQk8uSVFfVE9UQUxfUkVWLkNZMjAxNi43LzE2LzIwMTguTEZSLkYuVVNELkgBAAAAo3oUAAIAAAAFMC42MjMBCAAAAAUAAAABMQEAAAAKMTg4MzI0OTA2NQMAAAADMTYwAgAAAAIyOAQAAAABMAcAAAAJNy8xNi8yMDE4CAAAAAoxMi8zMS8yMDE2CQAAAAEwKRyUEDUJ1ghzOWASNQnWCEZDSVEuTkFTREFRQ006WklPUC5JUV9NSU5PUklUWV9JTlRFUkVTVF9UT1RBTC4yMDAwLjUvNS8yMDE3LkxGUi5GLlVTRC5IAQAAALNRsgADAAAAAADWjBE4CAnWCMOGn280CdYIMENJUS5JUVRSNDEzOTUzNjYxLklRX1RSX1RBUkdFVF9FQklUREFfRVNULi5VU0QuSAEAAAB9bqwYAgAAAAAAsrNJbzQJ1giB/ZVvNAnWCCRDSVEuLklRX1RSX1RBUkdFVF9SRVZFTlVFX0VTVC4uVVNELkgFAAAAAAAAAAgAAAAUKEludmFsaWQgSWRlbnRpZmllcimcC9U4CAnWCHd5</t>
  </si>
  <si>
    <t>gA41CdYIPENJUS5OQVNEQVFHTTpDUklTLklRX0VCSVREQV9FU1QuQ1kyMDE5LjcvMzEvMjAxOC5DT04uRi5VU0QuSAEAAAAXagAAAwAAAAAAyDCyNwgJ1gjdS6RvNAnWCD9DSVEuTkFTREFRR006WE5DUi5JUV9FQklUREFfM1lSX0FOTl9DQUdSLi43LzE2LzIwMTguTEZSLkYuVVNELkgBAAAAploLAAMAAAACTk0BCAAAAAUAAAABMQEAAAAKMTg4NzEyNTg1NQMAAAADMTYwAgAAAAQ0MjIyBAAAAAEwBwAAAAk3LzE2LzIwMTgIAAAACTMvMzEvMjAxOAkAAAABMMT/GxE1CdYIEv5kEjUJ1gg4Q0lRLk5BU0RBUUdTOlRTUk8uSVFfRUJJVERBLkNZMjAxNi43LzMxLzIwMTguTEZSLkYuVVNELkgBAAAAaNZYBgIAAAAILTMzNS42NDkBCAAAAAUAAAABMQEAAAAKMTg3NzIyNjI4NAMAAAADMTYwAgAAAAQ0MDUxBAAAAAEwBwAAAAk3LzMxLzIwMTgIAAAACjEyLzMxLzIwMTYJAAAAATCcC9U4CAnWCCTCmm80CdYIM0NJUS5OQVNEQVFDTTpBVkVPLklRX1BFUklPRERBVEVfSVMuLjcvMTYvMjAxOC5MRlIuRgEAAAD0Fh0ABQAAAAkzLzMxLzIwMTgAxP8bETUJ1gjCm2ISNQnWCDBDSVEuLklRX1JFVkVOVUVfRVNULkNZMjAxOC43LzMxLzIwMTguQ09OLkYuVVNELkgFAAAAAQAAAAgAAAAUKEludmFsaWQgSWRlbnRpZmllcin1hDJHNAnWCPWEMkc0CdYILUNJUS5OQVNEQVFHUzpGUFJYLklRX01BUktFVENBUC41LzUvMjAx</t>
  </si>
  <si>
    <t>Ny5VU0QuSAEAAAA3XTMAAgAAAAk4NTcuNTMyMDUBBgAAAAUAAAABMQEAAAAKMTg0MDU2NDU5OQMAAAADMTYwAgAAAAYxMDAwNTQEAAAAATAHAAAACDUvNS8yMDE3yDCyNwgJ1ggZ6aFvNAnWCDZDSVEuTkFTREFRQ006WklPUC5JUV9FQklUREEuMTk5Mi43LzMxLzIwMTguTEZSLkYuVVNELkgBAAAAs1GyAAIAAAAILTEyMC45MDYBCAAAAAUAAAABMQEAAAAKMTgzOTM0MTA2NwMAAAADMTYwAgAAAAQ0MDUxBAAAAAEwBwAAAAk3LzMxLzIwMTgIAAAACTMvMzEvMjAxNgkAAAABMNaMETgICdYIw4afbzQJ1ggsQ0lRLklRVFIyNDU4MzEwMDcuSVFfVFJfVE9UQUxfR1JPU1NfVFYuVVNELkgFAAAAAAAAAAgAAAAaKEludmFsaWQgQ3VycmVuY3kgUmVxdWVzdClJU0dvNAnWCIH9lW80CdYIIUNJUS5PVENQSzpNQlZYLklRX0VGRkVDVF9UQVhfUkFURQEAAADYRIsCAwAAAAAA3qd+EDUJ1giYElkSNQnWCChDSVEuWFRSQTpNT1IuSVFfRElWSURFTkRfWUlFTEQuNy8zMS8yMDE4AQAAAN8RAgADAAAAAACcC9U4CAnWCNRfmG80CdYIPUNJUS5OQVNEQVFHUzpUU1JPLklRX1JFVkVOVUVfRVNULkNZMjAyMC43LzMxLzIwMTguQ09OLkYuVVNELkgBAAAAaNZYBgIAAAAJNjYyLjQxMjgzAQ4AAAAFAAAAAjExAQAAAAEwAgAAAAoxMDAxNTgwMzUwAwAAAAYxMDAxODAEAAAAATIGAAAAATAHAAAAAzE2MAgAAAABMAkAAAABMQoA</t>
  </si>
  <si>
    <t>AAABMAsAAAALMTA5ODExMzcwNzQMAAAAATcNAAAACDgvMS8yMDE4EAAAAAk3LzMxLzIwMTicC9U4CAnWCCTCmm80CdYIKUNJUS5JUVRSNDA4NDA3ODIyLklRX0JVU0lORVNTX0RFU0NSSVBUSU9OAQAAAODOVxgDAAAAnwdBcyBvZiBOb3ZlbWJlciAyMDE2LCBTdWJzdGFudGlhbGx5IEFsbCBBc3NldHMgb2YgVGV0cmFsb2dpYyBQaGFybWFjZXV0aWNhbHMgQ29ycG9yYXRpb24gd2VyZSBhY3F1aXJlZCBieSBNZWRpdmlyIEFCLiBTdWJzdGFudGlhbGx5IEFsbCBBc3NldHMgb2YgVGV0cmFsb2dpYyBQaGFybWFjZXV0aWNhbHMgQ29ycG9yYXRpb24sIGEgY2xpbmljYWwtc3RhZ2UgYmlvcGhhcm1hY2V1dGljYWwgY29tcGFueSwgZm9jdXNlcyBvbiBkaXNjb3ZlcmluZyBhbmQgZGV2ZWxvcGluZyBzbWFsbCBtb2xlY3VsZSB0aGVyYXBldXRpY3MgaW4gb25jb2xvZ3kgYW5kIGluZmVjdGlvdXMgZGlzZWFzZXMuIEl0IGhhcyB0d28gY2xpbmljYWwtc3RhZ2UgcHJvZHVjdCBjYW5kaWRhdGVzIGluIGRldmVsb3BtZW50LCBzdWNoIGFzIGJpcmluYXBhbnQgYW5kIFNIQVBFLiBCaXJpbmFwYW50IGlzIGEgc21hbGwgbW9sZWN1bGUgdGhlcmFwZXV0aWMgdGhhdCBtaW1pY3MgU2Vjb25kIE1pdG9jaG9uZHJpYWwgQWN0aXZhdG9yIG9mIENhc3Bhc2VzLW1pbWV0aWMsIHdoaWNoIGxlYWRzIHRvIGFwb3B0b3NpcyBv</t>
  </si>
  <si>
    <t>ciBjZWxsLWRlYXRoIGluIGRhbWFnZWQgY2VsbHMuIFNIQVBFIGlzIGl0cyBwcm9wcmlldGFyeSBoaXN0b25lIGRlYWNldHlsYXNlIGluaGliaXRvciBmb3IgdG9waWNhbCB1c2UgZm9yIHRoZSB0cmVhdG1lbnQgb2YgZWFybHktc3RhZ2UgY3V0YW5lb3VzIFQtY2VsbCBseW1waG9tYS4gVGV0cmFMb2dpYyBQaGFybWFjZXV0aWNhbHMgQ29ycG9yYXRpb24gaGFzIHJlc2VhcmNoIGNvbGxhYm9yYXRpb24gd2l0aCBXYWx0ZXIgYW5kIEVsaXphIEhhbGwgSW5zdGl0dXRlIG9mIE1lZGljYWwgUmVzZWFyY2ggdG8gZXhhbWluZSBTTUFDLW1pbWV0aWNzLCBpbmNsdWRpbmcgYmlyaW5hcGFudCBpbiB0aGUgdHJlYXRtZW50IG9mIGluZmVjdGlvdXMgZGlzZWFzZS4AsrNJbzQJ1giB/ZVvNAnWCCVDSVEuTkFTREFRQ006QVZFTy5JUV9GSVJTVFBSSUNJTkdEQVRFAQAAAPQWHQAFAAAACTMvMTIvMjAxMABGnRkRNQnWCMKbYhI1CdYIQ0NJUS5OQVNEQVFHUzpQQllJLklRX01JTk9SSVRZX0lOVEVSRVNUX1RPVEFMLi43LzE2LzIwMTguTEZSLkYuVVNELkgBAAAAAmqsBwMAAAAAAMT/GxE1CdYIEv5kEjUJ1ggiQ0lRLklRVFI0MDM3OTE3NjcuSVFfVFJfVE9UQUxfQ0FTSAEAAACXXxEYAgAAAAo2MjMuMDc1MDI4AQYAAAAFAAAAAjU0AQAAAAYxMDEwNTYCAAAACTQwMzc5MTc2NwMAAAAJNDAzNzkyMTA5BAAAAAMxNjAG</t>
  </si>
  <si>
    <t>AAAABUZhbHNlWM8SDjUJ1gjA24IONQnWCCdDSVEuTkFTREFRR1M6QkdORS5JUV9QRVJJT0REQVRFX0lTLjEwMDABAAAA4OTdBgUAAAAKMTIvMzEvMjAxNwCcC9U4CAnWCIH9lW80CdYIKENJUS5OQVNEQVFHTTpMUFRYLklRX1RFVi43LzE2LzIwMTguVVNELkgBAAAADDYJBwIAAAAJODguMjU2NzI3AQYAAAAFAAAAATEBAAAACjE4OTAxNjM0NzEDAAAAAzE2MAIAAAAGMTAwMDYwBAAAAAEwBwAAAAk3LzE2LzIwMTgpHJQQNQnWCDDXXRI1CdYIMENJUS5JUVRSMzcxNzE1MTE5LklRX1RSX1RBUkdFVF9FQklUREFfRVNULi5VU0QuSAEAAAAv7CcWAgAAAAAAWM8SDjUJ1gjA24IONQnWCDxDSVEuTkFTREFRR006RkFURS5JUV9FQklUREFfRVNULkNZMjAxOS43LzMxLzIwMTguQ09OLkYuVVNELkgBAAAAaDFXAgMAAAAAANaMETgICdYIw4afbzQJ1ghDQ0lRLihJTlZBTElEIElERU5USUZJRVIpLklRX0VCSVREQV9FU1QuQ1kyMDE5LjcvMzEvMjAxOC5DT04uRi5VU0QuSAUAAAAAAAAACAAAABQoSW52YWxpZCBJZGVudGlmaWVyKcgwsjcICdYI7TawbzQJ1ggoQ0lRLk5BU0RBUUdNOklNTVUuSVFfVEVWLjcvMzEvMjAxOC5VU0QuSAEAAAAgQwQAAgAAAAs0MTYwLjQxNjEwMgEGAAAABQAAAAExAQAAAAoxODg4NTIyNDQzAwAAAAMxNjACAAAABjEwMDA2MAQAAAABMAcAAAAJNy8zMS8yMDE4nAvVOAgJ1gjUX5hvNAnW</t>
  </si>
  <si>
    <t>CClDSVEuSVFUUjI3MzUwNzE4NS5JUV9UUl9JTVBMSUVEX0VRX05JX0xUTQEAAABxY00QAwAAAAJOTQCys0lvNAnWCIH9lW80CdYIPENJUS5OQVNEQVFHUzpDQUxBLklRX0VBUk5JTkdfQ08uQ1kyMDE3LjcvMTYvMjAxOC5MRlIuRi5VU0QuSAEAAAClJ4EGAgAAAActMjcuODI2AQgAAAAFAAAAATEBAAAACjE4Nzc5NTU3MDcDAAAAAzE2MAIAAAABNwQAAAABMAcAAAAJNy8xNi8yMDE4CAAAAAoxMi8zMS8yMDE3CQAAAAEwKRyUEDUJ1gjkdFsSNQnWCDxDSVEuT1RDUEs6TldCTy5JUV9FQklUREFfNVlSX0FOTl9DQUdSLi43LzE2LzIwMTguTEZSLkYuVVNELkgBAAAAo3oUAAMAAAACTk0BCAAAAAUAAAABMQEAAAAKMTg4OTMwMjgyNAMAAAADMTYwAgAAAAQ0MjM1BAAAAAEwBwAAAAk3LzE2LzIwMTgIAAAACTMvMzEvMjAxOAkAAAABMCkclBA1CdYIMNddEjUJ1gg9Q0lRLihJTlZBTElEIElERU5USUZJRVIpLklRX0VCSVREQS4yMDAwLjcvMzEvMjAxOC5MRlIuRi5VU0QuSAUAAAAAAAAACAAAABQoSW52YWxpZCBJZGVudGlmaWVyKcgwsjcICdYI7TawbzQJ1ghGQ0lRLihJTlZBTElEIElERU5USUZJRVIpLklRX05FVF9XT1JLSU5HX0NBUC4xOTk2LjcvMzEvMjAxOC5MRlIuRi5VU0QuSAUAAAAAAAAACAAAABQoSW52YWxpZCBJZGVudGlmaWVyKcgwsjcICdYI7TawbzQJ1gg1Q0lRLk5BU0RBUUdTOkVQWk0uSVFf</t>
  </si>
  <si>
    <t>REFfQ0YuMjAwMC43LzMxLzIwMTguTEZSLkYuVVNELkgBAAAAAyY9AwIAAAAFMS41ODkBCAAAAAUAAAABMQEAAAAKMTg4NzI0NjA3NwMAAAADMTYwAgAAAAQyMTYwBAAAAAEwBwAAAAk3LzMxLzIwMTgIAAAACTMvMzEvMjAxOAkAAAABMNaMETgICdYIcySdbzQJ1ggnQ0lRLk5BU0RBUUdTOkNBTEEuSVFfQkVUQV81WVIuNy8zMS8yMDE4AQAAAKUngQYCAAAAEDIuMzc1NDA2OTM4MTg2MTQAyDCyNwgJ1gjdS6RvNAnWCDtDSVEuTkFTREFRR006WE5DUi5JUV9UT1RBTF9SRVYuQ1kyMDE3LjcvMTYvMjAxOC5MRlIuRi5VU0QuSAEAAACmWgsAAgAAAAYzNS43MTEBCAAAAAUAAAABMQEAAAAKMTg3Njk4NDU1MgMAAAADMTYwAgAAAAIyOAQAAAABMAcAAAAJNy8xNi8yMDE4CAAAAAoxMi8zMS8yMDE3CQAAAAEwxP8bETUJ1ggS/mQSNQnWCCxDSVEuSVFUUjMwNzg2Mzk4NC5JUV9UUl9UQVJHRVRfRUJJVERBLi5VU0QuSAEAAACwoVkSAgAAAAAAWM8SDjUJ1gjA24IONQnWCDtDSVEuT1RDUEs6TldCTy5JUV9UT1RBTF9FUVVJVFkuQ1kyMDE2LjcvMTYvMjAxOC5MRlIuRi5VU0QuSAEAAACjehQAAgAAAActMjYuNDk5AQgAAAAFAAAAATEBAAAACjE4ODMyNDkwNjUDAAAAAzE2MAIAAAAEMTI3NQQAAAABMAcAAAAJNy8xNi8yMDE4CAAAAAoxMi8zMS8yMDE2CQAAAAEwKRyUEDUJ1ggw110SNQnWCDpDSVEuTkFTREFRR1M6</t>
  </si>
  <si>
    <t>QkdORS5JUV9DQVNIX1NUX0lOVkVTVC4uOS8xNS8yMDE3LkxGUi5GLlVTRC5IAQAAAODk3QYCAAAABjQwNy40MwEIAAAABQAAAAExAQAAAAoxODUyNzAwNTY0AwAAAAMxNjACAAAABDEwMDIEAAAAATAHAAAACTkvMTUvMjAxNwgAAAAJNi8zMC8yMDE3CQAAAAEwxP8bETUJ1ghoYGcSNQnWCDdDSVEuTkFTREFRR006SU1NVS5JUV9QUkVGX0VRVUlUWS4uOS8xNS8yMDE3LkxGUi5GLlVTRC5IAQAAACBDBAACAAAABDAuMDEBCAAAAAUAAAABMQEAAAAKMTg1NDM4MjMxNAMAAAADMTYwAgAAAAQxMDA1BAAAAAEwBwAAAAk5LzE1LzIwMTcIAAAACTYvMzAvMjAxNwkAAAABMMT/GxE1CdYIEv5kEjUJ1ggnQ0lRLk5BU0RBUUdNOkFSUlkuSVFfQkVUQV81WVIuNy8zMS8yMDE4AQAAAPhhAAACAAAAEDEuMjYyMjQzMTY2MTgyNjYAnAvVOAgJ1ggkwppvNAnWCDhDSVEuTkFTREFRR1M6RlBSWC5JUV9FQklUREEuQ1kyMDE3LjcvMTYvMjAxOC5MRlIuRi5VU0QuSAEAAAA3XTMAAgAAAAgtMTQ4Ljg4OQEIAAAABQAAAAExAQAAAAoxODc2MTM1OTkxAwAAAAMxNjACAAAABDQwNTEEAAAAATAHAAAACTcvMTYvMjAxOAgAAAAKMTIvMzEvMjAxNwkAAAABMCkclBA1CdYIczlgEjUJ1ggnQ0lRLk5BU0RBUUNNOkFWRU8uSVFfQkVUQV8yWVIuNy8xNi8yMDE4AQAAAPQWHQACAAAAETAuNTE1NTM4OTk0NzIyODA0AMT/GxE1CdYIwpti</t>
  </si>
  <si>
    <t>EjUJ1gg4Q0lRLk5BU0RBUUdTOlNHRU4uSVFfVE9UQUxfRVFVSVRZLi43LzE2LzIwMTguTEZSLkYuVVNELkgBAAAAYYUAAAIAAAAIMTI3OS4zMzcBCAAAAAUAAAABMQEAAAAKMTg4NDg5Mjg1MgMAAAADMTYwAgAAAAQxMjc1BAAAAAEwBwAAAAk3LzE2LzIwMTgIAAAACTMvMzEvMjAxOAkAAAABMMT/GxE1CdYIaGBnEjUJ1gg2Q0lRLk5BU0RBUUdNOkFGTUQuSVFfRUFSTklOR19DTy4uNy8xNi8yMDE4LkxGUi5GLlVTRC5IAQAAANv3DAACAAAACi0zNy43ODYxMjgBCAAAAAUAAAABMQEAAAAKMTg4OTg2NjA0OQMAAAADMTYwAgAAAAE3BAAAAAEwBwAAAAk3LzE2LzIwMTgIAAAACTMvMzEvMjAxOAkAAAABMCkclBA1CdYIMNddEjUJ1gg9Q0lRLk5BU0RBUUdTOkpOQ0UuSVFfUkVWRU5VRV9FU1QuQ1kyMDE5LjcvMTYvMjAxOC5DT04uRi5VU0QuSAEAAADieZ4NAgAAAAg2Ny42MDI2NwEOAAAABQAAAAIxMQEAAAABMAIAAAAKMTAwMzYyOTIwMgMAAAAGMTAwMTgwBAAAAAEyBgAAAAEwBwAAAAMxNjAIAAAAATAJAAAAATEKAAAAATALAAAACzEwOTQ1NTcwMzU4DAAAAAE3DQAAAAk3LzE3LzIwMTgQAAAACTcvMTYvMjAxOCkclBA1CdYI5HRbEjUJ1ggsQ0lRLklRVFIyNDU4MzEwMDcuSVFfVFJfVEFSR0VUX0VCSVREQS4uVVNELkgBAAAAXxWnDgIAAAAGLTAuMzU0AQYAAAAFAAAAAjM3AQAAAAoxNjMwMjk2OTcyAgAA</t>
  </si>
  <si>
    <t>AAUyMTY3NwMAAAADMTYwBAAAAAEwBwAAAAgxLzEvMTkwMLKzSW80CdYIgf2VbzQJ1gg7Q0lRLk5BU0RBUUNNOlpJT1AuSVFfVE9UQUxfUkVWLkNZMjAxNi43LzMxLzIwMTguTEZSLkYuVVNELkgBAAAAs1GyAAIAAAAFNi44NjEBCAAAAAUAAAABMQEAAAAKMTg3NzIwNDQxNgMAAAADMTYwAgAAAAIyOAQAAAABMAcAAAAJNy8zMS8yMDE4CAAAAAoxMi8zMS8yMDE2CQAAAAEw1owROAgJ1gjDhp9vNAnWCChDSVEuTkFTREFRR1M6Q0FMQS5JUV9URVYuNy8zMS8yMDE4LlVTRC5IAQAAAKUngQYCAAAACDguNTQ0ODUyAQYAAAAFAAAAATEBAAAACjE4ODc5Nzk3MDcDAAAAAzE2MAIAAAAGMTAwMDYwBAAAAAEwBwAAAAk3LzMxLzIwMTjIMLI3CAnWCN1LpG80CdYIIENJUS5JUTExMTEzMzY4LklRX0NPTVBBTllfVElDS0VSAQAAAJiTqQADAAAAB0FTWDpJTVUADG0QDjUJ1gh/UJgONQnWCChDSVEuTkFTREFRR1M6QU5BQi5JUV9URVYuNy8xNi8yMDE4LlVTRC5IAQAAACFMsgECAAAACzE0MzguNjczNzY5AQYAAAAFAAAAATEBAAAACjE4ODc0MDAwMjEDAAAAAzE2MAIAAAAGMTAwMDYwBAAAAAEwBwAAAAk3LzE2LzIwMThGnRkRNQnWCBL+ZBI1CdYIKUNJUS5FTlhUUEE6SVBILklRX0xBU1RTQUxFUFJJQ0UuOS8xNS8yMDE3AQAAAJmABgACAAAABzEzLjI3OTEAKRyUEDUJ1ghzOWASNQnWCDZDSVEuTkFTREFRR1M6TVJT</t>
  </si>
  <si>
    <t>Ti5JUV9UT1RBTF9ERUJULi43LzE2LzIwMTguTEZSLkYuVVNELkgBAAAA5sUYAAIAAAABMAEIAAAABQAAAAExAQAAAAoxODg5MDk2NjUzAwAAAAMxNjACAAAABDQxNzMEAAAAATAHAAAACTcvMTYvMjAxOAgAAAAJMy8zMS8yMDE4CQAAAAEwxP8bETUJ1ghzOWASNQnWCD1DSVEuTkFTREFRR006TFBUWC5JUV9SRVZFTlVFX0VTVC5DWTIwMTkuNy8xNi8yMDE4LkNPTi5GLlVTRC5IAQAAAAw2CQcCAAAAATABDgAAAAUAAAACMTEBAAAAATACAAAACjEwMDM2Mzk1NTIDAAAABjEwMDE4MAQAAAABMgYAAAABMAcAAAADMTYwCAAAAAEwCQAAAAExCgAAAAEwCwAAAAsxMDkzNTQzOTI3MgwAAAABNw0AAAAJNy8xNy8yMDE4EAAAAAk3LzE2LzIwMTgpHJQQNQnWCDDXXRI1CdYILENJUS5JUVRSNTYxNjA2MzY1LklRX1RSX1RPVEFMX0dST1NTX1RWLlVTRC5IBQAAAAAAAAAIAAAAGihJbnZhbGlkIEN1cnJlbmN5IFJlcXVlc3QpSVNHbzQJ1gg1m5NvNAnWCCJDSVEuSVFUUjU1MzU0ODAyNS5JUV9UUl9QQ1RfU09VR0hUAQAAAPl4/iACAAAAAzEwMAEGAAAABQAAAAI1NAEAAAAGMTAxMDI0AgAAAAk1NTM1NDgwMjUDAAAACTU1MzU2NDk3MQQAAAADMTYwBgAAAARUcnVlsrNJbzQJ1giB/ZVvNAnWCDxDSVEuTkFTREFRR006Q1JWUy5JUV9FQVJOSU5HX0NPLkNZMjAxNi43LzMxLzIwMTguTEZSLkYuVVNELkgBAAAA9LCmEAIA</t>
  </si>
  <si>
    <t>AAAHLTM2LjM3NQEIAAAABQAAAAExAQAAAAoxODc3MjIwNzkzAwAAAAMxNjACAAAAATcEAAAAATAHAAAACTcvMzEvMjAxOAgAAAAKMTIvMzEvMjAxNgkAAAABMNaMETgICdYIGemhbzQJ1gg9Q0lRLk5BU0RBUUdTOkNUTVguSVFfUkVWRU5VRV9FU1QuQ1kyMDE4LjcvMTYvMjAxOC5DT04uRi5VU0QuSAEAAADcOJsDAgAAAAg2Ny42MDU3MQEOAAAABQAAAAIxMQEAAAABMAIAAAAKMTAwMzIxNTk2OAMAAAAGMTAwMTgwBAAAAAEyBgAAAAEwBwAAAAMxNjAIAAAAATAJAAAAATEKAAAAATALAAAACzEwOTUxMjMxNTY1DAAAAAE3DQAAAAk3LzE3LzIwMTgQAAAACTcvMTYvMjAxOMT/GxE1CdYIwptiEjUJ1ggrQ0lRLklRVFIyNTM5NTQ0NzMuSVFfVFJfVE9UQUxfR1JPU1NfVFYuLlVTRAEAAACpCSMPAgAAAAAAsrNJbzQJ1gg1m5NvNAnWCDdDSVEuT1RDUEs6TUJWWC5JUV9DQVNIX1NUX0lOVkVTVC4uNy8xNi8yMDE4LkxGUi5GLlVTRC5IAQAAANhEiwICAAAABzAuODg1NzEBCAAAAAUAAAABMQEAAAAKMTg4MTIxMzI0NQMAAAADMTYwAgAAAAQxMDAyBAAAAAEwBwAAAAk3LzE2LzIwMTgIAAAACjEyLzMxLzIwMTcJAAAAATDep34QNQnWCJgSWRI1CdYIPENJUS5OQVNEQVFHUzpKTkNFLklRX0VBUk5JTkdfQ08uQ1kyMDE3LjcvMTYvMjAxOC5MRlIuRi5VU0QuSAEAAADieZ4NAgAAAActMTYuNDQzAQgAAAAFAAAAATEB</t>
  </si>
  <si>
    <t>AAAACjE4Nzc3MTY2MTMDAAAAAzE2MAIAAAABNwQAAAABMAcAAAAJNy8xNi8yMDE4CAAAAAoxMi8zMS8yMDE3CQAAAAEw3qd+EDUJ1giYElkSNQnWCC1DSVEuTkFTREFRR1M6Q0FMQS5JUV9ESVZJREVORF9ZSUVMRC43LzE2LzIwMTgBAAAApSeBBgMAAAAAACkclBA1CdYI5HRbEjUJ1ghGQ0lRLk5BU0RBUUdTOkZQUlguSVFfVE9UQUxfUkVWXzVZUl9BTk5fQ0FHUi4yMDAwLjcvMzEvMjAxOC5MRlIuRi5VU0QuSAEAAAA3XTMAAgAAAAY0MS42MTgBCAAAAAUAAAABMQEAAAAKMTg4NzQwMjIyNwMAAAADMTYwAgAAAAQ0MjMzBAAAAAEwBwAAAAk3LzMxLzIwMTgIAAAACTMvMzEvMjAxOAkAAAABMMgwsjcICdYIGemhbzQJ1ghEQ0lRLihJTlZBTElEIElERU5USUZJRVIpLklRX0NBU0hfU1RfSU5WRVNULjIwMDAuNS81LzIwMTcuTEZSLkYuVVNELkgFAAAAAAAAAAgAAAAUKEludmFsaWQgSWRlbnRpZmllcinIMLI3CAnWCO02sG80CdYIP0NJUS5OQVNEQVFHUzpDQUxBLklRX05FVF9XT1JLSU5HX0NBUC4yMDAwLjcvMzEvMjAxOC5MRlIuRi5VU0QuSAEAAAClJ4EGAgAAAActMjQuNzQyAQgAAAAFAAAAATEBAAAACjE4ODc5ODAzMDUDAAAAAzE2MAIAAAAEMTMxMQQAAAABMAcAAAAJNy8zMS8yMDE4CAAAAAkzLzMxLzIwMTgJAAAAATDIMLI3CAnWCN1LpG80CdYIQUNJUS4oSU5WQUxJRCBJREVOVElGSUVSKS5JUV9F</t>
  </si>
  <si>
    <t>QVJOSU5HX0NPLjIwMDAuNy8zMS8yMDE4LkxGUi5GLlVTRC5IBQAAAAAAAAAIAAAAFChJbnZhbGlkIElkZW50aWZpZXIpyDCyNwgJ1gjtNrBvNAnWCDdDSVEuWFRSQTpNT1IuSVFfVE9UQUxfRVFVSVRZLjE5OTYuNy8zMS8yMDE4LkxGUi5GLlVTRC5IAQAAAN8RAgACAAAACjQyOS40MDkyODQBCAAAAAUAAAABMQEAAAAKMTg4NjE1MTY0NwMAAAADMTYwAgAAAAQxMjc1BAAAAAEwBwAAAAk3LzMxLzIwMTgIAAAACTMvMzEvMjAxNwkAAAABMJwL1TgICdYI1F+YbzQJ1gg6Q0lRLkVOWFRQQTpJUEguSVFfUkVWRU5VRV9FU1QuQ1kyMDE5LjcvMTYvMjAxOC5DT04uRi5VU0QuSAEAAACZgAYAAgAAABAxMjguNTM1Njg2NzI4MjE3AQ4AAAAFAAAAAjExAQAAAAEwAgAAAAoxMDAxNjQzMzkyAwAAAAYxMDAxODAEAAAAATMGAAAAATAHAAAAAzE2MAgAAAABMAkAAAABMQoAAAABMAsAAAALMTA5NTM4NDIzODkMAAAAATcNAAAACTcvMTcvMjAxOBAAAAAJNy8xNi8yMDE4KRyUEDUJ1ghzOWASNQnWCD9DSVEuRU5YVFBBOklQSC5JUV9UT1RBTF9SRVZfMllSX0FOTl9DQUdSLi43LzE2LzIwMTguTEZSLkYuVVNELkgBAAAAmYAGAAIAAAAGMzIuMzQyAQgAAAAFAAAAATEBAAAACjE4ODk1NTIxNjQDAAAAAjUwAgAAAAQ0MjA3BAAAAAEwBwAAAAk3LzE2LzIwMTgIAAAACjEyLzMxLzIwMTcJAAAAATApHJQQNQnWCHM5YBI1CdYI</t>
  </si>
  <si>
    <t>RkNJUS5OQVNEQVFHUzpGUFJYLklRX1RPVEFMX1JFVl8yWVJfQU5OX0NBR1IuMjAwMC43LzMxLzIwMTguTEZSLkYuVVNELkgBAAAAN10zAAIAAAAILTU5Ljc2MDcBCAAAAAUAAAABMQEAAAAKMTg4NzQwMjIyNwMAAAADMTYwAgAAAAQ0MjA3BAAAAAEwBwAAAAk3LzMxLzIwMTgIAAAACTMvMzEvMjAxOAkAAAABMMgwsjcICdYIGemhbzQJ1ghDQ0lRLihJTlZBTElEIElERU5USUZJRVIpLklRX0VCSVREQV9FU1QuQ1kyMDE4LjcvMTYvMjAxOC5DT04uRi5VU0QuSAUAAAAAAAAACAAAABQoSW52YWxpZCBJZGVudGlmaWVyKSAKgRA1CdYImBJZEjUJ1gg3Q0lRLkFTWDpJTVUuSVFfUkVWRU5VRV9FU1QuQ1kyMDIxLjcvMTYvMjAxOC5DT04uRi5VU0QuSAEAAACYk6kAAwAAAAAAKRyUEDUJ1ggw110SNQnWCCdDSVEuTkFTREFRR1M6VFNSTy5JUV9CRVRBXzFZUi43LzE2LzIwMTgBAAAAaNZYBgIAAAAQMS4wMTU1MjQwNzQ2OTg2MQDE/xsRNQnWCBL+ZBI1CdYINkNJUS5OQVNEQVFDTTpNVEVNLklRX0VCSVREQS4yMDAwLjcvMzEvMjAxOC5MRlIuRi5VU0QuSAEAAACZm6kBAgAAAActMjMuNzcyAQgAAAAFAAAAATEBAAAACjE4ODg3MzMwMDQDAAAAAzE2MAIAAAAENDA1MQQAAAABMAcAAAAJNy8zMS8yMDE4CAAAAAkzLzMxLzIwMTgJAAAAATDIMLI3CAnWCBnpoW80CdYIO0NJUS5OQVNEQVFHTTpDUlZTLklRX0VCSVRf</t>
  </si>
  <si>
    <t>TUFSR0lOLjIwMDAuNy8zMS8yMDE4LkxGUi5GLlVTRC5IAQAAAPSwphADAAAAAADWjBE4CAnWCBnpoW80CdYIKUNJUS5JUVRSNDMxODQxNTgxLklRX0JVU0lORVNTX0RFU0NSSVBUSU9OAQAAAG8E5g4DAAAA3QVUcnVlIE5vcnRoIFRoZXJhcGV1dGljcywgSW5jLiwgYSBiaW90ZWNobm9sb2d5IGNvbXBhbnksIGRldmVsb3BzIHRoZXJhcGllcyB0aGF0IHRhcmdldCB0aGUgY29tcGxlbWVudCBwYXRod2F5IG9mIHRoZSBpbW11bmUgc3lzdGVtIHRvIGFkZHJlc3MgZnVuZGFtZW50YWwgbWVjaGFuaXNtcyBpbiByYXJlIGRpc2Vhc2VzLiBJdHMgVE5UMDA5IGlzIGEgbW9ub2Nsb25hbCBhbnRpYm9keSB0aGF0IHNlbGVjdGl2ZWx5IGluaGliaXRzIHRoZSBjbGFzc2ljYWwgY29tcGxlbWVudCBwYXRod2F5IGZvciB0aGUgdHJlYXRtZW50IG9mIGNvbGQgYWdnbHV0aW5pbiBkaXNlYXNlLCB3YXJtIGF1dG9pbW11bmUgaGVtb2x5dGljIGFuZW1pYSwgYW50aWJvZHktbWVkaWNhdGVkIHJlamVjdGlvbiwgYnVsbG91cyBwZW1waGlnb2lkLCBhbmQgb3RoZXIgcmFyZSBkaXNlYXNlcy4gVGhlIGNvbXBhbnkgaXMgYWxzbyBpbnZlc3RpZ2F0aW5nIG90aGVyIHRyZWF0bWVudCBvcHRpb25zIGZvciBhIHJhbmdlIG9mIGNsYXNzaWNhbCBjb21wbGVtZW50LW1lZGlhdGVkIGRpc2Vhc2VzLiBUcnVlIE5vcnRoIFRoZXJh</t>
  </si>
  <si>
    <t>cGV1dGljcyB3YXMgZm91bmRlZCBpbiAyMDEzIGFuZCBpcyBiYXNlZCBpbiBTb3V0aCBTYW4gRnJhbmNpc2NvLCBDYWxpZm9ybmlhLiBBcyBvZiBKdW5lIDI4LCAyMDE3LCBUcnVlIE5vcnRoIFRoZXJhcGV1dGljcywgSW5jLiBvcGVyYXRlcyBhcyBhIHN1YnNpZGlhcnkgb2YgQmlvdmVyYXRpdiBJbmMuAAxtEA41CdYIDD6FDjUJ1gg1Q0lRLk5BU0RBUUNNOk1URU0uSVFfQ0FQRVguMTk5Ni43LzMxLzIwMTguTEZSLkYuVVNELkgBAAAAmZupAQIAAAAJLTAuMDkzNjk3AQgAAAAFAAAAATEBAAAACjE4ODg3MzMwMDIDAAAAAzE2MAIAAAAEMjAyMQQAAAABMAcAAAAJNy8zMS8yMDE4CAAAAAkzLzMxLzIwMTcJAAAAATDIMLI3CAnWCBnpoW80CdYIR0NJUS5OQVNEQVFDTTpTUk5FLklRX01JTk9SSVRZX0lOVEVSRVNUX1RPVEFMLjIwMDAuNy8zMS8yMDE4LkxGUi5GLlVTRC5IAQAAAElDlAMCAAAABTYuMDY4AQgAAAAFAAAAATEBAAAACjE4ODc5ODk4MzEDAAAAAzE2MAIAAAAEMTMxMgQAAAABMAcAAAAJNy8zMS8yMDE4CAAAAAkzLzMxLzIwMTgJAAAAATDWjBE4CAnWCHMknW80CdYILkNJUS4uSVFfUFJFRl9FUVVJVFkuMjAwMC43LzMxLzIwMTguTEZSLkYuVVNELkgFAAAAAQAAAAgAAAAUKEludmFsaWQgSWRlbnRpZmllcin1hDJHNAnWCPWEMkc0CdYILENJUS5OQVNEQVFHTTpBRk1ELklRX0xBU1RTQUxFUFJJ</t>
  </si>
  <si>
    <t>Q0UuOS8xNS8yMDE3AQAAANv3DAACAAAABDIuMjUAKRyUEDUJ1ggw110SNQnWCERDSVEuKElOVkFMSUQgSURFTlRJRklFUikuSVFfUkVWRU5VRV9FU1QuQ1kyMDE5LjcvMTYvMjAxOC5DT04uRi5VU0QuSAUAAAAAAAAACAAAABQoSW52YWxpZCBJZGVudGlmaWVyKSAKgRA1CdYImBJZEjUJ1gg1Q0lRLk5BU0RBUUdTOkZQUlguSVFfVE9UQUxfUkVWLi43LzE2LzIwMTguTEZSLkYuVVNELkgBAAAAN10zAAIAAAAGNjEuODU5AQgAAAAFAAAAATEBAAAACjE4ODc0MDIyMjcDAAAAAzE2MAIAAAACMjgEAAAAATAHAAAACTcvMTYvMjAxOAgAAAAJMy8zMS8yMDE4CQAAAAEwKRyUEDUJ1ghzOWASNQnWCC9DSVEuLklRX1RPVEFMX0VRVUlUWS4xOTk2LjcvMzEvMjAxOC5MRlIuRi5VU0QuSAUAAAABAAAACAAAABQoSW52YWxpZCBJZGVudGlmaWVyKfWEMkc0CdYI9YQyRzQJ1gg+Q0lRLk5BU0RBUUdNOlhOQ1IuSVFfVE9UQUxfRVFVSVRZLkNZMjAxNi43LzE2LzIwMTguTEZSLkYuVVNELkgBAAAAploLAAIAAAAHMzEzLjk1NAEIAAAABQAAAAExAQAAAAoxODc2OTg0NTIzAwAAAAMxNjACAAAABDEyNzUEAAAAATAHAAAACTcvMTYvMjAxOAgAAAAKMTIvMzEvMjAxNgkAAAABMMT/GxE1CdYIEv5kEjUJ1ggwQ0lRLk5BU0RBUUdNOklNTVUuSVFfTEFTVFNBTEVQUklDRS43LzMxLzIwMTguVVNEAQAAACBDBAACAAAABTIzLjkz</t>
  </si>
  <si>
    <t>AJwL1TgICdYI1F+YbzQJ1gg/Q0lRLihJTlZBTElEIElERU5USUZJRVIpLklRX0VCSVREQS5DWTIwMTYuNy8xNi8yMDE4LkxGUi5GLlVTRC5IBQAAAAAAAAAIAAAAFChJbnZhbGlkIElkZW50aWZpZXIp3qd+EDUJ1giYElkSNQnWCDdDSVEuTkFTREFRR1M6VFNSTy5JUV9QUkVGX0VRVUlUWS4uOS8xNS8yMDE3LkxGUi5GLlVTRC5IAQAAAGjWWAYDAAAAAADE/xsRNQnWCBL+ZBI1CdYIKUNJUS4uSVFfRUJJVERBLjE5OTYuNy8zMS8yMDE4LkxGUi5GLlVTRC5IBQAAAAEAAAAIAAAAFChJbnZhbGlkIElkZW50aWZpZXIp9YQyRzQJ1gj1hDJHNAnWCCNDSVEuLklRX0xBU1RTQUxFUFJJQ0UuNy8zMS8yMDE4LlVTRAUAAAABAAAACAAAABQoSW52YWxpZCBJZGVudGlmaWVyKfWEMkc0CdYI9YQyRzQJ1ggTQ0lRLi5JUV9UUl9FQVJOT1VUUwUAAAAAAAAACAAAABQoSW52YWxpZCBJZGVudGlmaWVyKZwL1TgICdYId3mADjUJ1gg2Q0lRLk5BU0RBUUdTOk1SU04uSVFfVE9UQUxfREVCVC4uOS8xNS8yMDE3LkxGUi5GLlVTRC5IAQAAAObFGAACAAAAATABCAAAAAUAAAABMQEAAAAKMTg1MzM1NDA1NgMAAAADMTYwAgAAAAQ0MTczBAAAAAEwBwAAAAk5LzE1LzIwMTcIAAAACTYvMzAvMjAxNwkAAAABMCkclBA1CdYIczlgEjUJ1gglQ0lRLklRVFI0MDk5NTE4ODYuSVFfVFJfSU1QTElFRF9FUV9CVgEAAACOXm8YAgAAAAAA</t>
  </si>
  <si>
    <t>DG0QDjUJ1gjA24IONQnWCCVDSVEuSVFUUjQwNzc2MDY5Mi5JUV9UUl9JTVBMSUVEX0VRX0JWAQAAADTvTRgCAAAAAAAMbRAONQnWCAw+hQ41CdYIPENJUS5OQVNEQVFHTTpJTU1VLklRX1RPVEFMX0VRVUlUWS4xOTk2LjcvMzEvMjAxOC5MRlIuRi5VU0QuSAEAAAAgQwQAAgAAAAstMTMxLjkxOTAyMwEIAAAABQAAAAExAQAAAAoxODg4NTIzMzkyAwAAAAMxNjACAAAABDEyNzUEAAAAATAHAAAACTcvMzEvMjAxOAgAAAAJMy8zMS8yMDE3CQAAAAEwnAvVOAgJ1gjUX5hvNAnWCCdDSVEuTkFTREFRR1M6TUdOWC5JUV9CRVRBXzVZUi43LzE2LzIwMTgBAAAATysJAAIAAAAQMi40NjQ4MTI3MDk4OTY3NQDE/xsRNQnWCMKbYhI1CdYIO0NJUS5OQVNEQVFDTTpBVkVPLklRX1RPVEFMX1JFVi5DWTIwMTYuNy8xNi8yMDE4LkxGUi5GLlVTRC5IAQAAAPQWHQACAAAABTIuNTE1AQgAAAAFAAAAATEBAAAACjE4NzgwODI2NTADAAAAAzE2MAIAAAACMjgEAAAAATAHAAAACTcvMTYvMjAxOAgAAAAKMTIvMzEvMjAxNgkAAAABMMT/GxE1CdYIwptiEjUJ1gg2Q0lRLk5BU0RBUUdTOkJHTkUuSVFfTkVUX1dPUktJTkdfQ0FQLjIwMDAuLkxGUi5GLlVTRC5IAQAAAODk3QYCAAAABy0zMC4yODkBCAAAAAUAAAABMQEAAAAKMTg5OTkwMDYzMQMAAAADMTYwAgAAAAQxMzExBAAAAAEwBwAAAAk4LzIzLzIwMTgIAAAACTYvMzAvMjAx</t>
  </si>
  <si>
    <t>OAkAAAABMJwL1TgICdYInAvVOAgJ1gguQ0lRLklRVFI0MTE4NzEwODIuSVFfVFJfVEFSR0VUX1NUT0NLUFJFTUlVTV8xVwEAAABqp4wYAgAAAAAAsrNJbzQJ1gg1m5NvNAnWCDNDSVEuTkFTREFRR1M6U0dFTi5JUV9QRVJJT0REQVRFX0lTLi43LzE2LzIwMTguTEZSLkYBAAAAYYUAAAUAAAAJMy8zMS8yMDE4AEadGRE1CdYIaGBnEjUJ1ggpQ0lRLk5BU0RBUUNNOkNLUFQuSVFfQlVTSU5FU1NfREVTQ1JJUFRJT04BAAAAuFEWEQMAAADuCENoZWNrcG9pbnQgVGhlcmFwZXV0aWNzLCBJbmMuLCBhbiBpbW11bm8tb25jb2xvZ3kgYmlvcGhhcm1hY2V1dGljYWwgY29tcGFueSwgZm9jdXNlcyBvbiB0aGUgYWNxdWlzaXRpb24sIGRldmVsb3BtZW50LCBhbmQgY29tbWVyY2lhbGl6YXRpb24gb2Ygbm92ZWwgdHJlYXRtZW50cyBmb3IgcGF0aWVudHMgd2l0aCBzb2xpZCB0dW1vciBjYW5jZXJzLiBUaGUgY29tcGFueeKAmXMgcHJvZHVjdHMgaW5jbHVkZSBDSy0zMDEgaW4gUGhhc2UgSSBjbGluaWNhbCB0cmlhbHMgZm9yIHRoZSB0cmVhdG1lbnQgb2Ygbm9uLXNtYWxsIGNlbGwgbHVuZyBjYW5jZXIgKE5TQ0xDKTsgYW5kIENLLTEwMSBpbiB0aGUgUGhhc2UgMSBwb3J0aW9uIG9mIGEgUGhhc2UgMS8yIGNsaW5pY2FsIHRyaWFsIGZvciB0aGUgdHJlYXRtZW50IG9mIGVwaWRlcm1hbCBncm93dGggZmFjdG9yIHJl</t>
  </si>
  <si>
    <t>Y2VwdG9yIChFR0ZSKSBtdXRhdGlvbi1wb3NpdGl2ZSBOU0NMQy4gSXRzIHBpcGVsaW5lIGNvbnNpc3RzIG9mIGdsdWNvY29ydGljb2lkLWluZHVjZWQgVE5GUi1yZWxhdGVkIHByb3RlaW47IGFuZCBjYXJib25pYyBhbmh5ZHJhc2UgSVguIFRoZSBjb21wYW55IGlzIGFsc28gZGV2ZWxvcGluZyB0aHJlZSBvcmFsLCBzbWFsbC1tb2xlY3VsZSwgdGFyZ2V0ZWQgYW50aS1jYW5jZXIgYWdlbnRzIHRoYXQgaW5oaWJpdCBlcGlkZXJtYWwgZ3Jvd3RoLWZhY3RvciByZWNlcHRvciBtdXRhdGlvbnMsIHRoZSBicm9tb2RvbWFpbiBhbmQgZXh0cmEtdGVybWluYWwgcHJvdGVpbiwgYW5kIHBvbHkgcG9seW1lcmFzZS4gQ2hlY2twb2ludCBUaGVyYXBldXRpY3MsIEluYy4gaGFzIGEgY29sbGFib3JhdGlvbiBhZ3JlZW1lbnQgd2l0aCBURyBUaGVyYXBldXRpY3MsIEluYy4gdG8gZGV2ZWxvcCBhbmQgY29tbWVyY2lhbGl6ZSB0aGUgQW50aS1QRC1MMSBhbmQgQW50aS1HSVRSIGFudGlib2R5IHJlc2VhcmNoIHByb2dyYW1zIGluIHRoZSBmaWVsZCBvZiBoZW1hdG9sb2dpY2FsIG1hbGlnbmFuY2llcy4gVGhlIGNvbXBhbnkgd2FzIGZvdW5kZWQgaW4gMjAxNCBhbmQgaXMgYmFzZWQgaW4gTmV3IFlvcmssIE5ldyBZb3JrLiBDaGVja3BvaW50IFRoZXJhcGV1dGljcywgSW5jLiBpcyBhIHN1YnNpZGlhcnkgb2YgRm9y</t>
  </si>
  <si>
    <t>dHJlc3MgQmlvdGVjaCwgSW5jLgApHJQQNQnWCOR0WxI1CdYINkNJUS5YVFJBOk1PUi5JUV9UT1RBTF9SRVYuQ1kyMDE3LjcvMzEvMjAxOC5MRlIuRi5VU0QuSAEAAADfEQIAAgAAAAk4MC4yMDAzMzYBCAAAAAUAAAABMQEAAAAKMTg3ODMyMzE1NwMAAAADMTYwAgAAAAIyOAQAAAABMAcAAAAJNy8zMS8yMDE4CAAAAAoxMi8zMS8yMDE3CQAAAAEwnAvVOAgJ1gjUX5hvNAnWCDpDSVEuTkFTREFRR1M6TksuSVFfRUFSTklOR19DTy5DWTIwMTYuNy8zMS8yMDE4LkxGUi5GLlVTRC5IAQAAAA19oQ8CAAAACC0xMjAuODA5AQgAAAAFAAAAATEBAAAACjE4NzgwMTI1NzgDAAAAAzE2MAIAAAABNwQAAAABMAcAAAAJNy8zMS8yMDE4CAAAAAoxMi8zMS8yMDE2CQAAAAEw1owROAgJ1ggZ6aFvNAnWCB1DSVEuTkFTREFRR1M6RlBSWC5JUV9FWENIQU5HRQEAAAA3XTMAAwAAAAhOYXNkYXFHUwDWjBE4CAnWCOOLkw41CdYIO0NJUS5OQVNEQVFHUzpDQUxBLklRX0VCSVRfTUFSR0lOLjIwMDAuNy8zMS8yMDE4LkxGUi5GLlVTRC5IAQAAAKUngQYCAAAACS0xNDAuMDM0MQEIAAAABQAAAAExAQAAAAoxODg3OTgwMzA1AwAAAAMxNjACAAAABDQwNTMEAAAAATAHAAAACTcvMzEvMjAxOAgAAAAJMy8zMS8yMDE4CQAAAAEwyDCyNwgJ1gjdS6RvNAnWCDZDSVEuQVNYOklNVS5JUV9FQklUREFfRVNULkNZMjAxOC43LzE2LzIwMTgu</t>
  </si>
  <si>
    <t>Q09OLkYuVVNELkgBAAAAmJOpAAMAAAAAACkclBA1CdYIMNddEjUJ1ggoQ0lRLk5BU0RBUUNNOlpJT1AuSVFfVEVWLjcvMzEvMjAxOC5VU0QuSAEAAACzUbIAAgAAAAo0NjIuNzc1ODQzAQYAAAAFAAAAATEBAAAACjE4ODc5NzIyMDEDAAAAAzE2MAIAAAAGMTAwMDYwBAAAAAEwBwAAAAk3LzMxLzIwMTjWjBE4CAnWCMOGn280CdYIO0NJUS5OQVNEQVFHUzpUU1JPLklRX1RPVEFMX1JFVi5DWTIwMTYuNy8xNi8yMDE4LkxGUi5GLlVTRC5IAQAAAGjWWAYCAAAABjU4LjAxOAEIAAAABQAAAAExAQAAAAoxODc3MjI2Mjg0AwAAAAMxNjACAAAAAjI4BAAAAAEwBwAAAAk3LzE2LzIwMTgIAAAACjEyLzMxLzIwMTYJAAAAATDE/xsRNQnWCBL+ZBI1CdYIRkNJUS5OQVNEQVFHUzpDQUxBLklRX01JTk9SSVRZX0lOVEVSRVNUX1RPVEFMLjIwMDAuNS81LzIwMTcuTEZSLkYuVVNELkgBAAAApSeBBgMAAAAAAMgwsjcICdYI3UukbzQJ1gg2Q0lRLk5BU0RBUUdTOlRTUk8uSVFfRUFSTklOR19DTy4uNy8xNi8yMDE4LkxGUi5GLlVTRC5IAQAAAGjWWAYCAAAACC01MjIuMjE3AQgAAAAFAAAAATEBAAAACjE4ODYzMzc0NjYDAAAAAzE2MAIAAAABNwQAAAABMAcAAAAJNy8xNi8yMDE4CAAAAAkzLzMxLzIwMTgJAAAAATDE/xsRNQnWCBL+ZBI1CdYIO0NJUS5OQVNEQVFDTTpBVkVPLklRX1RPVEFMX1JFVi5DWTIwMTcuNy8xNi8y</t>
  </si>
  <si>
    <t>MDE4LkxGUi5GLlVTRC5IAQAAAPQWHQACAAAABTcuNTc5AQgAAAAFAAAAATEBAAAACjE4NzgwODI2NTMDAAAAAzE2MAIAAAACMjgEAAAAATAHAAAACTcvMTYvMjAxOAgAAAAKMTIvMzEvMjAxNwkAAAABMMT/GxE1CdYIwptiEjUJ1gg8Q0lRLk5BU0RBUUdNOkZBVEUuSVFfRUJJVERBX0VTVC5DWTIwMTguNy8zMS8yMDE4LkNPTi5GLlVTRC5IAQAAAGgxVwIDAAAAAADWjBE4CAnWCMOGn280CdYIPkNJUS5OQVNEQVFHTTpDUlZTLklRX1RPVEFMX0VRVUlUWS5DWTIwMTcuNy8zMS8yMDE4LkxGUi5GLlVTRC5IAQAAAPSwphACAAAABjg0LjgzNQEIAAAABQAAAAExAQAAAAoxODc3MjIwODA1AwAAAAMxNjACAAAABDEyNzUEAAAAATAHAAAACTcvMzEvMjAxOAgAAAAKMTIvMzEvMjAxNwkAAAABMNaMETgICdYIGemhbzQJ1gg+Q0lRLk5BU0RBUUdNOklNTVUuSVFfQ0FTSF9TVF9JTlZFU1QuMjAwMC43LzMxLzIwMTguTEZSLkYuVVNELkgBAAAAIEMEAAIAAAAKMzU4Ljc5MjY3OAEIAAAABQAAAAExAQAAAAoxODg4NTIzMzg0AwAAAAMxNjACAAAABDEwMDIEAAAAATAHAAAACTcvMzEvMjAxOAgAAAAJMy8zMS8yMDE4CQAAAAEwnAvVOAgJ1gjUX5hvNAnWCCVDSVEuSVFUUjQwODQwNzgyMi5JUV9UUl9NQUpfTUlOX1NUQUtFAQAAAA7PVxgDAAAACE1ham9yaXR5ALKzSW80CdYIgf2VbzQJ1ggnQ0lRLk5BU0RBUUdTOkFE</t>
  </si>
  <si>
    <t>WFMuSVFfQkVUQV81WVIuNy8xNi8yMDE4AQAAAJ7seAACAAAAEDEuNzA4NjEwMDczNjE3ODgAKRyUEDUJ1gjkdFsSNQnWCC1DSVEuTkFTREFRR006TkxOSy5JUV9ESVZJREVORF9ZSUVMRC43LzE2LzIwMTgBAAAAlXuMAAMAAAAAACkclBA1CdYI5HRbEjUJ1ghEQ0lRLihJTlZBTElEIElERU5USUZJRVIpLklRX1JFVkVOVUVfRVNULkNZMjAxOC43LzMxLzIwMTguQ09OLkYuVVNELkgFAAAAAAAAAAgAAAAUKEludmFsaWQgSWRlbnRpZmllcinIMLI3CAnWCO02sG80CdYIP0NJUS5OQVNEQVFHTTpMUFRYLklRX0VCSVREQV8yWVJfQU5OX0NBR1IuLjcvMTYvMjAxOC5MRlIuRi5VU0QuSAEAAAAMNgkHAwAAAAAAKRyUEDUJ1ggw110SNQnWCDpDSVEuTkFTREFRR006QVJRTC5JUV9FQVJOSU5HX0NPLjE5OTIuNy8zMS8yMDE4LkxGUi5GLlVTRC5IAQAAAPZhAAACAAAABy0xNC4yMDQBCAAAAAUAAAABMQEAAAAKMTg0MTk5MjU2OQMAAAADMTYwAgAAAAE3BAAAAAEwBwAAAAk3LzMxLzIwMTgIAAAACTMvMzEvMjAxNgkAAAABMNaMETgICdYIcySdbzQJ1ggwQ0lRLk5BU0RBUUdTOkJHTkUuSVFfTklfTUFSR0lOLjIwMDAuLkxGUi5GLlVTRC5IAQAAAODk3QYCAAAACC03Mi40NDY2AQgAAAAFAAAAATEBAAAACjE4OTk5MDA2MzEDAAAAAzE2MAIAAAAENDA5NAQAAAABMAcAAAAJOC8yMy8yMDE4CAAAAAk2LzMwLzIwMTgJ</t>
  </si>
  <si>
    <t>AAAAATCcC9U4CAnWCJwL1TgICdYIPkNJUS5OQVNEQVFHUzpCR05FLklRX01JTk9SSVRZX0lOVEVSRVNUX1RPVEFMLjIwMDAuLkxGUi5GLlVTRC5IAQAAAODk3QYCAAAABjEzLjQ3MQEIAAAABQAAAAExAQAAAAoxODk5OTAwNjMxAwAAAAMxNjACAAAABDEzMTIEAAAAATAHAAAACTgvMjMvMjAxOAgAAAAJNi8zMC8yMDE4CQAAAAEwnAvVOAgJ1gicC9U4CAnWCD1DSVEuKElOVkFMSUQgSURFTlRJRklFUikuSVFfRUJJVERBLjE5OTIuNy8zMS8yMDE4LkxGUi5GLlVTRC5IBQAAAAAAAAAIAAAAFChJbnZhbGlkIElkZW50aWZpZXIpyDCyNwgJ1gjtNrBvNAnWCClDSVEuSVEzNjE4Mzg0MC5JUV9MQVNUU0FMRVBSSUNFLjcvMTYvMjAxOAEAAAAgHygCAgAAAAMyLjkADG0QDjUJ1ggMPoUONQnWCCxDSVEuTkFTREFRR006SU1NVS5JUV9MQVNUU0FMRVBSSUNFLjkvMTUvMjAxNwEAAAAgQwQAAgAAAAUxMS4yOQBGnRkRNQnWCBL+ZBI1CdYIN0NJUS5OQVNEQVFDTTpaSU9QLklRX1BFUklPRERBVEVfSVMuMjAwMC43LzMxLzIwMTguTEZSLkYBAAAAs1GyAAUAAAAJMy8zMS8yMDE4ANaMETgICdYIw4afbzQJ1ggwQ0lRLklRVFIzMTQ4MjkyMzYuSVFfVFJfVEFSR0VUX0VCSVREQV9FU1QuLlVTRC5IAQAAALTpwxICAAAAAABYzxIONQnWCMDbgg41CdYIKUNJUS5JUTM2MTgzODM3LklRX0xBU1RTQUxFUFJJQ0UuNy8zMS8y</t>
  </si>
  <si>
    <t>MDE4AQAAAB0fKAICAAAABDIuOTYASVNHbzQJ1giB/ZVvNAnWCDpDSVEuTkFTREFRR1M6TVJTTi5JUV9FQVJOSU5HX0NPLjE5OTYuNy8zMS8yMDE4LkxGUi5GLlVTRC5IAQAAAObFGAACAAAABy0xNi40MDUBCAAAAAUAAAABMQEAAAAKMTg4OTA5NjU5NwMAAAADMTYwAgAAAAE3BAAAAAEwBwAAAAk3LzMxLzIwMTgIAAAACTMvMzEvMjAxNwkAAAABMNaMETgICdYIw4afbzQJ1gg6Q0lRLk5BU0RBUUdNOlhOQ1IuSVFfQ0FTSF9TVF9JTlZFU1QuLjcvMTYvMjAxOC5MRlIuRi5VU0QuSAEAAACmWgsAAgAAAAY0NjIuNDEBCAAAAAUAAAABMQEAAAAKMTg4NzEyNTg1NQMAAAADMTYwAgAAAAQxMDAyBAAAAAEwBwAAAAk3LzE2LzIwMTgIAAAACTMvMzEvMjAxOAkAAAABMMT/GxE1CdYIEv5kEjUJ1ggzQ0lRLlhUUkE6TU9SLklRX0VCSVREQS5DWTIwMTcuNy8zMS8yMDE4LkxGUi5GLlVTRC5IAQAAAN8RAgACAAAACi02NC42NTc2OTEBCAAAAAUAAAABMQEAAAAKMTg3ODMyMzE1NwMAAAADMTYwAgAAAAQ0MDUxBAAAAAEwBwAAAAk3LzMxLzIwMTgIAAAACjEyLzMxLzIwMTcJAAAAATCcC9U4CAnWCNRfmG80CdYIO0NJUS5OQVNEQVFDTTpNVEVNLklRX1RPVEFMX1JFVi5DWTIwMTcuNy8zMS8yMDE4LkxGUi5GLlVTRC5IAQAAAJmbqQECAAAABTMuMzk1AQgAAAAFAAAAATEBAAAACjE4ODExMTg4MTADAAAAAzE2MAIAAAAC</t>
  </si>
  <si>
    <t>MjgEAAAAATAHAAAACTcvMzEvMjAxOAgAAAAKMTIvMzEvMjAxNwkAAAABMMgwsjcICdYIGemhbzQJ1ggvQ0lRLklRVFIzNzE3MTUxMTkuSVFfVFJfVEFSR0VUX1RPVEFMX1JFVi4uVVNELkgBAAAAL+wnFgIAAAAAAFjPEg41CdYIwNuCDjUJ1ggjQ0lRLklRVFI1NTM1NDgwMjUuSVFfVFJfVE9UQUxfU1RPQ0sBAAAA+Xj+IAIAAAAAALKzSW80CdYIgf2VbzQJ1gg4Q0lRLk5BU0RBUUdTOlBCWUkuSVFfRUJJVERBLkNZMjAxNi43LzE2LzIwMTguTEZSLkYuVVNELkgBAAAAAmqsBwIAAAAILTI3NS40NDcBCAAAAAUAAAABMQEAAAAKMTg3ODA2MzMzMAMAAAADMTYwAgAAAAQ0MDUxBAAAAAEwBwAAAAk3LzE2LzIwMTgIAAAACjEyLzMxLzIwMTYJAAAAATDE/xsRNQnWCBL+ZBI1CdYILkNJUS5OQVNEQVFHUzpTR0VOLklRX1BSRUZfRVFVSVRZLi4uTEZSLkYuVVNELkgBAAAAYYUAAAMAAAAAAEadGRE1CdYIRp0ZETUJ1gg8Q0lRLk5BU0RBUUdTOkVQWk0uSVFfRUFSTklOR19DTy5DWTIwMTcuNy8zMS8yMDE4LkxGUi5GLlVTRC5IAQAAAAMmPQMCAAAACC0xMzQuMzA5AQgAAAAFAAAAATEBAAAACjE4NzgwODEwNjQDAAAAAzE2MAIAAAABNwQAAAABMAcAAAAJNy8zMS8yMDE4CAAAAAoxMi8zMS8yMDE3CQAAAAEw1owROAgJ1ghzJJ1vNAnWCCtDSVEuSVFUUjUzNTcxOTk5OC5JUV9UUl9JTVBMSUVEX0VWX0VCSVRfRldE</t>
  </si>
  <si>
    <t>AQAAAD5w7h8DAAAAAk5NALKzSW80CdYIgf2VbzQJ1gggQ0lRLklRMzYxODM4MTMuSVFfTEFTVFNBTEVQUklDRS4BAAAABR8oAgIAAAAEMS45NQCcC9U4CAnWCHd5gA41CdYIPENJUS5OQVNEQVFHUzpCR05FLklRX0VBUk5JTkdfQ08uQ1kyMDE2LjcvMzEvMjAxOC5MRlIuRi5VU0QuSAEAAADg5N0GAgAAAAgtMTE5LjIxNwEIAAAABQAAAAExAQAAAAoxODk5ODgxMjA0AwAAAAMxNjACAAAAATcEAAAAATAHAAAACTcvMzEvMjAxOAgAAAAKMTIvMzEvMjAxNgkAAAABMJwL1TgICdYIgf2VbzQJ1gggQ0lRLklRMzYxODM4MTkuSVFfTEFTVFNBTEVQUklDRS4BAAAACx8oAgIAAAAEMi4yNACcC9U4CAnWCHd5gA41CdYIIkNJUS5JUVRSNTUzNTQ4MDI1LklRX1RSX1RBUkdFVE5BTUUBAAAA+Xj+IAMAAAASVmlyYWx5dGljcyBMaW1pdGVkALKzSW80CdYIgf2VbzQJ1ggtQ0lRLk5BU0RBUUdTOkNBTEEuSVFfRElWSURFTkRfWUlFTEQuNy8zMS8yMDE4AQAAAKUngQYDAAAAAADIMLI3CAnWCN1LpG80CdYIHkNJUS5JUTM2MTgzODM0LklRX0NPTVBBTllfTkFNRQEAAAAaHygCAwAAADFVbml0ZWQgU3RhdGVzIFRyZWFzdXJ5IENvbnN0YW50IE1hdHVyaXR5IC0gNyBZZWFyAAxtEA41CdYId3mADjUJ1gglQ0lRLk5BU0RBUUdTOk5LLklRX0JFVEFfMllSLjcvMzEvMjAxOAEAAAANfaEPAgAAABAxLjgzMDUxNTMzNzQ3MTEx</t>
  </si>
  <si>
    <t>ANaMETgICdYIGemhbzQJ1gg4Q0lRLk5BU0RBUUdNOk5MTksuSVFfRUJJVERBLkNZMjAxNy43LzE2LzIwMTguTEZSLkYuVVNELkgBAAAAlXuMAAIAAAAHLTY5Ljc3NAEIAAAABQAAAAExAQAAAAoxODc3Mjk4ODEzAwAAAAMxNjACAAAABDQwNTEEAAAAATAHAAAACTcvMTYvMjAxOAgAAAAKMTIvMzEvMjAxNwkAAAABMCkclBA1CdYI5HRbEjUJ1ggnQ0lRLk5BU0RBUUNNOkFWRU8uSVFfQkVUQV81WVIuNy8xNi8yMDE4AQAAAPQWHQACAAAAEDEuNjE3MDM2MzUwOTg5NTcAxP8bETUJ1gjCm2ISNQnWCD1DSVEuTkFTREFRR006RkFURS5JUV9SRVZFTlVFX0VTVC5DWTIwMTguNy8zMS8yMDE4LkNPTi5GLlVTRC5IAQAAAGgxVwICAAAABDMuNjgBDgAAAAUAAAACMTEBAAAAATACAAAACjEwMDE5Njc0MzgDAAAABjEwMDE4MAQAAAABMgYAAAABMAcAAAADMTYwCAAAAAEwCQAAAAExCgAAAAEwCwAAAAsxMDk4NTcxNjEzMgwAAAABNw0AAAAIOC8xLzIwMTgQAAAACTcvMzEvMjAxONaMETgICdYIw4afbzQJ1gg7Q0lRLk5BU0RBUUdTOkNBTEEuSVFfVE9UQUxfUkVWLkNZMjAxNy43LzMxLzIwMTguTEZSLkYuVVNELkgBAAAApSeBBgIAAAAGMjUuOTU1AQgAAAAFAAAAATEBAAAACjE4Nzc5NTU3MDcDAAAAAzE2MAIAAAACMjgEAAAAATAHAAAACTcvMzEvMjAxOAgAAAAKMTIvMzEvMjAxNwkAAAABMMgwsjcICdYI3UukbzQJ</t>
  </si>
  <si>
    <t>1ggsQ0lRLklRVFI1MzMzODU3NDQuSVFfVFJfVEFSR0VUX0VCSVREQS4uVVNELkgBAAAAENLKHwIAAAAAAAxtEA41CdYIwNuCDjUJ1ghCQ0lRLk5BU0RBUUdNOk5MTksuSVFfVE9UQUxfUkVWXzVZUl9BTk5fQ0FHUi4uNy8xNi8yMDE4LkxGUi5GLlVTRC5IAQAAAJV7jAACAAAABzg4LjIxMDMBCAAAAAUAAAABMQEAAAAKMTg4ODM1NDIwNwMAAAADMTYwAgAAAAQ0MjMzBAAAAAEwBwAAAAk3LzE2LzIwMTgIAAAACTMvMzEvMjAxOAkAAAABMCkclBA1CdYI5HRbEjUJ1ggiQ0lRLklRVFI0MjQzNDIwNDYuSVFfVFJfUENUX1NPVUdIVAEAAAAe8koZAgAAAAMxMDABBgAAAAUAAAACNTQBAAAABjEwMTAyNAIAAAAJNDI0MzQyMDQ2AwAAAAk0MjQzNDI2NTgEAAAAAzE2MAYAAAAEVHJ1ZQxtEA41CdYIwNuCDjUJ1gg5Q0lRLkFTWDpJTVUuSVFfRUJJVERBXzJZUl9BTk5fQ0FHUi4uNy8xNi8yMDE4LkxGUi5GLlVTRC5IAQAAAJiTqQADAAAAAAApHJQQNQnWCDDXXRI1CdYIIUNJUS5JUVRSNTQ3NDIzNjgwLklRX1RSX0JVWUVSTkFNRQEAAADABaEgAwAAABRSb2NoZSBIb2xkaW5ncywgSW5jLgAMbRAONQnWCMDbgg41CdYIOENJUS5OQVNEQVFHTTpBUlFMLklRX0VCSVREQS5DWTIwMTcuNy8zMS8yMDE4LkxGUi5GLlVTRC5IAQAAAPZhAAACAAAABy0yNi45NTQBCAAAAAUAAAABMQEAAAAKMTg3ODUwODY5OAMAAAADMTYw</t>
  </si>
  <si>
    <t>AgAAAAQ0MDUxBAAAAAEwBwAAAAk3LzMxLzIwMTgIAAAACjEyLzMxLzIwMTcJAAAAATDWjBE4CAnWCHMknW80CdYISkNJUS4oSU5WQUxJRCBJREVOVElGSUVSKS5JUV9FQklUREFfMllSX0FOTl9DQUdSLjIwMDAuNy8zMS8yMDE4LkxGUi5GLlVTRC5IBQAAAAAAAAAIAAAAFChJbnZhbGlkIElkZW50aWZpZXIpyDCyNwgJ1gjtNrBvNAnWCDxDSVEuTkFTREFRR1M6TVJTTi5JUV9FQklUREFfRVNULkNZMjAxOS43LzMxLzIwMTguQ09OLkYuVVNELkgBAAAA5sUYAAIAAAAHLTQ4LjIwMgEOAAAABQAAAAIxMQEAAAABMAIAAAAKMTAwMzgwMzI4MAMAAAAGMTAwMTg3BAAAAAEyBgAAAAEwBwAAAAMxNjAIAAAAATAJAAAAATEKAAAAATALAAAACzEwOTgxNDE1NjI0DAAAAAE3DQAAAAg4LzEvMjAxOBAAAAAJNy8zMS8yMDE41owROAgJ1gjDhp9vNAnWCCdDSVEuTkFTREFRR006QVJSWS5JUV9QRVJJT0REQVRFX0lTLjEwMDABAAAA+GEAAAUAAAAJNi8zMC8yMDE4AJwL1TgICdYI1F+YbzQJ1gglQ0lRLklRVFIzMjE4NjUyOTcuSVFfUFJJTUFSWV9JTkRVU1RSWQEAAAB+RS8TAwAAACBMaWZlIFNjaWVuY2VzIFRvb2xzIGFuZCBTZXJ2aWNlcwAMbRAONQnWCAw+hQ41CdYIOkNJUS5PVENQSzpOV0JPLklRX1JFVkVOVUVfRVNULkNZMjAyMS43LzE2LzIwMTguQ09OLkYuVVNELkgBAAAAo3oUAAMAAAAAACkclBA1CdYIczlg</t>
  </si>
  <si>
    <t>EjUJ1gg3Q0lRLk5BU0RBUUdTOkZQUlguSVFfUEVSSU9EREFURV9JUy4yMDAwLjcvMzEvMjAxOC5MRlIuRgEAAAA3XTMABQAAAAkzLzMxLzIwMTgA1owROAgJ1ggZ6aFvNAnWCEJDSVEuTkFTREFRR1M6U0dFTi5JUV9UT1RBTF9SRVZfM1lSX0FOTl9DQUdSLi43LzE2LzIwMTguTEZSLkYuVVNELkgBAAAAYYUAAAIAAAAHMTkuNTUxNQEIAAAABQAAAAExAQAAAAoxODg0ODkyODUyAwAAAAMxNjACAAAABDQyMjAEAAAAATAHAAAACTcvMTYvMjAxOAgAAAAJMy8zMS8yMDE4CQAAAAEwxP8bETUJ1ghoYGcSNQnWCC5DSVEuTkFTREFRR006RkFURS5JUV9NQVJLRVRDQVAuNy8zMS8yMDE4LlVTRC5IAQAAAGgxVwICAAAACjQ3Mi4wMjU5MjMBBgAAAAUAAAABMQEAAAAKMTg4ODQ5Nzg5MgMAAAADMTYwAgAAAAYxMDAwNTQEAAAAATAHAAAACTcvMzEvMjAxONaMETgICdYIw4afbzQJ1ghBQ0lRLihJTlZBTElEIElERU5USUZJRVIpLklRX0VBUk5JTkdfQ08uMTk5Ni43LzMxLzIwMTguTEZSLkYuVVNELkgFAAAAAAAAAAgAAAAUKEludmFsaWQgSWRlbnRpZmllcinIMLI3CAnWCO02sG80CdYIPENJUS5OQVNEQVFHUzpGUFJYLklRX0dST1NTX01BUkdJTi4yMDAwLjcvMzEvMjAxOC5MRlIuRi5VU0QuSAEAAAA3XTMAAgAAAAktMTU5Ljc4NDMBCAAAAAUAAAABMQEAAAAKMTg4NzQwMjIyNwMAAAADMTYwAgAAAAQ0MDc0BAAA</t>
  </si>
  <si>
    <t>AAEwBwAAAAk3LzMxLzIwMTgIAAAACTMvMzEvMjAxOAkAAAABMNaMETgICdYIGemhbzQJ1ggdQ0lRLk5BU0RBUUNNOkNLUFQuSVFfRVhDSEFOR0UBAAAAuFEWEQMAAAAITmFzZGFxQ00AKRyUEDUJ1ggw110SNQnWCDhDSVEuTkFTREFRR1M6Q0FMQS5JUV9FQklUREEuQ1kyMDE3LjcvMTYvMjAxOC5MRlIuRi5VU0QuSAEAAAClJ4EGAgAAAActMjkuMzIxAQgAAAAFAAAAATEBAAAACjE4Nzc5NTU3MDcDAAAAAzE2MAIAAAAENDA1MQQAAAABMAcAAAAJNy8xNi8yMDE4CAAAAAoxMi8zMS8yMDE3CQAAAAEwKRyUEDUJ1gjkdFsSNQnWCDVDSVEuTkFTREFRR006QVJSWS5JUV9DQVBFWC4xOTk2LjcvMzEvMjAxOC5MRlIuRi5VU0QuSAEAAAD4YQAAAgAAAAUtMy43NAEIAAAABQAAAAExAQAAAAoxODg4NDcwNjU2AwAAAAMxNjACAAAABDIwMjEEAAAAATAHAAAACTcvMzEvMjAxOAgAAAAJMy8zMS8yMDE3CQAAAAEwnAvVOAgJ1gjUX5hvNAnWCC5DSVEuTkFTREFRR1M6UEJZSS5JUV9NQVJLRVRDQVAuOS8xNS8yMDE3LlVTRC5IAQAAAAJqrAcCAAAACzM4MDQuMjcyMjkzAQYAAAAFAAAAATEBAAAACjE4NTI5OTM1NjMDAAAAAzE2MAIAAAAGMTAwMDU0BAAAAAEwBwAAAAk5LzE1LzIwMTdGnRkRNQnWCBL+ZBI1CdYIJENJUS5FTlhUUEE6SVBILklRX0JFVEFfMVlSLjcvMTYvMjAxOAEAAACZgAYAAgAAABAxLjE2OTMyMTQ5</t>
  </si>
  <si>
    <t>MTY1NTY4ACkclBA1CdYIczlgEjUJ1gg8Q0lRLk5BU0RBUUNNOlNSTkUuSVFfRUFSTklOR19DTy5DWTIwMTYuNy8zMS8yMDE4LkxGUi5GLlVTRC5IAQAAAElDlAMCAAAABy02My45MzcBCAAAAAUAAAABMQEAAAAKMTg3ODY3NzQ1MwMAAAADMTYwAgAAAAE3BAAAAAEwBwAAAAk3LzMxLzIwMTgIAAAACjEyLzMxLzIwMTYJAAAAATDWjBE4CAnWCHMknW80CdYIN0NJUS5OQVNEQVFHTTpMUFRYLklRX0VCSVRfTUFSR0lOLi43LzE2LzIwMTguTEZSLkYuVVNELkgBAAAADDYJBwMAAAAAACkclBA1CdYIMNddEjUJ1ggzQ0lRLk9UQ1BLOk1CVlguSVFfVE9UQUxfREVCVC4uOS8xNS8yMDE3LkxGUi5GLlVTRC5IAQAAANhEiwICAAAACDQuMDI4MzQ3AQgAAAAFAAAAATEBAAAACjE4NTQyNjU3NjMDAAAAAzE2MAIAAAAENDE3MwQAAAABMAcAAAAJOS8xNS8yMDE3CAAAAAk2LzMwLzIwMTcJAAAAATDep34QNQnWCJgSWRI1CdYIO0NJUS5OQVNEQVFHUzpBVE5YLklRX0VCSVRfTUFSR0lOLjIwMDAuNy8zMS8yMDE4LkxGUi5GLlVTRC5IAQAAANyZawECAAAACS0xMTYuOTk2MgEIAAAABQAAAAExAQAAAAoxODg4NzAyOTgyAwAAAAMxNjACAAAABDQwNTMEAAAAATAHAAAACTcvMzEvMjAxOAgAAAAJMy8zMS8yMDE4CQAAAAEw1owROAgJ1ggkwppvNAnWCDZDSVEuTkFTREFRR1M6QURYUy5JUV9UT1RBTF9ERUJULi45LzE1LzIw</t>
  </si>
  <si>
    <t>MTcuTEZSLkYuVVNELkgBAAAAnux4AAIAAAABMAEIAAAABQAAAAExAQAAAAoxODU4ODY5ODk3AwAAAAMxNjACAAAABDQxNzMEAAAAATAHAAAACTkvMTUvMjAxNwgAAAAJNy8zMS8yMDE3CQAAAAEwKRyUEDUJ1gjkdFsSNQnWCCVDSVEuSVFUUjUzNTcxOTk5OC5JUV9UUl9JTVBMSUVEX0VRX0JWAQAAAD5w7h8CAAAACTE0LjY2NDc1OQEGAAAABQAAAAI1NAEAAAAGMTAyMDk3AgAAAAk1MzU3MTk5OTgDAAAACTUzNTcyNDgxMwQAAAADMTYwBgAAAAVGYWxzZbKzSW80CdYIgf2VbzQJ1ggzQ0lRLk5BU0RBUUNNOkNLUFQuSVFfUEVSSU9EREFURV9JUy4uNy8xNi8yMDE4LkxGUi5GAQAAALhRFhEFAAAACTMvMzEvMjAxOAApHJQQNQnWCDDXXRI1CdYILkNJUS5JUVRSNTMzNjM5NTAxLklRX1RSX1RBUkdFVF9TVE9DS1BSRU1JVU1fMVcBAAAATbHOHwIAAAAAAAxtEA41CdYIwNuCDjUJ1gg8Q0lRLk5BU0RBUUdTOk1HTlguSVFfRUJJVERBX0VTVC5DWTIwMTkuNy8xNi8yMDE4LkNPTi5GLlVTRC5IAQAAAE8rCQACAAAACS0xNTIuODMzNwEOAAAABQAAAAIxMQEAAAABMAIAAAAKMTAwMTk3MjkzMAMAAAAGMTAwMTg3BAAAAAEyBgAAAAEwBwAAAAMxNjAIAAAAATAJAAAAATEKAAAAATALAAAACzEwOTExMTA0MjUzDAAAAAE3DQAAAAk3LzE3LzIwMTgQAAAACTcvMTYvMjAxOMT/GxE1CdYIwptiEjUJ1gg8Q0lRLk5BU0RB</t>
  </si>
  <si>
    <t>UUdTOlRTUk8uSVFfVE9UQUxfRVFVSVRZLjE5OTIuNy8zMS8yMDE4LkxGUi5GLlVTRC5IAQAAAGjWWAYCAAAABzE2MC45NjQBCAAAAAUAAAABMQEAAAAKMTg0MDkzNDY2MwMAAAADMTYwAgAAAAQxMjc1BAAAAAEwBwAAAAk3LzMxLzIwMTgIAAAACTMvMzEvMjAxNgkAAAABMJwL1TgICdYIJMKabzQJ1gg4Q0lRLk5BU0RBUUdNOklNTVUuSVFfRUJJVERBLkNZMjAxNy43LzE2LzIwMTguTEZSLkYuVVNELkgBAAAAIEMEAAIAAAAKLTkxLjg3NjU5NAEIAAAABQAAAAExAQAAAAoxODczNDkzNTI4AwAAAAMxNjACAAAABDQwNTEEAAAAATAHAAAACTcvMTYvMjAxOAgAAAAKMTIvMzEvMjAxNwkAAAABMMT/GxE1CdYIEv5kEjUJ1gg+Q0lRLk5BU0RBUUdTOkFOQUIuSVFfVE9UQUxfRVFVSVRZLkNZMjAxNi43LzE2LzIwMTguTEZSLkYuVVNELkgBAAAAIUyyAQIAAAAGNDIuNTA5AQgAAAAFAAAAATEBAAAACjE4NzcwNjUxOTYDAAAAAzE2MAIAAAAEMTI3NQQAAAABMAcAAAAJNy8xNi8yMDE4CAAAAAoxMi8zMS8yMDE2CQAAAAEwxP8bETUJ1gjCm2ISNQnWCDZDSVEuTkFTREFRR1M6S1VSQS5JUV9FQklUREEuMTk5Ni43LzMxLzIwMTguTEZSLkYuVVNELkgBAAAAuMvaEAIAAAAHLTI4Ljk0OQEIAAAABQAAAAExAQAAAAoxODg3MzgyOTIyAwAAAAMxNjACAAAABDQwNTEEAAAAATAHAAAACTcvMzEvMjAxOAgAAAAJMy8zMS8y</t>
  </si>
  <si>
    <t>MDE3CQAAAAEw1owROAgJ1ghzJJ1vNAnWCDxDSVEuTkFTREFRQ006Q0tQVC5JUV9FQklUREFfRVNULkNZMjAxOC43LzE2LzIwMTguQ09OLkYuVVNELkgBAAAAuFEWEQIAAAAFLTM1LjMBDgAAAAUAAAACMTEBAAAAATACAAAACjEwMDM2NjU1OTcDAAAABjEwMDE4NwQAAAABMgYAAAABMAcAAAADMTYwCAAAAAEwCQAAAAExCgAAAAEwCwAAAAsxMDg3ODcwMDQ1NgwAAAABNw0AAAAJNy8xNy8yMDE4EAAAAAk3LzE2LzIwMTgpHJQQNQnWCDDXXRI1CdYIOENJUS5BU1g6SU1VLklRX1RPVEFMX0VRVUlUWS5DWTIwMTYuNy8xNi8yMDE4LkxGUi5GLlVTRC5IAQAAAJiTqQACAAAACDYuNzgyMjM4AQgAAAAFAAAAATEBAAAACjE4NzczMDU4NzMDAAAAAzE2MAIAAAAEMTI3NQQAAAABMAcAAAAJNy8xNi8yMDE4CAAAAAoxMi8zMS8yMDE2CQAAAAEwKRyUEDUJ1ggw110SNQnWCDVDSVEuTkFTREFRR1M6RVBaTS5JUV9DQVBFWC4xOTkyLjcvMzEvMjAxOC5MRlIuRi5VU0QuSAEAAAADJj0DAgAAAAUtMC4wOQEIAAAABQAAAAExAQAAAAoxODQwNjMwMzk0AwAAAAMxNjACAAAABDIwMjEEAAAAATAHAAAACTcvMzEvMjAxOAgAAAAJMy8zMS8yMDE2CQAAAAEw1owROAgJ1ghzJJ1vNAnWCERDSVEuKElOVkFMSUQgSURFTlRJRklFUikuSVFfUkVWRU5VRV9FU1QuQ1kyMDIxLjcvMTYvMjAxOC5DT04uRi5VU0QuSAUAAAAAAAAACAAA</t>
  </si>
  <si>
    <t>ABQoSW52YWxpZCBJZGVudGlmaWVyKSAKgRA1CdYImBJZEjUJ1ggwQ0lRLk5BU0RBUUdTOkFOQUIuSVFfTEFTVFNBTEVQUklDRS43LzE2LzIwMTguVVNEAQAAACFMsgECAAAABTcxLjIyAEadGRE1CdYIEv5kEjUJ1gg6Q0lRLk5BU0RBUUdTOktVUkEuSVFfRUFSTklOR19DTy4xOTk2LjcvMzEvMjAxOC5MRlIuRi5VU0QuSAEAAAC4y9oQAgAAAActMjguNDY3AQgAAAAFAAAAATEBAAAACjE4ODczODI5MjIDAAAAAzE2MAIAAAABNwQAAAABMAcAAAAJNy8zMS8yMDE4CAAAAAkzLzMxLzIwMTcJAAAAATDWjBE4CAnWCHMknW80CdYIMUNJUS5OQVNEQVFHTTpYTkNSLklRX0RBX0NGLi43LzE2LzIwMTguTEZSLkYuVVNELkgBAAAAploLAAIAAAAEMi4zNQEIAAAABQAAAAExAQAAAAoxODg3MTI1ODU1AwAAAAMxNjACAAAABDIxNjAEAAAAATAHAAAACTcvMTYvMjAxOAgAAAAJMy8zMS8yMDE4CQAAAAEwxP8bETUJ1ggS/mQSNQnWCDpDSVEuTkFTREFRR006Q1JWUy5JUV9FQVJOSU5HX0NPLjE5OTIuNy8zMS8yMDE4LkxGUi5GLlVTRC5IAQAAAPSwphACAAAABy0zNS43NjkBCAAAAAUAAAABMQEAAAAKMTg0MDExNjE1NAMAAAADMTYwAgAAAAE3BAAAAAEwBwAAAAk3LzMxLzIwMTgIAAAACTMvMzEvMjAxNgkAAAABMNaMETgICdYIGemhbzQJ1ggkQ0lRLk5BU0RBUUdNOkNSSVMuSVFfRUZGRUNUX1RBWF9SQVRFAQAAABdq</t>
  </si>
  <si>
    <t>AAADAAAAAADIMLI3CAnWCN1LpG80CdYIHkNJUS5PVENQSzpOV0JPLklRX0NPTVBBTllfTkFNRQEAAACjehQAAwAAAB9Ob3J0aHdlc3QgQmlvdGhlcmFwZXV0aWNzLCBJbmMuACkclBA1CdYIczlgEjUJ1ghBQ0lRLlhUUkE6TU9SLklRX1RPVEFMX1JFVl81WVJfQU5OX0NBR1IuMjAwMC43LzMxLzIwMTguTEZSLkYuVVNELkgBAAAA3xECAAIAAAAGMC4yMDM0AQgAAAAFAAAAATEBAAAACjE4ODYxNTE2NDgDAAAAAjUwAgAAAAQ0MjMzBAAAAAEwBwAAAAk3LzMxLzIwMTgIAAAACTMvMzEvMjAxOAkAAAABMJwL1TgICdYI1F+YbzQJ1ghHQ0lRLk5BU0RBUUNNOlpJT1AuSVFfTUlOT1JJVFlfSU5URVJFU1RfVE9UQUwuMjAwMC43LzMxLzIwMTguTEZSLkYuVVNELkgBAAAAs1GyAAMAAAAAANaMETgICdYIw4afbzQJ1ggfQ0lRLklRNzkyNDg5NC5JUV9DT01QQU5ZX1RJQ0tFUgEAAACe7HgAAwAAAA1OYXNkYXFHUzpBRFhTAAxtEA41CdYIzLKaDjUJ1gg7Q0lRLk5BU0RBUUdTOkJHTkUuSVFfRUJJVF9NQVJHSU4uMjAwMC43LzMxLzIwMTguTEZSLkYuVVNELkgBAAAA4OTdBgIAAAAILTU4LjIxNTUBCAAAAAUAAAABMQEAAAAKMTg4NzY4ODU4OAMAAAADMTYwAgAAAAQ0MDUzBAAAAAEwBwAAAAk3LzMxLzIwMTgIAAAACTMvMzEvMjAxOAkAAAABMJwL1TgICdYIgf2VbzQJ1ghHQ0lRLk5BU0RBUUdNOkFSUUwuSVFfTUlO</t>
  </si>
  <si>
    <t>T1JJVFlfSU5URVJFU1RfVE9UQUwuMjAwMC43LzMxLzIwMTguTEZSLkYuVVNELkgBAAAA9mEAAAMAAAAAANaMETgICdYIcySdbzQJ1gg5Q0lRLk5BU0RBUUdTOkNBTEEuSVFfRUJJVERBX01BUkdJTi4uNy8xNi8yMDE4LkxGUi5GLlVTRC5IAQAAAKUngQYCAAAACS0xMzguNTE2NgEIAAAABQAAAAExAQAAAAoxODg3OTgwMzA1AwAAAAMxNjACAAAABDQwNDcEAAAAATAHAAAACTcvMTYvMjAxOAgAAAAJMy8zMS8yMDE4CQAAAAEwKRyUEDUJ1gjkdFsSNQnWCCNDSVEuSVFUUjU1MDI1OTM5Ny5JUV9UUl9DTE9TRURfREFURQEAAADFSswgBQAAAAgzLzYvMjAxOAAMbRAONQnWCHd5gA41CdYIKUNJUS5OQVNEQVFHTTpGQVRFLklRX0JVU0lORVNTX0RFU0NSSVBUSU9OAQAAAGgxVwIDAAAAjg1GYXRlIFRoZXJhcGV1dGljcywgSW5jLiwgYSBjbGluaWNhbC1zdGFnZSBiaW9waGFybWFjZXV0aWNhbCBjb21wYW55LCBkZXZlbG9wcyBwcm9ncmFtbWVkIGNlbGx1bGFyIGltbXVub3RoZXJhcGllcyBmb3IgY2FuY2VyIGFuZCBpbW11bmUgZGlzb3JkZXJzIHdvcmxkd2lkZS4gSXRzIGltbXVuby1vbmNvbG9neSBwcm9kdWN0IGNhbmRpZGF0ZXMgaW5jbHVkZSBGQVRFLU5LMTAwLCBhIG5hdHVyYWwga2lsbGVyIChOSykgY2VsbCBjYW5jZXIgaW1tdW5vdGhlcmFweSB0aGF0IGNvbnNpc3RzIG9mIGFkYXB0aXZlIG1lbW9y</t>
  </si>
  <si>
    <t>eSBOSyBjZWxsczsgRlQ1MDAgaW5kdWNlZCBwbHVyaXBvdGVudCBzdGVtIGNlbGxzIChpUFNDKS1kZXJpdmVkIE5LIGNlbGwgcHJvZHVjdCBjYW5kaWRhdGUgZm9yIHRoZSB0cmVhdG1lbnQgb2YgYWR2YW5jZWQgc29saWQgdHVtb3JzOyBGVDUxNiBlbmdpbmVlcmVkIGlQU0MtZGVyaXZlZCBOSyBjZWxsIHByb2R1Y3QgY2FuZGlkYXRlIGZvciB0aGUgdHJlYXRtZW50IG9mIGhlbWF0b2xvZ2ljL3NvbGlkIHR1bW9yczsgYW5kIEZUODE5IGVuZ2luZWVyZWQgY2hpbWVyaWMgYW50aWdlbiByZWNlcHRvciAxOSBpUFNDLWRlcml2ZWQgVC1jZWxsIHByb2R1Y3QgY2FuZGlkYXRlIGZvciBoZW1hdG9sb2dpYy9zb2xpZCB0dW1vcnMuIFRoZSBjb21wYW554oCZcyBpbW11bm8tcmVndWxhdGlvbiBwcm9kdWN0IGNhbmRpZGF0ZXMgY29tcHJpc2UgUHJvVG11bmUsIGFuIGludmVzdGlnYXRpb25hbCBwcm9ncmFtbWVkIGNlbGx1bGFyIGltbXVub3RoZXJhcHkgZm9yIHVzZSBhcyBhIG5leHQtZ2VuZXJhdGlvbiBhbGxvZ2VuZWljIGhlbWF0b3BvaWV0aWMgY2VsbCB0cmFuc3BsYW50YXRpb24gY2VsbCBncmFmdDsgVG9sZXJhQ3l0ZSBmb3IgdGhlIHRyZWF0bWVudCBvZiBhdXRvaW1tdW5lIGFuZCBpbmZsYW1tYXRvcnkgZGlzZWFzZXM7IGFuZCBGVDMwMCBpUFNDLWRlcml2ZWQgbXllbG9pZCBkZXJpdmVkIHN1cHBy</t>
  </si>
  <si>
    <t>ZXNzb3IgY2VsbCBwcm9kdWN0IGNhbmRpZGF0ZSBmb3IgdGhlIHRyZWF0bWVudCBvZiBhdXRvaW1tdW5lIGRpc2Vhc2VzLiBGYXRlIFRoZXJhcGV1dGljcywgSW5jLiBoYXMgYSByZXNlYXJjaCBjb2xsYWJvcmF0aW9uIGFuZCBsaWNlbnNlIGFncmVlbWVudCB3aXRoIE1lbW9yaWFsIFNsb2FuIEtldHRlcmluZyBDYW5jZXIgQ2VudGVyIHRvIGRldmVsb3Agb2ZmLXRoZS1zaGVsZiBlbmdpbmVlcmVkIFQtY2VsbCBwcm9kdWN0IGNhbmRpZGF0ZXM7IGEgcmVzZWFyY2ggY29sbGFib3JhdGlvbiBwYXJ0bmVyc2hpcCB3aXRoIHRoZSBVbml2ZXJzaXR5IG9mIENhbGlmb3JuaWEgU2FuIERpZWdvIHRvIGRldmVsb3Agb2ZmLXRoZS1zaGVsZiBjaGltZXJpYyBhbnRpZ2VuIHJlY2VwdG9yLXRhcmdldGVkIG5hdHVyYWwga2lsbGVyIGNlbGwgY2FuY2VyIGltbXVub3RoZXJhcGllcy4gSXQgYWxzbyBoYXMgYSBzdHJhdGVnaWMgcmVzZWFyY2ggY29sbGFib3JhdGlvbiBhbmQgbGljZW5zZSBhZ3JlZW1lbnQgd2l0aCBKdW5vIFRoZXJhcGV1dGljcywgSW5jLiB0byBpZGVudGlmeSBzbWFsbCBtb2xlY3VsZSBtb2R1bGF0b3JzIHRoYXQgZW5oYW5jZSB0aGUgZnVuY3Rpb24gb2YgVCBjZWxscy4gRmF0ZSBUaGVyYXBldXRpY3MsIEluYy4gd2FzIGZvdW5kZWQgaW4gMjAwNyBhbmQgaXMgaGVhZHF1YXJ0ZXJlZCBpbiBT</t>
  </si>
  <si>
    <t>YW4gRGllZ28sIENhbGlmb3JuaWEuANaMETgICdYIIrvpgTQJ1ggxQ0lRLk5BU0RBUUdTOkJHTkUuSVFfQ0FQRVguLjcvMTYvMjAxOC5MRlIuRi5VU0QuSAEAAADg5N0GAgAAAActNTEuMDAyAQgAAAAFAAAAATEBAAAACjE4ODc2ODg1ODgDAAAAAzE2MAIAAAAEMjAyMQQAAAABMAcAAAAJNy8xNi8yMDE4CAAAAAkzLzMxLzIwMTgJAAAAATDE/xsRNQnWCGhgZxI1CdYIPUNJUS5OQVNEQVFHTTpGQVRFLklRX0VCSVREQV9NQVJHSU4uMjAwMC43LzMxLzIwMTguTEZSLkYuVVNELkgBAAAAaDFXAgMAAAACTk0BCAAAAAUAAAABMQEAAAAKMTg4ODUwMDUyNwMAAAADMTYwAgAAAAQ0MDQ3BAAAAAEwBwAAAAk3LzMxLzIwMTgIAAAACTMvMzEvMjAxOAkAAAABMNaMETgICdYIw4afbzQJ1ggxQ0lRLi5JUV9DQVNIX1NUX0lOVkVTVC4yMDAwLjcvMzEvMjAxOC5MRlIuRi5VU0QuSAUAAAABAAAACAAAABQoSW52YWxpZCBJZGVudGlmaWVyKfWEMkc0CdYI9YQyRzQJ1ggxQ0lRLklRVFIyNTM5NTQ0NzMuSVFfVFJfVEFSR0VUX1JFVkVOVUVfRVNULi5VU0QuSAEAAACpCSMPAgAAAAAAsrNJbzQJ1gg1m5NvNAnWCCBDSVEuSVFUUjI0NTgzMTAwNy5JUV9UUl9FQVJOT1VUUwEAAABfFacOAgAAAAAAsrNJbzQJ1giB/ZVvNAnWCD9DSVEuTkFTREFRQ006WklPUC5JUV9ORVRfV09SS0lOR19DQVAuMTk5Ni43LzMxLzIwMTguTEZS</t>
  </si>
  <si>
    <t>LkYuVVNELkgBAAAAs1GyAAIAAAAFOC44MzkBCAAAAAUAAAABMQEAAAAKMTg4Nzk3MjM0OAMAAAADMTYwAgAAAAQxMzExBAAAAAEwBwAAAAk3LzMxLzIwMTgIAAAACTMvMzEvMjAxNwkAAAABMNaMETgICdYIw4afbzQJ1ggqQ0lRLklRVFI1NTExNjYyOTIuSVFfVFJfVEFSR0VUX0VCSVQuLlVTRC5IAQAAAFQh2iACAAAABy01Ny43ODkBBgAAAAUAAAACMzcBAAAACjE4Nzc0NzgxOTcCAAAABTIxNjc1AwAAAAMxNjAEAAAAATAHAAAACDEvMS8xOTAwDG0QDjUJ1gjA24IONQnWCCJDSVEuSVFUUjU0ODMzODAyMC5JUV9UUl9UQVJHRVROQU1FAQAAAGT5riADAAAAOkdsb2JhbCBDb21tZXJjaWFsIFJpZ2h0cyBmb3IgVmFybGl0aW5pYiBvZiBBcnJheSBCaW9QaGFybWEADG0QDjUJ1gjA24IONQnWCDtDSVEuTkFTREFRR006WE5DUi5JUV9UT1RBTF9SRVYuQ1kyMDE2LjcvMTYvMjAxOC5MRlIuRi5VU0QuSAEAAACmWgsAAgAAAAU4Ny41MgEIAAAABQAAAAExAQAAAAoxODc2OTg0NTIzAwAAAAMxNjACAAAAAjI4BAAAAAEwBwAAAAk3LzE2LzIwMTgIAAAACjEyLzMxLzIwMTYJAAAAATDE/xsRNQnWCBL+ZBI1CdYIMUNJUS5JUVRSNTUwMjU5Mzk3LklRX1RSX1RBUkdFVF9SRVZFTlVFX0VTVC4uVVNELkgBAAAAxUrMIAIAAAAHNjguMDA2NAAMbRAONQnWCHd5gA41CdYIPENJUS5OQVNEQVFHUzpDQUxBLklRX1RPVEFM</t>
  </si>
  <si>
    <t>X0VRVUlUWS4yMDAwLjcvMzEvMjAxOC5MRlIuRi5VU0QuSAEAAAClJ4EGAgAAAAcxNDcuODY3AQgAAAAFAAAAATEBAAAACjE4ODc5ODAzMDUDAAAAAzE2MAIAAAAEMTI3NQQAAAABMAcAAAAJNy8zMS8yMDE4CAAAAAkzLzMxLzIwMTgJAAAAATDIMLI3CAnWCN1LpG80CdYILENJUS5JUVRSNTQ4MzM4MDIwLklRX1RSX1RBUkdFVF9FQklUREEuLlVTRC5IAQAAAGT5riACAAAAAAAMbRAONQnWCMDbgg41CdYIIUNJUS5OQVNEQVFHUzpHVEhYLklRX0NPTVBBTllfTkFNRQEAAABlNGkIAwAAABVHMSBUaGVyYXBldXRpY3MsIEluYy4AnAvVOAgJ1ggkwppvNAnWCDBDSVEuSVFUUjQwODQwNzgyMi5JUV9UUl9UQVJHRVRfRUJJVERBX0VTVC4uVVNELkgBAAAADs9XGAIAAAAAALKzSW80CdYIgf2VbzQJ1ggkQ0lRLk5BU0RBUUdNOkFSUUwuSVFfRUZGRUNUX1RBWF9SQVRFAQAAAPZhAAADAAAAAADWjBE4CAnWCMOGn280CdYIJ0NJUS5OQVNEQVFHUzpNUlNOLklRX1BFUklPRERBVEVfSVMuMTAwMAEAAADmxRgABQAAAAoxMi8zMS8yMDE3ANaMETgICdYIw4afbzQJ1ggaQ0lRLi5JUV9CRVRBXzVZUi43LzMxLzIwMTgFAAAAAQAAAAgAAAAUKEludmFsaWQgSWRlbnRpZmllcin1hDJHNAnWCPWEMkc0CdYIJUNJUS5OQVNEQVFHUzpOSy5JUV9CRVRBXzFZUi43LzMxLzIwMTgBAAAADX2hDwIAAAAQMS43NzUxNDQ1MTIxMDM5</t>
  </si>
  <si>
    <t>NADWjBE4CAnWCBnpoW80CdYIHUNJUS5JUTM0MTQ1LklRX0NPTVBBTllfVElDS0VSAQAAAGGFAAADAAAADU5hc2RhcUdTOlNHRU4ADG0QDjUJ1ggMPoUONQnWCDtDSVEuTkFTREFRR006SU1NVS5JUV9UT1RBTF9SRVYuQ1kyMDE2LjcvMzEvMjAxOC5MRlIuRi5VU0QuSAEAAAAgQwQAAgAAAAgyLjk1NzI0MQEIAAAABQAAAAExAQAAAAoxODczNDkzNDkxAwAAAAMxNjACAAAAAjI4BAAAAAEwBwAAAAk3LzMxLzIwMTgIAAAACjEyLzMxLzIwMTYJAAAAATCcC9U4CAnWCNRfmG80CdYIIkNJUS4uSVFfVFJfSU1QTElFRF9FVl9GSU5BTC4uVVNELkgFAAAAAAAAAAgAAAAUKEludmFsaWQgSWRlbnRpZmllcimcC9U4CAnWCHd5gA41CdYIRkNJUS5OQVNEQVFDTTpTUk5FLklRX01JTk9SSVRZX0lOVEVSRVNUX1RPVEFMLjIwMDAuNS81LzIwMTcuTEZSLkYuVVNELkgBAAAASUOUAwIAAAAFNi40NjUBCAAAAAUAAAABMQEAAAAKMTgzMzU2NjU5OQMAAAADMTYwAgAAAAQxMzEyBAAAAAEwBwAAAAg1LzUvMjAxNwgAAAAKMTIvMzEvMjAxNgkAAAABMNaMETgICdYIcySdbzQJ1ggnQ0lRLk5BU0RBUUNNOkFWRU8uSVFfQkVUQV8xWVIuNy8xNi8yMDE4AQAAAPQWHQACAAAAETAuMTEyMDc2NDMyODUzMjk4AMT/GxE1CdYIwptiEjUJ1ggrQ0lRLklRVFI1MzMzODU3NDQuSVFfVFJfVE9UQUxfR1JPU1NfVFYuLlVTRAEAAAAQ0sof</t>
  </si>
  <si>
    <t>AgAAAAQyMzIwAQYAAAAFAAAAAjU0AQAAAAYxMDIwODgCAAAACTUzMzM4NTc0NAMAAAAJNTMzMzg1ODI0BAAAAAMxNjAGAAAABUZhbHNlDG0QDjUJ1gjA24IONQnWCCNDSVEuTkFTREFRR1M6UEJZSS5JUV9QRVJJT0REQVRFX0lTLgEAAAACaqwHBQAAAAk2LzMwLzIwMTgAxP8bETUJ1ggS/mQSNQnWCCJDSVEuSVFUUjUzMzM4NTc0NC5JUV9UUl9UQVJHRVROQU1FAQAAABDSyh8DAAAAFklGTSBUaGVyYXBldXRpY3MsIEluYy4ADG0QDjUJ1gh3eYAONQnWCDBDSVEuTkFTREFRR006Q1JWUy5JUV9MQVNUU0FMRVBSSUNFLjcvMzEvMjAxOC5VU0QBAAAA9LCmEAIAAAAEOS44NwDWjBE4CAnWCBnpoW80CdYIQ0NJUS5OQVNEQVFHUzpDQUxBLklRX01JTk9SSVRZX0lOVEVSRVNUX1RPVEFMLi43LzE2LzIwMTguTEZSLkYuVVNELkgBAAAApSeBBgMAAAAAACkclBA1CdYI5HRbEjUJ1gg3Q0lRLk5BU0RBUUdTOkFEWFMuSVFfRUJJVF9NQVJHSU4uLjcvMTYvMjAxOC5MRlIuRi5VU0QuSAEAAACe7HgAAwAAAAJOTQEIAAAABQAAAAExAQAAAAoxODkyNzg4NTQ4AwAAAAMxNjACAAAABDQwNTMEAAAAATAHAAAACTcvMTYvMjAxOAgAAAAJNC8zMC8yMDE4CQAAAAEwKRyUEDUJ1gjkdFsSNQnWCClDSVEuTkFTREFRR006TkxOSy5JUV9CVVNJTkVTU19ERVNDUklQVElPTgEAAACVe4wAAwAAAOoNTmV3TGluayBHZW5ldGljcyBD</t>
  </si>
  <si>
    <t>b3Jwb3JhdGlvbiwgYSBsYXRlIGNsaW5pY2FsLXN0YWdlIGltbXVuby1vbmNvbG9neSBjb21wYW55LCBmb2N1c2VzIG9uIGRpc2NvdmVyaW5nIGFuZCBkZXZlbG9waW5nIG5vdmVsIGltbXVub3RoZXJhcGV1dGljIHByb2R1Y3RzIGZvciB0aGUgdHJlYXRtZW50IG9mIHBhdGllbnRzIHdpdGggY2FuY2VyLiBJdCBpcyBkZXZlbG9waW5nIE5MRzIxMDMsIGEgY29tYmluYXRpb24gb2YgaW5kb3hpbW9kIGFuZCBzdGFuZGFyZCBvZiBjYXJlIGNoZWNrcG9pbnQgaW5oaWJpdG9ycywgd2hpY2ggaXMgaW4gUGhhc2UgSUkgY2xpbmljYWwgdHJpYWwgZm9yIHRyZWF0aW5nIHBhdGllbnRzIHdpdGggYWR2YW5jZWQgbWVsYW5vbWE7IGFuZCBJbmRpZ28zMDEsIGEgY29tYmluYXRpb24gb2YgaW5kb3hpbW9kIHdpdGggYSBjaGVja3BvaW50IGluaGliaXRvciB0aGF0IGlzIGluIFBoYXNlIElJSSBjbGluaWNhbCB0cmlhbCBmb3IgdHJlYXRpbmcgcGF0aWVudHMgd2l0aCBhZHZhbmNlZCB1bnJlc2VjdGFibGUgb3IgbWV0YXN0YXRpYyBtZWxhbm9tYSwgYXMgd2VsbCBhcyBjb21iaW5hdGlvbiBvZiBpbmRveGltb2Qgd2l0aCBvdGhlciBjYW5jZXIgdGhlcmFwZXV0aWNzIGZvciBwYXRpZW50cyB3aXRoIG1lbGFub21hLCBwYW5jcmVhdGljIGNhbmNlciwgcGVkaWF0cmljIGJyYWluIHR1bW9ycywgYW5kIGFjdXRlIG15</t>
  </si>
  <si>
    <t>ZWxvaWQgbGV1a2VtaWEuIFRoZSBjb21wYW55IGlzIGFsc28gZGV2ZWxvcGluZyBOTEc4MDIsIGEgcHJvZHJ1ZyBvZiBpbmRveGltb2QsIHdoaWNoIGhhcyBjb21wbGV0ZWQgUGhhc2UgSSBjbGluaWNhbCB0cmlhbDsgYW5kIE5MRzkxOSwgYSBjbGluaWNhbCBzdGFnZSBpbmRvbGVhbWluZS0yLCAzLWRpb3h5Z2VuYXNlIHBhdGh3YXkgaW5oaWJpdG9yLiBJbiBhZGRpdGlvbiwgaXQgaXMgZGV2ZWxvcGluZyB0ZXJnZW5wdW1hdHVjZWwtTCBhbmQgZG9yZ2VubWVsdHVjZWwtTCB0aGF0IGFyZSBpbiBQaGFzZSBJSSBjbGluaWNhbCB0cmlhbHMgZm9yIHRyZWF0aW5nIHBhdGllbnRzIHdpdGggYWR2YW5jZWQgbHVuZyBjYW5jZXIgYW5kIG1lbGFub21hOyBhbmQgQ1JMWDEwMSBhbmQgQ1JMWDMwMSwgd2hpY2ggYXJlIGluIGVhcmx5IGNsaW5pY2FsIGRldmVsb3BtZW50IHRvIHRyZWF0IHBhdGllbnRzIHdpdGggYWR2YW5jZWQgc29saWQgbWFsaWduYW5jaWVzLiBUaGUgY29tcGFueSBoYXMgc3RyYXRlZ2ljIGNvbGxhYm9yYXRpb24gYWdyZWVtZW50IHdpdGggQXN0cmFaZW5lY2EgdG8gZXZhbHVhdGUgdGhlIGNvbWJpbmF0aW9uIG9mIGluZG94aW1vZCBhbmQgZHVydmFsdW1hYiwgYW4gYW50aS1QRC1MMSBtb25vY2xvbmFsIGFudGlib2R5IGZvciB0cmVhdGluZyBwYXRpZW50cyB3aXRoIG1ldGFzdGF0aWMg</t>
  </si>
  <si>
    <t>cGFuY3JlYXRpYyBjYW5jZXI7IEdlbmVudGVjaCBJbmMuIGZvciB0aGUgZGV2ZWxvcG1lbnQgYW5kIGNvbW1lcmNpYWxpemF0aW9uIG9mIE5MRzkxOSwgYXMgd2VsbCBhcyBhIHJlc2VhcmNoIGNvbGxhYm9yYXRpb24gZm9yIHRoZSBkaXNjb3Zlcnkgb2YgbmV4dCBnZW5lcmF0aW9uIElETy9URE8gaW5oaWJpdG9yczsgYW5kIE1lcmNrIFNoYXJwZSBhbmQgRG9obWUgQ29ycC4gdG8gcmVzZWFyY2gsIGRldmVsb3AsIGFuZCBjb21tZXJjaWFsaXplIHJWU1YgRy1aRUJPViBHUCwgYW4gRWJvbGEgdmFjY2luZSBwcm9kdWN0IGNhbmRpZGF0ZS4gTmV3TGluayBHZW5ldGljcyBDb3Jwb3JhdGlvbiB3YXMgZm91bmRlZCBpbiAxOTk5IGFuZCBpcyBoZWFkcXVhcnRlcmVkIGluIEFtZXMsIElvd2EuACkclBA1CdYI5HRbEjUJ1gg1Q0lRLk5BU0RBUUdTOk1SU04uSVFfVE9UQUxfUkVWLi43LzE2LzIwMTguTEZSLkYuVVNELkgBAAAA5sUYAAIAAAAGMTYuMzE5AQgAAAAFAAAAATEBAAAACjE4ODkwOTY2NTMDAAAAAzE2MAIAAAACMjgEAAAAATAHAAAACTcvMTYvMjAxOAgAAAAJMy8zMS8yMDE4CQAAAAEwxP8bETUJ1ghzOWASNQnWCDxDSVEuTkFTREFRR1M6QURYUy5JUV9FQklUREFfRVNULkNZMjAyMC43LzE2LzIwMTguQ09OLkYuVVNELkgBAAAAnux4AAMAAAAAACkclBA1CdYI5HRbEjUJ1gg1Q0lRLk9UQ1BLOk5X</t>
  </si>
  <si>
    <t>Qk8uSVFfRUJJVERBLkNZMjAxNy43LzE2LzIwMTguTEZSLkYuVVNELkgBAAAAo3oUAAIAAAAHLTU0LjIzOQEIAAAABQAAAAExAQAAAAoxODgzMjQ5MDg2AwAAAAMxNjACAAAABDQwNTEEAAAAATAHAAAACTcvMTYvMjAxOAgAAAAKMTIvMzEvMjAxNwkAAAABMCkclBA1CdYIczlgEjUJ1gg1Q0lRLk5BU0RBUUdTOkJHTkUuSVFfVE9UQUxfRVFVSVRZLkNZMjAxNy4uTEZSLkYuVVNELkgBAAAA4OTdBgIAAAAGNjgxLjk0AQgAAAAFAAAAATEBAAAACjE4OTk4ODExOTQDAAAAAzE2MAIAAAAEMTI3NQQAAAABMAcAAAAJOC8yMy8yMDE4CAAAAAoxMi8zMS8yMDE3CQAAAAEwnAvVOAgJ1gicC9U4CAnWCDhDSVEuTkFTREFRQ006Q0tQVC5JUV9UT1RBTF9FUVVJVFkuLjcvMTYvMjAxOC5MRlIuRi5VU0QuSAEAAAC4URYRAgAAAAYyOC44OTkBCAAAAAUAAAABMQEAAAAKMTg4ODAwNzIyMwMAAAADMTYwAgAAAAQxMjc1BAAAAAEwBwAAAAk3LzE2LzIwMTgIAAAACTMvMzEvMjAxOAkAAAABMCkclBA1CdYI5HRbEjUJ1gg2Q0lRLk5BU0RBUUdNOkZBVEUuSVFfRUJJVERBLjE5OTIuNy8zMS8yMDE4LkxGUi5GLlVTRC5IAQAAAGgxVwICAAAABy0yNy41ODgBCAAAAAUAAAABMQEAAAAKMTg0MzU0NDMyMQMAAAADMTYwAgAAAAQ0MDUxBAAAAAEwBwAAAAk3LzMxLzIwMTgIAAAACTMvMzEvMjAxNgkAAAABMNaMETgICdYIw4afbzQJ</t>
  </si>
  <si>
    <t>1ggvQ0lRLklRVFI0MTM5NTM2NjEuSVFfVFJfVEFSR0VUX1RPVEFMX1JFVi4uVVNELkgBAAAAfW6sGAIAAAAAALKzSW80CdYIgf2VbzQJ1ghNQ0lRLihJTlZBTElEIElERU5USUZJRVIpLklRX01JTk9SSVRZX0lOVEVSRVNUX1RPVEFMLjIwMDAuNS81LzIwMTcuTEZSLkYuVVNELkgFAAAAAAAAAAgAAAAUKEludmFsaWQgSWRlbnRpZmllcinIMLI3CAnWCO02sG80CdYIJkNJUS5YVFJBOk1PUi5JUV9MQVNUU0FMRVBSSUNFLjUvNS8yMDE3AQAAAN8RAgACAAAACTYyLjYwMDI4NgCcC9U4CAnWCNRfmG80CdYIJ0NJUS5OQVNEQVFDTTpaSU9QLklRX0JFVEFfNVlSLjcvMzEvMjAxOAEAAACzUbIAAgAAABAxLjMwMDY2MzM2MTAxMDAzANaMETgICdYIw4afbzQJ1gg+Q0lRLlhUUkE6TU9SLklRX0VCSVREQV8zWVJfQU5OX0NBR1IuMjAwMC43LzMxLzIwMTguTEZSLkYuVVNELkgBAAAA3xECAAMAAAACTk0BCAAAAAUAAAABMQEAAAAKMTg4NjE1MTY0OAMAAAACNTACAAAABDQyMjIEAAAAATAHAAAACTcvMzEvMjAxOAgAAAAJMy8zMS8yMDE4CQAAAAEwnAvVOAgJ1gjUX5hvNAnWCD9DSVEuTkFTREFRR1M6Q0FMQS5JUV9ORVRfV09SS0lOR19DQVAuMTk5Ni43LzMxLzIwMTguTEZSLkYuVVNELkgBAAAApSeBBgIAAAAHLTE4LjQ4OQEIAAAABQAAAAExAQAAAAoxODg3OTgwMjc3AwAAAAMxNjACAAAABDEzMTEEAAAAATAH</t>
  </si>
  <si>
    <t>AAAACTcvMzEvMjAxOAgAAAAJMy8zMS8yMDE3CQAAAAEwyDCyNwgJ1gjdS6RvNAnWCDhDSVEuTkFTREFRR1M6TksuSVFfRUFSTklOR19DTy4xOTkyLjcvMzEvMjAxOC5MRlIuRi5VU0QuSAEAAAANfaEPAgAAAAgtMjM0LjcwNAEIAAAABQAAAAExAQAAAAoxODQwNzQxODU3AwAAAAMxNjACAAAAATcEAAAAATAHAAAACTcvMzEvMjAxOAgAAAAJMy8zMS8yMDE2CQAAAAEw1owROAgJ1ggZ6aFvNAnWCEFDSVEuWFRSQTpNT1IuSVFfVE9UQUxfUkVWXzJZUl9BTk5fQ0FHUi4yMDAwLjcvMzEvMjAxOC5MRlIuRi5VU0QuSAEAAADfEQIAAgAAAAY5Ljc5NjYBCAAAAAUAAAABMQEAAAAKMTg4NjE1MTY0OAMAAAACNTACAAAABDQyMDcEAAAAATAHAAAACTcvMzEvMjAxOAgAAAAJMy8zMS8yMDE4CQAAAAEwnAvVOAgJ1gjUX5hvNAnWCClDSVEuSVFUUjMxNDgyOTIzNi5JUV9UUl9JTVBMSUVEX0VRX05JX0xUTQEAAAC06cMSAgAAAAAAWM8SDjUJ1gjA24IONQnWCDJDSVEuT1RDUEs6TUJWWC5JUV9OSV9NQVJHSU4uLjcvMTYvMjAxOC5MRlIuRi5VU0QuSAEAAADYRIsCAwAAAAAA3qd+EDUJ1giYElkSNQnWCD1DSVEuTkFTREFRR1M6QURYUy5JUV9SRVZFTlVFX0VTVC5DWTIwMTguNy8xNi8yMDE4LkNPTi5GLlVTRC5IAQAAAJ7seAACAAAABjcuNTQ3NQEOAAAABQAAAAIxMQEAAAABMAIAAAAJNjUwNjU1MDU1AwAAAAYxMDAx</t>
  </si>
  <si>
    <t>ODAEAAAAATIGAAAAATAHAAAAAzE2MAgAAAABMAkAAAABMQoAAAABMAsAAAALMTA5MjQwNjUxOTYMAAAAATcNAAAACTcvMTcvMjAxOBAAAAAJNy8xNi8yMDE4KRyUEDUJ1gjkdFsSNQnWCDhDSVEuTkFTREFRQ006Q0tQVC5JUV9FQklUREEuQ1kyMDE2LjcvMTYvMjAxOC5MRlIuRi5VU0QuSAEAAAC4URYRAwAAAAAAKRyUEDUJ1ggw110SNQnWCC5DSVEuSVFUUjU1MDI1OTM5Ny5JUV9UUl9UQVJHRVRfU1RPQ0tQUkVNSVVNXzFNAQAAAMVKzCACAAAABzg5LjEzMDQBBgAAAAUAAAACNTQBAAAABjEwMTA1NQIAAAAJNTUwMjU5Mzk3AwAAAAk1NTAyNjQ1NjQEAAAAAzE2MAYAAAAFRmFsc2UMbRAONQnWCHd5gA41CdYIPkNJUS5OQVNEQVFHTTpYTkNSLklRX1RPVEFMX0VRVUlUWS5DWTIwMTcuNy8xNi8yMDE4LkxGUi5GLlVTRC5IAQAAAKZaCwACAAAABzI4Mi4wNDYBCAAAAAUAAAABMQEAAAAKMTg3Njk4NDU1MgMAAAADMTYwAgAAAAQxMjc1BAAAAAEwBwAAAAk3LzE2LzIwMTgIAAAACjEyLzMxLzIwMTcJAAAAATDE/xsRNQnWCBL+ZBI1CdYIJ0NJUS5OQVNEQVFHTTpBRk1ELklRX0JFVEFfMVlSLjcvMTYvMjAxOAEAAADb9wwAAgAAABEtMS41MTkwODQ5NzczMzYzMgApHJQQNQnWCDDXXRI1CdYIP0NJUS4oSU5WQUxJRCBJREVOVElGSUVSKS5JUV9FQklUREEuQ1kyMDE3LjcvMTYvMjAxOC5MRlIuRi5VU0QuSAUA</t>
  </si>
  <si>
    <t>AAAAAAAACAAAABQoSW52YWxpZCBJZGVudGlmaWVyKd6nfhA1CdYImBJZEjUJ1ghDQ0lRLk5BU0RBUUdNOlhOQ1IuSVFfTUlOT1JJVFlfSU5URVJFU1RfVE9UQUwuLjcvMTYvMjAxOC5MRlIuRi5VU0QuSAEAAACmWgsAAwAAAAAAxP8bETUJ1ggS/mQSNQnWCEJDSVEuTkFTREFRR1M6UEJZSS5JUV9UT1RBTF9SRVZfNVlSX0FOTl9DQUdSLi43LzE2LzIwMTguTEZSLkYuVVNELkgBAAAAAmqsBwMAAAAAAMT/GxE1CdYIEv5kEjUJ1gg8Q0lRLk5BU0RBUUdTOk1SU04uSVFfVE9UQUxfRVFVSVRZLjE5OTIuNy8zMS8yMDE4LkxGUi5GLlVTRC5IAQAAAObFGAADAAAAAADWjBE4CAnWCMOGn280CdYIIkNJUS5JUVRSNDIyODg3NzAxLklRX1RSX1RPVEFMX0NBU0gBAAAAFcE0GQIAAAADMC41AQYAAAAFAAAAAjU0AQAAAAYxMDEwNTYCAAAACTQyMjg4NzcwMQMAAAAJNDMwNDA2MzQzBAAAAAMxNjAGAAAABUZhbHNlDG0QDjUJ1gjA24IONQnWCC5DSVEuSVFUUjI0NTgzMTAwNy5JUV9UUl9UQVJHRVRfU1RPQ0tQUkVNSVVNXzFNAQAAAF8Vpw4CAAAABzYxLjkwNDgAsrNJbzQJ1giB/ZVvNAnWCDVDSVEuTkFTREFRR006TkxOSy5JUV9UT1RBTF9SRVYuLjcvMTYvMjAxOC5MRlIuRi5VU0QuSAEAAACVe4wAAgAAAAUzNS44NQEIAAAABQAAAAExAQAAAAoxODg4MzU0MjA3AwAAAAMxNjACAAAAAjI4BAAAAAEwBwAAAAk3LzE2</t>
  </si>
  <si>
    <t>LzIwMTgIAAAACTMvMzEvMjAxOAkAAAABMCkclBA1CdYI5HRbEjUJ1gglQ0lRLklRVFIyNTM5NTQ0NzMuSVFfVFJfSU1QTElFRF9FUV9CVgEAAACpCSMPAgAAAAAAsrNJbzQJ1gg1m5NvNAnWCC1DSVEuTkFTREFRR1M6QVROWC5JUV9NQVJLRVRDQVAuNS81LzIwMTcuVVNELkgBAAAA3JlrAQMAAAAAANaMETgICdYIJMKabzQJ1gglQ0lRLklRVFI1NDc0MjM2ODAuSVFfVFJfTUFKX01JTl9TVEFLRQEAAADABaEgAwAAAAhNYWpvcml0eQAMbRAONQnWCMDbgg41CdYINkNJUS5OQVNEQVFHTTpJTU1VLklRX0VCSVREQS4xOTk2LjcvMzEvMjAxOC5MRlIuRi5VU0QuSAEAAAAgQwQAAgAAAAotNjYuMTk1OTA3AQgAAAAFAAAAATEBAAAACjE4ODg1MjMzOTIDAAAAAzE2MAIAAAAENDA1MQQAAAABMAcAAAAJNy8zMS8yMDE4CAAAAAkzLzMxLzIwMTcJAAAAATCcC9U4CAnWCNRfmG80CdYINkNJUS5OQVNEQVFHTTpDUlZTLklRX0VCSVREQS4yMDAwLjcvMzEvMjAxOC5MRlIuRi5VU0QuSAEAAAD0sKYQAgAAAActNTQuMDk0AQgAAAAFAAAAATEBAAAACjE4ODYzNjc1OTEDAAAAAzE2MAIAAAAENDA1MQQAAAABMAcAAAAJNy8zMS8yMDE4CAAAAAkzLzMxLzIwMTgJAAAAATDWjBE4CAnWCBnpoW80CdYIJ0NJUS5OQVNEQVFHTTpDUklTLklRX0JFVEFfMllSLjcvMzEvMjAxOAEAAAAXagAAAgAAABAzLjA1MDY5NTkyNDEwMDg3</t>
  </si>
  <si>
    <t>AMgwsjcICdYI3UukbzQJ1ghDQ0lRLk5BU0RBUUdTOkNBTEEuSVFfTUlOT1JJVFlfSU5URVJFU1RfVE9UQUwuLjkvMTUvMjAxNy5MRlIuRi5VU0QuSAEAAAClJ4EGAwAAAAAAKRyUEDUJ1gjkdFsSNQnWCCNDSVEuTkFTREFRR1M6Q0FMQS5JUV9QRVJJT0REQVRFX0lTLgEAAAClJ4EGBQAAAAk2LzMwLzIwMTgAKRyUEDUJ1gjkdFsSNQnWCENDSVEuTkFTREFRR006Q1JWUy5JUV9FQklUREFfMllSX0FOTl9DQUdSLjIwMDAuNy8zMS8yMDE4LkxGUi5GLlVTRC5IAQAAAPSwphADAAAAAk5NAQgAAAAFAAAAATEBAAAACjE4ODYzNjc1OTEDAAAAAzE2MAIAAAAENDIwOQQAAAABMAcAAAAJNy8zMS8yMDE4CAAAAAkzLzMxLzIwMTgJAAAAATDWjBE4CAnWCBnpoW80CdYINUNJUS5OQVNEQVFDTTpTUk5FLklRX0NBUEVYLjE5OTYuNy8zMS8yMDE4LkxGUi5GLlVTRC5IAQAAAElDlAMCAAAABy0xMC40MjUBCAAAAAUAAAABMQEAAAAKMTg4Nzk4OTgyOAMAAAADMTYwAgAAAAQyMDIxBAAAAAEwBwAAAAk3LzMxLzIwMTgIAAAACTMvMzEvMjAxNwkAAAABMNaMETgICdYIcySdbzQJ1gg8Q0lRLk5BU0RBUUdTOkFUTlguSVFfR1JPU1NfTUFSR0lOLjIwMDAuNy8zMS8yMDE4LkxGUi5GLlVTRC5IAQAAANyZawECAAAACC00Ny43MTk0AQgAAAAFAAAAATEBAAAACjE4ODg3MDI5ODIDAAAAAzE2MAIAAAAENDA3NAQAAAABMAcAAAAJ</t>
  </si>
  <si>
    <t>Ny8zMS8yMDE4CAAAAAkzLzMxLzIwMTgJAAAAATDWjBE4CAnWCCTCmm80CdYIO0NJUS5OQVNEQVFHUzpNUlNOLklRX05FVF9XT1JLSU5HX0NBUC4uNy8xNi8yMDE4LkxGUi5GLlVTRC5IAQAAAObFGAACAAAABy0yNS45MzgBCAAAAAUAAAABMQEAAAAKMTg4OTA5NjY1MwMAAAADMTYwAgAAAAQxMzExBAAAAAEwBwAAAAk3LzE2LzIwMTgIAAAACTMvMzEvMjAxOAkAAAABMMT/GxE1CdYIczlgEjUJ1ggjQ0lRLklRVFI0MDg0MDc4MjIuSVFfVFJfQ0xPU0VEX0RBVEUBAAAADs9XGAUAAAAKMTIvMjkvMjAxNgCys0lvNAnWCIH9lW80CdYIPkNJUS5OQVNEQVFHUzpHVEhYLklRX1RPVEFMX0VRVUlUWS5DWTIwMTcuNy8zMS8yMDE4LkxGUi5GLlVTRC5IAQAAAGU0aQgCAAAABjkzLjM4OAEIAAAABQAAAAExAQAAAAoxODc1MzI3MzA2AwAAAAMxNjACAAAABDEyNzUEAAAAATAHAAAACTcvMzEvMjAxOAgAAAAKMTIvMzEvMjAxNwkAAAABMNaMETgICdYIJMKabzQJ1ggqQ0lRLklRVFIzMTQ4MjkyMzYuSVFfVFJfVEFSR0VUX0VCSVQuLlVTRC5IAQAAALTpwxICAAAAAABYzxIONQnWCMDbgg41CdYIIkNJUS5JUVRSNTQyODA2Njg2LklRX1RSX1BDVF9TT1VHSFQBAAAAnpJaIAIAAAADMTAwALKzSW80CdYIgf2VbzQJ1gg4Q0lRLk9UQ1BLOk1CVlguSVFfTkVUX1dPUktJTkdfQ0FQLi43LzE2LzIwMTguTEZSLkYuVVNELkgB</t>
  </si>
  <si>
    <t>AAAA2ESLAgIAAAAJLTMuNzg0NzcyAQgAAAAFAAAAATEBAAAACjE4ODEyMTMyNDUDAAAAAzE2MAIAAAAEMTMxMQQAAAABMAcAAAAJNy8xNi8yMDE4CAAAAAoxMi8zMS8yMDE3CQAAAAEw3qd+EDUJ1giYElkSNQnWCC5DSVEuTkFTREFRR1M6RlBSWC5JUV9NQVJLRVRDQVAuOS8xNS8yMDE3LlVTRC5IAQAAADddMwACAAAACzEwMzQuOTg0MjczAQYAAAAFAAAAATEBAAAACjE4NTI0NzQ2MjcDAAAAAzE2MAIAAAAGMTAwMDU0BAAAAAEwBwAAAAk5LzE1LzIwMTcpHJQQNQnWCHM5YBI1CdYIHkNJUS5JUTYwMDkxMS5JUV9DT01QQU5ZX1RJQ0tFUgEAAABPKwkAAwAAAA1OYXNkYXFHUzpNR05YAAxtEA41CdYIoSmRDjUJ1ggwQ0lRLklRVFI1NDc0MjM2ODAuSVFfVFJfVEFSR0VUX0VCSVREQV9FU1QuLlVTRC5IAQAAAMAFoSACAAAAAAAMbRAONQnWCMDbgg41CdYIIENJUS5JUTI3ODkyNjMzLklRX0NPTVBBTllfVElDS0VSAQAAAJmbqQEDAAAADU5hc2RhcUNNOk1URU0AsrNJbzQJ1ggZ6aFvNAnWCDlDSVEuTkFTREFRR006SU1NVS5JUV9UT1RBTF9ERUJULjIwMDAuNS81LzIwMTcuTEZSLkYuVVNELkgBAAAAIEMEAAIAAAAJOTcuNzE5MzA5AQgAAAAFAAAAATEBAAAACjE4MjcyNDgzNjADAAAAAzE2MAIAAAAENDE3MwQAAAABMAcAAAAINS81LzIwMTcIAAAACjEyLzMxLzIwMTYJAAAAATCcC9U4CAnWCNRfmG80CdYI</t>
  </si>
  <si>
    <t>JUNJUS5JUVRSMzAyODY2NjI3LklRX1RSX0lNUExJRURfRVFfQlYBAAAAw2ANEgIAAAAAAFjPEg41CdYIDD6FDjUJ1ggrQ0lRLk5BU0RBUUdTOk1SU04uSVFfTEFTVFNBTEVQUklDRS41LzUvMjAxNwEAAADmxRgAAwAAAAAA1owROAgJ1gjDhp9vNAnWCENDSVEuTkFTREFRR1M6TVJTTi5JUV9NSU5PUklUWV9JTlRFUkVTVF9UT1RBTC4uNy8xNi8yMDE4LkxGUi5GLlVTRC5IAQAAAObFGAADAAAAAADE/xsRNQnWCHM5YBI1CdYIM0NJUS5OQVNEQVFHTTpOTE5LLklRX1BFUklPRERBVEVfSVMuLjcvMTYvMjAxOC5MRlIuRgEAAACVe4wABQAAAAkzLzMxLzIwMTgAKRyUEDUJ1gjkdFsSNQnWCCxDSVEuSVFUUjQxMzk1MzY2MS5JUV9UUl9UT1RBTF9HUk9TU19UVi5VU0QuSAUAAAAAAAAACAAAABooSW52YWxpZCBDdXJyZW5jeSBSZXF1ZXN0KUlTR280CdYIgf2VbzQJ1gg9Q0lRLk5BU0RBUUdNOklNTVUuSVFfUkVWRU5VRV9FU1QuQ1kyMDE4LjcvMzEvMjAxOC5DT04uRi5VU0QuSAEAAAAgQwQAAgAAAAcxMS4zNDg5AQ4AAAAFAAAAAjExAQAAAAEwAgAAAAkyODQ0MzQwMjQDAAAABjEwMDE4MAQAAAABMgYAAAABMAcAAAADMTYwCAAAAAEwCQAAAAExCgAAAAEwCwAAAAsxMDk4MDI2MzkxMAwAAAABNw0AAAAIOC8xLzIwMTgQAAAACTcvMzEvMjAxOJwL1TgICdYI1F+YbzQJ1ghDQ0lRLk5BU0RBUUdTOkNBTEEuSVFf</t>
  </si>
  <si>
    <t>RUJJVERBXzNZUl9BTk5fQ0FHUi4yMDAwLjcvMzEvMjAxOC5MRlIuRi5VU0QuSAEAAAClJ4EGAwAAAAJOTQEIAAAABQAAAAExAQAAAAoxODg3OTgwMzA1AwAAAAMxNjACAAAABDQyMjIEAAAAATAHAAAACTcvMzEvMjAxOAgAAAAJMy8zMS8yMDE4CQAAAAEwyDCyNwgJ1gjdS6RvNAnWCDpDSVEuTkFTREFRQ006Q0tQVC5JUV9DQVNIX1NUX0lOVkVTVC4uNy8xNi8yMDE4LkxGUi5GLlVTRC5IAQAAALhRFhECAAAABjM0Ljg2MwEIAAAABQAAAAExAQAAAAoxODg4MDA3MjIzAwAAAAMxNjACAAAABDEwMDIEAAAAATAHAAAACTcvMTYvMjAxOAgAAAAJMy8zMS8yMDE4CQAAAAEwKRyUEDUJ1ggw110SNQnWCDBDSVEuSVFUUjMwMjg2NjYyNy5JUV9UUl9UQVJHRVRfRUJJVERBX0VTVC4uVVNELkgBAAAAw2ANEgIAAAAAAFjPEg41CdYIDD6FDjUJ1gggQ0lRLklRMzYxODM4MjguSVFfTEFTVFNBTEVQUklDRS4BAAAAFB8oAgIAAAAEMi42NQCcC9U4CAnWCHd5gA41CdYIPENJUS5OQVNEQVFHUzpCR05FLklRX0VCSVREQV9FU1QuQ1kyMDIwLjcvMTYvMjAxOC5DT04uRi5VU0QuSAEAAADg5N0GAgAAAAotMjkyLjQzNjQ2AQ4AAAAFAAAAAjExAQAAAAEwAgAAAAoxMDAzMzI2Mjc3AwAAAAYxMDAxODcEAAAAATIGAAAAATAHAAAAAzE2MAgAAAABMAkAAAABMQoAAAABMAsAAAALMTA5NjcxMzg5MzQMAAAAATcNAAAACTcvMTcv</t>
  </si>
  <si>
    <t>MjAxOBAAAAAJNy8xNi8yMDE4xP8bETUJ1ghoYGcSNQnWCDxDSVEuTkFTREFRR1M6QkdORS5JUV9FQklUREFfRVNULkNZMjAyMC43LzMxLzIwMTguQ09OLkYuVVNELkgBAAAA4OTdBgIAAAAKLTMxMy40MzU5OAEOAAAABQAAAAIxMQEAAAABMAIAAAAKMTAwMzMyNjI3NwMAAAAGMTAwMTg3BAAAAAEyBgAAAAEwBwAAAAMxNjAIAAAAATAJAAAAATEKAAAAATALAAAACzEwOTg2NjY0OTI1DAAAAAE3DQAAAAg4LzEvMjAxOBAAAAAJNy8zMS8yMDE4nAvVOAgJ1giB/ZVvNAnWCD5DSVEuTkFTREFRR1M6RlBSWC5JUV9UT1RBTF9FUVVJVFkuQ1kyMDE2LjcvMzEvMjAxOC5MRlIuRi5VU0QuSAEAAAA3XTMAAgAAAAczOTEuNTc1AQgAAAAFAAAAATEBAAAACjE4NzYxMzU5ODgDAAAAAzE2MAIAAAAEMTI3NQQAAAABMAcAAAAJNy8zMS8yMDE4CAAAAAoxMi8zMS8yMDE2CQAAAAEwyDCyNwgJ1ggZ6aFvNAnWCENDSVEuKElOVkFMSUQgSURFTlRJRklFUikuSVFfRUFSTklOR19DTy5DWTIwMTYuNy8xNi8yMDE4LkxGUi5GLlVTRC5IBQAAAAAAAAAIAAAAFChJbnZhbGlkIElkZW50aWZpZXIp3qd+EDUJ1giYElkSNQnWCDtDSVEuTkFTREFRR006TFBUWC5JUV9UT1RBTF9SRVYuQ1kyMDE3LjcvMTYvMjAxOC5MRlIuRi5VU0QuSAEAAAAMNgkHAwAAAAAAKRyUEDUJ1ghoYGcSNQnWCD1DSVEuTkFTREFRR1M6TVJTTi5JUV9SRVZF</t>
  </si>
  <si>
    <t>TlVFX0VTVC5DWTIwMjEuNy8zMS8yMDE4LkNPTi5GLlVTRC5IAQAAAObFGAACAAAABjI2LjU5NAEOAAAABQAAAAIxMQEAAAABMAIAAAAKMTAwMzgwMzg0NQMAAAAGMTAwMTgwBAAAAAEyBgAAAAEwBwAAAAMxNjAIAAAAATAJAAAAATEKAAAAATALAAAACzExMDQzNTgxNTAyDAAAAAE3DQAAAAg4LzEvMjAxOBAAAAAJNy8zMS8yMDE41owROAgJ1gjDhp9vNAnWCDxDSVEuTkFTREFRR1M6QkdORS5JUV9UT1RBTF9FUVVJVFkuMTk5Mi43LzMxLzIwMTguTEZSLkYuVVNELkgBAAAA4OTdBgIAAAAHMjQzLjA5OQEIAAAABQAAAAExAQAAAAoxODQxMTgwMTY4AwAAAAMxNjACAAAABDEyNzUEAAAAATAHAAAACTcvMzEvMjAxOAgAAAAJMy8zMS8yMDE2CQAAAAEwnAvVOAgJ1giB/ZVvNAnWCDdDSVEuTkFTREFRR1M6QkdORS5JUV9QUkVGX0VRVUlUWS4uOS8xNS8yMDE3LkxGUi5GLlVTRC5IAQAAAODk3QYDAAAAAADE/xsRNQnWCGhgZxI1CdYIPUNJUS5OQVNEQVFHTTpOTE5LLklRX1JFVkVOVUVfRVNULkNZMjAxOS43LzE2LzIwMTguQ09OLkYuVVNELkgBAAAAlXuMAAIAAAAIMzkuMTY2NjcBDgAAAAUAAAACMTEBAAAAATACAAAACjEwMDE0MjUwOTIDAAAABjEwMDE4MAQAAAABMgYAAAABMAcAAAADMTYwCAAAAAEwCQAAAAExCgAAAAEwCwAAAAsxMDk0NjQ0OTcwMgwAAAABNw0AAAAJNy8xNy8yMDE4EAAAAAk3LzE2LzIw</t>
  </si>
  <si>
    <t>MTgpHJQQNQnWCOR0WxI1CdYINUNJUS5OQVNEQVFHUzpKTkNFLklRX05JX01BUkdJTi4uNy8xNi8yMDE4LkxGUi5GLlVTRC5IAQAAAOJ5ng0CAAAACC00Ny43MzE0AQgAAAAFAAAAATEBAAAACjE4ODgxODYzNzQDAAAAAzE2MAIAAAAENDA5NAQAAAABMAcAAAAJNy8xNi8yMDE4CAAAAAkzLzMxLzIwMTgJAAAAATApHJQQNQnWCJgSWRI1CdYIOUNJUS5YVFJBOk1PUi5JUV9UT1RBTF9FUVVJVFkuQ1kyMDE2LjcvMzEvMjAxOC5MRlIuRi5VU0QuSAEAAADfEQIAAgAAAAk0MzguNTcyOTYBCAAAAAUAAAABMQEAAAAKMTg3ODMyMzE1NAMAAAADMTYwAgAAAAQxMjc1BAAAAAEwBwAAAAk3LzMxLzIwMTgIAAAACjEyLzMxLzIwMTYJAAAAATCcC9U4CAnWCNRfmG80CdYIIkNJUS5JUVRSMzA3ODYzOTg0LklRX1RSX1RBUkdFVE5BTUUBAAAAsKFZEgMAAAAYY0NBTSBCaW90aGVyYXBldXRpY3MgTHRkAFjPEg41CdYIwNuCDjUJ1gg9Q0lRLk5BU0RBUUdTOk1SU04uSVFfQ0FTSF9TVF9JTlZFU1QuMjAwMC41LzUvMjAxNy5MRlIuRi5VU0QuSAEAAADmxRgAAwAAAAAA1owROAgJ1gjDhp9vNAnWCENDSVEuTkFTREFRR006RkFURS5JUV9FQklUREFfNVlSX0FOTl9DQUdSLjIwMDAuNy8zMS8yMDE4LkxGUi5GLlVTRC5IAQAAAGgxVwIDAAAAAk5NAQgAAAAFAAAAATEBAAAACjE4ODg1MDA1MjcDAAAAAzE2MAIAAAAENDIzNQQA</t>
  </si>
  <si>
    <t>AAABMAcAAAAJNy8zMS8yMDE4CAAAAAkzLzMxLzIwMTgJAAAAATDWjBE4CAnWCMOGn280CdYIQ0NJUS5OQVNEQVFHUzpKTkNFLklRX01JTk9SSVRZX0lOVEVSRVNUX1RPVEFMLi45LzE1LzIwMTcuTEZSLkYuVVNELkgBAAAA4nmeDQMAAAAAAN6nfhA1CdYImBJZEjUJ1ggxQ0lRLk5BU0RBUUdTOkZQUlguSVFfREFfQ0YuLjcvMTYvMjAxOC5MRlIuRi5VU0QuSAEAAAA3XTMAAgAAAAUzLjE0OQEIAAAABQAAAAExAQAAAAoxODg3NDAyMjI3AwAAAAMxNjACAAAABDIxNjAEAAAAATAHAAAACTcvMTYvMjAxOAgAAAAJMy8zMS8yMDE4CQAAAAEwKRyUEDUJ1ghzOWASNQnWCDRDSVEuTkFTREFRR1M6TksuSVFfRUJJVERBLjE5OTYuNy8zMS8yMDE4LkxGUi5GLlVTRC5IAQAAAA19oQ8CAAAACC0xMTQuMDY0AQgAAAAFAAAAATEBAAAACjE4ODcxMTg3NjcDAAAAAzE2MAIAAAAENDA1MQQAAAABMAcAAAAJNy8zMS8yMDE4CAAAAAkzLzMxLzIwMTcJAAAAATDWjBE4CAnWCMOGn280CdYIQkNJUS5OQVNEQVFHTTpBRk1ELklRX1RPVEFMX1JFVl8yWVJfQU5OX0NBR1IuLjcvMTYvMjAxOC5MRlIuRi5VU0QuSAEAAADb9wwAAgAAAAgtNDMuOTUxOAEIAAAABQAAAAExAQAAAAoxODg5ODY2MDQ5AwAAAAI1MAIAAAAENDIwNwQAAAABMAcAAAAJNy8xNi8yMDE4CAAAAAkzLzMxLzIwMTgJAAAAATApHJQQNQnWCDDXXRI1CdYIPUNJ</t>
  </si>
  <si>
    <t>US5OQVNEQVFHUzpDVE1YLklRX1JFVkVOVUVfRVNULkNZMjAyMS43LzE2LzIwMTguQ09OLkYuVVNELkgBAAAA3DibAwIAAAAINzcuOTQxMzMBDgAAAAUAAAACMTEBAAAAATACAAAACjEwMDMyMzMzNjkDAAAABjEwMDE4MAQAAAABMgYAAAABMAcAAAADMTYwCAAAAAEwCQAAAAExCgAAAAEwCwAAAAsxMDk1MTIzMTE4NQwAAAABNw0AAAAJNy8xNy8yMDE4EAAAAAk3LzE2LzIwMTjE/xsRNQnWCMKbYhI1CdYIPkNJUS5OQVNEQVFHUzpDQUxBLklRX0NBU0hfU1RfSU5WRVNULjIwMDAuNy8zMS8yMDE4LkxGUi5GLlVTRC5IAQAAAKUngQYCAAAABzE1MC45NjQBCAAAAAUAAAABMQEAAAAKMTg4Nzk4MDMwNQMAAAADMTYwAgAAAAQxMDAyBAAAAAEwBwAAAAk3LzMxLzIwMTgIAAAACTMvMzEvMjAxOAkAAAABMMgwsjcICdYI3UukbzQJ1gg2Q0lRLk5BU0RBUUdNOkZBVEUuSVFfRUJJVERBLjE5OTYuNy8zMS8yMDE4LkxGUi5GLlVTRC5IAQAAAGgxVwICAAAABy0zMy4xNTgBCAAAAAUAAAABMQEAAAAKMTg4ODUwMDMzMwMAAAADMTYwAgAAAAQ0MDUxBAAAAAEwBwAAAAk3LzMxLzIwMTgIAAAACTMvMzEvMjAxNwkAAAABMNaMETgICdYIw4afbzQJ1gg6Q0lRLk5BU0RBUUdTOk1HTlguSVFfQ0FTSF9TVF9JTlZFU1QuLjkvMTUvMjAxNy5MRlIuRi5VU0QuSAEAAABPKwkAAgAAAAYyNDMuNjYBCAAAAAUAAAABMQEAAAAKMTg1</t>
  </si>
  <si>
    <t>MTQzMjQ3NAMAAAADMTYwAgAAAAQxMDAyBAAAAAEwBwAAAAk5LzE1LzIwMTcIAAAACTYvMzAvMjAxNwkAAAABMMT/GxE1CdYIwptiEjUJ1ggpQ0lRLk5BU0RBUUNNOkFWRU8uSVFfQlVTSU5FU1NfREVTQ1JJUFRJT04BAAAA9BYdAAMAAADADUFWRU8gUGhhcm1hY2V1dGljYWxzLCBJbmMuLCBhIGJpb3BoYXJtYWNldXRpY2FsIGNvbXBhbnksIGRldmVsb3BzIGFuZCBjb21tZXJjaWFsaXplcyBhIHBvcnRmb2xpbyBvZiB0YXJnZXRlZCBtZWRpY2luZXMgZm9yIG9uY29sb2d5IGFuZCBvdGhlciBhcmVhcyBvZiB1bm1ldCBtZWRpY2FsIG5lZWQuIEl0IG1hcmtldHMgaXRzIGxlYWQgY2FuZGlkYXRlLCB0aXZvemFuaWIsIGFuIG9yYWwsIG9uY2UtZGFpbHksIHZhc2N1bGFyIGVuZG90aGVsaWFsIGdyb3d0aCBmYWN0b3IgcmVjZXB0b3IgdHlyb3NpbmUga2luYXNlIGluaGliaXRvciwgd2hpY2ggaXMgdXNlZCBmb3IgdGhlIHRyZWF0bWVudCBvZiByZW5hbCBjZWxsIGNhcmNpbm9tYSAoUkNDKS4gVGhlIGNvbXBhbnkgaGFzIGFsc28gY29tcGxldGVkIGEgUGhhc2UgMyBUSVZPLTMgdHJpYWwgb2YgdGl2b3phbmliIGZvciB0aGUgdHJlYXRtZW50IG9mIGFkdmFuY2VkIFJDQzsgYW5kIGluaXRpYXRlZCBlbnJvbGxtZW50IGluIGEgcGhhc2UgSWIvSUkgY2xpbmljYWwgdHJpYWwgb2YgdGl2b3phbmliIGluIGNv</t>
  </si>
  <si>
    <t>bWJpbmF0aW9uIHdpdGggT3BkaXZvIChuaXZvbHVtYWIpLCBhbiBpbW11bmUgY2hlY2twb2ludCAoUEQtMSkgaW5oaWJpdG9yLCBmb3IgdGhlIHRyZWF0bWVudCBvZiBhZHZhbmNlZCBSQ0MuIEluIGFkZGl0aW9uLCBpdCBpcyBkZXZlbG9waW5nIEZpY2xhdHV6dW1hYiwgYSBwb3RlbnQgaGVwYXRvY3l0ZSBncm93dGggZmFjdG9yIGluaGliaXRvcnkgYW50aWJvZHksIGluIFBoYXNlIEkgYW5kIFBoYXNlIElJIGNsaW5pY2FsIHRyaWFscyBpbiBzcXVhbW91cyBjZWxsIGNhcmNpbm9tYSBvZiB0aGUgaGVhZCBhbmQgbmVjaywgbWV0YXN0YXRpYyBwYW5jcmVhdGljIGR1Y3RhbCBjYW5jZXIsIGFuZCBhY3V0ZSBteWVsb2lkIGxldWtlbWlhOyBhbmQgQVYtMjAzLCBhIHBvdGVudCBhbnRpLUVyYkIzIHNwZWNpZmljIG1vbm9jbG9uYWwgYW50aWJvZHksIHdoaWNoIGhhcyBjb21wbGV0ZWQgUGhhc2UgSSBjbGluaWNhbCB0cmlhbCBmb3IgdHJlYXRpbmcgZXNvcGhhZ2VhbCBjYW5jZXIuIFRoZSBjb21wYW554oCZcyBwcmVjbGluaWNhbCBzdGFnZSBwcm9kdWN0cyBpbmNsdWRlIEFWLTM4MCwgYSBwb3RlbnQgaHVtYW5pemVkIElnRzEgaW5oaWJpdG9yeSBtb25vY2xvbmFsIGFudGlib2R5IGZvciB0aGUgdHJlYXRtZW50IG9yIHByZXZlbnRpb24gb2YgY2FjaGV4aWE7IGFuZCBBVi0zNTMgZm9yIHRoZSB0cmVh</t>
  </si>
  <si>
    <t>dG1lbnQgb2YgcHVsbW9uYXJ5IGFydGVyaWFsIGh5cGVydGVuc2lvbi4gSXQgaGFzIHN0cmF0ZWdpYyBwYXJ0bmVyc2hpcHMgd2l0aCBDQU5icmlkZ2UgTGlmZSBTY2llbmNlcyBMdGQuOyBFVVNBIFBoYXJtYSAoVUspIExpbWl0ZWQ7IE5vdmFydGlzIEludGVybmF0aW9uYWwgUGhhcm1hY2V1dGljYWwgTHRkLjsgQmlvZGVzaXgsIEluYy47IFN0LiBWaW5jZW504oCZcyBIb3NwaXRhbCBTeWRuZXkgTGltaXRlZDsgQmlvZ2VuIElkZWM7IGFuZCBLeW93YSBIYWtrbyBLaXJpbiBDby4sIEx0ZC4gVGhlIGNvbXBhbnkgd2FzIGZvcm1lcmx5IGtub3duIGFzIEdlblBhdGggUGhhcm1hY2V1dGljYWxzLCBJbmMuIGFuZCBjaGFuZ2VkIGl0cyBuYW1lIHRvIEFWRU8gUGhhcm1hY2V1dGljYWxzLCBJbmMuIGluIE1hcmNoIDIwMDUuIEFWRU8gUGhhcm1hY2V1dGljYWxzLCBJbmMuIHdhcyBpbmNvcnBvcmF0ZWQgaW4gMjAwMSBhbmQgaXMgYmFzZWQgaW4gQ2FtYnJpZGdlLCBNYXNzYWNodXNldHRzLgBGnRkRNQnWCMKbYhI1CdYIOkNJUS5OQVNEQVFHUzpKTkNFLklRX0NBU0hfU1RfSU5WRVNULi43LzE2LzIwMTguTEZSLkYuVVNELkgBAAAA4nmeDQIAAAAHMjM3LjE3NQEIAAAABQAAAAExAQAAAAoxODg4MTg2Mzc0AwAAAAMxNjACAAAABDEwMDIEAAAAATAHAAAACTcvMTYvMjAxOAgAAAAJMy8zMS8yMDE4CQAAAAEw</t>
  </si>
  <si>
    <t>KRyUEDUJ1gjkdFsSNQnWCDtDSVEuTkFTREFRR1M6TVJTTi5JUV9UT1RBTF9SRVYuQ1kyMDE2LjcvMzEvMjAxOC5MRlIuRi5VU0QuSAEAAADmxRgAAgAAAAYyNS4xNzEBCAAAAAUAAAABMQEAAAAKMTg4MDU0NzM4MwMAAAADMTYwAgAAAAIyOAQAAAABMAcAAAAJNy8zMS8yMDE4CAAAAAoxMi8zMS8yMDE2CQAAAAEw1owROAgJ1gjDhp9vNAnWCClDSVEuSVFUUjI2MzcxODY0Ny5JUV9UUl9JTVBMSUVEX0VRX05JX0xUTQEAAAD3BrgPAgAAAAAAsrNJbzQJ1giB/ZVvNAnWCDhDSVEuRU5YVFBBOklQSC5JUV9UT1RBTF9SRVYuQ1kyMDE2LjcvMTYvMjAxOC5MRlIuRi5VU0QuSAEAAACZgAYAAgAAAAk2OS4zNzcxNzcBCAAAAAUAAAABMQEAAAAKMTg4OTU1MjEzNgMAAAADMTYwAgAAAAIyOAQAAAABMAcAAAAJNy8xNi8yMDE4CAAAAAoxMi8zMS8yMDE2CQAAAAEwKRyUEDUJ1ghzOWASNQnWCDFDSVEuSVFUUjQxMTg3MTA4Mi5JUV9UUl9UQVJHRVRfUkVWRU5VRV9FU1QuLlVTRC5IAQAAAGqnjBgCAAAAAACys0lvNAnWCDWbk280CdYIPENJUS5OQVNEQVFHUzpQQllJLklRX0VCSVREQV9FU1QuQ1kyMDIwLjcvMTYvMjAxOC5DT04uRi5VU0QuSAEAAAACaqwHAwAAAAAAxP8bETUJ1ggS/mQSNQnWCEBDSVEuRU5YVFBBOklQSC5JUV9NSU5PUklUWV9JTlRFUkVTVF9UT1RBTC4uOS8xNS8yMDE3LkxGUi5GLlVTRC5IAQAA</t>
  </si>
  <si>
    <t>AJmABgADAAAAAAApHJQQNQnWCHM5YBI1CdYIP0NJUS5OQVNEQVFHUzpLVVJBLklRX05FVF9XT1JLSU5HX0NBUC4xOTkyLjcvMzEvMjAxOC5MRlIuRi5VU0QuSAEAAAC4y9oQAgAAAAYtMi43MDEBCAAAAAUAAAABMQEAAAAKMTg0MjI4MDcxNwMAAAADMTYwAgAAAAQxMzExBAAAAAEwBwAAAAk3LzMxLzIwMTgIAAAACTMvMzEvMjAxNgkAAAABMNaMETgICdYIcySdbzQJ1ggrQ0lRLklRVFI0MjI4ODc3MDEuSVFfVFJfVE9UQUxfR1JPU1NfVFYuLlVTRAEAAAAVwTQZAgAAAAk0OC41MjQ5MTMBBgAAAAUAAAACNTQBAAAABjEwMjA4OAIAAAAJNDIyODg3NzAxAwAAAAk0MzA0MDYzNDMEAAAAAzE2MAYAAAAFRmFsc2UMbRAONQnWCMDbgg41CdYIPENJUS5OQVNEQVFHUzpNR05YLklRX0VCSVREQV9FU1QuQ1kyMDIwLjcvMTYvMjAxOC5DT04uRi5VU0QuSAEAAABPKwkAAgAAAAotMTM5LjU3ODc4AQ4AAAAFAAAAAjExAQAAAAEwAgAAAAoxMDAxOTcyOTMxAwAAAAYxMDAxODcEAAAAATIGAAAAATAHAAAAAzE2MAgAAAABMAkAAAABMQoAAAABMAsAAAALMTA5MTExMDQxOTMMAAAAATcNAAAACTcvMTcvMjAxOBAAAAAJNy8xNi8yMDE4xP8bETUJ1gjCm2ISNQnWCCxDSVEuSVFUUjMxMjEyMjUwNC5JUV9UUl9UQVJHRVRfRUJJVERBLi5VU0QuSAEAAACInJoSAgAAAAAAWM8SDjUJ1gjA24IONQnWCC9DSVEuSVFUUjMwMjg2</t>
  </si>
  <si>
    <t>NjYyNy5JUV9UUl9UQVJHRVRfVE9UQUxfUkVWLi5VU0QuSAEAAADDYA0SAgAAAAAAWM8SDjUJ1ggMPoUONQnWCCtDSVEuSVFUUjQyNDM0MjA0Ni5JUV9UUl9JTVBMSUVEX0VWX0VCSVRfRldEAQAAAB7yShkCAAAAAAAMbRAONQnWCMDbgg41CdYIOUNJUS5OQVNEQVFHTTpDUklTLklRX1RPVEFMX0RFQlQuMjAwMC41LzUvMjAxNy5MRlIuRi5VU0QuSAEAAAAXagAAAgAAAAY0NC44MDgBCAAAAAUAAAABMQEAAAAKMTg0MDUwMTExOQMAAAADMTYwAgAAAAQ0MTczBAAAAAEwBwAAAAg1LzUvMjAxNwgAAAAJMy8zMS8yMDE3CQAAAAEwyDCyNwgJ1gjdS6RvNAnWCEZDSVEuTkFTREFRR1M6RVBaTS5JUV9NSU5PUklUWV9JTlRFUkVTVF9UT1RBTC4yMDAwLjUvNS8yMDE3LkxGUi5GLlVTRC5IAQAAAAMmPQMDAAAAAADWjBE4CAnWCHMknW80CdYIGENJUS4uSVFfRklSU1RQUklDSU5HREFURQUAAAAAAAAACAAAABQoSW52YWxpZCBJZGVudGlmaWVyKZwL1TgICdYId3mADjUJ1gguQ0lRLk5BU0RBUUdNOlhOQ1IuSVFfTUFSS0VUQ0FQLjkvMTUvMjAxNy5VU0QuSAEAAACmWgsAAgAAAAsxMDE5LjcwOTM2OAEGAAAABQAAAAExAQAAAAoxODUyMjQwMjg1AwAAAAMxNjACAAAABjEwMDA1NAQAAAABMAcAAAAJOS8xNS8yMDE3Rp0ZETUJ1ggS/mQSNQnWCCVDSVEuSVFUUjQxMTg3MTA4Mi5JUV9UUl9JTVBMSUVEX0VRX0JWAQAA</t>
  </si>
  <si>
    <t>AGqnjBgCAAAAAACys0lvNAnWCDWbk280CdYIMUNJUS5JUVRSNTQ4MzM4MDIwLklRX1RSX1RBUkdFVF9SRVZFTlVFX0VTVC4uVVNELkgBAAAAZPmuIAIAAAAAAAxtEA41CdYIwNuCDjUJ1ggsQ0lRLklRVFI0MDk5NTE4ODYuSVFfVFJfVE9UQUxfR1JPU1NfVFYuVVNELkgFAAAAAAAAAAgAAAAaKEludmFsaWQgQ3VycmVuY3kgUmVxdWVzdCkMbRAONQnWCMDbgg41CdYIJ0NJUS5OQVNEQVFHTTpYTkNSLklRX0JFVEFfNVlSLjcvMTYvMjAxOAEAAACmWgsAAgAAAA8xLjYwMzg1MDE5ODAzNTgAxP8bETUJ1ggS/mQSNQnWCCtDSVEuLklRX0VCSVREQS5DWTIwMTYuNy8zMS8yMDE4LkxGUi5GLlVTRC5IBQAAAAEAAAAIAAAAFChJbnZhbGlkIElkZW50aWZpZXIpliQwRzQJ1giWJDBHNAnWCCxDSVEuTkFTREFRR1M6QkdORS5JUV9DQVBFWC4xOTkyLi5MRlIuRi5VU0QuSAEAAADg5N0GAgAAAActMTMuMDQ0AQgAAAAFAAAAATEBAAAACjE4NTI3MDA1MjEDAAAAAzE2MAIAAAAEMjAyMQQAAAABMAcAAAAJOC8yMy8yMDE4CAAAAAk2LzMwLzIwMTYJAAAAATCcC9U4CAnWCJwL1TgICdYIKUNJUS5JUVRSMzIxODY1Mjk3LklRX0JVU0lORVNTX0RFU0NSSVBUSU9OAQAAAH5FLxMDAAAA0wNJT21ldCBQaGFybWEgTHRkLiBkaXNjb3ZlcnMgYW5kIGRldmVsb3BzIG1lZGljaW5lcyBmb3IgdGhlIHRyZWF0bWVudCBvZiBjYW5j</t>
  </si>
  <si>
    <t>ZXIsIHdpdGggcGFydGljdWxhciBlbXBoYXNpcyBvbiB0aGUgZmllbGRzIG9mIGNhbmNlciBpbW11bm90aGVyYXB5IGFuZCBjYW5jZXIgbWV0YWJvbGlzbS4gSXQgZGV2ZWxvcHMgSURPLCBURE8sIGFuZCBkdWFsLWFjdGluZyBJRE8vVERPIGluaGliaXRvcnMsIGFzIHdlbGwgYXMgR0xVVDEgaW5oaWJpdG9ycy4gVGhlIGNvbXBhbnkgd2FzIGZvdW5kZWQgaW4gMjAwOCBhbmQgaXMgYmFzZWQgaW4gRWRpbmJ1cmdoLCBVbml0ZWQgS2luZ2RvbSB3aXRoIGFuIGFkZGl0aW9uYWwgb2ZmaWNlIGluIExvbmRvbiwgVW5pdGVkIEtpbmdkb20uIEFzIG9mIEphbnVhcnkgMTEsIDIwMTYsIElPbWV0IFBoYXJtYSBMdGQuIG9wZXJhdGVzIGFzIGEgc3Vic2lkaWFyeSBvZiBNZXJjayAmIENvLiwgSW5jLgAMbRAONQnWCAw+hQ41CdYIMkNJUS5OQVNEQVFDTTpBVkVPLklRX0VCSVREQS4uNy8xNi8yMDE4LkxGUi5GLlVTRC5IAQAAAPQWHQADAAAAAADE/xsRNQnWCMKbYhI1CdYILUNJUS5OQVNEQVFHUzpTR0VOLklRX0RJVklERU5EX1lJRUxELjcvMTYvMjAxOAEAAABhhQAAAwAAAAAARp0ZETUJ1ghoYGcSNQnWCENDSVEuTkFTREFRR006RkFURS5JUV9FQklUREFfMllSX0FOTl9DQUdSLjIwMDAuNy8zMS8yMDE4LkxGUi5GLlVTRC5IAQAAAGgxVwIDAAAAAk5NAQgAAAAFAAAAATEBAAAACjE4ODg1MDA1MjcDAAAAAzE2</t>
  </si>
  <si>
    <t>MAIAAAAENDIwOQQAAAABMAcAAAAJNy8zMS8yMDE4CAAAAAkzLzMxLzIwMTgJAAAAATDWjBE4CAnWCMOGn280CdYIK0NJUS5PVENQSzpOV0JPLklRX01BUktFVENBUC45LzE1LzIwMTcuVVNELkgBAAAAo3oUAAIAAAAJNTUuMzU5OTQ2AQYAAAAFAAAAATEBAAAACjE4NTUzMjU3MzYDAAAAAzE2MAIAAAAGMTAwMDU0BAAAAAEwBwAAAAk5LzE1LzIwMTcpHJQQNQnWCDDXXRI1CdYIP0NJUS5OQVNEQVFHUzpBVE5YLklRX05FVF9XT1JLSU5HX0NBUC4yMDAwLjcvMzEvMjAxOC5MRlIuRi5VU0QuSAEAAADcmWsBAgAAAAYtMS43ODMBCAAAAAUAAAABMQEAAAAKMTg4ODcwMjk4MgMAAAADMTYwAgAAAAQxMzExBAAAAAEwBwAAAAk3LzMxLzIwMTgIAAAACTMvMzEvMjAxOAkAAAABMNaMETgICdYIJMKabzQJ1gglQ0lRLklRVFI1MzMzODU3NDQuSVFfUFJJTUFSWV9JTkRVU1RSWQEAAADMdugVAwAAAA1CaW90ZWNobm9sb2d5AAxtEA41CdYId3mADjUJ1ghGQ0lRLk5BU0RBUUdNOkNSSVMuSVFfVE9UQUxfUkVWXzVZUl9BTk5fQ0FHUi4yMDAwLjcvMzEvMjAxOC5MRlIuRi5VU0QuSAEAAAAXagAAAgAAAAU2LjQ1MgEIAAAABQAAAAExAQAAAAoxODg2MjQ3NDIwAwAAAAMxNjACAAAABDQyMzMEAAAAATAHAAAACTcvMzEvMjAxOAgAAAAJMy8zMS8yMDE4CQAAAAEwyDCyNwgJ1gjdS6RvNAnWCC1DSVEuTkFTREFRR006SU1N</t>
  </si>
  <si>
    <t>VS5JUV9NQVJLRVRDQVAuNS81LzIwMTcuVVNELkgBAAAAIEMEAAIAAAAINjc0LjY2ODgBBgAAAAUAAAABMQEAAAAKMTgyNzI0ODA2NAMAAAADMTYwAgAAAAYxMDAwNTQEAAAAATAHAAAACDUvNS8yMDE3nAvVOAgJ1gjUX5hvNAnWCB1DSVEuTkFTREFRR006Q1JWUy5JUV9FWENIQU5HRQEAAAD0sKYQAwAAAAhOYXNkYXFHTQDWjBE4CAnWCBnpoW80CdYIKkNJUS5JUVRSMzAyODY2NjI3LklRX1RSX1RBUkdFVF9FQklULi5VU0QuSAEAAADDYA0SAgAAAAAAWM8SDjUJ1ggMPoUONQnWCDpDSVEuRU5YVFBBOklQSC5JUV9SRVZFTlVFX0VTVC5DWTIwMjEuNy8xNi8yMDE4LkNPTi5GLlVTRC5IAQAAAJmABgACAAAADzU5LjM1MDE5MzIwNDQ5OQEOAAAABQAAAAIxMQEAAAABMAIAAAAKMTAwMTY0MzM5NAMAAAAGMTAwMTgwBAAAAAEzBgAAAAEwBwAAAAMxNjAIAAAAATAJAAAAATEKAAAAATALAAAACzEwODg5MDAzMjIzDAAAAAE3DQAAAAk3LzE3LzIwMTgQAAAACTcvMTYvMjAxOCkclBA1CdYIczlgEjUJ1gg4Q0lRLk5BU0RBUUdTOkFEWFMuSVFfRUJJVERBLkNZMjAxNy43LzE2LzIwMTguTEZSLkYuVVNELkgBAAAAnux4AAIAAAALLTEwMC4xODUzNzMBCAAAAAUAAAABMQEAAAAKMTg3ODAxMjQ3MwMAAAADMTYwAgAAAAQ0MDUxBAAAAAEwBwAAAAk3LzE2LzIwMTgIAAAACTEvMzEvMjAxOAkAAAABMCkclBA1CdYI5HRb</t>
  </si>
  <si>
    <t>EjUJ1gg9Q0lRLk5BU0RBUUdTOkVQWk0uSVFfUkVWRU5VRV9FU1QuQ1kyMDE5LjcvMzEvMjAxOC5DT04uRi5VU0QuSAEAAAADJj0DAgAAAAgyNS40MzkzOAEOAAAABQAAAAIxMQEAAAABMAIAAAAKMTAwMTg2NDI2MwMAAAAGMTAwMTgwBAAAAAEyBgAAAAEwBwAAAAMxNjAIAAAAATAJAAAAATEKAAAAATALAAAACzEwOTcxNDg4NDcwDAAAAAE3DQAAAAg4LzEvMjAxOBAAAAAJNy8zMS8yMDE41owROAgJ1ghzJJ1vNAnWCD5DSVEuTkFTREFRQ006TVRFTS5JUV9DQVNIX1NUX0lOVkVTVC4yMDAwLjcvMzEvMjAxOC5MRlIuRi5VU0QuSAEAAACZm6kBAgAAAAY0OS4yNzUBCAAAAAUAAAABMQEAAAAKMTg4ODczMzAwNAMAAAADMTYwAgAAAAQxMDAyBAAAAAEwBwAAAAk3LzMxLzIwMTgIAAAACTMvMzEvMjAxOAkAAAABMMgwsjcICdYIGemhbzQJ1ggkQ0lRLk5BU0RBUUdTOkFOQUIuSVFfRUZGRUNUX1RBWF9SQVRFAQAAACFMsgEDAAAAAADE/xsRNQnWCMKbYhI1CdYILENJUS5OQVNEQVFHUzpNR05YLklRX0xBU1RTQUxFUFJJQ0UuOS8xNS8yMDE3AQAAAE8rCQACAAAABTE3LjQ1AEadGRE1CdYIwptiEjUJ1gg/Q0lRLk5BU0RBUUdTOk1HTlguSVFfRUJJVERBXzJZUl9BTk5fQ0FHUi4uNy8xNi8yMDE4LkxGUi5GLlVTRC5IAQAAAE8rCQADAAAAAk5NAQgAAAAFAAAAATEBAAAACjE4ODcxMTQ5NDUDAAAAAzE2MAIAAAAE</t>
  </si>
  <si>
    <t>NDIwOQQAAAABMAcAAAAJNy8xNi8yMDE4CAAAAAkzLzMxLzIwMTgJAAAAATDE/xsRNQnWCMKbYhI1CdYIPENJUS5OQVNEQVFDTTpBVkVPLklRX0VBUk5JTkdfQ08uQ1kyMDE3LjcvMTYvMjAxOC5MRlIuRi5VU0QuSAEAAAD0Fh0AAgAAAActNjUuMDI1AQgAAAAFAAAAATEBAAAACjE4NzgwODI2NTMDAAAAAzE2MAIAAAABNwQAAAABMAcAAAAJNy8xNi8yMDE4CAAAAAoxMi8zMS8yMDE3CQAAAAEwxP8bETUJ1gjCm2ISNQnWCCxDSVEuSVFUUjQzMTg0MTU4MS5JUV9UUl9UQVJHRVRfRUJJVERBLi5VU0QuSAEAAAAtYb0ZAgAAAAAADG0QDjUJ1ggMPoUONQnWCDBDSVEuLklRX1JFVkVOVUVfRVNULkNZMjAxOS43LzMxLzIwMTguQ09OLkYuVVNELkgFAAAAAQAAAAgAAAAUKEludmFsaWQgSWRlbnRpZmllcin1hDJHNAnWCPWEMkc0CdYIJUNJUS5JUVRSNDAzNzkxNzY3LklRX1BSSU1BUllfSU5EVVNUUlkBAAAAcF8RGAMAAAANQmlvdGVjaG5vbG9neQAMbRAONQnWCMDbgg41CdYIHUNJUS5OQVNEQVFHUzpDQUxBLklRX0VYQ0hBTkdFAQAAAKUngQYDAAAACE5hc2RhcUdTAMgwsjcICdYIHxWdDjUJ1gg2Q0lRLk5BU0RBUUdTOkNBTEEuSVFfRUFSTklOR19DTy4uNy8xNi8yMDE4LkxGUi5GLlVTRC5IAQAAAKUngQYCAAAABy0zNS40NDUBCAAAAAUAAAABMQEAAAAKMTg4Nzk4MDMwNQMAAAADMTYwAgAAAAE3BAAAAAEw</t>
  </si>
  <si>
    <t>BwAAAAk3LzE2LzIwMTgIAAAACTMvMzEvMjAxOAkAAAABMCkclBA1CdYI5HRbEjUJ1gg6Q0lRLk5BU0RBUUdNOkNSSVMuSVFfRUFSTklOR19DTy4xOTkyLjcvMzEvMjAxOC5MRlIuRi5VU0QuSAEAAAAXagAAAgAAAAotMzYuNTc0Nzc3AQgAAAAFAAAAATEBAAAACjE4NDA1MDEwOTkDAAAAAzE2MAIAAAABNwQAAAABMAcAAAAJNy8zMS8yMDE4CAAAAAkzLzMxLzIwMTYJAAAAATDIMLI3CAnWCN1LpG80CdYIPUNJUS5OQVNEQVFHTTpBRk1ELklRX1JFVkVOVUVfRVNULkNZMjAxOC43LzE2LzIwMTguQ09OLkYuVVNELkgBAAAA2/cMAAIAAAAQMi40NzU2NTg1ODg3NjY5NAEOAAAABQAAAAIxMQEAAAABMAIAAAAKMTAwMjg4NDAwNQMAAAAGMTAwMTgwBAAAAAEzBgAAAAEwBwAAAAMxNjAIAAAAATAJAAAAATEKAAAAATALAAAACzEwOTQ3Mjk1NjMzDAAAAAE3DQAAAAk3LzE3LzIwMTgQAAAACTcvMTYvMjAxOCkclBA1CdYIMNddEjUJ1ghAQ0lRLihJTlZBTElEIElERU5USUZJRVIpLklRX0VCSVREQV9NQVJHSU4uLjcvMTYvMjAxOC5MRlIuRi5VU0QuSAUAAAAAAAAACAAAABQoSW52YWxpZCBJZGVudGlmaWVyKd6nfhA1CdYImBJZEjUJ1gg8Q0lRLk5BU0RBUUdNOkFSUUwuSVFfVE9UQUxfRVFVSVRZLjE5OTYuNy8zMS8yMDE4LkxGUi5GLlVTRC5IAQAAAPZhAAACAAAABjE2Ljk4OQEIAAAABQAAAAExAQAAAAoxODg4</t>
  </si>
  <si>
    <t>Nzg4NzM3AwAAAAMxNjACAAAABDEyNzUEAAAAATAHAAAACTcvMzEvMjAxOAgAAAAJMy8zMS8yMDE3CQAAAAEw1owROAgJ1ghzJJ1vNAnWCDJDSVEuT1RDUEs6TldCTy5JUV9OSV9NQVJHSU4uLjcvMTYvMjAxOC5MRlIuRi5VU0QuSAEAAACjehQAAwAAAAJOTQEIAAAABQAAAAExAQAAAAoxODg5MzAyODI0AwAAAAMxNjACAAAABDQwOTQEAAAAATAHAAAACTcvMTYvMjAxOAgAAAAJMy8zMS8yMDE4CQAAAAEwKRyUEDUJ1ghzOWASNQnWCDpDSVEuTkFTREFRR1M6QU5BQi5JUV9DQVNIX1NUX0lOVkVTVC4uNy8xNi8yMDE4LkxGUi5GLlVTRC5IAQAAACFMsgECAAAABzI0OC4xNjUBCAAAAAUAAAABMQEAAAAKMTg4NzQwMDA0MwMAAAADMTYwAgAAAAQxMDAyBAAAAAEwBwAAAAk3LzE2LzIwMTgIAAAACTMvMzEvMjAxOAkAAAABMMT/GxE1CdYIwptiEjUJ1gg1Q0lRLihJTlZBTElEIElERU5USUZJRVIpLklRX01BUktFVENBUC43LzE2LzIwMTguVVNELkgFAAAAAAAAAAgAAAAUKEludmFsaWQgSWRlbnRpZmllcinep34QNQnWCJgSWRI1CdYIPENJUS5OQVNEQVFHUzpUU1JPLklRX0VBUk5JTkdfQ08uQ1kyMDE2LjcvMzEvMjAxOC5MRlIuRi5VU0QuSAEAAABo1lgGAgAAAAgtMzc0LjIyNAEIAAAABQAAAAExAQAAAAoxODc3MjI2Mjg0AwAAAAMxNjACAAAAATcEAAAAATAHAAAACTcvMzEvMjAxOAgAAAAKMTIvMzEvMjAx</t>
  </si>
  <si>
    <t>NgkAAAABMJwL1TgICdYIJMKabzQJ1ggnQ0lRLk5BU0RBUUdTOkZQUlguSVFfQkVUQV8yWVIuNy8zMS8yMDE4AQAAADddMwACAAAAETAuOTk3MTA1MDA5NTk1MjMxANaMETgICdYIGemhbzQJ1ggkQ0lRLk5BU0RBUUdTOlNHRU4uSVFfRUZGRUNUX1RBWF9SQVRFAQAAAGGFAAADAAAAAk5NAQgAAAAFAAAAATEBAAAACjE4OTcyMzM1MTgDAAAAAzE2MAIAAAAENDM3NgQAAAABMAcAAAAJOC8yMy8yMDE4CAAAAAk2LzMwLzIwMTgJAAAAATDE/xsRNQnWCGhgZxI1CdYIOkNJUS5OQVNEQVFDTTpDS1BULklRX0NBU0hfU1RfSU5WRVNULi45LzE1LzIwMTcuTEZSLkYuVVNELkgBAAAAuFEWEQIAAAAGMjcuMjI1AQgAAAAFAAAAATEBAAAACjE4NTI3NTIxNTIDAAAAAzE2MAIAAAAEMTAwMgQAAAABMAcAAAAJOS8xNS8yMDE3CAAAAAk2LzMwLzIwMTcJAAAAATApHJQQNQnWCOR0WxI1CdYIKUNJUS5OQVNEQVFDTTpaSU9QLklRX0JVU0lORVNTX0RFU0NSSVBUSU9OAQAAALNRsgADAAAA6AhaSU9QSEFSTSBPbmNvbG9neSwgSW5jLiwgYSBiaW90ZWNobm9sb2d5IGNvbXBhbnksIGZvY3VzZXMgb24gYWNxdWlyaW5nLCBkZXZlbG9waW5nLCBhbmQgY29tbWVyY2lhbGl6aW5nIGEgcG9ydGZvbGlvIG9mIGltbXVuby1vbmNvbG9neSB0aGVyYXBpZXMgZm9yIHRyZWF0aW5nIGhldGVyb2dlbm91cyBzb2xpZCB0dW1vcnMgYW5k</t>
  </si>
  <si>
    <t>IHVua25vd24gYW50aWdlbnMuIFRoZSBjb21wYW55IGRldmVsb3BzIHR3byBpbW11bm8tb25jb2xvZ3kgcGxhdGZvcm0gdGVjaG5vbG9naWVzLCBpbmNsdWRpbmcgQ29udHJvbGxlZCBJTC0xMiwgd2hpY2ggZGVsaXZlcnMgaW50ZXJsZXVraW4gMTIgb3IgSUwtMTIsIGEgbWFzdGVyIHJlZ3VsYXIgb2YgdGhlIGltbXVuZSBzeXN0ZW0sIGluIGEgY29udHJvbGxlZCBhbmQgc2FmZSBtYW5uZXIgdG8gZm9jdXMgdGhlIHBhdGllbnTigJlzIGltbXVuZSBzeXN0ZW0gdG8gY2FuY2VyOyBhbmQgU2xlZXBpbmcgQmVhdXR5IChTQiksIHdoaWNoIGlzIGJhc2VkIG9uIHRoZSBnZW5ldGljIGVuZ2luZWVyaW5nIG9mIFQtY2VsbHMgdXNpbmcgdGhlIChTQikgc3lzdGVtIHRvIHJhcGlkbHkgcmVwcm9ncmFtIFQtY2VsbHMgb3V0c2lkZSBvZiB0aGUgYm9keSBmb3IgaW5mdXNpb24uIEl0cyBsZWFkIGdlbmUgdGhlcmFweSBwcm9kdWN0IGNhbmRpZGF0ZSBpcyBBZC1SVFMtaElMLTEyIHBsdXMgdmVsZWRpbWV4LCB3aGljaCBpcyBpbiBQaGFzZSBJIGNsaW5pY2FsIHRyaWFsLCBhIGdlbmUgdGhlcmFweSBwcm9kdWN0IGNhbmRpZGF0ZSB0byB0cmVhdCBwYXRpZW50cyB3aXRoIHJlY3VycmVudCBnbGlvYmxhc3RvbWEuIFRoZSBjb21wYW55IGlzIGFsc28gZGV2ZWxvcGluZyBjaGltZXJpYyBhbnRpZ2VuIHJlY2VwdG9y</t>
  </si>
  <si>
    <t>IChDQVIpIFQtY2VsbCBhbmQgVC1jZWxsIHJlY2VwdG9yIFQtY2VsbCB0aGVyYXBpZXMuIFpJT1BIQVJNIE9uY29sb2d5LCBJbmMuIGhhcyBjb2xsYWJvcmF0aW9uIGFncmVlbWVudHMgd2l0aCBQcmVjaWdlbiwgSW5jLiwgTUQgQW5kZXJzb24gQ2FuY2VyIENlbnRlciwgdGhlIE5hdGlvbmFsIENhbmNlciBJbnN0aXR1dGUsIGFuZCBBcmVzIFRyYWRpbmcgUy5BLiBUaGUgY29tcGFueSBpcyBoZWFkcXVhcnRlcmVkIGluIEJvc3RvbiwgTWFzc2FjaHVzZXR0cy4A1owROAgJ1gjDhp9vNAnWCClDSVEuSVFUUjI2MzcxODY0Ny5JUV9CVVNJTkVTU19ERVNDUklQVElPTgEAAAA+8AEAAwAAAJ4KQXMgb2YgSnVseSA4LCAyMDE0LCBUZWxpayBJbmMuIHdhcyBhY3F1aXJlZCBieSBNYWJWYXggVGhlcmFwZXV0aWNzLCBJbmMuLCBpbiBhIHJldmVyc2UgbWVyZ2VyIHRyYW5zYWN0aW9uLiBUZWxpaywgSW5jLiwgYSBjbGluaWNhbC1zdGFnZSBkcnVnIGRldmVsb3BtZW50IGNvbXBhbnksIGZvY3VzZXMgb24gZGlzY292ZXJpbmcgYW5kIGRldmVsb3Bpbmcgc21hbGwgbW9sZWN1bGUgZHJ1Z3MgdG8gdHJlYXQgY2FuY2VyLiBUaGUgY29tcGFueeKAmXMgcHJvZHVjdCBjYW5kaWRhdGVzIGFyZSBkaXNjb3ZlcmVkIHVzaW5nIGl0cyBwcm9wcmlldGFyeSB0ZWNobm9sb2d5LCB0YXJnZXQtcmVsYXRlZCBhZmZpbml0eSBw</t>
  </si>
  <si>
    <t>cm9maWxpbmcgKFRSQVApLCB3aGljaCBlbmFibGVzIHRoZSBkaXNjb3Zlcnkgb2Ygc21hbGwgbW9sZWN1bGUgcHJvZHVjdCBjYW5kaWRhdGVzLiBJdHMgbGVhZCBkcnVnIHByb2R1Y3QgY2FuZGlkYXRlIGluIGNsaW5pY2FsIGRldmVsb3BtZW50IGluY2x1ZGVzIFRFTElOVFJBLCBhIHNtYWxsIG1vbGVjdWxlIGdsdXRhdGhpb25lIGFuYWxvZyBpbmhpYml0b3Igb2YgdGhlIGVuenltZSBnbHV0YXRoaW9uZSBTLXRyYW5zZmVyYXNlIFAxLTEsIHdoaWNoIGlzIHVuZGVyIFBoYXNlIElJIGNsaW5pY2FsIHRyaWFsIGZvciB0aGUgdHJlYXRtZW50IG9mIGJsb29kIGRpc29yZGVycyBhc3NvY2lhdGVkIHdpdGggbG93IGJsb29kIGNlbGwgbGV2ZWxzLCBzdWNoIGFzIGFuZW1pYSwgbmV1dHJvcGVuaWEsIG9yIHRocm9tYm9jeXRvcGVuaWEuIFRoZSBjb21wYW554oCZcyBwcmVjbGluaWNhbCBkcnVnIHByb2R1Y3QgZGV2ZWxvcG1lbnRzIGluY2x1ZGUgVExLNjA0MDQsIGEgc21hbGwgbW9sZWN1bGUgY29tcG91bmQsIHdoaWNoIGluaGliaXRzIEF1cm9yYSBraW5hc2UgYW5kIFZFR0ZSIGtpbmFzZTsgVExLNjAzNTcsIGEgc21hbGwgbW9sZWN1bGUgaW5oaWJpdG9yIG9mIGNlbGwgZGl2aXNpb24gdGhhdCBpbmhpYml0cyB0aGUgZm9ybWF0aW9uIG9mIG1pY3JvdHVidWxlcyBuZWNlc3NhcnkgZm9yIGNhbmNlciBj</t>
  </si>
  <si>
    <t>ZWxsIGdyb3d0aCBsZWFkaW5nIHRvIHBlcnNpc3RlbnQgY2FuY2VyIGNlbGwgY3ljbGUgYmxvY2sgYW5kIHN1YnNlcXVlbnQgY2VsbCBkZWF0aCBhdCB0aGUgRzIvTSBwaGFzZTsgYW5kIFRMSzYwNTk2LCBhIFZFR0ZSMSBhbmQgVkVHRlIyIGtpbmFzZSBpbmhpYml0b3IgdGhhdCBibG9ja3MgdGhlIGZvcm1hdGlvbiBvZiBuZXcgYmxvb2QgdmVzc2VscyBpbiB0dW1vcnMuIFRlbGlrLCBJbmMuIHdhcyBmb3VuZGVkIGluIDE5ODggYW5kIGlzIGJhc2VkIGluIFBhbG8gQWx0bywgQ2FsaWZvcm5pYS4AsrNJbzQJ1giB/ZVvNAnWCD1DSVEuTkFTREFRR1M6Q1RNWC5JUV9SRVZFTlVFX0VTVC5DWTIwMTkuNy8xNi8yMDE4LkNPTi5GLlVTRC5IAQAAANw4mwMCAAAACDc4Ljg4Mjk1AQ4AAAAFAAAAAjExAQAAAAEwAgAAAAoxMDAzMjE1OTczAwAAAAYxMDAxODAEAAAAATIGAAAAATAHAAAAAzE2MAgAAAABMAkAAAABMQoAAAABMAsAAAALMTA5NTEyMzE0NjMMAAAAATcNAAAACTcvMTcvMjAxOBAAAAAJNy8xNi8yMDE4xP8bETUJ1gjCm2ISNQnWCDBDSVEuQVNYOklNVS5JUV9FQVJOSU5HX0NPLi43LzE2LzIwMTguTEZSLkYuVVNELkgBAAAAmJOpAAIAAAAJLTIuMDY3NTgxAQgAAAAFAAAAATEBAAAACjE4NzczMDUzMjADAAAAAzE2MAIAAAABNwQAAAABMAcAAAAJNy8xNi8yMDE4CAAAAAoxMi8zMS8yMDE3CQAAAAEw</t>
  </si>
  <si>
    <t>KRyUEDUJ1ggw110SNQnWCDVDSVEuTkFTREFRR1M6Sk5DRS5JUV9UT1RBTF9SRVYuLjcvMTYvMjAxOC5MRlIuRi5VU0QuSAEAAADieZ4NAgAAAAU2Mi41NQEIAAAABQAAAAExAQAAAAoxODg4MTg2Mzc0AwAAAAMxNjACAAAAAjI4BAAAAAEwBwAAAAk3LzE2LzIwMTgIAAAACTMvMzEvMjAxOAkAAAABMCkclBA1CdYI5HRbEjUJ1gguQ0lRLk5BU0RBUUdNOkxQVFguSVFfTUFSS0VUQ0FQLjcvMTYvMjAxOC5VU0QuSAEAAAAMNgkHAgAAAAoxMjMuNjMyNzI3AQYAAAAFAAAAATEBAAAACjE4OTAxNjM0NzEDAAAAAzE2MAIAAAAGMTAwMDU0BAAAAAEwBwAAAAk3LzE2LzIwMTgpHJQQNQnWCDDXXRI1CdYIIUNJUS5OQVNEQVFDTTpTUk5FLklRX0NPTVBBTllfTkFNRQEAAABJQ5QDAwAAABtTb3JyZW50byBUaGVyYXBldXRpY3MsIEluYy4A1owROAgJ1ghzJJ1vNAnWCCVDSVEuTkFTREFRR1M6R1RIWC5JUV9GSVJTVFBSSUNJTkdEQVRFAQAAAGU0aQgFAAAACTUvMTcvMjAxNwCcC9U4CAnWCCTCmm80CdYIPUNJUS5OQVNEQVFDTTpBVkVPLklRX1JFVkVOVUVfRVNULkNZMjAxOC43LzE2LzIwMTguQ09OLkYuVVNELkgBAAAA9BYdAAIAAAAHNi4xMzM2NwEOAAAABQAAAAIxMQEAAAABMAIAAAAKMTAwMDc0ODA3MwMAAAAGMTAwMTgwBAAAAAEyBgAAAAEwBwAAAAMxNjAIAAAAATAJAAAAATEKAAAAATALAAAACzEwODc1MjQ3</t>
  </si>
  <si>
    <t>NTM0DAAAAAE3DQAAAAk3LzE3LzIwMTgQAAAACTcvMTYvMjAxOMT/GxE1CdYIwptiEjUJ1ggjQ0lRLklRVFI1MzU3MTk5OTguSVFfVFJfVE9UQUxfU1RPQ0sBAAAAPnDuHwIAAAAAALKzSW80CdYIgf2VbzQJ1gguQ0lRLk5BU0RBUUdNOlhOQ1IuSVFfTUFSS0VUQ0FQLjcvMTYvMjAxOC5VU0QuSAEAAACmWgsAAgAAAAsyMjUzLjM2OTY0MQEGAAAABQAAAAExAQAAAAoxODg3MTI0OTkwAwAAAAMxNjACAAAABjEwMDA1NAQAAAABMAcAAAAJNy8xNi8yMDE4Rp0ZETUJ1ggS/mQSNQnWCCNDSVEuMC5JUV9UUl9UQVJHRVRfVE9UQUxfUkVWLi5VU0QuSAUAAAAAAAAACAAAABgoSW52YWxpZCBUcmFuc2FjdGlvbiBJZClJU0dvNAnWCAfi8IE0CdYIRkNJUS5OQVNEQVFHUzpHVEhYLklRX1RPVEFMX1JFVl8zWVJfQU5OX0NBR1IuMjAwMC43LzMxLzIwMTguTEZSLkYuVVNELkgBAAAAZTRpCAMAAAAAANaMETgICdYIJMKabzQJ1ghDQ0lRLk5BU0RBUUNNOkNLUFQuSVFfTUlOT1JJVFlfSU5URVJFU1RfVE9UQUwuLjkvMTUvMjAxNy5MRlIuRi5VU0QuSAEAAAC4URYRAwAAAAAAKRyUEDUJ1gjkdFsSNQnWCCVDSVEuTkFTREFRR006QVJRTC5JUV9GSVJTVFBSSUNJTkdEQVRFAQAAAPZhAAAFAAAACjEwLzE2LzE5OTYA1owROAgJ1ghzJJ1vNAnWCDFDSVEuTkFTREFRR006TkxOSy5JUV9EQV9DRi4uNy8xNi8yMDE4LkxGUi5G</t>
  </si>
  <si>
    <t>LlVTRC5IAQAAAJV7jAACAAAABTEuMzgxAQgAAAAFAAAAATEBAAAACjE4ODgzNTQyMDcDAAAAAzE2MAIAAAAEMjE2MAQAAAABMAcAAAAJNy8xNi8yMDE4CAAAAAkzLzMxLzIwMTgJAAAAATApHJQQNQnWCOR0WxI1CdYIQ0NJUS5OQVNEQVFDTTpBVkVPLklRX01JTk9SSVRZX0lOVEVSRVNUX1RPVEFMLi43LzE2LzIwMTguTEZSLkYuVVNELkgBAAAA9BYdAAMAAAAAAMT/GxE1CdYIwptiEjUJ1ghGQ0lRLk5BU0RBUUdNOkFSUUwuSVFfVE9UQUxfUkVWXzVZUl9BTk5fQ0FHUi4yMDAwLjcvMzEvMjAxOC5MRlIuRi5VU0QuSAEAAAD2YQAAAgAAAAgtMzQuMjExNgEIAAAABQAAAAExAQAAAAoxODg4Nzg4NzcwAwAAAAMxNjACAAAABDQyMzMEAAAAATAHAAAACTcvMzEvMjAxOAgAAAAJMy8zMS8yMDE4CQAAAAEw1owROAgJ1gjDhp9vNAnWCDNDSVEuTkFTREFRR1M6TksuSVFfQ0FQRVguMjAwMC43LzMxLzIwMTguTEZSLkYuVVNELkgBAAAADX2hDwIAAAAHLTM1LjIwOAEIAAAABQAAAAExAQAAAAoxODg3MTE4NzkxAwAAAAMxNjACAAAABDIwMjEEAAAAATAHAAAACTcvMzEvMjAxOAgAAAAJMy8zMS8yMDE4CQAAAAEw1owROAgJ1ggZ6aFvNAnWCDdDSVEuTkFTREFRR1M6QVROWC5JUV9QRVJJT0REQVRFX0lTLjIwMDAuNy8zMS8yMDE4LkxGUi5GAQAAANyZawEFAAAACTMvMzEvMjAxOADWjBE4CAnWCCTCmm80CdYIO0NJ</t>
  </si>
  <si>
    <t>US5OQVNEQVFHTTpJTU1VLklRX0VCSVRfTUFSR0lOLjIwMDAuNy8zMS8yMDE4LkxGUi5GLlVTRC5IAQAAACBDBAADAAAAAk5NAQgAAAAFAAAAATEBAAAACjE4ODg1MjMzODQDAAAAAzE2MAIAAAAENDA1MwQAAAABMAcAAAAJNy8zMS8yMDE4CAAAAAkzLzMxLzIwMTgJAAAAATCcC9U4CAnWCNRfmG80CdYIPENJUS5OQVNEQVFHTTpBUlJZLklRX0VCSVREQV9FU1QuQ1kyMDE4LjcvMzEvMjAxOC5DT04uRi5VU0QuSAEAAAD4YQAAAwAAAAAAnAvVOAgJ1gjUX5hvNAnWCCVDSVEuSVFUUjU0ODMzODAyMC5JUV9UUl9JTVBMSUVEX0VRX0JWAQAAAGT5riACAAAAAAAMbRAONQnWCMDbgg41CdYIQ0NJUS4oSU5WQUxJRCBJREVOVElGSUVSKS5JUV9FQklUREFfRVNULkNZMjAyMC43LzMxLzIwMTguQ09OLkYuVVNELkgFAAAAAAAAAAgAAAAUKEludmFsaWQgSWRlbnRpZmllcinIMLI3CAnWCO02sG80CdYIQ0NJUS5OQVNEQVFHTTpJTU1VLklRX0VCSVREQV81WVJfQU5OX0NBR1IuMjAwMC43LzMxLzIwMTguTEZSLkYuVVNELkgBAAAAIEMEAAMAAAACTk0BCAAAAAUAAAABMQEAAAAKMTg4ODUyMzM4NAMAAAADMTYwAgAAAAQ0MjM1BAAAAAEwBwAAAAk3LzMxLzIwMTgIAAAACTMvMzEvMjAxOAkAAAABMJwL1TgICdYI1F+YbzQJ1gg3Q0lRLk5BU0RBUUdTOk1SU04uSVFfUFJFRl9FUVVJVFkuLjcvMTYvMjAxOC5MRlIuRi5V</t>
  </si>
  <si>
    <t>U0QuSAEAAADmxRgAAwAAAAAAxP8bETUJ1ghzOWASNQnWCD1DSVEuTkFTREFRR006Q1JJUy5JUV9FQklUREFfTUFSR0lOLjIwMDAuNy8zMS8yMDE4LkxGUi5GLlVTRC5IAQAAABdqAAADAAAAAk5NAQgAAAAFAAAAATEBAAAACjE4ODYyNDc0MjADAAAAAzE2MAIAAAAENDA0NwQAAAABMAcAAAAJNy8zMS8yMDE4CAAAAAkzLzMxLzIwMTgJAAAAATDIMLI3CAnWCN1LpG80CdYIJUNJUS5OQVNEQVFHUzpCR05FLklRX01BUktFVENBUC4uVVNELkgBAAAA4OTdBgIAAAALOTg5OC4wNDQ3ODQBBgAAAAUAAAABMQEAAAAKMTg5OTg5OTcxMwMAAAADMTYwAgAAAAYxMDAwNTQEAAAAATAHAAAACTgvMjIvMjAxOJwL1TgICdYInAvVOAgJ1gg/Q0lRLk5BU0RBUUdTOk1HTlguSVFfRUJJVERBXzNZUl9BTk5fQ0FHUi4uNy8xNi8yMDE4LkxGUi5GLlVTRC5IAQAAAE8rCQADAAAAAk5NAQgAAAAFAAAAATEBAAAACjE4ODcxMTQ5NDUDAAAAAzE2MAIAAAAENDIyMgQAAAABMAcAAAAJNy8xNi8yMDE4CAAAAAkzLzMxLzIwMTgJAAAAATDE/xsRNQnWCMKbYhI1CdYIP0NJUS5OQVNEQVFHUzpUU1JPLklRX05FVF9XT1JLSU5HX0NBUC4yMDAwLjcvMzEvMjAxOC5MRlIuRi5VU0QuSAEAAABo1lgGAgAAAAYtNi40MjYBCAAAAAUAAAABMQEAAAAKMTg4NjMzNzQ2NgMAAAADMTYwAgAAAAQxMzExBAAAAAEwBwAAAAk3LzMxLzIwMTgIAAAA</t>
  </si>
  <si>
    <t>CTMvMzEvMjAxOAkAAAABMJwL1TgICdYIJMKabzQJ1ggeQ0lRLklRMzYxODM4MTYuSVFfQ09NUEFOWV9OQU1FAQAAAAgfKAIDAAAAMlVuaXRlZCBTdGF0ZXMgVHJlYXN1cnkgQ29uc3RhbnQgTWF0dXJpdHkgLSAzIE1vbnRoAAxtEA41CdYId3mADjUJ1ggxQ0lRLk5BU0RBUUdNOk5MTksuSVFfQ0FQRVguLjcvMTYvMjAxOC5MRlIuRi5VU0QuSAEAAACVe4wAAgAAAAYtMC4wMDgBCAAAAAUAAAABMQEAAAAKMTg4ODM1NDIwNwMAAAADMTYwAgAAAAQyMDIxBAAAAAEwBwAAAAk3LzE2LzIwMTgIAAAACTMvMzEvMjAxOAkAAAABMCkclBA1CdYI5HRbEjUJ1gg8Q0lRLk5BU0RBUUdNOkNSVlMuSVFfVE9UQUxfRVFVSVRZLjE5OTYuNy8zMS8yMDE4LkxGUi5GLlVTRC5IAQAAAPSwphACAAAABzExOC4yMjUBCAAAAAUAAAABMQEAAAAKMTg4NjM2NzU3OQMAAAADMTYwAgAAAAQxMjc1BAAAAAEwBwAAAAk3LzMxLzIwMTgIAAAACTMvMzEvMjAxNwkAAAABMNaMETgICdYIGemhbzQJ1ghJQ0lRLihJTlZBTElEIElERU5USUZJRVIpLklRX1RPVEFMX1JFVl8zWVJfQU5OX0NBR1IuLjcvMTYvMjAxOC5MRlIuRi5VU0QuSAUAAAAAAAAACAAAABQoSW52YWxpZCBJZGVudGlmaWVyKd6nfhA1CdYImBJZEjUJ1ggjQ0lRLk5BU0RBUUdTOkZQUlguSVFfUEVSSU9EREFURV9JUy4BAAAAN10zAAUAAAAJNi8zMC8yMDE4ACkclBA1CdYI</t>
  </si>
  <si>
    <t>czlgEjUJ1gggQ0lRLklRVFIzMDI4NjY2MjcuSVFfVFJfRUFSTk9VVFMBAAAAw2ANEgIAAAAAAFjPEg41CdYIDD6FDjUJ1ghCQ0lRLk5BU0RBUUdTOkNUTVguSVFfVE9UQUxfUkVWXzNZUl9BTk5fQ0FHUi4uNy8xNi8yMDE4LkxGUi5GLlVTRC5IAQAAANw4mwMCAAAACDEyOC44ODczAQgAAAAFAAAAATEBAAAACjE4ODc2NzUzMTYDAAAAAzE2MAIAAAAENDIyMAQAAAABMAcAAAAJNy8xNi8yMDE4CAAAAAkzLzMxLzIwMTgJAAAAATDE/xsRNQnWCMKbYhI1CdYIOENJUS5OQVNEQVFDTTpDS1BULklRX0VCSVREQS5DWTIwMTcuNy8xNi8yMDE4LkxGUi5GLlVTRC5IAQAAALhRFhEDAAAAAAApHJQQNQnWCDDXXRI1CdYIM0NJUS5OQVNEQVFHUzpCR05FLklRX1BFUklPRERBVEVfSVMuLjcvMTYvMjAxOC5MRlIuRgEAAADg5N0GBQAAAAkzLzMxLzIwMTgAxP8bETUJ1ghoYGcSNQnWCCBDSVEuSVFUUjU1MzU0ODAyNS5JUV9UUl9FQVJOT1VUUwEAAAD5eP4gAgAAAAAAsrNJbzQJ1giB/ZVvNAnWCDZDSVEuTkFTREFRQ006QVZFTy5JUV9UT1RBTF9ERUJULi45LzE1LzIwMTcuTEZSLkYuVVNELkgBAAAA9BYdAAIAAAAGMTkuMTIyAQgAAAAFAAAAATEBAAAACjE4NTI1NzM3MTADAAAAAzE2MAIAAAAENDE3MwQAAAABMAcAAAAJOS8xNS8yMDE3CAAAAAk2LzMwLzIwMTcJAAAAATDE/xsRNQnWCHM5YBI1CdYIRkNJUS5OQVNE</t>
  </si>
  <si>
    <t>QVFDTTpNVEVNLklRX1RPVEFMX1JFVl8zWVJfQU5OX0NBR1IuMjAwMC43LzMxLzIwMTguTEZSLkYuVVNELkgBAAAAmZupAQMAAAAAAMgwsjcICdYI3UukbzQJ1ggSQ0lRLi5JUV9HUC4uLi4uVVNEBQAAAAEAAAAIAAAAFChJbnZhbGlkIElkZW50aWZpZXIpRp0ZETUJ1ghGnRkRNQnWCC9DSVEuSVFUUjUzNTcxOTk5OC5JUV9UUl9JTVBMSUVEX0VWX0ZJTkFMLi5VU0QuSAEAAAA+cO4fAgAAAAsxMDQ0NC40NjkxMwEGAAAABQAAAAI1NAEAAAAGMTAyMDQ1AgAAAAk1MzU3MTk5OTgDAAAACTUzNTcyNDgxMwQAAAADMTYwBgAAAAVGYWxzZbKzSW80CdYIgf2VbzQJ1ggpQ0lRLklRMzYxODM4NDMuSVFfTEFTVFNBTEVQUklDRS43LzE2LzIwMTgBAAAAIx8oAgIAAAAEMi45NgAMbRAONQnWCAw+hQ41CdYINkNJUS5OQVNEQVFHTTpYTkNSLklRX0VBUk5JTkdfQ08uLjcvMTYvMjAxOC5MRlIuRi5VU0QuSAEAAACmWgsAAgAAAActNjIuOTQzAQgAAAAFAAAAATEBAAAACjE4ODcxMjU4NTUDAAAAAzE2MAIAAAABNwQAAAABMAcAAAAJNy8xNi8yMDE4CAAAAAkzLzMxLzIwMTgJAAAAATDE/xsRNQnWCBL+ZBI1CdYIOkNJUS5OQVNEQVFHTTpDUlZTLklRX1RPVEFMX0RFQlQuMjAwMC43LzMxLzIwMTguTEZSLkYuVVNELkgBAAAA9LCmEAIAAAABMAEIAAAABQAAAAExAQAAAAoxODg2MzY3NTkxAwAAAAMxNjACAAAABDQxNzME</t>
  </si>
  <si>
    <t>AAAAATAHAAAACTcvMzEvMjAxOAgAAAAJMy8zMS8yMDE4CQAAAAEw1owROAgJ1ggZ6aFvNAnWCDNDSVEuTkFTREFRR1M6TksuSVFfQ0FQRVguMTk5Ni43LzMxLzIwMTguTEZSLkYuVVNELkgBAAAADX2hDwIAAAAHLTEwLjAwMgEIAAAABQAAAAExAQAAAAoxODg3MTE4NzY3AwAAAAMxNjACAAAABDIwMjEEAAAAATAHAAAACTcvMzEvMjAxOAgAAAAJMy8zMS8yMDE3CQAAAAEw1owROAgJ1ggZ6aFvNAnWCERDSVEuTkFTREFRR1M6TksuSVFfTUlOT1JJVFlfSU5URVJFU1RfVE9UQUwuMjAwMC41LzUvMjAxNy5MRlIuRi5VU0QuSAEAAAANfaEPAwAAAAAA1owROAgJ1ggZ6aFvNAnWCDpDSVEuTkFTREFRR1M6RVBaTS5JUV9FQVJOSU5HX0NPLjIwMDAuNy8zMS8yMDE4LkxGUi5GLlVTRC5IAQAAAAMmPQMCAAAACC0xMzUuODUyAQgAAAAFAAAAATEBAAAACjE4ODcyNDYwNzcDAAAAAzE2MAIAAAABNwQAAAABMAcAAAAJNy8zMS8yMDE4CAAAAAkzLzMxLzIwMTgJAAAAATDWjBE4CAnWCHMknW80CdYIJ0NJUS5OQVNEQVFHTTpDUlZTLklRX1BFUklPRERBVEVfSVMuMTAwMAEAAAD0sKYQBQAAAAoxMi8zMS8yMDE3ANaMETgICdYIGemhbzQJ1ggrQ0lRLklRVFI0MDc3NjA2OTIuSVFfVFJfSU1QTElFRF9FVl9FQklUX0ZXRAEAAAA0700YAgAAAAAAWM8SDjUJ1ggMPoUONQnWCC1DSVEuTkFTREFRR1M6TVJTTi5JUV9NQVJL</t>
  </si>
  <si>
    <t>RVRDQVAuNS81LzIwMTcuVVNELkgBAAAA5sUYAAMAAAAAANaMETgICdYIw4afbzQJ1gg5Q0lRLkVOWFRQQTpJUEguSVFfRUJJVERBX0VTVC5DWTIwMTkuNy8xNi8yMDE4LkNPTi5GLlVTRC5IAQAAAJmABgACAAAAEDMxLjQ5MzUxMzY1MDAwNjMBDgAAAAUAAAACMTEBAAAAATACAAAACjEwMDE2NDMzOTIDAAAABjEwMDE4NwQAAAABMwYAAAABMAcAAAADMTYwCAAAAAEwCQAAAAExCgAAAAEwCwAAAAsxMDk1Mzg0MjM5NQwAAAABNw0AAAAJNy8xNy8yMDE4EAAAAAk3LzE2LzIwMTgpHJQQNQnWCHM5YBI1CdYIMUNJUS5OQVNEQVFHUzpTR0VOLklRX0NBU0hfU1RfSU5WRVNULi4uTEZSLkYuVVNELkgBAAAAYYUAAAIAAAAHNDQ3Ljk3NwEIAAAABQAAAAExAQAAAAoxODk3MjMzNTE4AwAAAAMxNjACAAAABDEwMDIEAAAAATAHAAAACTgvMjMvMjAxOAgAAAAJNi8zMC8yMDE4CQAAAAEwRp0ZETUJ1ghGnRkRNQnWCC5DSVEuSVFUUjU0NzQyMzY4MC5JUV9UUl9UQVJHRVRfU1RPQ0tQUkVNSVVNXzFNAQAAAMAFoSACAAAABzY2LjE1MzgBBgAAAAUAAAACNTQBAAAABjEwMTA1NQIAAAAJNTQ3NDIzNjgwAwAAAAk1NDc0MzMwNjUEAAAAAzE2MAYAAAAFRmFsc2UMbRAONQnWCAw+hQ41CdYIL0NJUS5JUVRSNDA3NzYwNjkyLklRX1RSX1RBUkdFVF9UT1RBTF9SRVYuLlVTRC5IAQAAADTvTRgCAAAACTIwLjc3MTgzOAAMbRAO</t>
  </si>
  <si>
    <t>NQnWCAw+hQ41CdYIIENJUS4wLklRX1RSX1RBUkdFVF9FQklUREEuLlVTRC5IBQAAAAAAAAAIAAAAGChJbnZhbGlkIFRyYW5zYWN0aW9uIElkKUlTR280CdYIB+LwgTQJ1ggpQ0lRLklRMzYxODM4MTMuSVFfTEFTVFNBTEVQUklDRS43LzMxLzIwMTgBAAAABR8oAgIAAAAEMS45NABJU0dvNAnWCIH9lW80CdYIR0NJUS5OQVNEQVFHTTpGQVRFLklRX01JTk9SSVRZX0lOVEVSRVNUX1RPVEFMLjIwMDAuNy8zMS8yMDE4LkxGUi5GLlVTRC5IAQAAAGgxVwIDAAAAAADWjBE4CAnWCMOGn280CdYIKENJUS5OQVNEQVFHUzpNR05YLklRX1RFVi43LzE2LzIwMTguVVNELkgBAAAATysJAAIAAAAKNjUxLjQ4Mzg4NAEGAAAABQAAAAExAQAAAAoxODg3MTE0Njc5AwAAAAMxNjACAAAABjEwMDA2MAQAAAABMAcAAAAJNy8xNi8yMDE4Rp0ZETUJ1gjCm2ISNQnWCDpDSVEuTkFTREFRR006SU1NVS5JUV9DQVNIX1NUX0lOVkVTVC4uNy8xNi8yMDE4LkxGUi5GLlVTRC5IAQAAACBDBAACAAAACjM1OC43OTI2NzgBCAAAAAUAAAABMQEAAAAKMTg4ODUyMzM4NAMAAAADMTYwAgAAAAQxMDAyBAAAAAEwBwAAAAk3LzE2LzIwMTgIAAAACTMvMzEvMjAxOAkAAAABMMT/GxE1CdYIaGBnEjUJ1ggpQ0lRLk5BU0RBUUdNOkFSUUwuSVFfQlVTSU5FU1NfREVTQ1JJUFRJT04BAAAA9mEAAAMAAADBCkFyUXVsZSwgSW5jLiwgYSBiaW9waGFy</t>
  </si>
  <si>
    <t>bWFjZXV0aWNhbCBjb21wYW55LCByZXNlYXJjaGVzIGFuZCBkZXZlbG9wcyB0aGVyYXBldXRpY3MgZm9yIHRoZSB0cmVhdG1lbnQgb2YgY2FuY2VyIGFuZCByYXJlIGRpc2Vhc2VzIGluIHRoZSBVbml0ZWQgU3RhdGVzLiBJdCBvZmZlcnMgRGVyYXphbnRpbmliIChBUlEgMDg3KSwgYSBtdWx0aS1raW5hc2UgaW5oaWJpdG9yIG9mIHRoZSBmaWJyb2JsYXN0IGdyb3d0aCBmYWN0b3IgcmVjZXB0b3IgKEZHRlIpIGZhbWlseSB0aGF0IGlzIGluIGEgcmVnaXN0cmF0aW9uIHRyaWFsIGluIGludHJhaGVwYXRpYyBjaG9sYW5naW9jYXJjaW5vbWEgd2l0aCBGR0ZSMiBmdXNpb25zLiBUaGUgY29tcGFueeKAmXMgY2xpbmljYWwtc3RhZ2UgcHJvZHVjdHMgaW5jbHVkZSBNaXJhbnNlcnRpYiAoQVJRIDA5MiksIGFuIGluaGliaXRvciBvZiB0aGUgQUtUIHNlcmluZS90aHJlb25pbmUga2luYXNlIGluIFBoYXNlIDEvMiBjbGluaWNhbCB0cmlhbCBpbiByYXJlIE92ZXJncm93dGggRGlzZWFzZXMsIFBoYXNlIDEgY2xpbmljYWwgdHJpYWwgaW4gdGhlIHJhcmUgZGlzZWFzZSwgYW5kIGluIFBoYXNlIDFiIGluIG9uY29sb2d5IGluIGNvbWJpbmF0aW9uIHdpdGggdGhlIGhvcm1vbmFsIHRoZXJhcHkgYW5kIGFuYXN0cm96b2xlOyBBUlEgNzUxLCBhIG5leHQtZ2VuZXJhdGlvbiBpbmhpYml0b3Igb2YgQUtUIHRoYXQg</t>
  </si>
  <si>
    <t>aXMgaW4gUGhhc2UgSSBjbGluaWNhbCB0cmlhbCBmb3Igc29saWQgdHVtb3JzIGhhcmJvcmluZyB0aGUgQUtUMSBvciBQSTNLIG11dGF0aW9uOyBBUlEgNzYxLCBhIMOfLWxhcGFjaG9uZSBhbmFsb2cgZXZhbHVhdGVkIGFzIGEgcHJvbW90ZXIgb2YgTlFPMS1tZWRpYXRlZCBwcm9ncmFtbWVkIGNhbmNlciBjZWxsIGRlYXRoIHdoaWNoIGlzIGluIFBoYXNlIDEvMiBjbGluaWNhbCB0cmlhbCBpbiBtdWx0aXBsZSBvbmNvbG9neTsgYW5kIEFSUSA1MzEsIGFuIG9yYWxseSBiaW9hdmFpbGFibGUsIHBvdGVudCBhbmQgcmV2ZXJzaWJsZSBpbmhpYml0b3Igb2Ygd2lsZCB0eXBlIGFuZCBDNDgxUy1tdXRhbnQgQnJ1dG9u4oCZcyB0eXJvc2luZSBraW5hc2UgdGhhdCBpcyBpbiBQaGFzZSAxIGZvciBCLWNlbGwgbWFsaWduYW5jaWVzIHJlZnJhY3RvcnkgdG8gb3RoZXIgdGhlcmFwZXV0aWMgb3B0aW9ucy4gSXQgaGFzIGNvbGxhYm9yYXRpb24gYWdyZWVtZW50IHdpdGggUm9pdmFudCBTY2llbmNlcyBMdGQuIHRvIGRldmVsb3AgZGVyYXphbnRpbmliLCBhIHBhbi1GR0ZSIGluaGliaXRvci4gQXJRdWxlLCBJbmMuIHdhcyBmb3VuZGVkIGluIDE5OTMgYW5kIGlzIGhlYWRxdWFydGVyZWQgaW4gQnVybGluZ3RvbiwgTWFzc2FjaHVzZXR0cy4A1owROAgJ1ghzJJ1vNAnWCDhDSVEuTkFTREFRR1M6RVBaTS5JUV9F</t>
  </si>
  <si>
    <t>QklUREEuQ1kyMDE3LjcvMzEvMjAxOC5MRlIuRi5VU0QuSAEAAAADJj0DAgAAAAgtMTM1LjIwMwEIAAAABQAAAAExAQAAAAoxODc4MDgxMDY0AwAAAAMxNjACAAAABDQwNTEEAAAAATAHAAAACTcvMzEvMjAxOAgAAAAKMTIvMzEvMjAxNwkAAAABMNaMETgICdYIcySdbzQJ1ggUQ0lRLjAuSVFfVFJfRUFSTk9VVFMFAAAAAAAAAAgAAAAYKEludmFsaWQgVHJhbnNhY3Rpb24gSWQpSVNHbzQJ1gjMWOeBNAnWCEZDSVEuTkFTREFRQ006TVRFTS5JUV9UT1RBTF9SRVZfMllSX0FOTl9DQUdSLjIwMDAuNy8zMS8yMDE4LkxGUi5GLlVTRC5IAQAAAJmbqQEDAAAAAADIMLI3CAnWCBnpoW80CdYINkNJUS5OQVNEQVFHUzpBTkFCLklRX1RPVEFMX0RFQlQuLjkvMTUvMjAxNy5MRlIuRi5VU0QuSAEAAAAhTLIBAgAAAAYxNC4xMTIBCAAAAAUAAAABMQEAAAAKMTg1MzAyNDk3MgMAAAADMTYwAgAAAAQ0MTczBAAAAAEwBwAAAAk5LzE1LzIwMTcIAAAACTYvMzAvMjAxNwkAAAABMMT/GxE1CdYIwptiEjUJ1gg9Q0lRLk5BU0RBUUdNOk5MTksuSVFfUkVWRU5VRV9FU1QuQ1kyMDE4LjcvMTYvMjAxOC5DT04uRi5VU0QuSAEAAACVe4wAAgAAAAUyMi4yNQEOAAAABQAAAAIxMQEAAAABMAIAAAAKMTAwMTQyNTA4NwMAAAAGMTAwMTgwBAAAAAEyBgAAAAEwBwAAAAMxNjAIAAAAATAJAAAAATEKAAAAATALAAAACzEwOTQ2NDQ5NzI2</t>
  </si>
  <si>
    <t>DAAAAAE3DQAAAAk3LzE3LzIwMTgQAAAACTcvMTYvMjAxOCkclBA1CdYI5HRbEjUJ1gg9Q0lRLk5BU0RBUUdTOlNHRU4uSVFfUkVWRU5VRV9FU1QuQ1kyMDIwLjcvMTYvMjAxOC5DT04uRi5VU0QuSAEAAABhhQAAAgAAAAgxMDg2LjAzNQEOAAAABQAAAAIxMQEAAAABMAIAAAAKMTAwMDEyNDcyOAMAAAAGMTAwMTgwBAAAAAEyBgAAAAEwBwAAAAMxNjAIAAAAATAJAAAAATEKAAAAATALAAAACzEwOTY3NjMwNDA2DAAAAAE3DQAAAAk3LzE3LzIwMTgQAAAACTcvMTYvMjAxOMT/GxE1CdYIaGBnEjUJ1gg/Q0lRLk5BU0RBUUdNOklNTVUuSVFfRUJJVERBXzVZUl9BTk5fQ0FHUi4uNy8xNi8yMDE4LkxGUi5GLlVTRC5IAQAAACBDBAADAAAAAk5NAQgAAAAFAAAAATEBAAAACjE4ODg1MjMzODQDAAAAAzE2MAIAAAAENDIzNQQAAAABMAcAAAAJNy8xNi8yMDE4CAAAAAkzLzMxLzIwMTgJAAAAATDE/xsRNQnWCBL+ZBI1CdYIPUNJUS5OQVNEQVFHUzpNUlNOLklRX1JFVkVOVUVfRVNULkNZMjAxOS43LzE2LzIwMTguQ09OLkYuVVNELkgBAAAA5sUYAAIAAAAGMjEuMjIyAQ4AAAAFAAAAAjExAQAAAAEwAgAAAAoxMDAzODAzMjgwAwAAAAYxMDAxODAEAAAAATIGAAAAATAHAAAAAzE2MAgAAAABMAkAAAABMQoAAAABMAsAAAALMTA5NTEyMjcwNjYMAAAAATcNAAAACTcvMTcvMjAxOBAAAAAJNy8xNi8yMDE4xP8bETUJ1ghz</t>
  </si>
  <si>
    <t>OWASNQnWCDVDSVEuTkFTREFRR006TkxOSy5JUV9OSV9NQVJHSU4uLjcvMTYvMjAxOC5MRlIuRi5VU0QuSAEAAACVe4wAAgAAAAktMTkzLjQzOTMBCAAAAAUAAAABMQEAAAAKMTg4ODM1NDIwNwMAAAADMTYwAgAAAAQ0MDk0BAAAAAEwBwAAAAk3LzE2LzIwMTgIAAAACTMvMzEvMjAxOAkAAAABMCkclBA1CdYI5HRbEjUJ1gg3Q0lRLk5BU0RBUUNNOkNLUFQuSVFfUFJFRl9FUVVJVFkuLjkvMTUvMjAxNy5MRlIuRi5VU0QuSAEAAAC4URYRAwAAAAAAKRyUEDUJ1gjkdFsSNQnWCDFDSVEuTkFTREFRR1M6VFNSTy5JUV9EQV9DRi4uNy8xNi8yMDE4LkxGUi5GLlVTRC5IAQAAAGjWWAYCAAAABjExLjAzMQEIAAAABQAAAAExAQAAAAoxODg2MzM3NDY2AwAAAAMxNjACAAAABDIxNjAEAAAAATAHAAAACTcvMTYvMjAxOAgAAAAJMy8zMS8yMDE4CQAAAAEwxP8bETUJ1ggS/mQSNQnWCCJDSVEuSVFUUjMxMjEyMjUwNC5JUV9UUl9UT1RBTF9DQVNIAQAAAIicmhICAAAABzE2LjE1OTcAWM8SDjUJ1gjA24IONQnWCDJDSVEuT1RDUEs6TUJWWC5JUV9UT1RBTF9SRVYuLjcvMTYvMjAxOC5MRlIuRi5VU0QuSAEAAADYRIsCAwAAAAAA3qd+EDUJ1giYElkSNQnWCD5DSVEuTkFTREFRR006TkxOSy5JUV9UT1RBTF9FUVVJVFkuQ1kyMDE3LjcvMTYvMjAxOC5MRlIuRi5VU0QuSAEAAACVe4wAAgAAAAcxNTEuNTU3AQgAAAAFAAAA</t>
  </si>
  <si>
    <t>ATEBAAAACjE4NzcyOTg4MTMDAAAAAzE2MAIAAAAEMTI3NQQAAAABMAcAAAAJNy8xNi8yMDE4CAAAAAoxMi8zMS8yMDE3CQAAAAEwKRyUEDUJ1gjkdFsSNQnWCEVDSVEuKElOVkFMSUQgSURFTlRJRklFUikuSVFfVE9UQUxfRVFVSVRZLkNZMjAxNy43LzMxLzIwMTguTEZSLkYuVVNELkgFAAAAAAAAAAgAAAAUKEludmFsaWQgSWRlbnRpZmllcinIMLI3CAnWCO02sG80CdYIJUNJUS5JUVRSMjQ1ODMxMDA3LklRX1RSX0lNUExJRURfRVFfQlYBAAAAXxWnDgIAAAAIMy40NjU5MDMAsrNJbzQJ1giB/ZVvNAnWCEZDSVEuTkFTREFRR006RkFURS5JUV9UT1RBTF9SRVZfNVlSX0FOTl9DQUdSLjIwMDAuNy8zMS8yMDE4LkxGUi5GLlVTRC5IAQAAAGgxVwICAAAABjguNTQ3OAEIAAAABQAAAAExAQAAAAoxODg4NTAwNTI3AwAAAAMxNjACAAAABDQyMzMEAAAAATAHAAAACTcvMzEvMjAxOAgAAAAJMy8zMS8yMDE4CQAAAAEw1owROAgJ1gjDhp9vNAnWCCFDSVEuTkFTREFRR1M6Q1RNWC5JUV9DT01QQU5ZX05BTUUBAAAA3DibAwMAAAAZQ3l0b21YIFRoZXJhcGV1dGljcywgSW5jLgBGnRkRNQnWCMKbYhI1CdYIP0NJUS5OQVNEQVFHUzpHVEhYLklRX05FVF9XT1JLSU5HX0NBUC4yMDAwLjcvMzEvMjAxOC5MRlIuRi5VU0QuSAEAAABlNGkIAgAAAActMTEuNzExAQgAAAAFAAAAATEBAAAACjE4ODYzNjc2NjcDAAAAAzE2</t>
  </si>
  <si>
    <t>MAIAAAAEMTMxMQQAAAABMAcAAAAJNy8zMS8yMDE4CAAAAAkzLzMxLzIwMTgJAAAAATCcC9U4CAnWCCTCmm80CdYIP0NJUS5OQVNEQVFHTTpDUlZTLklRX05FVF9XT1JLSU5HX0NBUC4xOTk2LjcvMzEvMjAxOC5MRlIuRi5VU0QuSAEAAAD0sKYQAgAAAAYtNi41MjgBCAAAAAUAAAABMQEAAAAKMTg4NjM2NzU3OQMAAAADMTYwAgAAAAQxMzExBAAAAAEwBwAAAAk3LzMxLzIwMTgIAAAACTMvMzEvMjAxNwkAAAABMNaMETgICdYIGemhbzQJ1ggjQ0lRLk5BU0RBUUdNOlhOQ1IuSVFfUEVSSU9EREFURV9JUy4BAAAAploLAAUAAAAJNi8zMC8yMDE4AMT/GxE1CdYIEv5kEjUJ1ggnQ0lRLk5BU0RBUUdTOkZQUlguSVFfQkVUQV8yWVIuNy8xNi8yMDE4AQAAADddMwACAAAAEDEuMDEzNjA4MTA1NzAwNzcAKRyUEDUJ1ghzOWASNQnWCClDSVEuSVFUUjQwOTk1MTg4Ni5JUV9UUl9JTVBMSUVEX0VRX05JX0xUTQEAAACOXm8YAgAAAAAADG0QDjUJ1gjA24IONQnWCB9DSVEuSVEyNjY4NjQyLklRX0xBU1RTQUxFUFJJQ0UuAQAAAGK4KAACAAAABDQuMzEAnAvVOAgJ1gh3eYAONQnWCDtDSVEuTkFTREFRR1M6QkdORS5JUV9UT1RBTF9SRVYuQ1kyMDE3LjcvMTYvMjAxOC5MRlIuRi5VU0QuSAEAAADg5N0GAgAAAAcyMzguMzg3AQgAAAAFAAAAATEBAAAACjE4NzYzNTc0NDkDAAAAAzE2MAIAAAACMjgEAAAAATAHAAAACTcv</t>
  </si>
  <si>
    <t>MTYvMjAxOAgAAAAKMTIvMzEvMjAxNwkAAAABMMT/GxE1CdYIaGBnEjUJ1gg6Q0lRLk5BU0RBUUdTOkZQUlguSVFfRUFSTklOR19DTy4yMDAwLjcvMzEvMjAxOC5MRlIuRi5VU0QuSAEAAAA3XTMAAgAAAAgtMTM3LjE2OQEIAAAABQAAAAExAQAAAAoxODg3NDAyMjI3AwAAAAMxNjACAAAAATcEAAAAATAHAAAACTcvMzEvMjAxOAgAAAAJMy8zMS8yMDE4CQAAAAEwyDCyNwgJ1ggZ6aFvNAnWCD5DSVEuTkFTREFRR006QUZNRC5JUV9UT1RBTF9FUVVJVFkuQ1kyMDE2LjcvMTYvMjAxOC5MRlIuRi5VU0QuSAEAAADb9wwAAgAAAAk0MC45MDY3ODgBCAAAAAUAAAABMQEAAAAKMTg3OTE0NzY2MgMAAAADMTYwAgAAAAQxMjc1BAAAAAEwBwAAAAk3LzE2LzIwMTgIAAAACjEyLzMxLzIwMTYJAAAAATApHJQQNQnWCDDXXRI1CdYIOUNJUS5OQVNEQVFHUzpBVE5YLklRX1RPVEFMX1JFVi4xOTk2LjcvMzEvMjAxOC5MRlIuRi5VU0QuSAEAAADcmWsBAgAAAAYyMC41MDMBCAAAAAUAAAABMQEAAAAKMTg4ODcwMjk3NgMAAAADMTYwAgAAAAIyOAQAAAABMAcAAAAJNy8zMS8yMDE4CAAAAAkzLzMxLzIwMTcJAAAAATDWjBE4CAnWCCTCmm80CdYIJ0NJUS5OQVNEQVFHUzpGUFJYLklRX0JFVEFfMVlSLjcvMTYvMjAxOAEAAAA3XTMAAgAAABEwLjczODE1NTQxNzE3MzQwMgApHJQQNQnWCHM5YBI1CdYIOkNJUS5OQVNEQVFHTTpG</t>
  </si>
  <si>
    <t>QVRFLklRX1RPVEFMX0RFQlQuMjAwMC43LzMxLzIwMTguTEZSLkYuVVNELkgBAAAAaDFXAgIAAAAGMTQuODI3AQgAAAAFAAAAATEBAAAACjE4ODg1MDA1MjcDAAAAAzE2MAIAAAAENDE3MwQAAAABMAcAAAAJNy8zMS8yMDE4CAAAAAkzLzMxLzIwMTgJAAAAATDWjBE4CAnWCMOGn280CdYIOENJUS5OQVNEQVFHUzpCR05FLklRX0VCSVREQS5DWTIwMTcuNy8xNi8yMDE4LkxGUi5GLlVTRC5IAQAAAODk3QYCAAAABy05My42OTkBCAAAAAUAAAABMQEAAAAKMTg3NjM1NzQ0OQMAAAADMTYwAgAAAAQ0MDUxBAAAAAEwBwAAAAk3LzE2LzIwMTgIAAAACjEyLzMxLzIwMTcJAAAAATDE/xsRNQnWCGhgZxI1CdYIKUNJUS5JUVRSNDI0MzQyMDQ2LklRX0JVU0lORVNTX0RFU0NSSVBUSU9OAQAAAAG4Bg8DAAAAqQVBZ2FsaW1tdW5lIExpbWl0ZWQsIGEgYmlvcGhhcm1hY2V1dGljYWwgY29tcGFueSwgZGV2ZWxvcHMgaW1tdW5vdGhlcmFwZXV0aWNzIGZvciB0aGUgdHJlYXRtZW50IG9mIGNhbmNlci4gSXQgZGV2ZWxvcHMgQWxwaGFqZWN0IHRoZXJhcHkgdG8gaGFybmVzcyBhIG5hdHVyYWwgaW1tdW5lIGFjdGl2YXRpb24gdG8gZHJpdmUgYSBwYXRpZW50LXNwZWNpZmljIGFudGktdHVtb3IgcmVzcG9uc2UsIHRoZXJlYnkgZWxpY2l0aW5nIGFuIGltbXVuZSByZXNwb25zZSB0aGF0IGRlc3Ryb3lzIHR1bW9yIGNlbGxz</t>
  </si>
  <si>
    <t>IGFuZCBicmluZ3MgYWJvdXQgYW4gYW50aS10dW1vciBwcm90ZWN0aXZlIGltbXVuZSByZXNwb25zZTsgYW5kIEFHSS0xMzQsIGEgZnVsbHktc3ludGhldGljIGFscGhhLWdhbCBnbHljb2xpcGlkIGltbXVub3RoZXJhcHkgZm9yIHNvbGlkIHR1bW9ycy4gQWdhbGltbXVuZSBMaW1pdGVkIHdhcyBmb3VuZGVkIGluIDIwMTMgYW5kIGlzIGJhc2VkIGluIExvbmRvbiwgVW5pdGVkIEtpbmdkb20uIFRoZSBjb21wYW55IGFsc28gaGFzIG9wZXJhdGlvbnMgaW4gU2FuZHdpY2gsIFVuaXRlZCBLaW5nZG9tOyBhbmQgQm9zdG9uLCBNYXNzYWNodXNldHRzLiBBcyBvZiBNYXJjaCAyMywgMjAxNywgQWdhbGltbXVuZSBMaW1pdGVkIG9wZXJhdGVzIGFzIGEgc3Vic2lkaWFyeSBvZiBCaW9MaW5lIFJ4IEx0ZC4ADG0QDjUJ1gjA24IONQnWCD9DSVEuTkFTREFRR006Q1JWUy5JUV9ORVRfV09SS0lOR19DQVAuMjAwMC43LzMxLzIwMTguTEZSLkYuVVNELkgBAAAA9LCmEAIAAAAGLTkuMzcxAQgAAAAFAAAAATEBAAAACjE4ODYzNjc1OTEDAAAAAzE2MAIAAAAEMTMxMQQAAAABMAcAAAAJNy8zMS8yMDE4CAAAAAkzLzMxLzIwMTgJAAAAATDWjBE4CAnWCBnpoW80CdYIPUNJUS5OQVNEQVFHTTpJTU1VLklRX0NBU0hfU1RfSU5WRVNULjIwMDAuNS81LzIwMTcuTEZSLkYuVVNELkgBAAAAIEMEAAIAAAAJNDYuNjEzNjE3AQgA</t>
  </si>
  <si>
    <t>AAAFAAAAATEBAAAACjE4MjcyNDgzNjADAAAAAzE2MAIAAAAEMTAwMgQAAAABMAcAAAAINS81LzIwMTcIAAAACjEyLzMxLzIwMTYJAAAAATCcC9U4CAnWCNRfmG80CdYIK0NJUS5OQVNEQVFHTTpBUlJZLklRX0xBU1RTQUxFUFJJQ0UuNS81LzIwMTcBAAAA+GEAAAIAAAAENy4xOACcC9U4CAnWCCTCmm80CdYIN0NJUS5OQVNEQVFHUzpTR0VOLklRX1BSRUZfRVFVSVRZLi43LzE2LzIwMTguTEZSLkYuVVNELkgBAAAAYYUAAAMAAAAAAMT/GxE1CdYIaGBnEjUJ1gghQ0lRLklRVFI0MDk5NTE4ODYuSVFfVFJfQlVZRVJOQU1FAQAAAI5ebxgDAAAAFlROSyBUaGVyYXBldXRpY3MsIEluYy4ADG0QDjUJ1gjA24IONQnWCD5DSVEuTkFTREFRR006TkxOSy5JUV9UT1RBTF9FUVVJVFkuQ1kyMDE2LjcvMTYvMjAxOC5MRlIuRi5VU0QuSAEAAACVe4wAAgAAAAcxMjkuNDY2AQgAAAAFAAAAATEBAAAACjE4NzcyOTg3MDUDAAAAAzE2MAIAAAAEMTI3NQQAAAABMAcAAAAJNy8xNi8yMDE4CAAAAAoxMi8zMS8yMDE2CQAAAAEwKRyUEDUJ1gjkdFsSNQnWCDtDSVEuTkFTREFRR1M6QkdORS5JUV9UT1RBTF9SRVYuQ1kyMDE2LjcvMTYvMjAxOC5MRlIuRi5VU0QuSAEAAADg5N0GAgAAAAQxLjA3AQgAAAAFAAAAATEBAAAACjE4NzYzNTc0MzYDAAAAAzE2MAIAAAACMjgEAAAAATAHAAAACTcvMTYvMjAxOAgAAAAKMTIvMzEvMjAx</t>
  </si>
  <si>
    <t>NgkAAAABMMT/GxE1CdYIaGBnEjUJ1gg/Q0lRLk5BU0RBUUNNOkNLUFQuSVFfRUJJVERBXzNZUl9BTk5fQ0FHUi4uNy8xNi8yMDE4LkxGUi5GLlVTRC5IAQAAALhRFhEDAAAAAAApHJQQNQnWCOR0WxI1CdYIPUNJUS5OQVNEQVFDTTpTUk5FLklRX1JFVkVOVUVfRVNULkNZMjAyMC43LzMxLzIwMTguQ09OLkYuVVNELkgBAAAASUOUAwIAAAAHMTA1LjMwNgEOAAAABQAAAAIxMQEAAAABMAIAAAAKMTAwMjQ4MTkzMwMAAAAGMTAwMTgwBAAAAAEyBgAAAAEwBwAAAAMxNjAIAAAAATAJAAAAATEKAAAAATALAAAACzEwOTU2MDU2NzgwDAAAAAE3DQAAAAg4LzEvMjAxOBAAAAAJNy8zMS8yMDE41owROAgJ1ghzJJ1vNAnWCDlDSVEuTkFTREFRR006QVJSWS5JUV9UT1RBTF9SRVYuMTk5Mi43LzMxLzIwMTguTEZSLkYuVVNELkgBAAAA+GEAAAIAAAAGMjcuNDAyAQgAAAAFAAAAATEBAAAACjE4NDEwOTUwMjYDAAAAAzE2MAIAAAACMjgEAAAAATAHAAAACTcvMzEvMjAxOAgAAAAJMy8zMS8yMDE2CQAAAAEwnAvVOAgJ1gjUX5hvNAnWCDxDSVEuTkFTREFRR1M6R1RIWC5JUV9UT1RBTF9FUVVJVFkuMTk5Ni43LzMxLzIwMTguTEZSLkYuVVNELkgBAAAAZTRpCAIAAAAJMzAuNzg5OTk4AQgAAAAFAAAAATEBAAAACjE4ODYzNjc2NDgDAAAAAzE2MAIAAAAEMTI3NQQAAAABMAcAAAAJNy8zMS8yMDE4CAAAAAkzLzMxLzIwMTcJ</t>
  </si>
  <si>
    <t>AAAAATDWjBE4CAnWCCTCmm80CdYIJ0NJUS5OQVNEQVFHTTpGQVRFLklRX0JFVEFfMVlSLjcvMzEvMjAxOAEAAABoMVcCAgAAABAxLjUzNzY5NjU1MDg2MTM2ANaMETgICdYIw4afbzQJ1gg4Q0lRLk5BU0RBUUdTOkJHTkUuSVFfRUJJVERBLkNZMjAxNi43LzE2LzIwMTguTEZSLkYuVVNELkgBAAAA4OTdBgIAAAAILTExNS4xNTEBCAAAAAUAAAABMQEAAAAKMTg3NjM1NzQzNgMAAAADMTYwAgAAAAQ0MDUxBAAAAAEwBwAAAAk3LzE2LzIwMTgIAAAACjEyLzMxLzIwMTYJAAAAATDE/xsRNQnWCGhgZxI1CdYIIUNJUS5OQVNEQVFDTTpBVkVPLklRX0NPTVBBTllfTkFNRQEAAAD0Fh0AAwAAABpBVkVPIFBoYXJtYWNldXRpY2FscywgSW5jLgBGnRkRNQnWCMKbYhI1CdYINkNJUS5OQVNEQVFHUzpUU1JPLklRX1RPVEFMX0RFQlQuLjkvMTUvMjAxNy5MRlIuRi5VU0QuSAEAAABo1lgGAgAAAAcxMzcuNDQ3AQgAAAAFAAAAATEBAAAACjE4NTI2NjI1NTMDAAAAAzE2MAIAAAAENDE3MwQAAAABMAcAAAAJOS8xNS8yMDE3CAAAAAk2LzMwLzIwMTcJAAAAATDE/xsRNQnWCBL+ZBI1CdYILENJUS5JUVRSNDA4NDA3ODIyLklRX1RSX1RBUkdFVF9FQklUREEuLlVTRC5IAQAAAA7PVxgCAAAAAACys0lvNAnWCIH9lW80CdYII0NJUS5JUVRSMjQ1ODMxMDA3LklRX1RSX1RPVEFMX1NUT0NLAQAAAF8Vpw4CAAAAAACys0lvNAnW</t>
  </si>
  <si>
    <t>CIH9lW80CdYIQ0NJUS5OQVNEQVFHUzpLVVJBLklRX0VCSVREQV8zWVJfQU5OX0NBR1IuMjAwMC43LzMxLzIwMTguTEZSLkYuVVNELkgBAAAAuMvaEAMAAAAAANaMETgICdYIcySdbzQJ1ggpQ0lRLklRVFIzMDc4NjM5ODQuSVFfVFJfSU1QTElFRF9FUV9OSV9MVE0BAAAAsKFZEgIAAAAAAFjPEg41CdYIwNuCDjUJ1ggyQ0lRLk5BU0RBUUdTOkNBTEEuSVFfRUJJVERBLi43LzE2LzIwMTguTEZSLkYuVVNELkgBAAAApSeBBgIAAAAHLTM3LjMzMwEIAAAABQAAAAExAQAAAAoxODg3OTgwMzA1AwAAAAMxNjACAAAABDQwNTEEAAAAATAHAAAACTcvMTYvMjAxOAgAAAAJMy8zMS8yMDE4CQAAAAEwKRyUEDUJ1gjkdFsSNQnWCDtDSVEuTkFTREFRR1M6QVROWC5JUV9QUkVGX0VRVUlUWS4yMDAwLjcvMzEvMjAxOC5MRlIuRi5VU0QuSAEAAADcmWsBAwAAAAAA1owROAgJ1ggkwppvNAnWCDxDSVEuTkFTREFRR1M6S1VSQS5JUV9FQVJOSU5HX0NPLkNZMjAxNi43LzMxLzIwMTguTEZSLkYuVVNELkgBAAAAuMvaEAIAAAAGLTI3LjU2AQgAAAAFAAAAATEBAAAACjE4NzgwMTI0MzUDAAAAAzE2MAIAAAABNwQAAAABMAcAAAAJNy8zMS8yMDE4CAAAAAoxMi8zMS8yMDE2CQAAAAEw1owROAgJ1ghzJJ1vNAnWCB9DSVEuLklRX1RSX1RBUkdFVF9FQklUREEuLlVTRC5IBQAAAAAAAAAIAAAAFChJbnZhbGlkIElkZW50aWZpZXIp</t>
  </si>
  <si>
    <t>nAvVOAgJ1gh3eYAONQnWCDpDSVEuTkFTREFRR1M6QkdORS5JUV9DQVNIX1NUX0lOVkVTVC4uNy8xNi8yMDE4LkxGUi5GLlVTRC5IAQAAAODk3QYCAAAACDE0NjQuMDE1AQgAAAAFAAAAATEBAAAACjE4ODc2ODg1ODgDAAAAAzE2MAIAAAAEMTAwMgQAAAABMAcAAAAJNy8xNi8yMDE4CAAAAAkzLzMxLzIwMTgJAAAAATDE/xsRNQnWCGhgZxI1CdYIOENJUS5FTlhUUEE6SVBILklRX1RPVEFMX1JFVi5DWTIwMTcuNy8xNi8yMDE4LkxGUi5GLlVTRC5IAQAAAJmABgACAAAACTUyLjg3MzQzOQEIAAAABQAAAAExAQAAAAoxODg5NTUyMTY0AwAAAAMxNjACAAAAAjI4BAAAAAEwBwAAAAk3LzE2LzIwMTgIAAAACjEyLzMxLzIwMTcJAAAAATApHJQQNQnWCHM5YBI1CdYIIkNJUS5JUVRSNDMxODQxNTgxLklRX1RSX1RPVEFMX0NBU0gBAAAALWG9GQIAAAAAAAxtEA41CdYIDD6FDjUJ1ggnQ0lRLk5BU0RBUUdNOkFSUUwuSVFfUEVSSU9EREFURV9JUy4xMDAwAQAAAPZhAAAFAAAACjEyLzMxLzIwMTcA1owROAgJ1ghzJJ1vNAnWCDtDSVEuTkFTREFRR1M6U0dFTi5JUV9UT1RBTF9SRVYuQ1kyMDE2LjcvMTYvMjAxOC5MRlIuRi5VU0QuSAEAAABhhQAAAgAAAAc0MTguMTQ3AQgAAAAFAAAAATEBAAAACjE4NzQ2OTYxOTYDAAAAAzE2MAIAAAACMjgEAAAAATAHAAAACTcvMTYvMjAxOAgAAAAKMTIvMzEvMjAxNgkAAAABMMT/</t>
  </si>
  <si>
    <t>GxE1CdYIaGBnEjUJ1ggnQ0lRLk5BU0RBUUdTOkdUSFguSVFfQkVUQV8xWVIuNy8zMS8yMDE4AQAAAGU0aQgCAAAADzEuMTA0NzUyMjc1NzQ1NACcC9U4CAnWCCTCmm80CdYIPUNJUS5OQVNEQVFDTTpTUk5FLklRX1JFVkVOVUVfRVNULkNZMjAxOC43LzMxLzIwMTguQ09OLkYuVVNELkgBAAAASUOUAwIAAAAGMTcuMTA2AQ4AAAAFAAAAAjExAQAAAAEwAgAAAAoxMDAyMDM0MjUwAwAAAAYxMDAxODAEAAAAATIGAAAAATAHAAAAAzE2MAgAAAABMAkAAAABMQoAAAABMAsAAAALMTA5NDU2MzEzODQMAAAAATcNAAAACDgvMS8yMDE4EAAAAAk3LzMxLzIwMTjWjBE4CAnWCHMknW80CdYINUNJUS5OQVNEQVFHTTpBRk1ELklRX05JX01BUkdJTi4uNy8xNi8yMDE4LkxGUi5GLlVTRC5IAQAAANv3DAADAAAAAk5NAQgAAAAFAAAAATEBAAAACjE4ODk4NjYwNDkDAAAAAjUwAgAAAAQ0MDk0BAAAAAEwBwAAAAk3LzE2LzIwMTgIAAAACTMvMzEvMjAxOAkAAAABMCkclBA1CdYIMNddEjUJ1gg+Q0lRLk5BU0RBUUdTOkFEWFMuSVFfVE9UQUxfRVFVSVRZLkNZMjAxNi43LzE2LzIwMTguTEZSLkYuVVNELkgBAAAAnux4AAIAAAAKMTA3LjM2ODUwMQEIAAAABQAAAAExAQAAAAoxODc4MDEyNDI5AwAAAAMxNjACAAAABDEyNzUEAAAAATAHAAAACTcvMTYvMjAxOAgAAAAJMS8zMS8yMDE3CQAAAAEwKRyUEDUJ1gjkdFsSNQnWCDdD</t>
  </si>
  <si>
    <t>SVEuTkFTREFRQ006QVZFTy5JUV9QUkVGX0VRVUlUWS4uOS8xNS8yMDE3LkxGUi5GLlVTRC5IAQAAAPQWHQADAAAAAADE/xsRNQnWCHM5YBI1CdYIK0NJUS5JUVRSNDA5OTUxODg2LklRX1RSX0lNUExJRURfRVZfRUJJVF9GV0QBAAAAjl5vGAIAAAAAAAxtEA41CdYIwNuCDjUJ1gg+Q0lRLk5BU0RBUUdNOkFSUUwuSVFfVE9UQUxfRVFVSVRZLkNZMjAxNi43LzMxLzIwMTguTEZSLkYuVVNELkgBAAAA9mEAAAIAAAAFMjMuNjgBCAAAAAUAAAABMQEAAAAKMTg3ODUwODY5NQMAAAADMTYwAgAAAAQxMjc1BAAAAAEwBwAAAAk3LzMxLzIwMTgIAAAACjEyLzMxLzIwMTYJAAAAATDWjBE4CAnWCHMknW80CdYIKENJUS5BU1g6SU1VLklRX01BUktFVENBUC43LzE2LzIwMTguVVNELkgBAAAAmJOpAAIAAAAJNjguNjQxMzQxAQYAAAAFAAAAATEBAAAACjE4NzczMDA5NjIDAAAAAzE2MAIAAAAGMTAwMDU0BAAAAAEwBwAAAAk3LzE2LzIwMTgpHJQQNQnWCDDXXRI1CdYINkNJUS5OQVNEQVFDTTpDS1BULklRX0VBUk5JTkdfQ08uLjcvMTYvMjAxOC5MRlIuRi5VU0QuSAEAAAC4URYRAgAAAActMjcuMDU5AQgAAAAFAAAAATEBAAAACjE4ODgwMDcyMjMDAAAAAzE2MAIAAAABNwQAAAABMAcAAAAJNy8xNi8yMDE4CAAAAAkzLzMxLzIwMTgJAAAAATApHJQQNQnWCOR0WxI1CdYIL0NJUS5OQVNEQVFHUzpTR0VOLklRX0VCSVRE</t>
  </si>
  <si>
    <t>QS5DWTIwMTcuLkxGUi5GLlVTRC5IAQAAAGGFAAACAAAACC0xNzEuNTMyAQgAAAAFAAAAATEBAAAACjE4NzQ2OTYyMjADAAAAAzE2MAIAAAAENDA1MQQAAAABMAcAAAAJOC8yMy8yMDE4CAAAAAoxMi8zMS8yMDE3CQAAAAEwRp0ZETUJ1ghGnRkRNQnWCDpDSVEuTkFTREFRQ006U1JORS5JUV9UT1RBTF9ERUJULjIwMDAuNy8zMS8yMDE4LkxGUi5GLlVTRC5IAQAAAElDlAMCAAAABTcuMDk1AQgAAAAFAAAAATEBAAAACjE4ODc5ODk4MzEDAAAAAzE2MAIAAAAENDE3MwQAAAABMAcAAAAJNy8zMS8yMDE4CAAAAAkzLzMxLzIwMTgJAAAAATDWjBE4CAnWCHMknW80CdYIIkNJUS5JUVRSNTM1NzE5OTk4LklRX1RSX1RBUkdFVE5BTUUBAAAAPnDuHwMAAAARS2l0ZSBQaGFybWEsIEluYy4AsrNJbzQJ1giB/ZVvNAnWCENDSVEuTkFTREFRQ006WklPUC5JUV9FQklUREFfNVlSX0FOTl9DQUdSLjIwMDAuNy8zMS8yMDE4LkxGUi5GLlVTRC5IAQAAALNRsgADAAAAAk5NAQgAAAAFAAAAATEBAAAACjE4ODc5NzIzNTkDAAAAAzE2MAIAAAAENDIzNQQAAAABMAcAAAAJNy8zMS8yMDE4CAAAAAkzLzMxLzIwMTgJAAAAATDWjBE4CAnWCMOGn280CdYIPENJUS5BU1g6SU1VLklRX1RPVEFMX1JFVl81WVJfQU5OX0NBR1IuLjcvMTYvMjAxOC5MRlIuRi5VU0QuSAEAAACYk6kAAgAAAAc3Mi41MDk2AQgAAAAFAAAAATEBAAAACjE4</t>
  </si>
  <si>
    <t>NzczMDUzMjADAAAAATkCAAAABDQyMzMEAAAAATAHAAAACTcvMTYvMjAxOAgAAAAKMTIvMzEvMjAxNwkAAAABMCkclBA1CdYIMNddEjUJ1ggdQ0lRLk5BU0RBUUdTOlRTUk8uSVFfRVhDSEFOR0UBAAAAaNZYBgMAAAAITmFzZGFxR1MAnAvVOAgJ1ggPZYwONQnWCD1DSVEuTkFTREFRR1M6R1RIWC5JUV9SRVZFTlVFX0VTVC5DWTIwMTguNy8zMS8yMDE4LkNPTi5GLlVTRC5IAQAAAGU0aQgCAAAAATABDgAAAAUAAAACMTEBAAAAATACAAAACjEwMDM3NTE1ODIDAAAABjEwMDE4MAQAAAABMgYAAAABMAcAAAADMTYwCAAAAAEwCQAAAAExCgAAAAEwCwAAAAsxMTAyOTg1NzkxNAwAAAABNw0AAAAIOC8xLzIwMTgQAAAACTcvMzEvMjAxOJwL1TgICdYIJMKabzQJ1gg6Q0lRLk5BU0RBUUdTOk1HTlguSVFfQ0FTSF9TVF9JTlZFU1QuLjcvMTYvMjAxOC5MRlIuRi5VU0QuSAEAAABPKwkAAgAAAAcyNjAuMDgxAQgAAAAFAAAAATEBAAAACjE4ODcxMTQ5NDUDAAAAAzE2MAIAAAAEMTAwMgQAAAABMAcAAAAJNy8xNi8yMDE4CAAAAAkzLzMxLzIwMTgJAAAAATDE/xsRNQnWCMKbYhI1CdYIRkNJUS5OQVNEQVFHUzpGUFJYLklRX1RPVEFMX1JFVl8zWVJfQU5OX0NBR1IuMjAwMC43LzMxLzIwMTguTEZSLkYuVVNELkgBAAAAN10zAAIAAAAHNDUuNzY3NAEIAAAABQAAAAExAQAAAAoxODg3NDAyMjI3AwAAAAMxNjACAAAABDQy</t>
  </si>
  <si>
    <t>MjAEAAAAATAHAAAACTcvMzEvMjAxOAgAAAAJMy8zMS8yMDE4CQAAAAEwyDCyNwgJ1ggZ6aFvNAnWCClDSVEuSVFUUjU2MzkxOTA0OS5JUV9CVVNJTkVTU19ERVNDUklQVElPTgEAAAD2Q2wNAwAAALcJQVJNTyBCaW9TY2llbmNlcywgSW5jLiwgYW4gaW1tdW5vLW9uY29sb2d5IGNvbXBhbnksIGRldmVsb3BzIGEgcGlwZWxpbmUgb2Ygbm92ZWwgcHJvZHVjdCBjYW5kaWRhdGVzIHRoYXQgYWN0aXZhdGUgdGhlIGltbXVuZSBzeXN0ZW0gb2YgY2FuY2VyIHBhdGllbnRzIHRvIHJlY29nbml6ZSBhbmQgZXJhZGljYXRlIHR1bW9ycyBpbiB0aGUgVW5pdGVkIFN0YXRlcy4gSXRzIGxlYWQgcHJvZHVjdCBjYW5kaWRhdGUgaXMgQU0wMDEwLCBhIGxvbmcgYWN0aW5nIGZvcm0gb2YgaHVtYW4gaW50ZXJsZXVraW4tMTAgdGhhdCBpcyBpbiBQaGFzZSBJSUkgcmFuZG9taXplZCBwaXZvdGFsIGNsaW5pY2FsIHRyaWFsIGZvciB0aGUgdHJlYXRtZW50IG9mIHBhbmNyZWF0aWMgZHVjdGFsIGFkZW5vY2FyY2lub21hLiBUaGUgY29tcGFueSBpcyBhbHNvIGRldmVsb3BpbmcgQU0wMDEwIHRoYXQgaGFzIGNvbXBsZXRlZCBQaGFzZSBJL0liIGNsaW5pY2FsIHRyaWFsIGZvciB0aGUgdHJlYXRtZW50IG9mIG5vbi1zbWFsbCBjZWxsIGx1bmcgY2FuY2VyLCByZW5hbCBjZWxsIGNhcmNpbm9tYSwgY29sb3JlY3RhbCBjYW5j</t>
  </si>
  <si>
    <t>ZXIsIGFuZCBtZWxhbm9tYSBhbmQgYnJlYXN0IGNhbmNlci4gSW4gYWRkaXRpb24sIGl0IGlzIGRldmVsb3BpbmcgQU0wMDAxLCBhIG1vbm9jbG9uYWwgYW50aWJvZHkgYWdhaW5zdCBwcm9ncmFtbWVkIGNlbGwgZGVhdGggcHJvdGVpbi0xIGNoZWNrcG9pbnQgaW5oaWJpdG9yOyBBTTAwMTUsIGEgcmVjb21iaW5hbnQgaHVtYW4gaW50ZXJsZXVraW4tMTU7IEFNMDAxMiwgYSByZWNvbWJpbmFudCBodW1hbiBJbnRlcmxldWtpbi0xMjsgYW5kIEFNMDAwMywgYSBtb25vY2xvbmFsIGFudGlib2R5IGFnYWluc3QgbGV1a29jeXRlIGFjdGl2YXRpbmcgZ2VuZS0zIHByb3RlaW4gcHJvZ3JhbS4gVGhlIGNvbXBhbnkgd2FzIGZvcm1lcmx5IGtub3duIGFzIFRhcmdlbmljcywgSW5jLiBhbmQgY2hhbmdlZCBpdHMgbmFtZSB0byBBUk1PIEJpb1NjaWVuY2VzLCBJbmMuIGluIERlY2VtYmVyIDIwMTIuIEFSTU8gQmlvU2NpZW5jZXMsIEluYy4gd2FzIGluY29ycG9yYXRlZCBpbiAyMDEwIGFuZCBpcyBoZWFkcXVhcnRlcmVkIGluIFJlZHdvb2QgQ2l0eSwgQ2FsaWZvcm5pYS4gQXMgb2YgSnVuZSAyMSwgMjAxOCwgQVJNTyBCaW9TY2llbmNlcywgSW5jLiBvcGVyYXRlcyBhcyBhIHN1YnNpZGlhcnkgb2YgRWxpIExpbGx5IGFuZCBDb21wYW55LgAMbRAONQnWCMDbgg41CdYIO0NJUS5OQVNEQVFHTTpJTU1VLklRX05F</t>
  </si>
  <si>
    <t>VF9XT1JLSU5HX0NBUC4uNy8xNi8yMDE4LkxGUi5GLlVTRC5IAQAAACBDBAACAAAACi04My4yNTU1ODEBCAAAAAUAAAABMQEAAAAKMTg4ODUyMzM4NAMAAAADMTYwAgAAAAQxMzExBAAAAAEwBwAAAAk3LzE2LzIwMTgIAAAACTMvMzEvMjAxOAkAAAABMMT/GxE1CdYIEv5kEjUJ1gg4Q0lRLk5BU0RBUUdTOkZQUlguSVFfRUJJVERBLkNZMjAxNi43LzMxLzIwMTguTEZSLkYuVVNELkgBAAAAN10zAAIAAAAGLTk3LjQ3AQgAAAAFAAAAATEBAAAACjE4NzYxMzU5ODgDAAAAAzE2MAIAAAAENDA1MQQAAAABMAcAAAAJNy8zMS8yMDE4CAAAAAoxMi8zMS8yMDE2CQAAAAEw1owROAgJ1ggZ6aFvNAnWCDpDSVEuTkFTREFRR006QVJRTC5JUV9FQVJOSU5HX0NPLjE5OTYuNy8zMS8yMDE4LkxGUi5GLlVTRC5IAQAAAPZhAAACAAAABy0yNS4zMTMBCAAAAAUAAAABMQEAAAAKMTg4ODc4ODczNwMAAAADMTYwAgAAAAE3BAAAAAEwBwAAAAk3LzMxLzIwMTgIAAAACTMvMzEvMjAxNwkAAAABMNaMETgICdYIcySdbzQJ1gg8Q0lRLk5BU0RBUUdNOlhOQ1IuSVFfRUJJVERBX0VTVC5DWTIwMjAuNy8xNi8yMDE4LkNPTi5GLlVTRC5IAQAAAKZaCwACAAAABC0xMjcBDgAAAAUAAAACMTEBAAAAATACAAAACjEwMDIwMjUyNTcDAAAABjEwMDE4NwQAAAABMgYAAAABMAcAAAADMTYwCAAAAAEwCQAAAAExCgAAAAEwCwAAAAsxMDkxNTgz</t>
  </si>
  <si>
    <t>MjUzMQwAAAABNw0AAAAJNy8xNy8yMDE4EAAAAAk3LzE2LzIwMTjE/xsRNQnWCBL+ZBI1CdYIK0NJUS5OQVNEQVFHUzpLVVJBLklRX0xBU1RTQUxFUFJJQ0UuNS81LzIwMTcBAAAAuMvaEAIAAAAEOS4zNQDWjBE4CAnWCHMknW80CdYILkNJUS5OQVNEQVFHTTpMUFRYLklRX01BUktFVENBUC45LzE1LzIwMTcuVVNELkgBAAAADDYJBwIAAAAJNTMuOTMyNTgxAQYAAAAFAAAAATEBAAAACjE4NTMxNzE5ODgDAAAAAzE2MAIAAAAGMTAwMDU0BAAAAAEwBwAAAAk5LzE1LzIwMTcpHJQQNQnWCDDXXRI1CdYIKUNJUS5JUVRSNTUwMjU5Mzk3LklRX1RSX0lNUExJRURfRVFfTklfTFRNAQAAAMVKzCADAAAAAk5NAAxtEA41CdYId3mADjUJ1ggjQ0lRLklRVFI1MzM2Mzk1MDEuSVFfVFJfVE9UQUxfU1RPQ0sBAAAATbHOHwIAAAAAAAxtEA41CdYIwNuCDjUJ1gg/Q0lRLk5BU0RBUUdTOkJHTkUuSVFfRUJJVERBXzVZUl9BTk5fQ0FHUi4uNy8xNi8yMDE4LkxGUi5GLlVTRC5IAQAAAODk3QYDAAAAAADE/xsRNQnWCGhgZxI1CdYIPUNJUS5OQVNEQVFHUzpNUlNOLklRX1JFVkVOVUVfRVNULkNZMjAyMS43LzE2LzIwMTguQ09OLkYuVVNELkgBAAAA5sUYAAIAAAAGMjYuNTk0AQ4AAAAFAAAAAjExAQAAAAEwAgAAAAoxMDAzODAzODQ1AwAAAAYxMDAxODAEAAAAATIGAAAAATAHAAAAAzE2MAgAAAABMAkAAAABMQoAAAABMAsA</t>
  </si>
  <si>
    <t>AAALMTA4ODM1NDAyMjYMAAAAATcNAAAACTcvMTcvMjAxOBAAAAAJNy8xNi8yMDE4xP8bETUJ1ghzOWASNQnWCENDSVEuTkFTREFRR006SU1NVS5JUV9NSU5PUklUWV9JTlRFUkVTVF9UT1RBTC4uNy8xNi8yMDE4LkxGUi5GLlVTRC5IAQAAACBDBAACAAAACS0wLjgxMDE2OQEIAAAABQAAAAExAQAAAAoxODg4NTIzMzg0AwAAAAMxNjACAAAABDEzMTIEAAAAATAHAAAACTcvMTYvMjAxOAgAAAAJMy8zMS8yMDE4CQAAAAEwxP8bETUJ1ghoYGcSNQnWCDVDSVEuTkFTREFRR1M6QkdORS5JUV9DQVBFWC4yMDAwLjcvMzEvMjAxOC5MRlIuRi5VU0QuSAEAAADg5N0GAgAAAActNTEuMDAyAQgAAAAFAAAAATEBAAAACjE4ODc2ODg1ODgDAAAAAzE2MAIAAAAEMjAyMQQAAAABMAcAAAAJNy8zMS8yMDE4CAAAAAkzLzMxLzIwMTgJAAAAATCcC9U4CAnWCIH9lW80CdYIOkNJUS5OQVNEQVFHTTpDUlZTLklRX0VBUk5JTkdfQ08uMTk5Ni43LzMxLzIwMTguTEZSLkYuVVNELkgBAAAA9LCmEAIAAAAHLTQ2LjA2NAEIAAAABQAAAAExAQAAAAoxODg2MzY3NTc5AwAAAAMxNjACAAAAATcEAAAAATAHAAAACTcvMzEvMjAxOAgAAAAJMy8zMS8yMDE3CQAAAAEw1owROAgJ1ggZ6aFvNAnWCENDSVEuTkFTREFRR1M6TUdOWC5JUV9NSU5PUklUWV9JTlRFUkVTVF9UT1RBTC4uNy8xNi8yMDE4LkxGUi5GLlVTRC5IAQAAAE8rCQADAAAA</t>
  </si>
  <si>
    <t>AADE/xsRNQnWCMKbYhI1CdYIIkNJUS5JUVRSNTMzNjM5NTAxLklRX1RSX1RPVEFMX0NBU0gBAAAATbHOHwIAAAAAAAxtEA41CdYIwNuCDjUJ1gg1Q0lRLk5BU0RBUUdTOkdUSFguSVFfQ0FQRVguMjAwMC43LzMxLzIwMTguTEZSLkYuVVNELkgBAAAAZTRpCAIAAAAGLTAuMzUyAQgAAAAFAAAAATEBAAAACjE4ODYzNjc2NjcDAAAAAzE2MAIAAAAEMjAyMQQAAAABMAcAAAAJNy8zMS8yMDE4CAAAAAkzLzMxLzIwMTgJAAAAATCcC9U4CAnWCCTCmm80CdYILkNJUS5FTlhUUEE6SVBILklRX0RBX0NGLi43LzE2LzIwMTguTEZSLkYuVVNELkgBAAAAmYAGAAIAAAAINS4yNzQ5NzYBCAAAAAUAAAABMQEAAAAKMTg4OTU1MjE2NAMAAAADMTYwAgAAAAQyMTYwBAAAAAEwBwAAAAk3LzE2LzIwMTgIAAAACjEyLzMxLzIwMTcJAAAAATApHJQQNQnWCHM5YBI1CdYIOUNJUS5OQVNEQVFHUzpDQUxBLklRX1RPVEFMX1JFVi4xOTkyLjcvMzEvMjAxOC5MRlIuRi5VU0QuSAEAAAClJ4EGAwAAAAAAyDCyNwgJ1gjdS6RvNAnWCD1DSVEuTkFTREFRR006WE5DUi5JUV9SRVZFTlVFX0VTVC5DWTIwMjEuNy8xNi8yMDE4LkNPTi5GLlVTRC5IAQAAAKZaCwACAAAACTExNy4zNjEzMwEOAAAABQAAAAIxMQEAAAABMAIAAAAKMTAwMjAyNTI2MgMAAAAGMTAwMTgwBAAAAAEyBgAAAAEwBwAAAAMxNjAIAAAAATAJAAAAATEKAAAAATALAAAA</t>
  </si>
  <si>
    <t>CzEwOTE1ODMyNDg5DAAAAAE3DQAAAAk3LzE3LzIwMTgQAAAACTcvMTYvMjAxOMT/GxE1CdYIEv5kEjUJ1gg1Q0lRLk5BU0RBUUdTOkNBTEEuSVFfTklfTUFSR0lOLi43LzE2LzIwMTguTEZSLkYuVVNELkgBAAAApSeBBgIAAAAJLTEzMS41MTE1AQgAAAAFAAAAATEBAAAACjE4ODc5ODAzMDUDAAAAAzE2MAIAAAAENDA5NAQAAAABMAcAAAAJNy8xNi8yMDE4CAAAAAkzLzMxLzIwMTgJAAAAATApHJQQNQnWCOR0WxI1CdYINkNJUS5OQVNEQVFHTTpDUklTLklRX0VCSVREQS4xOTkyLjcvMzEvMjAxOC5MRlIuRi5VU0QuSAEAAAAXagAAAgAAAAotMzQuMTEyNzU5AQgAAAAFAAAAATEBAAAACjE4NDA1MDEwOTkDAAAAAzE2MAIAAAAENDA1MQQAAAABMAcAAAAJNy8zMS8yMDE4CAAAAAkzLzMxLzIwMTYJAAAAATDIMLI3CAnWCN1LpG80CdYIPUNJUS5OQVNEQVFHUzpUU1JPLklRX1JFVkVOVUVfRVNULkNZMjAxOC43LzE2LzIwMTguQ09OLkYuVVNELkgBAAAAaNZYBgIAAAAJMzA1LjU5NzMyAQ4AAAAFAAAAAjExAQAAAAEwAgAAAAoxMDAxNTgwMzQwAwAAAAYxMDAxODAEAAAAATIGAAAAATAHAAAAAzE2MAgAAAABMAkAAAABMQoAAAABMAsAAAALMTA5NjcyMTY3MDkMAAAAATcNAAAACTcvMTcvMjAxOBAAAAAJNy8xNi8yMDE4xP8bETUJ1ggS/mQSNQnWCDxDSVEuTkFTREFRR006QUZNRC5JUV9FQVJOSU5HX0NPLkNZ</t>
  </si>
  <si>
    <t>MjAxNy43LzE2LzIwMTguTEZSLkYuVVNELkgBAAAA2/cMAAIAAAAKLTM2LjI5MDgyNgEIAAAABQAAAAExAQAAAAoxODc5MTQ3Njk2AwAAAAMxNjACAAAAATcEAAAAATAHAAAACTcvMTYvMjAxOAgAAAAKMTIvMzEvMjAxNwkAAAABMCkclBA1CdYIMNddEjUJ1ggsQ0lRLk5BU0RBUUdTOkJHTkUuSVFfTEFTVFNBTEVQUklDRS45LzE1LzIwMTcBAAAA4OTdBgIAAAAEODAuOQBGnRkRNQnWCGhgZxI1CdYIO0NJUS5OQVNEQVFDTTpTUk5FLklRX1RPVEFMX1JFVi5DWTIwMTcuNy8zMS8yMDE4LkxGUi5GLlVTRC5IAQAAAElDlAMCAAAABzE1MS44NTYBCAAAAAUAAAABMQEAAAAKMTg3ODY3NzQ1NgMAAAADMTYwAgAAAAIyOAQAAAABMAcAAAAJNy8zMS8yMDE4CAAAAAoxMi8zMS8yMDE3CQAAAAEw1owROAgJ1ghzJJ1vNAnWCDBDSVEuTkFTREFRR1M6Q0FMQS5JUV9MQVNUU0FMRVBSSUNFLjcvMzEvMjAxOC5VU0QBAAAApSeBBgIAAAAENC40NQDIMLI3CAnWCN1LpG80CdYIKUNJUS5OQVNEQVFHUzpKTkNFLklRX0JVU0lORVNTX0RFU0NSSVBUSU9OAQAAAOJ5ng0DAAAAwQdKb3VuY2UgVGhlcmFwZXV0aWNzLCBJbmMuLCBhIGNsaW5pY2FsIHN0YWdlIGltbXVub3RoZXJhcHkgY29tcGFueSwgZGV2ZWxvcHMgdGhlcmFwaWVzIGZvciB0aGUgdHJlYXRtZW50IG9mIGNhbmNlci4gSXRzIGxlYWQgcHJvZHVjdCBjYW5kaWRh</t>
  </si>
  <si>
    <t>dGUgaXMgSlRYLTIwMTEsIGEgY2xpbmljYWwgc3RhZ2UgbW9ub2Nsb25hbCBhbnRpYm9keSB0aGF0IGJpbmRzIHRvIGFuZCBhY3RpdmF0ZXMgdGhlIGluZHVjaWJsZSBUIGNlbGwgY28tc3RpbXVsYXRvciwgYSBwcm90ZWluIG9uIHRoZSBzdXJmYWNlIG9mIGNlcnRhaW4gVCBjZWxscyBmb3VuZCBpbiBzb2xpZCB0dW1vcnMsIHdoaWNoIGlzIGluIFBoYXNlIEkvSUkgY2xpbmljYWwgdHJpYWwgZm9yIHRoZSB0cmVhdG1lbnQgb2Ygc2l4IHR1bW9yIHR5cGVzLCBpbmNsdWRpbmcgaGVhZCBhbmQgbmVjayBzcXVhbW91cyBjZWxsIGNhbmNlciwgbm9uLXNtYWxsIGNlbGwgbHVuZyBjYW5jZXIsIHRyaXBsZSBuZWdhdGl2ZSBicmVhc3QgY2FuY2VyLCBtZWxhbm9tYSwgZ2FzdHJpYyBjYW5jZXIsIGFuZCBvdGhlciB0dW1vciB0eXBlcyBpZGVudGlmaWVkIHRocm91Z2ggaXRzIHRyYW5zbGF0aW9uYWwgc2NpZW5jZSBwbGF0Zm9ybS4gVGhlIGNvbXBhbnkgaXMgYWxzbyBkZXZlbG9waW5nIEpUWC00MDE0LCBhbiBhbnRpLVBELTEgYW50YWdvbmlzdCBhbnRpYm9keSBmb3IgY29tYmluYXRpb24gdGhlcmFweS4gSm91bmNlIFRoZXJhcGV1dGljcywgSW5jLiBoYXMgYSBtYXN0ZXIgcmVzZWFyY2ggYW5kIGNvbGxhYm9yYXRpb24gYWdyZWVtZW50IHdpdGggQ2VsZ2VuZSBDb3Jwb3JhdGlvbiBmb2N1c2VkIG9uIGRl</t>
  </si>
  <si>
    <t>dmVsb3BpbmcgYW5kIGNvbW1lcmNpYWxpemluZyBiaW9sb2dpYyBpbW11bm90aGVyYXBpZXMuIFRoZSBjb21wYW55IHdhcyBpbmNvcnBvcmF0ZWQgaW4gMjAxMiBhbmQgaXMgaGVhZHF1YXJ0ZXJlZCBpbiBDYW1icmlkZ2UsIE1hc3NhY2h1c2V0dHMuACkclBA1CdYImBJZEjUJ1gg3Q0lRLk5BU0RBUUdNOlhOQ1IuSVFfUFJFRl9FUVVJVFkuLjkvMTUvMjAxNy5MRlIuRi5VU0QuSAEAAACmWgsAAwAAAAAAxP8bETUJ1ggS/mQSNQnWCD9DSVEuTkFTREFRR006SU1NVS5JUV9FQklUREFfM1lSX0FOTl9DQUdSLi43LzE2LzIwMTguTEZSLkYuVVNELkgBAAAAIEMEAAMAAAACTk0BCAAAAAUAAAABMQEAAAAKMTg4ODUyMzM4NAMAAAADMTYwAgAAAAQ0MjIyBAAAAAEwBwAAAAk3LzE2LzIwMTgIAAAACTMvMzEvMjAxOAkAAAABMMT/GxE1CdYIEv5kEjUJ1gg7Q0lRLk5BU0RBUUdTOlRTUk8uSVFfTkVUX1dPUktJTkdfQ0FQLi43LzE2LzIwMTguTEZSLkYuVVNELkgBAAAAaNZYBgIAAAAGLTYuNDI2AQgAAAAFAAAAATEBAAAACjE4ODYzMzc0NjYDAAAAAzE2MAIAAAAEMTMxMQQAAAABMAcAAAAJNy8xNi8yMDE4CAAAAAkzLzMxLzIwMTgJAAAAATDE/xsRNQnWCBL+ZBI1CdYIIkNJUS5JUVRSMjUzOTU0NDczLklRX1RSX1BDVF9TT1VHSFQBAAAAqQkjDwIAAAADMTAwALKzSW80CdYINZuTbzQJ1ggxQ0lRLk5BU0RBUUNN</t>
  </si>
  <si>
    <t>OkFWRU8uSVFfREFfQ0YuLjcvMTYvMjAxOC5MRlIuRi5VU0QuSAEAAAD0Fh0AAwAAAAAAxP8bETUJ1gjCm2ISNQnWCDtDSVEuTkFTREFRR1M6Q0FMQS5JUV9UT1RBTF9SRVYuQ1kyMDE3LjcvMTYvMjAxOC5MRlIuRi5VU0QuSAEAAAClJ4EGAgAAAAYyNS45NTUBCAAAAAUAAAABMQEAAAAKMTg3Nzk1NTcwNwMAAAADMTYwAgAAAAIyOAQAAAABMAcAAAAJNy8xNi8yMDE4CAAAAAoxMi8zMS8yMDE3CQAAAAEwKRyUEDUJ1gjkdFsSNQnWCDZDSVEuTkFTREFRR006QVJSWS5JUV9FQklUREEuMTk5Ni43LzMxLzIwMTguTEZSLkYuVVNELkgBAAAA+GEAAAIAAAAHLTk2LjI5OAEIAAAABQAAAAExAQAAAAoxODg4NDcwNjU2AwAAAAMxNjACAAAABDQwNTEEAAAAATAHAAAACTcvMzEvMjAxOAgAAAAJMy8zMS8yMDE3CQAAAAEwnAvVOAgJ1gjUX5hvNAnWCEZDSVEuTkFTREFRR006QVJRTC5JUV9UT1RBTF9SRVZfMllSX0FOTl9DQUdSLjIwMDAuNy8zMS8yMDE4LkxGUi5GLlVTRC5IAQAAAPZhAAACAAAACC0zNC42MjE1AQgAAAAFAAAAATEBAAAACjE4ODg3ODg3NzADAAAAAzE2MAIAAAAENDIwNwQAAAABMAcAAAAJNy8zMS8yMDE4CAAAAAkzLzMxLzIwMTgJAAAAATDWjBE4CAnWCMOGn280CdYIIENJUS5JUVRSMjczNTA3MTg1LklRX1RSX0VBUk5PVVRTAQAAAHFjTRACAAAACTkzLjY4Njc4MwEGAAAABQAAAAI1NAEAAAAG</t>
  </si>
  <si>
    <t>MTAxNDAzAgAAAAkyNzM1MDcxODUDAAAACTI3MzUwNzc4NwQAAAADMTYwBgAAAAVGYWxzZbKzSW80CdYIgf2VbzQJ1gg1Q0lRLk5BU0RBUUdNOkFSUlkuSVFfREFfQ0YuMjAwMC43LzMxLzIwMTguTEZSLkYuVVNELkgBAAAA+GEAAAIAAAAFMi4yNjkBCAAAAAUAAAABMQEAAAAKMTg4ODQ3MDY3NgMAAAADMTYwAgAAAAQyMTYwBAAAAAEwBwAAAAk3LzMxLzIwMTgIAAAACTMvMzEvMjAxOAkAAAABMJwL1TgICdYIJMKabzQJ1ggiQ0lRLklRVFI0MTM5NTM2NjEuSVFfVFJfUENUX1NPVUdIVAEAAAB9bqwYAgAAAAMxMDABBgAAAAUAAAACNTQBAAAABjEwMTAyNAIAAAAJNDEzOTUzNjYxAwAAAAk0MTM5NTc2NDAEAAAAAzE2MAYAAAAEVHJ1ZbKzSW80CdYIgf2VbzQJ1gg5Q0lRLk9UQ1BLOk5XQk8uSVFfRUJJVERBX0VTVC5DWTIwMTguNy8xNi8yMDE4LkNPTi5GLlVTRC5IAQAAAKN6FAADAAAAAAApHJQQNQnWCHM5YBI1CdYIKUNJUS5OQVNEQVFHUzpDQUxBLklRX0JVU0lORVNTX0RFU0NSSVBUSU9OAQAAAKUngQYDAAAAsgpDYWxpdGhlcmEgQmlvc2NpZW5jZXMsIEluYy4sIGEgY2xpbmljYWwtc3RhZ2UgYmlvLXBoYXJtYWNldXRpY2FsIGNvbXBhbnksIGZvY3VzZXMgb24gdGhlIGRpc2NvdmVyeSBhbmQgZGV2ZWxvcG1lbnQgb2Ygc21hbGwgbW9sZWN1bGUgZHJ1Z3MgZGlyZWN0ZWQgYWdhaW5zdCB0dW1vciBt</t>
  </si>
  <si>
    <t>ZXRhYm9saXNtIGFuZCB0dW1vciBpbW11bm9sb2d5IHRhcmdldHMgZm9yIHRoZSB0cmVhdG1lbnQgb2YgY2FuY2VyIGluIHRoZSBVbml0ZWQgU3RhdGVzLiBJdHMgbGVhZCBwcm9kdWN0IGNhbmRpZGF0ZSBpcyBDQi04MzksIGFuIGluaGliaXRvciBvZiBnbHV0YW1pbmFzZSwgd2hpY2ggaXMgaW4gUGhhc2UgSUkgY2xpbmljYWwgdHJpYWwgdG8gdHJlYXQgc29saWQgdHVtb3JzLiBUaGUgY29tcGFueSBhbHNvIG9mZmVycyBJTkNCMDAxMTU4LCBhbiBvcmFsIGluaGliaXRvciBvZiBhcmdpbmFzZSB0aGF0IGlzIGluIFBoYXNlIEkvSUkgY2xpbmljYWwgdHJpYWwgZm9yIHRoZSB0cmVhdG1lbnQgb2YgaGVtYXRvbG9neSBhbmQgb25jb2xvZ3kuIEl0IGhhcyBhIGxpY2Vuc2UgYWdyZWVtZW50IHdpdGggTWFycywgSW5jLiB0byBkZXZlbG9wIGFuZCBjb21tZXJjaWFsaXplIFN5bWJpb3NjaWVuY2XigJlzIHBvcnRmb2xpbyBvZiBhcmdpbmFzZSBpbmhpYml0b3JzIGZvciB1c2UgaW4gaHVtYW4gaGVhbHRoY2FyZTsgYW5kIGxpY2Vuc2UgYW5kIHJlc2VhcmNoIGFncmVlbWVudCB3aXRoIEhpZ2ggUG9pbnQgUGhhcm1hY2V1dGljYWxzLCBMTEMgYW5kIFRyYW5zVGVjaCBQaGFybWEgTExDIHRvIGRldmVsb3AgYW5kIGNvbW1lcmNpYWxpemUgaGV4b2tpbmFzZSBJSSBpbmhpYml0b3JzLiBUaGUgY29tcGFueSBh</t>
  </si>
  <si>
    <t>bHNvIGhhcyBjbGluaWNhbCB0cmlhbCBjb2xsYWJvcmF0aW9uIHdpdGggQnJpc3RvbC1NeWVycyBTcXVpYmIgQ29tcGFueSB0byBldmFsdWF0ZSBuaXZvbHVtYWIgaW4gY29tYmluYXRpb24gd2l0aCBDQi04MzkgaW4gY2VsbCByZW5hbCBjZWxsIGNhcmNpbm9tYS4gSW4gYWRkaXRpb24sIGl0IGhhcyBhIGNvbGxhYm9yYXRpb24gYW5kIGxpY2Vuc2UgYWdyZWVtZW50IHdpdGggSW5jeXRlIENvcnBvcmF0aW9uIGZvciB0aGUgcmVzZWFyY2gsIGRldmVsb3BtZW50LCBhbmQgY29tbWVyY2lhbGl6YXRpb24gb2YgSU5DQjAwMTE1OCwgYSBzbWFsbCBtb2xlY3VsZSBhcmdpbmFzZSBpbmhpYml0b3IgZm9yIHRoZSB0cmVhdG1lbnQgb2YgaGVtYXRvbG9neSBhbmQgb25jb2xvZ3kuIENhbGl0aGVyYSBCaW9zY2llbmNlcywgSW5jLiB3YXMgZm91bmRlZCBpbiAyMDEwIGFuZCBpcyBoZWFkcXVhcnRlcmVkIGluIFNvdXRoIFNhbiBGcmFuY2lzY28sIENhbGlmb3JuaWEuAMgwsjcICdYIHxWdDjUJ1gg/Q0lRLk5BU0RBUUdNOk5MTksuSVFfRUJJVERBXzJZUl9BTk5fQ0FHUi4uNy8xNi8yMDE4LkxGUi5GLlVTRC5IAQAAAJV7jAADAAAAAk5NAQgAAAAFAAAAATEBAAAACjE4ODgzNTQyMDcDAAAAAzE2MAIAAAAENDIwOQQAAAABMAcAAAAJNy8xNi8yMDE4CAAAAAkzLzMxLzIwMTgJAAAAATApHJQQNQnWCOR0WxI1CdYI</t>
  </si>
  <si>
    <t>J0NJUS5OQVNEQVFHUzpDVE1YLklRX0JFVEFfNVlSLjcvMTYvMjAxOAEAAADcOJsDAgAAABEwLjg4NjI0MzYwOTgxNDEwNgDE/xsRNQnWCMKbYhI1CdYIIUNJUS5OQVNEQVFHTTpDUklTLklRX0NPTVBBTllfTkFNRQEAAAAXagAAAwAAAAtDdXJpcywgSW5jLgDIMLI3CAnWCN1LpG80CdYIJ0NJUS5OQVNEQVFHTTpGQVRFLklRX0JFVEFfMllSLjcvMzEvMjAxOAEAAABoMVcCAgAAABAyLjMwNzQwMjU0NjgxOTY0ANaMETgICdYIw4afbzQJ1gg7Q0lRLk5BU0RBUUdNOkZBVEUuSVFfUFJFRl9FUVVJVFkuMjAwMC43LzMxLzIwMTguTEZSLkYuVVNELkgBAAAAaDFXAgIAAAAFMC4wMDMBCAAAAAUAAAABMQEAAAAKMTg4ODUwMDUyNwMAAAADMTYwAgAAAAQxMDA1BAAAAAEwBwAAAAk3LzMxLzIwMTgIAAAACTMvMzEvMjAxOAkAAAABMNaMETgICdYIw4afbzQJ1ggtQ0lRLk5BU0RBUUdNOkNSSVMuSVFfRElWSURFTkRfWUlFTEQuNy8zMS8yMDE4AQAAABdqAAADAAAAAADIMLI3CAnWCN1LpG80CdYIP0NJUS5OQVNEQVFHUzpQQllJLklRX0VCSVREQV81WVJfQU5OX0NBR1IuLjcvMTYvMjAxOC5MRlIuRi5VU0QuSAEAAAACaqwHAwAAAAJOTQEIAAAABQAAAAExAQAAAAoxODg4NjY3NzQzAwAAAAMxNjACAAAABDQyMzUEAAAAATAHAAAACTcvMTYvMjAxOAgAAAAJMy8zMS8yMDE4CQAAAAEwxP8bETUJ1ggS/mQSNQnWCCdD</t>
  </si>
  <si>
    <t>SVEuTkFTREFRR006QVJRTC5JUV9CRVRBXzFZUi43LzMxLzIwMTgBAAAA9mEAAAIAAAARMC4yOTczMTAyMTM5Nzc5MDcA1owROAgJ1ghzJJ1vNAnWCCtDSVEuTkFTREFRR1M6Q0FMQS5JUV9MQVNUU0FMRVBSSUNFLjUvNS8yMDE3AQAAAKUngQYCAAAABTExLjE1AMgwsjcICdYI3UukbzQJ1ggrQ0lRLklRVFIyNjM3MTg2NDcuSVFfVFJfVE9UQUxfR1JPU1NfVFYuLlVTRAEAAAD3BrgPAgAAAAAAsrNJbzQJ1giB/ZVvNAnWCEZDSVEuTkFTREFRR006SU1NVS5JUV9NSU5PUklUWV9JTlRFUkVTVF9UT1RBTC4yMDAwLjUvNS8yMDE3LkxGUi5GLlVTRC5IAQAAACBDBAACAAAACS0wLjc0MjU2NAEIAAAABQAAAAExAQAAAAoxODI3MjQ4MzYwAwAAAAMxNjACAAAABDEzMTIEAAAAATAHAAAACDUvNS8yMDE3CAAAAAoxMi8zMS8yMDE2CQAAAAEwnAvVOAgJ1gjUX5hvNAnWCD5DSVEuTkFTREFRQ006QVZFTy5JUV9UT1RBTF9FUVVJVFkuQ1kyMDE3LjcvMTYvMjAxOC5MRlIuRi5VU0QuSAEAAAD0Fh0AAgAAAActNDAuNzYzAQgAAAAFAAAAATEBAAAACjE4NzgwODI2NTMDAAAAAzE2MAIAAAAEMTI3NQQAAAABMAcAAAAJNy8xNi8yMDE4CAAAAAoxMi8zMS8yMDE3CQAAAAEwxP8bETUJ1ghzOWASNQnWCDpDSVEuTkFTREFRR1M6RlBSWC5JUV9DQVNIX1NUX0lOVkVTVC4uNy8xNi8yMDE4LkxGUi5GLlVTRC5IAQAAADddMwAC</t>
  </si>
  <si>
    <t>AAAABzM4OS40MjYBCAAAAAUAAAABMQEAAAAKMTg4NzQwMjIyNwMAAAADMTYwAgAAAAQxMDAyBAAAAAEwBwAAAAk3LzE2LzIwMTgIAAAACTMvMzEvMjAxOAkAAAABMCkclBA1CdYIczlgEjUJ1gg8Q0lRLk5BU0RBUUdNOkFSUlkuSVFfRUJJVERBX0VTVC5DWTIwMTkuNy8zMS8yMDE4LkNPTi5GLlVTRC5IAQAAAPhhAAADAAAAAACcC9U4CAnWCNRfmG80CdYIJENJUS5OQVNEQVFDTTpBVkVPLklRX0VGRkVDVF9UQVhfUkFURQEAAAD0Fh0AAwAAAAJOTQEIAAAABQAAAAExAQAAAAoxODk5MDUxMjU2AwAAAAMxNjACAAAABDQzNzYEAAAAATAHAAAACTgvMjMvMjAxOAgAAAAJNi8zMC8yMDE4CQAAAAEwxP8bETUJ1ghzOWASNQnWCDpDSVEuTkFTREFRR1M6RVBaTS5JUV9QUkVGX0VRVUlUWS4yMDAwLjUvNS8yMDE3LkxGUi5GLlVTRC5IAQAAAAMmPQMDAAAAAADWjBE4CAnWCHMknW80CdYIPkNJUS5OQVNEQVFHUzpFUFpNLklRX1RPVEFMX0VRVUlUWS5DWTIwMTYuNy8zMS8yMDE4LkxGUi5GLlVTRC5IAQAAAAMmPQMCAAAABTIwMS43AQgAAAAFAAAAATEBAAAACjE4NzgwODEwNjEDAAAAAzE2MAIAAAAEMTI3NQQAAAABMAcAAAAJNy8zMS8yMDE4CAAAAAoxMi8zMS8yMDE2CQAAAAEw1owROAgJ1ghzJJ1vNAnWCDlDSVEuTkFTREFRQ006WklPUC5JUV9UT1RBTF9SRVYuMTk5Ni43LzMxLzIwMTguTEZSLkYuVVNELkgB</t>
  </si>
  <si>
    <t>AAAAs1GyAAIAAAAFNi40ODkBCAAAAAUAAAABMQEAAAAKMTg4Nzk3MjM0OAMAAAADMTYwAgAAAAIyOAQAAAABMAcAAAAJNy8zMS8yMDE4CAAAAAkzLzMxLzIwMTcJAAAAATDWjBE4CAnWCMOGn280CdYIPENJUS5OQVNEQVFHUzpUU1JPLklRX0dST1NTX01BUkdJTi4yMDAwLjcvMzEvMjAxOC5MRlIuRi5VU0QuSAEAAABo1lgGAgAAAAc4MS4yMjU1AQgAAAAFAAAAATEBAAAACjE4ODYzMzc0NjYDAAAAAzE2MAIAAAAENDA3NAQAAAABMAcAAAAJNy8zMS8yMDE4CAAAAAkzLzMxLzIwMTgJAAAAATCcC9U4CAnWCCTCmm80CdYIIENJUS5JUTM2MTgzODM0LklRX0xBU1RTQUxFUFJJQ0UuAQAAABofKAICAAAABDIuNzcAnAvVOAgJ1gh3eYAONQnWCDpDSVEuTkFTREFRR1M6QURYUy5JUV9DQVNIX1NUX0lOVkVTVC4uNy8xNi8yMDE4LkxGUi5GLlVTRC5IAQAAAJ7seAACAAAACTU3Ljg2NTQ4OAEIAAAABQAAAAExAQAAAAoxODkyNzg4NTQ4AwAAAAMxNjACAAAABDEwMDIEAAAAATAHAAAACTcvMTYvMjAxOAgAAAAJNC8zMC8yMDE4CQAAAAEwKRyUEDUJ1gjkdFsSNQnWCD9DSVEuT1RDUEs6TUJWWC5JUV9UT1RBTF9SRVZfM1lSX0FOTl9DQUdSLi43LzE2LzIwMTguTEZSLkYuVVNELkgBAAAA2ESLAgMAAAAAAN6nfhA1CdYImBJZEjUJ1gg7Q0lRLk5BU0RBUUdTOk1HTlguSVFfVE9UQUxfUkVWLkNZMjAxNi43LzE2LzIw</t>
  </si>
  <si>
    <t>MTguTEZSLkYuVVNELkgBAAAATysJAAIAAAAFOTEuODgBCAAAAAUAAAABMQEAAAAKMTg3NjEzNTE1NwMAAAADMTYwAgAAAAIyOAQAAAABMAcAAAAJNy8xNi8yMDE4CAAAAAoxMi8zMS8yMDE2CQAAAAEwxP8bETUJ1gjCm2ISNQnWCCdDSVEuTkFTREFRR1M6TVJTTi5JUV9CRVRBXzVZUi43LzE2LzIwMTgBAAAA5sUYAAMAAAAAACkclBA1CdYIczlgEjUJ1gg7Q0lRLk5BU0RBUUdNOkZBVEUuSVFfVE9UQUxfUkVWLkNZMjAxNi43LzMxLzIwMTguTEZSLkYuVVNELkgBAAAAaDFXAgIAAAAFNC40MDIBCAAAAAUAAAABMQEAAAAKMTg3NzA2OTA2NwMAAAADMTYwAgAAAAIyOAQAAAABMAcAAAAJNy8zMS8yMDE4CAAAAAoxMi8zMS8yMDE2CQAAAAEw1owROAgJ1gjDhp9vNAnWCDBDSVEuSVFUUjQwNzc2MDY5Mi5JUV9UUl9UQVJHRVRfRUJJVERBX0VTVC4uVVNELkgBAAAANO9NGAIAAAAAAFjPEg41CdYIDD6FDjUJ1ggsQ0lRLklRVFI1MzMzODU3NDQuSVFfVFJfVE9UQUxfR1JPU1NfVFYuVVNELkgFAAAAAAAAAAgAAAAaKEludmFsaWQgQ3VycmVuY3kgUmVxdWVzdCkMbRAONQnWCMDbgg41CdYIPENJUS5OQVNEQVFDTTpTUk5FLklRX0VCSVREQV9FU1QuQ1kyMDIwLjcvMzEvMjAxOC5DT04uRi5VU0QuSAEAAABJQ5QDAgAAAActODguODk2AQ4AAAAFAAAAAjExAQAAAAEwAgAAAAoxMDAyNDgxOTMzAwAAAAYxMDAxODcE</t>
  </si>
  <si>
    <t>AAAAATIGAAAAATAHAAAAAzE2MAgAAAABMAkAAAABMQoAAAABMAsAAAALMTA5NDU2MjY1NTEMAAAAATcNAAAACDgvMS8yMDE4EAAAAAk3LzMxLzIwMTjWjBE4CAnWCHMknW80CdYIRkNJUS5OQVNEQVFHUzpNUlNOLklRX1RPVEFMX1JFVl81WVJfQU5OX0NBR1IuMjAwMC43LzMxLzIwMTguTEZSLkYuVVNELkgBAAAA5sUYAAMAAAAAANaMETgICdYIw4afbzQJ1gg8Q0lRLk5BU0RBUUdTOkZQUlguSVFfRUJJVERBX0VTVC5DWTIwMjAuNy8zMS8yMDE4LkNPTi5GLlVTRC5IAQAAADddMwACAAAACC0yNTcuNjQ5AQ4AAAAFAAAAAjExAQAAAAEwAgAAAAoxMDAxOTU2MzU0AwAAAAYxMDAxODcEAAAAATIGAAAAATAHAAAAAzE2MAgAAAABMAkAAAABMQoAAAABMAsAAAALMTA5Mjc5ODA0MDMMAAAAATcNAAAACDgvMS8yMDE4EAAAAAk3LzMxLzIwMTjWjBE4CAnWCBnpoW80CdYIPENJUS5OQVNEQVFHUzpTR0VOLklRX0VBUk5JTkdfQ08uQ1kyMDE2LjcvMTYvMjAxOC5MRlIuRi5VU0QuSAEAAABhhQAAAgAAAAgtMTQwLjExMQEIAAAABQAAAAExAQAAAAoxODc0Njk2MTk2AwAAAAMxNjACAAAAATcEAAAAATAHAAAACTcvMTYvMjAxOAgAAAAKMTIvMzEvMjAxNgkAAAABMMT/GxE1CdYIaGBnEjUJ1ggtQ0lRLk5BU0RBUUdNOkNSSVMuSVFfTUFSS0VUQ0FQLjUvNS8yMDE3LlVTRC5IAQAAABdqAAACAAAACjI3MS43MzA0MzEB</t>
  </si>
  <si>
    <t>BgAAAAUAAAABMQEAAAAKMTg0MDUwMDE4MQMAAAADMTYwAgAAAAYxMDAwNTQEAAAAATAHAAAACDUvNS8yMDE3yDCyNwgJ1gjdS6RvNAnWCCJDSVEuSVFUUjUzNTcxOTk5OC5JUV9UUl9QQ1RfU09VR0hUAQAAAD5w7h8CAAAAAzEwMAEGAAAABQAAAAI1NAEAAAAGMTAxMDI0AgAAAAk1MzU3MTk5OTgDAAAACTUzNTcyNDgxMwQAAAADMTYwBgAAAARUcnVlsrNJbzQJ1giB/ZVvNAnWCDJDSVEuQVNYOklNVS5JUV9HUk9TU19NQVJHSU4uLjcvMTYvMjAxOC5MRlIuRi5VU0QuSAEAAACYk6kAAgAAAAMxMDABCAAAAAUAAAABMQEAAAAKMTg3NzMwNTMyMAMAAAABOQIAAAAENDA3NAQAAAABMAcAAAAJNy8xNi8yMDE4CAAAAAoxMi8zMS8yMDE3CQAAAAEwKRyUEDUJ1ggw110SNQnWCChDSVEuTkFTREFRQ006TVRFTS5JUV9URVYuNy8zMS8yMDE4LlVTRC5IAQAAAJmbqQECAAAACTkzLjg5NzkyMwEGAAAABQAAAAExAQAAAAoxODg4NzMyOTI3AwAAAAMxNjACAAAABjEwMDA2MAQAAAABMAcAAAAJNy8zMS8yMDE4yDCyNwgJ1ggZ6aFvNAnWCC9DSVEuTkFTREFRR1M6T1ZJRC5JUV9UT1RBTF9ERUJULi41LzQvMjAxNy4uLlVTRAEAAAAg0DcRAgAAAAEwAQgAAAAFAAAAATEBAAAACjE4MzU5NTM3MTYDAAAAAzE2MAIAAAAENDE3MwQAAAABMAcAAAAINS80LzIwMTcIAAAACjEyLzMxLzIwMTYJAAAAATCys0lvNAnWCK+o1oE0</t>
  </si>
  <si>
    <t>CdYIKENJUS5OQVNEQVFHUzpCR05FLklRX1RFVi43LzMxLzIwMTguVVNELkgBAAAA4OTdBgIAAAALOTAyOS4yNjk1ODQBBgAAAAUAAAABMQEAAAAKMTg4NzY4ODUwMAMAAAADMTYwAgAAAAYxMDAwNjAEAAAAATAHAAAACTcvMzEvMjAxOJwL1TgICdYIgf2VbzQJ1gg5Q0lRLk5BU0RBUUdTOkZQUlguSVFfVE9UQUxfUkVWLjIwMDAuNy8zMS8yMDE4LkxGUi5GLlVTRC5IAQAAADddMwACAAAABjYxLjg1OQEIAAAABQAAAAExAQAAAAoxODg3NDAyMjI3AwAAAAMxNjACAAAAAjI4BAAAAAEwBwAAAAk3LzMxLzIwMTgIAAAACTMvMzEvMjAxOAkAAAABMNaMETgICdYIGemhbzQJ1ggzQ0lRLkFTWDpJTVUuSVFfRUJJVERBX01BUkdJTi4uNy8xNi8yMDE4LkxGUi5GLlVTRC5IAQAAAJiTqQACAAAACS0yMzQuMzkzNgEIAAAABQAAAAExAQAAAAoxODc3MzA1MzIwAwAAAAE5AgAAAAQ0MDQ3BAAAAAEwBwAAAAk3LzE2LzIwMTgIAAAACjEyLzMxLzIwMTcJAAAAATApHJQQNQnWCDDXXRI1CdYIO0NJUS5OQVNEQVFHUzpUU1JPLklRX1RPVEFMX1JFVi5DWTIwMTYuNy8zMS8yMDE4LkxGUi5GLlVTRC5IAQAAAGjWWAYCAAAABjU4LjAxOAEIAAAABQAAAAExAQAAAAoxODc3MjI2Mjg0AwAAAAMxNjACAAAAAjI4BAAAAAEwBwAAAAk3LzMxLzIwMTgIAAAACjEyLzMxLzIwMTYJAAAAATCcC9U4CAnWCCTCmm80CdYIRkNJUS5OQVNE</t>
  </si>
  <si>
    <t>QVFHTTpDUlZTLklRX1RPVEFMX1JFVl8yWVJfQU5OX0NBR1IuMjAwMC43LzMxLzIwMTguTEZSLkYuVVNELkgBAAAA9LCmEAMAAAAAANaMETgICdYIGemhbzQJ1ggnQ0lRLk5BU0RBUUdTOkZQUlguSVFfUEVSSU9EREFURV9JUy4xMDAwAQAAADddMwAFAAAACjEyLzMxLzIwMTcA1owROAgJ1ggZ6aFvNAnWCChDSVEuTkFTREFRR1M6QVROWC5JUV9URVYuNy8zMS8yMDE4LlVTRC5IAQAAANyZawECAAAACzExMjAuMzE1MzgxAQYAAAAFAAAAATEBAAAACjE4ODg3MDI3MDIDAAAAAzE2MAIAAAAGMTAwMDYwBAAAAAEwBwAAAAk3LzMxLzIwMTjWjBE4CAnWCCTCmm80CdYIM0NJUS5PVENQSzpNQlZYLklRX1RPVEFMX0RFQlQuLjcvMTYvMjAxOC5MRlIuRi5VU0QuSAEAAADYRIsCAgAAAAgzLjM2NzAyNgEIAAAABQAAAAExAQAAAAoxODgxMjEzMjQ1AwAAAAMxNjACAAAABDQxNzMEAAAAATAHAAAACTcvMTYvMjAxOAgAAAAKMTIvMzEvMjAxNwkAAAABMN6nfhA1CdYImBJZEjUJ1ghDQ0lRLk5BU0RBUUNNOlpJT1AuSVFfRUJJVERBXzJZUl9BTk5fQ0FHUi4yMDAwLjcvMzEvMjAxOC5MRlIuRi5VU0QuSAEAAACzUbIAAwAAAAJOTQEIAAAABQAAAAExAQAAAAoxODg3OTcyMzU5AwAAAAMxNjACAAAABDQyMDkEAAAAATAHAAAACTcvMzEvMjAxOAgAAAAJMy8zMS8yMDE4CQAAAAEw1owROAgJ1gjDhp9vNAnWCDZDSVEuTkFT</t>
  </si>
  <si>
    <t>REFRR1M6U0dFTi5JUV9UT1RBTF9ERUJULi43LzE2LzIwMTguTEZSLkYuVVNELkgBAAAAYYUAAAIAAAABMAEIAAAABQAAAAExAQAAAAoxODg0ODkyODUyAwAAAAMxNjACAAAABDQxNzMEAAAAATAHAAAACTcvMTYvMjAxOAgAAAAJMy8zMS8yMDE4CQAAAAEwxP8bETUJ1ghoYGcSNQnWCCNDSVEuSVFUUjMxMjEyMjUwNC5JUV9UUl9UT1RBTF9TVE9DSwEAAACInJoSAgAAAAkxNC45NjQxODYAWM8SDjUJ1gjA24IONQnWCDdDSVEuQVNYOklNVS5JUV9SRVZFTlVFX0VTVC5DWTIwMjAuNy8xNi8yMDE4LkNPTi5GLlVTRC5IAQAAAJiTqQADAAAAAAApHJQQNQnWCDDXXRI1CdYIOUNJUS5OQVNEQVFDTTpaSU9QLklRX05JX01BUkdJTi4yMDAwLjcvMzEvMjAxOC5MRlIuRi5VU0QuSAEAAACzUbIAAwAAAAJOTQEIAAAABQAAAAExAQAAAAoxODg3OTcyMzU5AwAAAAMxNjACAAAABDQwOTQEAAAAATAHAAAACTcvMzEvMjAxOAgAAAAJMy8zMS8yMDE4CQAAAAEw1owROAgJ1gjDhp9vNAnWCDxDSVEuTkFTREFRR006QVJSWS5JUV9UT1RBTF9FUVVJVFkuMTk5Mi43LzMxLzIwMTguTEZSLkYuVVNELkgBAAAA+GEAAAIAAAAHLTE0LjgwMwEIAAAABQAAAAExAQAAAAoxODQxMDk1MDI2AwAAAAMxNjACAAAABDEyNzUEAAAAATAHAAAACTcvMzEvMjAxOAgAAAAJMy8zMS8yMDE2CQAAAAEwnAvVOAgJ1ggkwppvNAnWCDFDSVEuTkFT</t>
  </si>
  <si>
    <t>REFRQ006QVZFTy5JUV9DQVBFWC4uNy8xNi8yMDE4LkxGUi5GLlVTRC5IAQAAAPQWHQADAAAAAADE/xsRNQnWCMKbYhI1CdYIH0NJUS5JUTE2MjM1MjYuSVFfQ09NUEFOWV9USUNLRVIBAAAA5sUYAAMAAAANTmFzZGFxR1M6TVJTTgAMbRAONQnWCOOLkw41CdYIL0NJUS5OQVNEQVFHUzpPVklELklRX0VCSVREQS4yMDAwLjEwLzE4LzIwMTYuLi4uAQAAACDQNxEDAAAAAACys0lvNAnWCDWbk280CdYIOENJUS5OQVNEQVFHUzpLVVJBLklRX0VCSVREQS5DWTIwMTYuNy8zMS8yMDE4LkxGUi5GLlVTRC5IAQAAALjL2hACAAAABy0yOC4zMzYBCAAAAAUAAAABMQEAAAAKMTg3ODAxMjQzNQMAAAADMTYwAgAAAAQ0MDUxBAAAAAEwBwAAAAk3LzMxLzIwMTgIAAAACjEyLzMxLzIwMTYJAAAAATDWjBE4CAnWCHMknW80CdYIP0NJUS5OQVNEQVFHUzpHVEhYLklRX05FVF9XT1JLSU5HX0NBUC4xOTk2LjcvMzEvMjAxOC5MRlIuRi5VU0QuSAEAAABlNGkIAgAAAAktNy4yNDgwNzkBCAAAAAUAAAABMQEAAAAKMTg4NjM2NzY0OAMAAAADMTYwAgAAAAQxMzExBAAAAAEwBwAAAAk3LzMxLzIwMTgIAAAACTMvMzEvMjAxNwkAAAABMJwL1TgICdYIJMKabzQJ1ggpQ0lRLk5BU0RBUUdTOlBCWUkuSVFfQlVTSU5FU1NfREVTQ1JJUFRJT04BAAAAAmqsBwMAAACoB1B1bWEgQmlvdGVjaG5vbG9neSwgSW5jLiwgYSBiaW9waGFybWFj</t>
  </si>
  <si>
    <t>ZXV0aWNhbCBjb21wYW55LCBmb2N1c2VzIG9uIHRoZSBkZXZlbG9wbWVudCBhbmQgY29tbWVyY2lhbGl6YXRpb24gb2YgcHJvZHVjdHMgdG8gZW5oYW5jZSBjYW5jZXIgY2FyZSBpbiB0aGUgVW5pdGVkIFN0YXRlcy4gSXRzIGRydWcgY2FuZGlkYXRlcyBpbmNsdWRlIFBCMjcyIG5lcmF0aW5pYiAob3JhbCkgZm9yIHRoZSB0cmVhdG1lbnQgb2YgZWFybHkgc3RhZ2UgYnJlYXN0IGNhbmNlciwgbWV0YXN0YXRpYyBicmVhc3QgY2FuY2VyLCBub24tc21hbGwgY2VsbCBsdW5nIGNhbmNlciwgSEVSMiBtdXRhdGlvbi1wb3NpdGl2ZSBzb2xpZCB0dW1vcnMsIGFuZCBIRVIyLW11dGF0ZWQgbm9uLWFtcGxpZmllZCBicmVhc3QgY2FuY2VyOyBhbmQgUEIyNzIgbmVyYXRpbmliIChpbnRyYXZlbm91cykpLiBUaGUgY29tcGFueSBhbHNvIGRldmVsb3BzIFBCMzU3LCBhbiBvcmFsbHkgYWRtaW5pc3RlcmVkIGFnZW50IHRoYXQgaXMgYW4gaXJyZXZlcnNpYmxlIHR5cm9zaW5lIGtpbmFzZSBpbmhpYml0b3IgdGhhdCBibG9ja3Mgc2lnbmFsIHRyYW5zZHVjdGlvbiB0aHJvdWdoIHRoZSBlcGlkZXJtYWwgZ3Jvd3RoIGZhY3RvciByZWNlcHRvcnMsIEhFUjEsIEhFUjIsIGFuZCBIRVI0LiBJdCBoYXMgYSBsaWNlbnNlIGFncmVlbWVudCB3aXRoIFBmaXplciwgSW5jLiBmb3IgdGhlIGRldmVsb3BtZW50LCBtYW51ZmFj</t>
  </si>
  <si>
    <t>dHVyZSwgYW5kIGNvbW1lcmNpYWxpemF0aW9uIG9mIFBCMjcyIG5lcmF0aW5pYiAob3JhbCksIFBCMjcyIG5lcmF0aW5pYiAoaW50cmF2ZW5vdXMpLCBQQjM1NywgYW5kIGNlcnRhaW4gcmVsYXRlZCBjb21wb3VuZHMuIFB1bWEgQmlvdGVjaG5vbG9neSwgSW5jLiB3YXMgZm91bmRlZCBpbiAyMDEwIGFuZCBpcyBoZWFkcXVhcnRlcmVkIGluIExvcyBBbmdlbGVzLCBDYWxpZm9ybmlhLgBGnRkRNQnWCBL+ZBI1CdYIJUNJUS5JUVRSNTUwMjU5Mzk3LklRX1RSX01BSl9NSU5fU1RBS0UBAAAAxUrMIAMAAAAITWFqb3JpdHkADG0QDjUJ1gh3eYAONQnWCDxDSVEuTkFTREFRR006TFBUWC5JUV9FQklUREFfRVNULkNZMjAxOS43LzE2LzIwMTguQ09OLkYuVVNELkgBAAAADDYJBwMAAAAAACkclBA1CdYIMNddEjUJ1gg0Q0lRLk5BU0RBUUdTOkJHTkUuSVFfUkVWRU5VRV9FU1QuQ1kyMDIxLi5DT04uRi5VU0QuSAEAAADg5N0GAgAAAAc3MTUuODQxAQ4AAAAFAAAAAjExAQAAAAEwAgAAAAoxMDAzMzI2MjgyAwAAAAYxMDAxODAEAAAAATIGAAAAATAHAAAAAzE2MAgAAAABMAkAAAABMQoAAAABMAsAAAALMTEwMzI3NjQ0MTEMAAAAATcNAAAACTgvMjQvMjAxOBAAAAAJOC8yMy8yMDE4nAvVOAgJ1gicC9U4CAnWCCFDSVEuSVFUUjU0MjgwNjY4Ni5JUV9UUl9CVVlFUk5BTUUBAAAAnpJaIAMAAAAKQ2Vsb25pYyBBRwCy</t>
  </si>
  <si>
    <t>s0lvNAnWCIH9lW80CdYIJ0NJUS5OQVNEQVFHUzpBTkFCLklRX0JFVEFfNVlSLjcvMTYvMjAxOAEAAAAhTLIBAwAAAAAAxP8bETUJ1gjCm2ISNQnWCD1DSVEuTkFTREFRR1M6VFNSTy5JUV9SRVZFTlVFX0VTVC5DWTIwMjEuNy8xNi8yMDE4LkNPTi5GLlVTRC5IAQAAAGjWWAYCAAAACTkyMC4yOTg2NAEOAAAABQAAAAIxMQEAAAABMAIAAAAKMTAwMTU4MDM1NQMAAAAGMTAwMTgwBAAAAAEyBgAAAAEwBwAAAAMxNjAIAAAAATAJAAAAATEKAAAAATALAAAACzEwOTY3MjE1NjM0DAAAAAE3DQAAAAk3LzE3LzIwMTgQAAAACTcvMTYvMjAxOMT/GxE1CdYIEv5kEjUJ1ghGQ0lRLihJTlZBTElEIElERU5USUZJRVIpLklRX05FVF9XT1JLSU5HX0NBUC4xOTkyLjcvMzEvMjAxOC5MRlIuRi5VU0QuSAUAAAAAAAAACAAAABQoSW52YWxpZCBJZGVudGlmaWVyKcgwsjcICdYI7TawbzQJ1gg+Q0lRLk5BU0RBUUdTOlRTUk8uSVFfQ0FTSF9TVF9JTlZFU1QuMjAwMC43LzMxLzIwMTguTEZSLkYuVVNELkgBAAAAaNZYBgIAAAAGNDk4Ljk4AQgAAAAFAAAAATEBAAAACjE4ODYzMzc0NjYDAAAAAzE2MAIAAAAEMTAwMgQAAAABMAcAAAAJNy8zMS8yMDE4CAAAAAkzLzMxLzIwMTgJAAAAATCcC9U4CAnWCCTCmm80CdYIK0NJUS5JUVRSNTYzOTE5MDQ5LklRX1RSX1RPVEFMX0dST1NTX1RWLi5VU0QBAAAAybicIQIAAAALMTYyNy45</t>
  </si>
  <si>
    <t>MzYyNDIBBgAAAAUAAAACNTQBAAAABjEwMjA4OAIAAAAJNTYzOTE5MDQ5AwAAAAk1NjM5NDAwNDIEAAAAAzE2MAYAAAAFRmFsc2UMbRAONQnWCMDbgg41CdYIPkNJUS5OQVNEQVFHTTpDUklTLklRX1RPVEFMX0VRVUlUWS5DWTIwMTcuNy8zMS8yMDE4LkxGUi5GLlVTRC5IAQAAABdqAAACAAAABjIzLjk5MwEIAAAABQAAAAExAQAAAAoxODc4MDExNjU3AwAAAAMxNjACAAAABDEyNzUEAAAAATAHAAAACTcvMzEvMjAxOAgAAAAKMTIvMzEvMjAxNwkAAAABMMgwsjcICdYI3UukbzQJ1ggjQ0lRLklRVFI1MzU3MTk5OTguSVFfVFJfQ0xPU0VEX0RBVEUBAAAAPnDuHwUAAAAJMTAvMi8yMDE3ALKzSW80CdYIgf2VbzQJ1gg/Q0lRLk5BU0RBUUdNOkxQVFguSVFfRUJJVERBXzNZUl9BTk5fQ0FHUi4uNy8xNi8yMDE4LkxGUi5GLlVTRC5IAQAAAAw2CQcDAAAAAAApHJQQNQnWCDDXXRI1CdYIO0NJUS5OQVNEQVFHTTpBUlJZLklRX1RPVEFMX1JFVi5DWTIwMTYuNy8zMS8yMDE4LkxGUi5GLlVTRC5IAQAAAPhhAAACAAAABjQwLjQxOAEIAAAABQAAAAExAQAAAAoxODczMjAzNzk1AwAAAAMxNjACAAAAAjI4BAAAAAEwBwAAAAk3LzMxLzIwMTgIAAAACjEyLzMxLzIwMTYJAAAAATCcC9U4CAnWCNRfmG80CdYILkNJUS5JUVRSMzA3ODYzOTg0LklRX1RSX1RBUkdFVF9TVE9DS1BSRU1JVU1fMVcBAAAAsKFZEgIAAAAAAFjP</t>
  </si>
  <si>
    <t>Eg41CdYIwNuCDjUJ1ggnQ0lRLk5BU0RBUUNNOlNSTkUuSVFfQkVUQV8xWVIuNy8zMS8yMDE4AQAAAElDlAMCAAAAEDIuODE5NTgzNjU3MDg2MTEA1owROAgJ1ghzJJ1vNAnWCD1DSVEuTkFTREFRR006SU1NVS5JUV9SRVZFTlVFX0VTVC5DWTIwMTkuNy8zMS8yMDE4LkNPTi5GLlVTRC5IAQAAACBDBAACAAAABzg4LjA2NjcBDgAAAAUAAAACMTEBAAAAATACAAAACTI4NDQzNDAyNQMAAAAGMTAwMTgwBAAAAAEyBgAAAAEwBwAAAAMxNjAIAAAAATAJAAAAATEKAAAAATALAAAACzEwOTgwMjYzOTM0DAAAAAE3DQAAAAg4LzEvMjAxOBAAAAAJNy8zMS8yMDE4nAvVOAgJ1gjUX5hvNAnWCDhDSVEuWFRSQTpNT1IuSVFfUkVWRU5VRV9FU1QuQ1kyMDIxLjcvMzEvMjAxOC5DT04uRi5VU0QuSAEAAADfEQIAAgAAAA8xNzAuMjYxNzMyMDYxMDgBDgAAAAUAAAACMTEBAAAAATACAAAACjEwMDE1NDM5NDQDAAAABjEwMDE4MAQAAAABMwYAAAABMAcAAAADMTYwCAAAAAEwCQAAAAExCgAAAAEwCwAAAAsxMTAwMTMxNTA1MwwAAAABNw0AAAAIOC8xLzIwMTgQAAAACTcvMzEvMjAxOJwL1TgICdYI1F+YbzQJ1gg6Q0lRLk5BU0RBUUdTOk5LLklRX1RPVEFMX0VRVUlUWS4xOTk2LjcvMzEvMjAxOC5MRlIuRi5VU0QuSAEAAAANfaEPAgAAAAcyNzguMzY5AQgAAAAFAAAAATEBAAAACjE4ODcxMTg3NjcDAAAAAzE2MAIAAAAEMTI3</t>
  </si>
  <si>
    <t>NQQAAAABMAcAAAAJNy8zMS8yMDE4CAAAAAkzLzMxLzIwMTcJAAAAATDWjBE4CAnWCBnpoW80CdYIPENJUS5OQVNEQVFHUzpDQUxBLklRX1RPVEFMX0VRVUlUWS4xOTk2LjcvMzEvMjAxOC5MRlIuRi5VU0QuSAEAAAClJ4EGAgAAAAcxNjUuNzMxAQgAAAAFAAAAATEBAAAACjE4ODc5ODAyNzcDAAAAAzE2MAIAAAAEMTI3NQQAAAABMAcAAAAJNy8zMS8yMDE4CAAAAAkzLzMxLzIwMTcJAAAAATDIMLI3CAnWCN1LpG80CdYIQENJUS5PVENQSzpNQlZYLklRX01JTk9SSVRZX0lOVEVSRVNUX1RPVEFMLi45LzE1LzIwMTcuTEZSLkYuVVNELkgBAAAA2ESLAgMAAAAAAN6nfhA1CdYImBJZEjUJ1gg5Q0lRLk5BU0RBUUdNOkZBVEUuSVFfVE9UQUxfUkVWLjE5OTYuNy8zMS8yMDE4LkxGUi5GLlVTRC5IAQAAAGgxVwICAAAABTQuMTA3AQgAAAAFAAAAATEBAAAACjE4ODg1MDAzMzMDAAAAAzE2MAIAAAACMjgEAAAAATAHAAAACTcvMzEvMjAxOAgAAAAJMy8zMS8yMDE3CQAAAAEw1owROAgJ1gjDhp9vNAnWCCtDSVEuTkFTREFRR1M6QVROWC5JUV9MQVNUU0FMRVBSSUNFLjUvNS8yMDE3AQAAANyZawEDAAAAAADWjBE4CAnWCCTCmm80CdYIN0NJUS5YVFJBOk1PUi5JUV9UT1RBTF9FUVVJVFkuMTk5Mi43LzMxLzIwMTguTEZSLkYuVVNELkgBAAAA3xECAAIAAAAKNDAyLjM1MDEyNAEIAAAABQAAAAExAQAAAAoxODM5OTQw</t>
  </si>
  <si>
    <t>NjkwAwAAAAMxNjACAAAABDEyNzUEAAAAATAHAAAACTcvMzEvMjAxOAgAAAAJMy8zMS8yMDE2CQAAAAEwnAvVOAgJ1gjUX5hvNAnWCDxDSVEuTkFTREFRR1M6Q1RNWC5JUV9FQklUREFfRVNULkNZMjAxOC43LzE2LzIwMTguQ09OLkYuVVNELkgBAAAA3DibAwIAAAAILTcwLjIxNDMBDgAAAAUAAAACMTEBAAAAATACAAAACjEwMDMyMTU5NjgDAAAABjEwMDE4NwQAAAABMgYAAAABMAcAAAADMTYwCAAAAAEwCQAAAAExCgAAAAEwCwAAAAsxMDg3NDU0MDI5NwwAAAABNw0AAAAJNy8xNy8yMDE4EAAAAAk3LzE2LzIwMTjE/xsRNQnWCMKbYhI1CdYIPENJUS5OQVNEQVFHUzpGUFJYLklRX0VCSVREQV9FU1QuQ1kyMDE4LjcvMTYvMjAxOC5DT04uRi5VU0QuSAEAAAA3XTMAAgAAAAgtMTIwLjg4NgEOAAAABQAAAAIxMQEAAAABMAIAAAAKMTAwMTk1NjM0NAMAAAAGMTAwMTg3BAAAAAEyBgAAAAEwBwAAAAMxNjAIAAAAATAJAAAAATEKAAAAATALAAAACzEwOTI3OTgwNjkxDAAAAAE3DQAAAAk3LzE3LzIwMTgQAAAACTcvMTYvMjAxOCkclBA1CdYIczlgEjUJ1gg6Q0lRLk5BU0RBUUdNOkZBVEUuSVFfRUFSTklOR19DTy4xOTk2LjcvMzEvMjAxOC5MRlIuRi5VU0QuSAEAAABoMVcCAgAAAActMzUuMjExAQgAAAAFAAAAATEBAAAACjE4ODg1MDAzMzMDAAAAAzE2MAIAAAABNwQAAAABMAcAAAAJNy8zMS8yMDE4CAAAAAkz</t>
  </si>
  <si>
    <t>LzMxLzIwMTcJAAAAATDWjBE4CAnWCMOGn280CdYIP0NJUS5OQVNEQVFHUzpDQUxBLklRX05FVF9XT1JLSU5HX0NBUC4xOTkyLjcvMzEvMjAxOC5MRlIuRi5VU0QuSAEAAAClJ4EGAgAAAAYtMS42ODQBCAAAAAUAAAABMQEAAAAKMTg0MDk4MjY0NgMAAAADMTYwAgAAAAQxMzExBAAAAAEwBwAAAAk3LzMxLzIwMTgIAAAACTMvMzEvMjAxNgkAAAABMMgwsjcICdYI3UukbzQJ1gg/Q0lRLk5BU0RBUUdTOkVQWk0uSVFfTkVUX1dPUktJTkdfQ0FQLjE5OTIuNy8zMS8yMDE4LkxGUi5GLlVTRC5IAQAAAAMmPQMCAAAABi03Ljc0OAEIAAAABQAAAAExAQAAAAoxODQwNjMwMzk0AwAAAAMxNjACAAAABDEzMTEEAAAAATAHAAAACTcvMzEvMjAxOAgAAAAJMy8zMS8yMDE2CQAAAAEw1owROAgJ1ghzJJ1vNAnWCC1DSVEuTkFTREFRQ006U1JORS5JUV9NQVJLRVRDQVAuNS81LzIwMTcuVVNELkgBAAAASUOUAwIAAAAKMTM1LjU1NjY4MQEGAAAABQAAAAExAQAAAAoxODMzNTY2NTk3AwAAAAMxNjACAAAABjEwMDA1NAQAAAABMAcAAAAINS81LzIwMTfWjBE4CAnWCHMknW80CdYIPUNJUS5OQVNEQVFDTTpNVEVNLklRX1JFVkVOVUVfRVNULkNZMjAyMS43LzMxLzIwMTguQ09OLkYuVVNELkgBAAAAmZupAQMAAAAAAMgwsjcICdYIGemhbzQJ1ggrQ0lRLklRVFI1NTAyNTkzOTcuSVFfVFJfVE9UQUxfR1JPU1NfVFYuLlVTRAEA</t>
  </si>
  <si>
    <t>AADFSswgAgAAAAs5MzA1LjMzOTYzNgEGAAAABQAAAAI1NAEAAAAGMTAyMDg4AgAAAAk1NTAyNTkzOTcDAAAACTU1MDI2NDU2NAQAAAADMTYwBgAAAAVGYWxzZQxtEA41CdYId3mADjUJ1gg9Q0lRLk5BU0RBUUdTOkNUTVguSVFfUkVWRU5VRV9FU1QuQ1kyMDIwLjcvMTYvMjAxOC5DT04uRi5VU0QuSAEAAADcOJsDAgAAAAY4Mi4xMjMBDgAAAAUAAAACMTEBAAAAATACAAAACjEwMDMyMTU5NzgDAAAABjEwMDE4MAQAAAABMgYAAAABMAcAAAADMTYwCAAAAAEwCQAAAAExCgAAAAEwCwAAAAsxMDk1MTIzMTMwNQwAAAABNw0AAAAJNy8xNy8yMDE4EAAAAAk3LzE2LzIwMTjE/xsRNQnWCMKbYhI1CdYIK0NJUS5JUVRSMjczNTA3MTg1LklRX1RSX1RPVEFMX0dST1NTX1RWLi5VU0QBAAAAcWNNEAIAAAAKMzg2LjEwMzg3MQEGAAAABQAAAAI1NAEAAAAGMTAyMDg4AgAAAAkyNzM1MDcxODUDAAAACTI3MzUwNzc4NwQAAAADMTYwBgAAAAVGYWxzZbKzSW80CdYIgf2VbzQJ1gg8Q0lRLk5BU0RBUUdTOkNBTEEuSVFfRUJJVERBX0VTVC5DWTIwMTkuNy8zMS8yMDE4LkNPTi5GLlVTRC5IAQAAAKUngQYDAAAAAADIMLI3CAnWCN1LpG80CdYIQ0NJUS5OQVNEQVFHUzpCR05FLklRX01JTk9SSVRZX0lOVEVSRVNUX1RPVEFMLi45LzE1LzIwMTcuTEZSLkYuVVNELkgBAAAA4OTdBgIAAAAGMTQuNDE5AQgAAAAFAAAAATEBAAAA</t>
  </si>
  <si>
    <t>CjE4NTI3MDA1NjQDAAAAAzE2MAIAAAAEMTMxMgQAAAABMAcAAAAJOS8xNS8yMDE3CAAAAAk2LzMwLzIwMTcJAAAAATDE/xsRNQnWCGhgZxI1CdYINUNJUS5OQVNEQVFDTTpDS1BULklRX05JX01BUkdJTi4uNy8xNi8yMDE4LkxGUi5GLlVTRC5IAQAAALhRFhEDAAAAAk5NAQgAAAAFAAAAATEBAAAACjE4ODgwMDcyMjMDAAAAAzE2MAIAAAAENDA5NAQAAAABMAcAAAAJNy8xNi8yMDE4CAAAAAkzLzMxLzIwMTgJAAAAATApHJQQNQnWCOR0WxI1CdYIQkNJUS5OQVNEQVFHUzpBRFhTLklRX1RPVEFMX1JFVl81WVJfQU5OX0NBR1IuLjcvMTYvMjAxOC5MRlIuRi5VU0QuSAEAAACe7HgAAwAAAAAAKRyUEDUJ1gjkdFsSNQnWCCtDSVEuSVFUUjU1MTE2NjI5Mi5JUV9UUl9JTVBMSUVEX0VWX0VCSVRfRldEAQAAAFQh2iADAAAAAk5NAAxtEA41CdYIwNuCDjUJ1gg3Q0lRLk5BU0RBUUdTOkNBTEEuSVFfUFJFRl9FUVVJVFkuLjcvMTYvMjAxOC5MRlIuRi5VU0QuSAEAAAClJ4EGAwAAAAAAKRyUEDUJ1gjkdFsSNQnWCChDSVEuTkFTREFRR1M6QkdORS5JUV9URVYuNy8xNi8yMDE4LlVTRC5IAQAAAODk3QYCAAAACzc0ODQuMDAxOTc1AQYAAAAFAAAAATEBAAAACjE4ODc2ODg1MDADAAAAAzE2MAIAAAAGMTAwMDYwBAAAAAEwBwAAAAk3LzE2LzIwMThGnRkRNQnWCGhgZxI1CdYIQ0NJUS5OQVNEQVFHTTpJTU1VLklRX01J</t>
  </si>
  <si>
    <t>Tk9SSVRZX0lOVEVSRVNUX1RPVEFMLi45LzE1LzIwMTcuTEZSLkYuVVNELkgBAAAAIEMEAAIAAAAJLTAuNzcxMDgxAQgAAAAFAAAAATEBAAAACjE4NTQzODIzMTQDAAAAAzE2MAIAAAAEMTMxMgQAAAABMAcAAAAJOS8xNS8yMDE3CAAAAAk2LzMwLzIwMTcJAAAAATDE/xsRNQnWCBL+ZBI1CdYIPENJUS5OQVNEQVFHTTpGQVRFLklRX1RPVEFMX0VRVUlUWS4xOTkyLjcvMzEvMjAxOC5MRlIuRi5VU0QuSAEAAABoMVcCAgAAAAYzMC43MjcBCAAAAAUAAAABMQEAAAAKMTg0MzU0NDMyMQMAAAADMTYwAgAAAAQxMjc1BAAAAAEwBwAAAAk3LzMxLzIwMTgIAAAACTMvMzEvMjAxNgkAAAABMNaMETgICdYIw4afbzQJ1gg9Q0lRLk5BU0RBUUdNOkFSUlkuSVFfUkVWRU5VRV9FU1QuQ1kyMDIwLjcvMzEvMjAxOC5DT04uRi5VU0QuSAEAAAD4YQAAAgAAAAg0ODUuMzI5NQEOAAAABQAAAAIxMQEAAAABMAIAAAAJMzYyNjY2MzYxAwAAAAYxMDAxODAEAAAAATIGAAAAATAHAAAAAzE2MAgAAAABMAkAAAABMQoAAAABMAsAAAALMTA5ODQwOTMyMzUMAAAAATcNAAAACDgvMS8yMDE4EAAAAAk3LzMxLzIwMTicC9U4CAnWCNRfmG80CdYIIkNJUS5JUVRSMjczNTA3MTg1LklRX1RSX1RBUkdFVE5BTUUBAAAAcWNNEAMAAAAdQW1iaXQgQmlvc2NpZW5jZXMgQ29ycG9yYXRpb24AsrNJbzQJ1giB/ZVvNAnWCClDSVEuSVFUUjMwMjg2</t>
  </si>
  <si>
    <t>NjYyNy5JUV9CVVNJTkVTU19ERVNDUklQVElPTgEAAADvtoAIAwAAAL4FWC1CT0RZLCBJbmMuIGRldmVsb3BzIG1vbm9jbG9uYWwgYW50aWJvZHkgdGhlcmFwZXV0aWNzLiBUaGUgY29tcGFueSBkaXNjb3ZlcnMgYW5kIGRldmVsb3BzIGNvbXBvdW5kcyBhZ2FpbnN0IGJpb2xvZ2ljYWxseSByZWxldmFudCB0YXJnZXRzIGluIG9uY29sb2d5IGFuZCBvcGh0aGFsbW9sb2d5LiBJdCBhbHNvIGRldmVsb3BzIHNjcmVlbmluZyBzeXN0ZW0gdGhhdCBpcyBhcHBsaWNhYmxlIGZvciB2YXJpb3VzIHByb2Nlc3Nlcywgc3VjaCBhcyBnZW5lcmF0aW9uIG9mIHNvbHVibGUgVkggZG9tYWlucywgRmFicywgSWdHcywgYW5kIGJpc3BlY2lmaWNzOyBzZWxlY3Rpb24gYWdhaW5zdCBjZWxsIHN1cmZhY2UgdGFyZ2V0cyBvbiBsaXZlIGNlbGxzLCBpbmNsdWRpbmcgc2VsZWN0aW9ucyBmb3IgZnVuY3Rpb247IGFmZmluaXR5IG1hdHVyYXRpb247IGlkZW50aWZpY2F0aW9uIG9mIHN0YWJsZSBWSC1WTCBwYWlyczsgYW5kIGVwaXRvcGUgZGlzY292ZXJ5IGJ5IGRpZmZlcmVudGlhbCBzY3JlZW5pbmcgb2YgbGl2ZSBjZWxscyBhbmQgb3RoZXIgc2FtcGxlcy4gWC1CT0RZLCBJbmMuIHdhcyBmb3VuZGVkIGluIDIwMDggYW5kIGlzIGJhc2VkIGluIFdhbHRoYW0sIE1hc3NhY2h1c2V0dHMuIEFzIG9mIEp1bmUgMSwgMjAxNSwg</t>
  </si>
  <si>
    <t>WC1CT0RZLCBJbmMuIG9wZXJhdGVzIGFzIGEgc3Vic2lkaWFyeSBvZiBKdW5vIFRoZXJhcGV1dGljcyBJbmMuAAxtEA41CdYIDD6FDjUJ1ghBQ0lRLihJTlZBTElEIElERU5USUZJRVIpLklRX0VBUk5JTkdfQ08uMTk5Mi43LzMxLzIwMTguTEZSLkYuVVNELkgFAAAAAAAAAAgAAAAUKEludmFsaWQgSWRlbnRpZmllcinIMLI3CAnWCO02sG80CdYIO0NJUS5OQVNEQVFHUzpDQUxBLklRX05FVF9XT1JLSU5HX0NBUC4uNy8xNi8yMDE4LkxGUi5GLlVTRC5IAQAAAKUngQYCAAAABy0yNC43NDIBCAAAAAUAAAABMQEAAAAKMTg4Nzk4MDMwNQMAAAADMTYwAgAAAAQxMzExBAAAAAEwBwAAAAk3LzE2LzIwMTgIAAAACTMvMzEvMjAxOAkAAAABMCkclBA1CdYI5HRbEjUJ1gg4Q0lRLk5BU0RBUUNNOkFWRU8uSVFfRUJJVERBLkNZMjAxNi43LzE2LzIwMTguTEZSLkYuVVNELkgBAAAA9BYdAAIAAAAHLTI5LjM2MwEIAAAABQAAAAExAQAAAAoxODc4MDgyNjUwAwAAAAMxNjACAAAABDQwNTEEAAAAATAHAAAACTcvMTYvMjAxOAgAAAAKMTIvMzEvMjAxNgkAAAABMMT/GxE1CdYIwptiEjUJ1ggVQ0lRLi5JUV9UUl9UQVJHRVROQU1FBQAAAAAAAAAIAAAAFChJbnZhbGlkIElkZW50aWZpZXIpnAvVOAgJ1gh3eYAONQnWCCJDSVEuSVFUUjU2MzkxOTA0OS5JUV9UUl9UT1RBTF9DQVNIAQAAAMm4nCECAAAACjE1MjAuMjU1NDUB</t>
  </si>
  <si>
    <t>BgAAAAUAAAACNTQBAAAABjEwMTA1NgIAAAAJNTYzOTE5MDQ5AwAAAAk1NjM5NDAwNDIEAAAAAzE2MAYAAAAFRmFsc2UMbRAONQnWCMDbgg41CdYIIkNJUS5PVENQSzpNQlZYLklRX0ZJUlNUUFJJQ0lOR0RBVEUBAAAA2ESLAgUAAAAINy85LzIwMTQA3qd+EDUJ1giYElkSNQnWCDhDSVEuTkFTREFRR1M6RlBSWC5JUV9HUk9TU19NQVJHSU4uLjcvMTYvMjAxOC5MRlIuRi5VU0QuSAEAAAA3XTMAAgAAAAktMTU5Ljc4NDMBCAAAAAUAAAABMQEAAAAKMTg4NzQwMjIyNwMAAAADMTYwAgAAAAQ0MDc0BAAAAAEwBwAAAAk3LzE2LzIwMTgIAAAACTMvMzEvMjAxOAkAAAABMCkclBA1CdYIczlgEjUJ1ggtQ0lRLk5BU0RBUUdTOkZQUlguSVFfRElWSURFTkRfWUlFTEQuNy8zMS8yMDE4AQAAADddMwADAAAAAADWjBE4CAnWCBnpoW80CdYINUNJUS5OQVNEQVFDTTpNVEVNLklRX0NBUEVYLjIwMDAuNy8zMS8yMDE4LkxGUi5GLlVTRC5IAQAAAJmbqQECAAAABi0yLjgxMgEIAAAABQAAAAExAQAAAAoxODg4NzMzMDA0AwAAAAMxNjACAAAABDIwMjEEAAAAATAHAAAACTcvMzEvMjAxOAgAAAAJMy8zMS8yMDE4CQAAAAEwyDCyNwgJ1ggZ6aFvNAnWCENDSVEuTkFTREFRR1M6R1RIWC5JUV9FQklUREFfM1lSX0FOTl9DQUdSLjIwMDAuNy8zMS8yMDE4LkxGUi5GLlVTRC5IAQAAAGU0aQgDAAAAAADWjBE4CAnWCCTCmm80CdYI</t>
  </si>
  <si>
    <t>PUNJUS5OQVNEQVFHTTpYTkNSLklRX1JFVkVOVUVfRVNULkNZMjAyMC43LzE2LzIwMTguQ09OLkYuVVNELkgBAAAAploLAAIAAAAHNjUuODQwNgEOAAAABQAAAAIxMQEAAAABMAIAAAAKMTAwMjAyNTI1NwMAAAAGMTAwMTgwBAAAAAEyBgAAAAEwBwAAAAMxNjAIAAAAATAJAAAAATEKAAAAATALAAAACzEwOTE1ODMyNTM3DAAAAAE3DQAAAAk3LzE3LzIwMTgQAAAACTcvMTYvMjAxOMT/GxE1CdYIEv5kEjUJ1gg5Q0lRLk5BU0RBUUdNOkNSSVMuSVFfVE9UQUxfUkVWLjE5OTIuNy8zMS8yMDE4LkxGUi5GLlVTRC5IAQAAABdqAAACAAAACDcuOTQ1NjY4AQgAAAAFAAAAATEBAAAACjE4NDA1MDEwOTkDAAAAAzE2MAIAAAACMjgEAAAAATAHAAAACTcvMzEvMjAxOAgAAAAJMy8zMS8yMDE2CQAAAAEwyDCyNwgJ1gjdS6RvNAnWCEJDSVEuTkFTREFRR1M6UEJZSS5JUV9UT1RBTF9SRVZfM1lSX0FOTl9DQUdSLi43LzE2LzIwMTguTEZSLkYuVVNELkgBAAAAAmqsBwMAAAAAAMT/GxE1CdYIEv5kEjUJ1gg8Q0lRLihJTlZBTElEIElERU5USUZJRVIpLklRX0RBX0NGLjIwMDAuNy8zMS8yMDE4LkxGUi5GLlVTRC5IBQAAAAAAAAAIAAAAFChJbnZhbGlkIElkZW50aWZpZXIpyDCyNwgJ1gg8mbJvNAnWCDlDSVEuTkFTREFRR1M6U0dFTi5JUV9FQklUREFfTUFSR0lOLi43LzE2LzIwMTguTEZSLkYuVVNELkgBAAAAYYUAAAIA</t>
  </si>
  <si>
    <t>AAAILTM4LjAyMDkBCAAAAAUAAAABMQEAAAAKMTg4NDg5Mjg1MgMAAAADMTYwAgAAAAQ0MDQ3BAAAAAEwBwAAAAk3LzE2LzIwMTgIAAAACTMvMzEvMjAxOAkAAAABMMT/GxE1CdYIaGBnEjUJ1ggwQ0lRLk5BU0RBUUdNOlhOQ1IuSVFfTEFTVFNBTEVQUklDRS43LzE2LzIwMTguVVNEAQAAAKZaCwACAAAABTQwLjUxAEadGRE1CdYIEv5kEjUJ1gguQ0lRLk5BU0RBUUdTOkFEWFMuSVFfTUFSS0VUQ0FQLjkvMTUvMjAxNy5VU0QuSAEAAACe7HgAAgAAAAoxOTcuNTI2NjY2AQYAAAAFAAAAATEBAAAACjE4NTg4Njk1ODkDAAAAAzE2MAIAAAAGMTAwMDU0BAAAAAEwBwAAAAk5LzE1LzIwMTcpHJQQNQnWCOR0WxI1CdYINkNJUS5OQVNEQVFHUzpDQUxBLklRX1RPVEFMX0RFQlQuLjcvMTYvMjAxOC5MRlIuRi5VU0QuSAEAAAClJ4EGAgAAAAEwAQgAAAAFAAAAATEBAAAACjE4ODc5ODAzMDUDAAAAAzE2MAIAAAAENDE3MwQAAAABMAcAAAAJNy8xNi8yMDE4CAAAAAkzLzMxLzIwMTgJAAAAATApHJQQNQnWCOR0WxI1CdYIPENJUS5OQVNEQVFHUzpLVVJBLklRX1RPVEFMX0VRVUlUWS4xOTkyLjcvMzEvMjAxOC5MRlIuRi5VU0QuSAEAAAC4y9oQAgAAAAY3Ni4wNjYBCAAAAAUAAAABMQEAAAAKMTg0MjI4MDcxNwMAAAADMTYwAgAAAAQxMjc1BAAAAAEwBwAAAAk3LzMxLzIwMTgIAAAACTMvMzEvMjAxNgkAAAABMNaMETgI</t>
  </si>
  <si>
    <t>CdYIcySdbzQJ1ghCQ0lRLk5BU0RBUUdNOk5MTksuSVFfVE9UQUxfUkVWXzJZUl9BTk5fQ0FHUi4uNy8xNi8yMDE4LkxGUi5GLlVTRC5IAQAAAJV7jAACAAAABjEuMTg2OAEIAAAABQAAAAExAQAAAAoxODg4MzU0MjA3AwAAAAMxNjACAAAABDQyMDcEAAAAATAHAAAACTcvMTYvMjAxOAgAAAAJMy8zMS8yMDE4CQAAAAEwKRyUEDUJ1gjkdFsSNQnWCCRDSVEuTkFTREFRR1M6Q0FMQS5JUV9FRkZFQ1RfVEFYX1JBVEUBAAAApSeBBgMAAAAAAMgwsjcICdYIHxWdDjUJ1gg8Q0lRLk5BU0RBUUdTOkFOQUIuSVFfRUJJVERBX0VTVC5DWTIwMTkuNy8xNi8yMDE4LkNPTi5GLlVTRC5IAQAAACFMsgEDAAAAAADE/xsRNQnWCMKbYhI1CdYIOUNJUS5OQVNEQVFHTTpBUlFMLklRX05JX01BUkdJTi4yMDAwLjcvMzEvMjAxOC5MRlIuRi5VU0QuSAEAAAD2YQAAAwAAAAJOTQEIAAAABQAAAAExAQAAAAoxODg4Nzg4NzcwAwAAAAMxNjACAAAABDQwOTQEAAAAATAHAAAACTcvMzEvMjAxOAgAAAAJMy8zMS8yMDE4CQAAAAEw1owROAgJ1ghzJJ1vNAnWCDxDSVEuTkFTREFRR1M6Q0FMQS5JUV9HUk9TU19NQVJHSU4uMjAwMC43LzMxLzIwMTguTEZSLkYuVVNELkgBAAAApSeBBgIAAAAHLTkyLjgwMgEIAAAABQAAAAExAQAAAAoxODg3OTgwMzA1AwAAAAMxNjACAAAABDQwNzQEAAAAATAHAAAACTcvMzEvMjAxOAgAAAAJMy8zMS8y</t>
  </si>
  <si>
    <t>MDE4CQAAAAEwyDCyNwgJ1gjdS6RvNAnWCC1DSVEuT1RDUEs6TldCTy5JUV9MQVNUU0FMRVBSSUNFLjcvMTYvMjAxOC5VU0QBAAAAo3oUAAIAAAAGMC4yMTk5ACkclBA1CdYIczlgEjUJ1gg5Q0lRLk5BU0RBUUdNOkFSUUwuSVFfVE9UQUxfUkVWLjE5OTYuNy8zMS8yMDE4LkxGUi5GLlVTRC5IAQAAAPZhAAACAAAABTMuNDgyAQgAAAAFAAAAATEBAAAACjE4ODg3ODg3MzcDAAAAAzE2MAIAAAACMjgEAAAAATAHAAAACTcvMzEvMjAxOAgAAAAJMy8zMS8yMDE3CQAAAAEw1owROAgJ1ghzJJ1vNAnWCCJDSVEuSVFUUjQwMzc5MTc2Ny5JUV9UUl9QQ1RfU09VR0hUAQAAAJdfERgCAAAAAzEwMAEGAAAABQAAAAI1NAEAAAAGMTAxMDI0AgAAAAk0MDM3OTE3NjcDAAAACTQwMzc5MjEwOQQAAAADMTYwBgAAAARUcnVlWM8SDjUJ1gjA24IONQnWCCBDSVEuSVFUUjM3MTcxNTExOS5JUV9UUl9FQVJOT1VUUwEAAAAv7CcWAgAAAAAAWM8SDjUJ1gjA24IONQnWCC5DSVEuSVFUUjQwODQwNzgyMi5JUV9UUl9UQVJHRVRfU1RPQ0tQUkVNSVVNXzFXAQAAAA7PVxgCAAAAAACys0lvNAnWCIH9lW80CdYILUNJUS5OQVNEQVFHUzpDVE1YLklRX0RJVklERU5EX1lJRUxELjcvMTYvMjAxOAEAAADcOJsDAwAAAAAARp0ZETUJ1gjCm2ISNQnWCC1DSVEuTkFTREFRQ006WklPUC5JUV9NQVJLRVRDQVAuNS81LzIwMTcuVVNELkgBAAAA</t>
  </si>
  <si>
    <t>s1GyAAIAAAAKOTMwLjYzNTA0MwEGAAAABQAAAAExAQAAAAoxODM5MzM4MTAwAwAAAAMxNjACAAAABjEwMDA1NAQAAAABMAcAAAAINS81LzIwMTfWjBE4CAnWCMOGn280CdYIOkNJUS5OQVNEQVFHUzpNUlNOLklRX0NBU0hfU1RfSU5WRVNULi43LzE2LzIwMTguTEZSLkYuVVNELkgBAAAA5sUYAAIAAAAHMTA3Ljk1OQEIAAAABQAAAAExAQAAAAoxODg5MDk2NjUzAwAAAAMxNjACAAAABDEwMDIEAAAAATAHAAAACTcvMTYvMjAxOAgAAAAJMy8zMS8yMDE4CQAAAAEwxP8bETUJ1ghzOWASNQnWCC5DSVEuTkFTREFRR1M6TUdOWC5JUV9NQVJLRVRDQVAuNy8xNi8yMDE4LlVTRC5IAQAAAE8rCQACAAAACjkxMS41NjQ4ODUBBgAAAAUAAAABMQEAAAAKMTg4NzExNDY3OQMAAAADMTYwAgAAAAYxMDAwNTQEAAAAATAHAAAACTcvMTYvMjAxOEadGRE1CdYIwptiEjUJ1gglQ0lRLklRVFI0MzE4NDE1ODEuSVFfVFJfSU1QTElFRF9FUV9CVgEAAAAtYb0ZAgAAAAAADG0QDjUJ1ggMPoUONQnWCC9DSVEuSVFUUjU1MzU0ODAyNS5JUV9UUl9JTVBMSUVEX0VWX0ZJTkFMLi5VU0QuSAEAAAD5eP4gAgAAAAozNTQuMjkwMTMxAQYAAAAFAAAAAjU0AQAAAAYxMDIwNDUCAAAACTU1MzU0ODAyNQMAAAAJNTUzNTY0OTcxBAAAAAMxNjAGAAAABUZhbHNlsrNJbzQJ1giB/ZVvNAnWCB5DSVEuLklRX0xBU1RTQUxFUFJJQ0UuNS81LzIw</t>
  </si>
  <si>
    <t>MTcFAAAAAQAAAAgAAAAUKEludmFsaWQgSWRlbnRpZmllcin1hDJHNAnWCPWEMkc0CdYIJENJUS5OQVNEQVFDTTpaSU9QLklRX0VGRkVDVF9UQVhfUkFURQEAAACzUbIAAwAAAAAA1owROAgJ1gjDhp9vNAnWCDVDSVEuTkFTREFRR1M6TVJTTi5JUV9DQVBFWC4yMDAwLjcvMzEvMjAxOC5MRlIuRi5VU0QuSAEAAADmxRgAAgAAAAYtMC45MzkBCAAAAAUAAAABMQEAAAAKMTg4OTA5NjY1MwMAAAADMTYwAgAAAAQyMDIxBAAAAAEwBwAAAAk3LzMxLzIwMTgIAAAACTMvMzEvMjAxOAkAAAABMNaMETgICdYIw4afbzQJ1ggeQ0lRLklRMzYxODM4MjUuSVFfQ09NUEFOWV9OQU1FAQAAABEfKAIDAAAAMVVuaXRlZCBTdGF0ZXMgVHJlYXN1cnkgQ29uc3RhbnQgTWF0dXJpdHkgLSAyIFllYXIADG0QDjUJ1gh3eYAONQnWCD1DSVEuTkFTREFRR006RkFURS5JUV9SRVZFTlVFX0VTVC5DWTIwMjEuNy8zMS8yMDE4LkNPTi5GLlVTRC5IAQAAAGgxVwICAAAACDE0Ny43OTg1AQ4AAAAFAAAAAjExAQAAAAEwAgAAAAoxMDAxOTY3NDUzAwAAAAYxMDAxODAEAAAAATIGAAAAATAHAAAAAzE2MAgAAAABMAkAAAABMQoAAAABMAsAAAALMTA5ODU3MTU2MTAMAAAAATcNAAAACDgvMS8yMDE4EAAAAAk3LzMxLzIwMTjWjBE4CAnWCMOGn280CdYIOENJUS5OQVNEQVFHUzpQQllJLklRX0dST1NTX01BUkdJTi4uNy8xNi8yMDE4LkxGUi5G</t>
  </si>
  <si>
    <t>LlVTRC5IAQAAAAJqrAcCAAAABjg3LjMwOQEIAAAABQAAAAExAQAAAAoxODg4NjY3NzQzAwAAAAMxNjACAAAABDQwNzQEAAAAATAHAAAACTcvMTYvMjAxOAgAAAAJMy8zMS8yMDE4CQAAAAEwxP8bETUJ1ggS/mQSNQnWCD1DSVEuTkFTREFRR1M6QVROWC5JUV9SRVZFTlVFX0VTVC5DWTIwMjAuNy8zMS8yMDE4LkNPTi5GLlVTRC5IAQAAANyZawECAAAACTIxNC43Mzg5OAEOAAAABQAAAAIxMQEAAAABMAIAAAAKMTAwMzc3ODM3NAMAAAAGMTAwMTgwBAAAAAEyBgAAAAEwBwAAAAMxNjAIAAAAATAJAAAAATEKAAAAATALAAAACzEwOTk1NDIzNDcxDAAAAAE3DQAAAAg4LzEvMjAxOBAAAAAJNy8zMS8yMDE41owROAgJ1ggkwppvNAnWCD1DSVEuTkFTREFRR1M6RVBaTS5JUV9SRVZFTlVFX0VTVC5DWTIwMTguNy8zMS8yMDE4LkNPTi5GLlVTRC5IAQAAAAMmPQMCAAAABjEuODEyNQEOAAAABQAAAAIxMQEAAAABMAIAAAAKMTAwMTg2NDI1OAMAAAAGMTAwMTgwBAAAAAEyBgAAAAEwBwAAAAMxNjAIAAAAATAJAAAAATEKAAAAATALAAAACzEwOTIxMjQzOTg5DAAAAAE3DQAAAAg4LzEvMjAxOBAAAAAJNy8zMS8yMDE41owROAgJ1ghzJJ1vNAnWCClDSVEuSVFUUjU1MzU0ODAyNS5JUV9CVVNJTkVTU19ERVNDUklQVElPTgEAAAA9LS4AAwAAANAHVmlyYWx5dGljcyBMaW1pdGVkLCBhIGJpb3RlY2hub2xvZ3kgY29tcGFu</t>
  </si>
  <si>
    <t>eSwgZm9jdXNlcyBvbiB0aGUgZGV2ZWxvcG1lbnQgYW5kIGNvbW1lcmNpYWxpemF0aW9uIG9mIG9uY29seXRpYyBpbW11bm90aGVyYXBpZXMgaW4gQXVzdHJhbGlhIGFuZCBpbnRlcm5hdGlvbmFsbHkuIFRoZSBjb21wYW554oCZcyBsZWFkIGludmVzdGlnYXRpb25hbCBwcm9kdWN0IGlzIENBVkFUQUssIGEgcHJvcHJpZXRhcnkgZm9ybXVsYXRpb24gb2YgYW4gb25jb2x5dGljIGNvbW1vbiBjb2xkIHZpcnVzIHRoYXQgaXMgaW4gUGhhc2UgSWIgY2xpbmljYWwgdHJpYWxzIGZvciB0aGUgdHJlYXRtZW50IG9mIG1lbGFub21hLCBhbmQgbHVuZyBhbmQgYmxhZGRlciBjYW5jZXI7IFBoYXNlIElJIGNsaW5pY2FsIHRyaWFscyBmb3IgdGhlIHRyZWF0bWVudCBvZiBsYXRlIHN0YWdlIG1lbGFub21hOyBhbmQgaW4gcHJlLWNsaW5pY2FsIHN0dWRpZXMgZm9yIHRoZSB0cmVhdG1lbnQgb2YgcHJvc3RhdGUgYW5kIGJyZWFzdCBjYW5jZXIsIG11bHRpcGxlIG15ZWxvbWEsIHBhbmNyZWF0aWMgY2FuY2VyLCBtYWxpZ25hbnQgZ2xpb21hLCBhY3V0ZSBteWVsb2lkIGxldWtlbWlhLCBhbmQgY2hyb25pYyBseW1waG9jeXRpYyBsZXVrZW1pYS4gSXQgaXMgYWxzbyBkZXZlbG9waW5nIEVWQVRBSyB0byB0cmVhdCBvdmFyaWFuLCBwcm9zdGF0ZSwgYW5kIGdhc3RyaWMgY2FuY2VyLiBUaGUgY29tcGFueSB3YXMgZm9y</t>
  </si>
  <si>
    <t>bWVybHkga25vd24gYXMgUHNpcm9uIEx0ZC4gYW5kIGNoYW5nZWQgaXRzIG5hbWUgdG8gVmlyYWx5dGljcyBMaW1pdGVkIGluIERlY2VtYmVyIDIwMDYuIFZpcmFseXRpY3MgTGltaXRlZCBpcyBoZWFkcXVhcnRlcmVkIGluIFN5ZG5leSwgQXVzdHJhbGlhLiBBcyBvZiBKdW5lIDIwLCAyMDE4LCBWaXJhbHl0aWNzIExpbWl0ZWQgb3BlcmF0ZXMgYXMgYSBzdWJzaWRpYXJ5IG9mIE1lcmNrIFNoYXJwICYgRG9obWUgKEhvbGRpbmdzKSBQdHkgTHRkLgCys0lvNAnWCIH9lW80CdYIOUNJUS5OQVNEQVFDTTpNVEVNLklRX1RPVEFMX1JFVi4xOTk2LjcvMzEvMjAxOC5MRlIuRi5VU0QuSAEAAACZm6kBAgAAAAgzLjIxMDAyMgEIAAAABQAAAAExAQAAAAoxODg4NzMzMDAyAwAAAAMxNjACAAAAAjI4BAAAAAEwBwAAAAk3LzMxLzIwMTgIAAAACTMvMzEvMjAxNwkAAAABMMgwsjcICdYIGemhbzQJ1ggoQ0lRLk5BU0RBUUdNOkFGTUQuSVFfVEVWLjcvMTYvMjAxOC5VU0QuSAEAAADb9wwAAgAAAAk0OS4wOTM5MTkBBgAAAAUAAAABMQEAAAAKMTg4OTg2NTU5NQMAAAADMTYwAgAAAAYxMDAwNjAEAAAAATAHAAAACTcvMTYvMjAxOCkclBA1CdYIMNddEjUJ1ghCQ0lRLk5BU0RBUUdTOkZQUlguSVFfVE9UQUxfUkVWXzVZUl9BTk5fQ0FHUi4uNy8xNi8yMDE4LkxGUi5GLlVTRC5IAQAAADddMwACAAAABjQxLjYxOAEIAAAA</t>
  </si>
  <si>
    <t>BQAAAAExAQAAAAoxODg3NDAyMjI3AwAAAAMxNjACAAAABDQyMzMEAAAAATAHAAAACTcvMTYvMjAxOAgAAAAJMy8zMS8yMDE4CQAAAAEwKRyUEDUJ1ghzOWASNQnWCDlDSVEuRU5YVFBBOklQSC5JUV9FQklUREFfRVNULkNZMjAxOC43LzE2LzIwMTguQ09OLkYuVVNELkgBAAAAmYAGAAIAAAARLTI0LjYzODIxNTY3MzM3MTUBDgAAAAUAAAACMTEBAAAAATACAAAACjEwMDE2NDMzOTEDAAAABjEwMDE4NwQAAAABMwYAAAABMAcAAAADMTYwCAAAAAEwCQAAAAExCgAAAAEwCwAAAAsxMDk1Mzg0MjQ2MQwAAAABNw0AAAAJNy8xNy8yMDE4EAAAAAk3LzE2LzIwMTgpHJQQNQnWCHM5YBI1CdYIK0NJUS4oSU5WQUxJRCBJREVOVElGSUVSKS5JUV9FRkZFQ1RfVEFYX1JBVEUFAAAAAAAAAAgAAAAUKEludmFsaWQgSWRlbnRpZmllcinIMLI3CAnWCELFrQ41CdYIMUNJUS4uSVFfVE9UQUxfRVFVSVRZLkNZMjAxNy43LzMxLzIwMTguTEZSLkYuVVNELkgFAAAAAQAAAAgAAAAUKEludmFsaWQgSWRlbnRpZmllcin1hDJHNAnWCPWEMkc0CdYIMENJUS5OQVNEQVFDTTpBVkVPLklRX0xBU1RTQUxFUFJJQ0UuNy8xNi8yMDE4LlVTRAEAAAD0Fh0AAgAAAAQyLjg1AEadGRE1CdYIwptiEjUJ1gg9Q0lRLk5BU0RBUUdTOkJHTkUuSVFfRUJJVERBX01BUkdJTi4yMDAwLjcvMzEvMjAxOC5MRlIuRi5VU0QuSAEAAADg5N0GAgAAAAYt</t>
  </si>
  <si>
    <t>NTUuOTUBCAAAAAUAAAABMQEAAAAKMTg4NzY4ODU4OAMAAAADMTYwAgAAAAQ0MDQ3BAAAAAEwBwAAAAk3LzMxLzIwMTgIAAAACTMvMzEvMjAxOAkAAAABMJwL1TgICdYIgf2VbzQJ1gg/Q0lRLk5BU0RBUUdTOkpOQ0UuSVFfRUJJVERBXzJZUl9BTk5fQ0FHUi4uNy8xNi8yMDE4LkxGUi5GLlVTRC5IAQAAAOJ5ng0DAAAAAk5NAQgAAAAFAAAAATEBAAAACjE4ODgxODYzNzQDAAAAAzE2MAIAAAAENDIwOQQAAAABMAcAAAAJNy8xNi8yMDE4CAAAAAkzLzMxLzIwMTgJAAAAATDep34QNQnWCJgSWRI1CdYIJ0NJUS5OQVNEQVFHTTpBRk1ELklRX0JFVEFfNVlSLjcvMTYvMjAxOAEAAADb9wwAAgAAABAyLjMwODY5NTQ0MzI5NTA1ACkclBA1CdYIMNddEjUJ1gg8Q0lRLk5BU0RBUUdTOkFEWFMuSVFfRUFSTklOR19DTy5DWTIwMTYuNy8xNi8yMDE4LkxGUi5GLlVTRC5IAQAAAJ7seAACAAAACi03MC43OTIyOTgBCAAAAAUAAAABMQEAAAAKMTg3ODAxMjQyOQMAAAADMTYwAgAAAAE3BAAAAAEwBwAAAAk3LzE2LzIwMTgIAAAACTEvMzEvMjAxNwkAAAABMCkclBA1CdYI5HRbEjUJ1gguQ0lRLk5BU0RBUUdTOlRTUk8uSVFfTUFSS0VUQ0FQLjcvMTYvMjAxOC5VU0QuSAEAAABo1lgGAgAAAAoyMjIzLjA5NTQ4AQYAAAAFAAAAATEBAAAACjE4ODYzMzY1NzkDAAAAAzE2MAIAAAAGMTAwMDU0BAAAAAEwBwAAAAk3LzE2LzIw</t>
  </si>
  <si>
    <t>MThGnRkRNQnWCBL+ZBI1CdYIO0NJUS5OQVNEQVFHUzpDQUxBLklRX1RPVEFMX1JFVi5DWTIwMTYuNy8xNi8yMDE4LkxGUi5GLlVTRC5IAQAAAKUngQYDAAAAAAApHJQQNQnWCOR0WxI1CdYINUNJUS5OQVNEQVFDTTpaSU9QLklRX0NBUEVYLjE5OTYuNy8zMS8yMDE4LkxGUi5GLlVTRC5IAQAAALNRsgACAAAABi0wLjc1MgEIAAAABQAAAAExAQAAAAoxODg3OTcyMzQ4AwAAAAMxNjACAAAABDIwMjEEAAAAATAHAAAACTcvMzEvMjAxOAgAAAAJMy8zMS8yMDE3CQAAAAEw1owROAgJ1gjDhp9vNAnWCD9DSVEuTkFTREFRR006QUZNRC5JUV9FQklUREFfM1lSX0FOTl9DQUdSLi43LzE2LzIwMTguTEZSLkYuVVNELkgBAAAA2/cMAAMAAAACTk0BCAAAAAUAAAABMQEAAAAKMTg4OTg2NjA0OQMAAAACNTACAAAABDQyMjIEAAAAATAHAAAACTcvMTYvMjAxOAgAAAAJMy8zMS8yMDE4CQAAAAEwKRyUEDUJ1ggw110SNQnWCD9DSVEuTkFTREFRR006TFBUWC5JUV9FQklUREFfNVlSX0FOTl9DQUdSLi43LzE2LzIwMTguTEZSLkYuVVNELkgBAAAADDYJBwMAAAAAACkclBA1CdYIMNddEjUJ1ghAQ0lRLihJTlZBTElEIElERU5USUZJRVIpLklRX1RPVEFMX1JFVi4yMDAwLjcvMzEvMjAxOC5MRlIuRi5VU0QuSAUAAAAAAAAACAAAABQoSW52YWxpZCBJZGVudGlmaWVyKcgwsjcICdYI7TawbzQJ1gg0Q0lRLkVOWFRQQTpJUEgu</t>
  </si>
  <si>
    <t>SVFfUFJFRl9FUVVJVFkuLjcvMTYvMjAxOC5MRlIuRi5VU0QuSAEAAACZgAYAAwAAAAAAKRyUEDUJ1ghzOWASNQnWCC1DSVEuLklRX1RPVEFMX0RFQlQuMjAwMC43LzMxLzIwMTguTEZSLkYuVVNELkgFAAAAAQAAAAgAAAAUKEludmFsaWQgSWRlbnRpZmllcimWJDBHNAnWCJYkMEc0CdYILkNJUS5OQVNEQVFHUzpCR05FLklRX01BUktFVENBUC43LzE2LzIwMTguVVNELkgBAAAA4OTdBgIAAAALODc1OS45OTQ5NzYBBgAAAAUAAAABMQEAAAAKMTg4NzY4ODUwMAMAAAADMTYwAgAAAAYxMDAwNTQEAAAAATAHAAAACTcvMTYvMjAxOEadGRE1CdYIaGBnEjUJ1gg1Q0lRLk5BU0RBUUdNOklNTVUuSVFfQ0FQRVguMjAwMC43LzMxLzIwMTguTEZSLkYuVVNELkgBAAAAIEMEAAIAAAAJLTUuOTM3NjA3AQgAAAAFAAAAATEBAAAACjE4ODg1MjMzODQDAAAAAzE2MAIAAAAEMjAyMQQAAAABMAcAAAAJNy8zMS8yMDE4CAAAAAkzLzMxLzIwMTgJAAAAATCcC9U4CAnWCNRfmG80CdYIMENJUS5OQVNEQVFHUzpCR05FLklRX1RPVEFMX1JFVi4xOTkyLi5MRlIuRi5VU0QuSAEAAADg5N0GAgAAAAU3LjEyNwEIAAAABQAAAAExAQAAAAoxODUyNzAwNTIxAwAAAAMxNjACAAAAAjI4BAAAAAEwBwAAAAk4LzIzLzIwMTgIAAAACTYvMzAvMjAxNgkAAAABMJwL1TgICdYInAvVOAgJ1gg5Q0lRLk5BU0RBUUdTOktVUkEuSVFfVE9UQUxf</t>
  </si>
  <si>
    <t>REVCVC4yMDAwLjUvNS8yMDE3LkxGUi5GLlVTRC5IAQAAALjL2hACAAAABTcuMzI0AQgAAAAFAAAAATEBAAAACjE4MzE5MzE2MDgDAAAAAzE2MAIAAAAENDE3MwQAAAABMAcAAAAINS81LzIwMTcIAAAACjEyLzMxLzIwMTYJAAAAATDWjBE4CAnWCHMknW80CdYIMENJUS5JUVRSNDAzNzkxNzY3LklRX1RSX1RBUkdFVF9FQklUREFfRVNULi5VU0QuSAEAAACXXxEYAgAAAAAAWM8SDjUJ1gjA24IONQnWCDpDSVEuTkFTREFRR006Q1JJUy5JUV9QUkVGX0VRVUlUWS4yMDAwLjUvNS8yMDE3LkxGUi5GLlVTRC5IAQAAABdqAAADAAAAAADIMLI3CAnWCN1LpG80CdYIRUNJUS5OQVNEQVFHUzpOSy5JUV9NSU5PUklUWV9JTlRFUkVTVF9UT1RBTC4yMDAwLjcvMzEvMjAxOC5MRlIuRi5VU0QuSAEAAAANfaEPAwAAAAAA1owROAgJ1gjDhp9vNAnWCD1DSVEuTkFTREFRR006Q1JJUy5JUV9SRVZFTlVFX0VTVC5DWTIwMjEuNy8zMS8yMDE4LkNPTi5GLlVTRC5IAQAAABdqAAACAAAABzM1LjcwMjUBDgAAAAUAAAACMTEBAAAAATACAAAACjEwMDEzODc3NTgDAAAABjEwMDE4MAQAAAABMgYAAAABMAcAAAADMTYwCAAAAAEwCQAAAAExCgAAAAEwCwAAAAsxMDk1MTI0MjM0NAwAAAABNw0AAAAIOC8xLzIwMTgQAAAACTcvMzEvMjAxOMgwsjcICdYI3UukbzQJ1ggjQ0lRLklRVFIzMTIxMjI1MDQuSVFfVFJfQ0xPU0VEX0RBVEUB</t>
  </si>
  <si>
    <t>AAAAiJyaEgUAAAAKMTAvMzAvMjAxNQBYzxIONQnWCMDbgg41CdYIO0NJUS5OQVNEQVFHTTpYTkNSLklRX05FVF9XT1JLSU5HX0NBUC4uNy8xNi8yMDE4LkxGUi5GLlVTRC5IAQAAAKZaCwACAAAABy02NC45MjIBCAAAAAUAAAABMQEAAAAKMTg4NzEyNTg1NQMAAAADMTYwAgAAAAQxMzExBAAAAAEwBwAAAAk3LzE2LzIwMTgIAAAACTMvMzEvMjAxOAkAAAABMMT/GxE1CdYIEv5kEjUJ1ggdQ0lRLk5BU0RBUUdNOkFSUUwuSVFfRVhDSEFOR0UBAAAA9mEAAAMAAAAITmFzZGFxR00A1owROAgJ1ghzJJ1vNAnWCCtDSVEuSVFUUjQwMzc5MTc2Ny5JUV9UUl9UT1RBTF9HUk9TU19UVi4uVVNEAQAAAJdfERgCAAAACzMwODcuMDM5NTQ3AQYAAAAFAAAAAjU0AQAAAAYxMDIwODgCAAAACTQwMzc5MTc2NwMAAAAJNDAzNzkyMTA5BAAAAAMxNjAGAAAABUZhbHNlWM8SDjUJ1gjA24IONQnWCC9DSVEuSVFUUjQwODQwNzgyMi5JUV9UUl9UQVJHRVRfVE9UQUxfUkVWLi5VU0QuSAEAAAAOz1cYAgAAAAEwALKzSW80CdYIgf2VbzQJ1ggvQ0lRLihJTlZBTElEIElERU5USUZJRVIpLklRX0dQLi43LzE2LzIwMTguLi5VU0QFAAAAAAAAAAgAAAAUKEludmFsaWQgSWRlbnRpZmllcikMbRAONQnWCGhgZxI1CdYIR0NJUS5OQVNEQVFDTTpNVEVNLklRX01JTk9SSVRZX0lOVEVSRVNUX1RPVEFMLjIwMDAuNy8zMS8yMDE4LkxGUi5G</t>
  </si>
  <si>
    <t>LlVTRC5IAQAAAJmbqQEDAAAAAADIMLI3CAnWCBnpoW80CdYIFkNJUS4uSVFfR1AuMjAwMC4uLi5VU0QFAAAAAAAAAAgAAAAUKEludmFsaWQgSWRlbnRpZmllcimcC9U4CAnWCPsK2YE0CdYILkNJUS5OQVNEQVFHUzpBTkFCLklRX01BUktFVENBUC43LzE2LzIwMTguVVNELkgBAAAAIUyyAQIAAAAKMTY3My41MDQ3NwEGAAAABQAAAAExAQAAAAoxODg3NDAwMDIxAwAAAAMxNjACAAAABjEwMDA1NAQAAAABMAcAAAAJNy8xNi8yMDE4Rp0ZETUJ1ggS/mQSNQnWCC5DSVEuSVFUUjQwODI5MTM5NS5JUV9UUl9UQVJHRVRfU1RPQ0tQUkVNSVVNXzFXAQAAAEMIVhgCAAAAAABYzxIONQnWCMDbgg41CdYIPUNJUS5OQVNEQVFHTTpBUlJZLklRX0VCSVREQV9NQVJHSU4uMjAwMC43LzMxLzIwMTguTEZSLkYuVVNELkgBAAAA+GEAAAIAAAAJLTEyNi4wNDQ0AQgAAAAFAAAAATEBAAAACjE4ODg0NzA2NzYDAAAAAzE2MAIAAAAENDA0NwQAAAABMAcAAAAJNy8zMS8yMDE4CAAAAAkzLzMxLzIwMTgJAAAAATCcC9U4CAnWCNRfmG80CdYIRkNJUS5OQVNEQVFHUzpDQUxBLklRX1RPVEFMX1JFVl81WVJfQU5OX0NBR1IuMjAwMC43LzMxLzIwMTguTEZSLkYuVVNELkgBAAAApSeBBgMAAAAAAMgwsjcICdYI3UukbzQJ1ggpQ0lRLklRVFI0MDc3NjA2OTIuSVFfVFJfSU1QTElFRF9FUV9OSV9MVE0BAAAANO9NGAIAAAAAAFjPEg41</t>
  </si>
  <si>
    <t>CdYIDD6FDjUJ1gglQ0lRLk5BU0RBUUdTOkFOQUIuSVFfRklSU1RQUklDSU5HREFURQEAAAAhTLIBBQAAAAkxLzI2LzIwMTcARp0ZETUJ1ggS/mQSNQnWCDxDSVEuTkFTREFRR006RkFURS5JUV9FQVJOSU5HX0NPLkNZMjAxNy43LzMxLzIwMTguTEZSLkYuVVNELkgBAAAAaDFXAgIAAAAHLTQyLjk1MgEIAAAABQAAAAExAQAAAAoxODc3MDY5MDkwAwAAAAMxNjACAAAAATcEAAAAATAHAAAACTcvMzEvMjAxOAgAAAAKMTIvMzEvMjAxNwkAAAABMNaMETgICdYIw4afbzQJ1gg9Q0lRLk5BU0RBUUdTOkZQUlguSVFfUkVWRU5VRV9FU1QuQ1kyMDIxLjcvMzEvMjAxOC5DT04uRi5VU0QuSAEAAAA3XTMAAgAAAAgxMzUuOTY0OAEOAAAABQAAAAIxMQEAAAABMAIAAAAKMTAwMTk1NjM1OQMAAAAGMTAwMTgwBAAAAAEyBgAAAAEwBwAAAAMxNjAIAAAAATAJAAAAATEKAAAAATALAAAACzEwOTQ1NTc0OTU4DAAAAAE3DQAAAAg4LzEvMjAxOBAAAAAJNy8zMS8yMDE41owROAgJ1ggZ6aFvNAnWCD9DSVEuTkFTREFRR1M6QkdORS5JUV9FQklUREFfM1lSX0FOTl9DQUdSLi43LzE2LzIwMTguTEZSLkYuVVNELkgBAAAA4OTdBgMAAAACTk0BCAAAAAUAAAABMQEAAAAKMTg4NzY4ODU4OAMAAAADMTYwAgAAAAQ0MjIyBAAAAAEwBwAAAAk3LzE2LzIwMTgIAAAACTMvMzEvMjAxOAkAAAABMMT/GxE1CdYIaGBnEjUJ1ggnQ0lRLk5B</t>
  </si>
  <si>
    <t>U0RBUUdTOlNHRU4uSVFfQkVUQV8xWVIuNy8xNi8yMDE4AQAAAGGFAAACAAAAEDEuNjk4NjQ4NTk1NDU1NzEAxP8bETUJ1ghoYGcSNQnWCCdDSVEuTkFTREFRR1M6UEJZSS5JUV9CRVRBXzVZUi43LzE2LzIwMTgBAAAAAmqsBwIAAAASMC4wMjE2OTcxMTMxOTEzOTI3AMT/GxE1CdYIEv5kEjUJ1gguQ0lRLk9UQ1BLOk5XQk8uSVFfREFfQ0YuLjcvMTYvMjAxOC5MRlIuRi5VU0QuSAEAAACjehQAAgAAAAUwLjc0OAEIAAAABQAAAAExAQAAAAoxODg5MzAyODI0AwAAAAMxNjACAAAABDIxNjAEAAAAATAHAAAACTcvMTYvMjAxOAgAAAAJMy8zMS8yMDE4CQAAAAEwKRyUEDUJ1ghzOWASNQnWCCxDSVEuSVFUUjMxNDgyOTIzNi5JUV9UUl9UQVJHRVRfRUJJVERBLi5VU0QuSAEAAAC06cMSAgAAAAAAWM8SDjUJ1gjA24IONQnWCCVDSVEuSVFUUjQwMzc5MTc2Ny5JUV9UUl9JTVBMSUVEX0VRX0JWAQAAAJdfERgCAAAAAABYzxIONQnWCMDbgg41CdYIMUNJUS5JUVRSNTMzNjM5NTAxLklRX1RSX1RBUkdFVF9SRVZFTlVFX0VTVC4uVVNELkgBAAAATbHOHwIAAAAAAAxtEA41CdYIwNuCDjUJ1gg9Q0lRLk5BU0RBUUdTOkZQUlguSVFfUkVWRU5VRV9FU1QuQ1kyMDIxLjcvMTYvMjAxOC5DT04uRi5VU0QuSAEAAAA3XTMAAgAAAAgxMzUuOTY0OAEOAAAABQAAAAIxMQEAAAABMAIAAAAKMTAwMTk1NjM1OQMAAAAGMTAwMTgw</t>
  </si>
  <si>
    <t>BAAAAAEyBgAAAAEwBwAAAAMxNjAIAAAAATAJAAAAATEKAAAAATALAAAACzEwOTQ1NTc0OTU4DAAAAAE3DQAAAAk3LzE3LzIwMTgQAAAACTcvMTYvMjAxOCkclBA1CdYIczlgEjUJ1gg9Q0lRLk5BU0RBUUdTOkZQUlguSVFfUkVWRU5VRV9FU1QuQ1kyMDIwLjcvMTYvMjAxOC5DT04uRi5VU0QuSAEAAAA3XTMAAgAAAAg3NS41MTAyOQEOAAAABQAAAAIxMQEAAAABMAIAAAAKMTAwMTk1NjM1NAMAAAAGMTAwMTgwBAAAAAEyBgAAAAEwBwAAAAMxNjAIAAAAATAJAAAAATEKAAAAATALAAAACzEwOTQ1NTc1MDA2DAAAAAE3DQAAAAk3LzE3LzIwMTgQAAAACTcvMTYvMjAxOCkclBA1CdYIczlgEjUJ1ggxQ0lRLklRVFIyNDU4MzEwMDcuSVFfVFJfVEFSR0VUX1JFVkVOVUVfRVNULi5VU0QuSAEAAABfFacOAgAAAAczMy44NDYzALKzSW80CdYIgf2VbzQJ1ggjQ0lRLk5BU0RBUUdNOk5MTksuSVFfUEVSSU9EREFURV9JUy4BAAAAlXuMAAUAAAAJNi8zMC8yMDE4ACkclBA1CdYI5HRbEjUJ1ggwQ0lRLihJTlZBTElEIElERU5USUZJRVIpLklRX0JVU0lORVNTX0RFU0NSSVBUSU9OBQAAAAAAAAAIAAAAFChJbnZhbGlkIElkZW50aWZpZXIpyDCyNwgJ1ghCxa0ONQnWCEFDSVEuTkFTREFRR1M6TksuSVFfRUJJVERBXzJZUl9BTk5fQ0FHUi4yMDAwLjcvMzEvMjAxOC5MRlIuRi5VU0QuSAEAAAANfaEPAwAAAAJOTQEIAAAA</t>
  </si>
  <si>
    <t>BQAAAAExAQAAAAoxODg3MTE4NzkxAwAAAAMxNjACAAAABDQyMDkEAAAAATAHAAAACTcvMzEvMjAxOAgAAAAJMy8zMS8yMDE4CQAAAAEw1owROAgJ1ggZ6aFvNAnWCDxDSVEuTkFTREFRR1M6VFNSTy5JUV9FQklUREFfRVNULkNZMjAyMC43LzE2LzIwMTguQ09OLkYuVVNELkgBAAAAaNZYBgIAAAAELTMwMAEOAAAABQAAAAIxMQEAAAABMAIAAAAKMTAwMTU4MDM1MAMAAAAGMTAwMTg3BAAAAAEyBgAAAAEwBwAAAAMxNjAIAAAAATAJAAAAATEKAAAAATALAAAACzEwODY5NTI1NDU0DAAAAAE3DQAAAAk3LzE3LzIwMTgQAAAACTcvMTYvMjAxOMT/GxE1CdYIEv5kEjUJ1ggpQ0lRLklRVFI0MTE4NzEwODIuSVFfVFJfSU1QTElFRF9FUV9OSV9MVE0BAAAAaqeMGAIAAAAAALKzSW80CdYINZuTbzQJ1ghGQ0lRLk5BU0RBUUdTOkJHTkUuSVFfTUlOT1JJVFlfSU5URVJFU1RfVE9UQUwuMjAwMC41LzUvMjAxNy5MRlIuRi5VU0QuSAEAAADg5N0GAwAAAAAAnAvVOAgJ1giB/ZVvNAnWCEZDSVEuTkFTREFRR1M6R1RIWC5JUV9UT1RBTF9SRVZfMllSX0FOTl9DQUdSLjIwMDAuNy8zMS8yMDE4LkxGUi5GLlVTRC5IAQAAAGU0aQgDAAAAAADWjBE4CAnWCCTCmm80CdYIJUNJUS5JUVRSMzAyODY2NjI3LklRX1BSSU1BUllfSU5EVVNUUlkBAAAA77aACAMAAAANQmlvdGVjaG5vbG9neQAMbRAONQnWCAw+hQ41CdYIKUNJUS5J</t>
  </si>
  <si>
    <t>UTM2MTgzODIyLklRX0xBU1RTQUxFUFJJQ0UuNy8xNi8yMDE4AQAAAA4fKAICAAAABDIuMzkADG0QDjUJ1ggMPoUONQnWCC9DSVEuLklRX0VBUk5JTkdfQ08uQ1kyMDE2LjcvMzEvMjAxOC5MRlIuRi5VU0QuSAUAAAABAAAACAAAABQoSW52YWxpZCBJZGVudGlmaWVyKfWEMkc0CdYI9YQyRzQJ1gg2Q0lRLk5BU0RBUUdTOkdUSFguSVFfRUJJVERBLjIwMDAuNy8zMS8yMDE4LkxGUi5GLlVTRC5IAQAAAGU0aQgCAAAABy02OS4yMDYBCAAAAAUAAAABMQEAAAAKMTg4NjM2NzY2NwMAAAADMTYwAgAAAAQ0MDUxBAAAAAEwBwAAAAk3LzMxLzIwMTgIAAAACTMvMzEvMjAxOAkAAAABMJwL1TgICdYIJMKabzQJ1gg/Q0lRLihJTlZBTElEIElERU5USUZJRVIpLklRX0VCSVREQS5DWTIwMTYuNy8zMS8yMDE4LkxGUi5GLlVTRC5IBQAAAAAAAAAIAAAAFChJbnZhbGlkIElkZW50aWZpZXIpyDCyNwgJ1gjtNrBvNAnWCCFDSVEuTkFTREFRR1M6U0dFTi5JUV9DT01QQU5ZX05BTUUBAAAAYYUAAAMAAAAWU2VhdHRsZSBHZW5ldGljcywgSW5jLgBGnRkRNQnWCGhgZxI1CdYIMENJUS5JUVRSNTUzNTQ4MDI1LklRX1RSX1RBUkdFVF9FQklUREFfRVNULi5VU0QuSAEAAAD5eP4gAgAAAAg5LjMyMDE3NQCys0lvNAnWCIH9lW80CdYIQ0NJUS5OQVNEQVFHTTpMUFRYLklRX01JTk9SSVRZX0lOVEVSRVNUX1RPVEFMLi43LzE2LzIw</t>
  </si>
  <si>
    <t>MTguTEZSLkYuVVNELkgBAAAADDYJBwMAAAAAACkclBA1CdYIMNddEjUJ1ghDQ0lRLk5BU0RBUUNNOk1URU0uSVFfRUJJVERBXzJZUl9BTk5fQ0FHUi4yMDAwLjcvMzEvMjAxOC5MRlIuRi5VU0QuSAEAAACZm6kBAwAAAAAAyDCyNwgJ1gjdS6RvNAnWCEdDSVEuTkFTREFRR006Q1JJUy5JUV9NSU5PUklUWV9JTlRFUkVTVF9UT1RBTC4yMDAwLjcvMzEvMjAxOC5MRlIuRi5VU0QuSAEAAAAXagAAAwAAAAAAyDCyNwgJ1gjdS6RvNAnWCDVDSVEuTkFTREFRR006QVJRTC5JUV9EQV9DRi4yMDAwLjcvMzEvMjAxOC5MRlIuRi5VU0QuSAEAAAD2YQAAAgAAAAUwLjA1NAEIAAAABQAAAAExAQAAAAoxODg4Nzg4NzcwAwAAAAMxNjACAAAABDIxNjAEAAAAATAHAAAACTcvMzEvMjAxOAgAAAAJMy8zMS8yMDE4CQAAAAEw1owROAgJ1gjDhp9vNAnWCDlDSVEuTkFTREFRR1M6TksuSVFfVE9UQUxfUkVWLkNZMjAxNy43LzMxLzIwMTguTEZSLkYuVVNELkgBAAAADX2hDwIAAAAFMC4wNDUBCAAAAAUAAAABMQEAAAAKMTg3ODAxMjU5NwMAAAADMTYwAgAAAAIyOAQAAAABMAcAAAAJNy8zMS8yMDE4CAAAAAoxMi8zMS8yMDE3CQAAAAEw1owROAgJ1gjDhp9vNAnWCCVDSVEuSVFUUjU0NzQyMzY4MC5JUV9UUl9JTVBMSUVEX0VRX0JWAQAAAMAFoSACAAAACTIwLjgwNTI1NgEGAAAABQAAAAI1NAEAAAAGMTAyMDk3AgAAAAk1NDc0</t>
  </si>
  <si>
    <t>MjM2ODADAAAACTU0NzQzMzA2NQQAAAADMTYwBgAAAAVGYWxzZQxtEA41CdYIwNuCDjUJ1ggdQ0lRLk5BU0RBUUdTOkFEWFMuSVFfRVhDSEFOR0UBAAAAnux4AAMAAAAITmFzZGFxR1MAKRyUEDUJ1gjkdFsSNQnWCCNDSVEuSVFUUjMyMTg2NTI5Ny5JUV9UUl9DTE9TRURfREFURQEAAABRRi8TBQAAAAkxLzExLzIwMTYAWM8SDjUJ1ggMPoUONQnWCCdDSVEuTkFTREFRR1M6S1VSQS5JUV9CRVRBXzFZUi43LzMxLzIwMTgBAAAAuMvaEAIAAAAQMS42NjYzMzgzOTM3NTE0OADWjBE4CAnWCHMknW80CdYIPUNJUS5OQVNEQVFHTTpBUlFMLklRX1JFVkVOVUVfRVNULkNZMjAyMC43LzMxLzIwMTguQ09OLkYuVVNELkgBAAAA9mEAAAIAAAACMTQBDgAAAAUAAAACMTEBAAAAATACAAAACjEwMDIzODE3NTYDAAAABjEwMDE4MAQAAAABMgYAAAABMAcAAAADMTYwCAAAAAEwCQAAAAExCgAAAAEwCwAAAAsxMDk0NjYyMjQ3MgwAAAABNw0AAAAIOC8xLzIwMTgQAAAACTcvMzEvMjAxONaMETgICdYIcySdbzQJ1ggsQ0lRLklRVFI1MzM2Mzk1MDEuSVFfVFJfVEFSR0VUX0VCSVREQS4uVVNELkgBAAAATbHOHwIAAAAHLTIzLjQ3OAEGAAAABQAAAAIzNwEAAAAKMTg1Mzk0NzkxNgIAAAAFMjE2NzcDAAAAAzE2MAQAAAABMAcAAAAIMS8xLzE5MDAMbRAONQnWCMDbgg41CdYIO0NJUS5OQVNEQVFHUzpGUFJYLklRX0VCSVRfTUFS</t>
  </si>
  <si>
    <t>R0lOLjIwMDAuNy8zMS8yMDE4LkxGUi5GLlVTRC5IAQAAADddMwACAAAACS0yMjQuNDM3OAEIAAAABQAAAAExAQAAAAoxODg3NDAyMjI3AwAAAAMxNjACAAAABDQwNTMEAAAAATAHAAAACTcvMzEvMjAxOAgAAAAJMy8zMS8yMDE4CQAAAAEw1owROAgJ1ggZ6aFvNAnWCCJDSVEuTkFTREFRR1M6TksuSVFfRUZGRUNUX1RBWF9SQVRFAQAAAA19oQ8DAAAAAk5NAQgAAAAFAAAAATEBAAAACjE4OTg4NDY1MjEDAAAAAzE2MAIAAAAENDM3NgQAAAABMAcAAAAJOC8yMy8yMDE4CAAAAAk2LzMwLzIwMTgJAAAAATDWjBE4CAnWCANAv4s0CdYIM0NJUS5YVFJBOk1PUi5JUV9FQklUREEuQ1kyMDE2LjcvMzEvMjAxOC5MRlIuRi5VU0QuSAEAAADfEQIAAgAAAAotNDkuNTA2NjM5AQgAAAAFAAAAATEBAAAACjE4NzgzMjMxNTQDAAAAAzE2MAIAAAAENDA1MQQAAAABMAcAAAAJNy8zMS8yMDE4CAAAAAoxMi8zMS8yMDE2CQAAAAEwnAvVOAgJ1gjUX5hvNAnWCDtDSVEuTkFTREFRQ006TVRFTS5JUV9UT1RBTF9SRVYuQ1kyMDE2LjcvMzEvMjAxOC5MRlIuRi5VU0QuSAEAAACZm6kBAgAAAAQxLjg4AQgAAAAFAAAAATEBAAAACjE4ODExMTg3NDQDAAAAAzE2MAIAAAACMjgEAAAAATAHAAAACTcvMzEvMjAxOAgAAAAKMTIvMzEvMjAxNgkAAAABMMgwsjcICdYIGemhbzQJ1ggjQ0lRLklRVFI0MDg0MDc4MjIuSVFfVFJfVE9UQUxf</t>
  </si>
  <si>
    <t>U1RPQ0sBAAAADs9XGAIAAAAAALKzSW80CdYIgf2VbzQJ1gg9Q0lRLk5BU0RBUUdNOk5MTksuSVFfUkVWRU5VRV9FU1QuQ1kyMDIwLjcvMTYvMjAxOC5DT04uRi5VU0QuSAEAAACVe4wAAgAAAAYxNC44NzUBDgAAAAUAAAACMTEBAAAAATACAAAACjEwMDE0MjU0NTYDAAAABjEwMDE4MAQAAAABMgYAAAABMAcAAAADMTYwCAAAAAEwCQAAAAExCgAAAAEwCwAAAAsxMTAwODI4NTgxMgwAAAABNw0AAAAJNy8xNy8yMDE4EAAAAAk3LzE2LzIwMTgpHJQQNQnWCOR0WxI1CdYIQ0NJUS4oSU5WQUxJRCBJREVOVElGSUVSKS5JUV9FQVJOSU5HX0NPLkNZMjAxNy43LzMxLzIwMTguTEZSLkYuVVNELkgFAAAAAAAAAAgAAAAUKEludmFsaWQgSWRlbnRpZmllcinIMLI3CAnWCO02sG80CdYIK0NJUS5JUVRSNDMxODQxNTgxLklRX1RSX0lNUExJRURfRVZfRUJJVF9GV0QBAAAALWG9GQIAAAAAAAxtEA41CdYIDD6FDjUJ1ggyQ0lRLkFTWDpJTVUuSVFfRUJJVERBLkNZMjAxNi43LzE2LzIwMTguTEZSLkYuVVNELkgBAAAAmJOpAAIAAAAJLTIuMjUwNTEzAQgAAAAFAAAAATEBAAAACjE4NzczMDU4NzMDAAAAAzE2MAIAAAAENDA1MQQAAAABMAcAAAAJNy8xNi8yMDE4CAAAAAoxMi8zMS8yMDE2CQAAAAEwKRyUEDUJ1ggw110SNQnWCDxDSVEuTkFTREFRR1M6QkdORS5JUV9FQklUREFfRVNULkNZMjAxOC43LzMxLzIwMTguQ09O</t>
  </si>
  <si>
    <t>LkYuVVNELkgBAAAA4OTdBgIAAAAKLTM1Mi41MDcyNwEOAAAABQAAAAIxMQEAAAABMAIAAAAKMTAwMzMyNjI2MwMAAAAGMTAwMTg3BAAAAAEyBgAAAAEwBwAAAAMxNjAIAAAAATAJAAAAATEKAAAAATALAAAACzEwOTg2NjY0OTQzDAAAAAE3DQAAAAg4LzEvMjAxOBAAAAAJNy8zMS8yMDE4nAvVOAgJ1giB/ZVvNAnWCDVDSVEuTkFTREFRR1M6RlBSWC5JUV9DQVBFWC4xOTk2LjcvMzEvMjAxOC5MRlIuRi5VU0QuSAEAAAA3XTMAAgAAAAYtMy45NjIBCAAAAAUAAAABMQEAAAAKMTg4NzQwMjIyNAMAAAADMTYwAgAAAAQyMDIxBAAAAAEwBwAAAAk3LzMxLzIwMTgIAAAACTMvMzEvMjAxNwkAAAABMNaMETgICdYIGemhbzQJ1ggoQ0lRLk5BU0RBUUdTOk1SU04uSVFfVEVWLjcvMzEvMjAxOC5VU0QuSAEAAADmxRgAAgAAAAoxNjIuMjgyODY1AQYAAAAFAAAAATEBAAAACjE4ODkwOTQxMDADAAAAAzE2MAIAAAAGMTAwMDYwBAAAAAEwBwAAAAk3LzMxLzIwMTjWjBE4CAnWCMOGn280CdYIOkNJUS5OQVNEQVFDTTpTUk5FLklRX0VBUk5JTkdfQ08uMTk5Mi43LzMxLzIwMTguTEZSLkYuVVNELkgBAAAASUOUAwIAAAAHLTU2LjkyMwEIAAAABQAAAAExAQAAAAoxODQyMjUxMTIzAwAAAAMxNjACAAAAATcEAAAAATAHAAAACTcvMzEvMjAxOAgAAAAJMy8zMS8yMDE2CQAAAAEw1owROAgJ1ghzJJ1vNAnWCDFDSVEuSVFUUjQz</t>
  </si>
  <si>
    <t>MTg0MTU4MS5JUV9UUl9UQVJHRVRfUkVWRU5VRV9FU1QuLlVTRC5IAQAAAC1hvRkCAAAAAAAMbRAONQnWCAw+hQ41CdYIK0NJUS5JUVRSNDA5OTUxODg2LklRX1RSX1RPVEFMX0dST1NTX1RWLi5VU0QBAAAAjl5vGAIAAAACMzUBBgAAAAUAAAACNTQBAAAABjEwMjA4OAIAAAAJNDA5OTUxODg2AwAAAAk0MDk5NTE5MzYEAAAAAzE2MAYAAAAFRmFsc2UMbRAONQnWCMDbgg41CdYIP0NJUS5OQVNEQVFHUzpUU1JPLklRX0VCSVREQV81WVJfQU5OX0NBR1IuLjcvMTYvMjAxOC5MRlIuRi5VU0QuSAEAAABo1lgGAwAAAAJOTQEIAAAABQAAAAExAQAAAAoxODg2MzM3NDY2AwAAAAMxNjACAAAABDQyMzUEAAAAATAHAAAACTcvMTYvMjAxOAgAAAAJMy8zMS8yMDE4CQAAAAEwxP8bETUJ1ggS/mQSNQnWCD1DSVEuKElOVkFMSUQgSURFTlRJRklFUikuSVFfRUFSTklOR19DTy4uNy8xNi8yMDE4LkxGUi5GLlVTRC5IBQAAAAAAAAAIAAAAFChJbnZhbGlkIElkZW50aWZpZXIp3qd+EDUJ1giYElkSNQnWCC5DSVEuSVFUUjU2MTYwNjM2NS5JUV9UUl9UQVJHRVRfU1RPQ0tQUkVNSVVNXzFXAQAAAN1ueSECAAAAAACys0lvNAnWCDWbk280CdYIIUNJUS5OQVNEQVFHTTpGQVRFLklRX0NPTVBBTllfTkFNRQEAAABoMVcCAwAAABdGYXRlIFRoZXJhcGV1dGljcywgSW5jLgDWjBE4CAnWCHsd7IE0CdYIR0NJUS5OQVNEQVFHUzpN</t>
  </si>
  <si>
    <t>UlNOLklRX01JTk9SSVRZX0lOVEVSRVNUX1RPVEFMLjIwMDAuNy8zMS8yMDE4LkxGUi5GLlVTRC5IAQAAAObFGAADAAAAAADWjBE4CAnWCMOGn280CdYIMENJUS5OQVNEQVFHUzpCR05FLklRX1RPVEFMX1JFVi4yMDAwLi5MRlIuRi5VU0QuSAEAAADg5N0GAgAAAAczNDAuMDQyAQgAAAAFAAAAATEBAAAACjE4OTk5MDA2MzEDAAAAAzE2MAIAAAACMjgEAAAAATAHAAAACTgvMjMvMjAxOAgAAAAJNi8zMC8yMDE4CQAAAAEwnAvVOAgJ1gicC9U4CAnWCDVDSVEuTkFTREFRR006QVJRTC5JUV9DQVBFWC4xOTkyLjcvMzEvMjAxOC5MRlIuRi5VU0QuSAEAAAD2YQAAAgAAAAYtMC4yNjMBCAAAAAUAAAABMQEAAAAKMTg0MTk5MjU2OQMAAAADMTYwAgAAAAQyMDIxBAAAAAEwBwAAAAk3LzMxLzIwMTgIAAAACTMvMzEvMjAxNgkAAAABMNaMETgICdYIcySdbzQJ1gg3Q0lRLk5BU0RBUUdTOkJHTkUuSVFfRUJJVF9NQVJHSU4uLjcvMTYvMjAxOC5MRlIuRi5VU0QuSAEAAADg5N0GAgAAAAgtNTguMjE1NQEIAAAABQAAAAExAQAAAAoxODg3Njg4NTg4AwAAAAMxNjACAAAABDQwNTMEAAAAATAHAAAACTcvMTYvMjAxOAgAAAAJMy8zMS8yMDE4CQAAAAEwxP8bETUJ1ghoYGcSNQnWCDlDSVEuRU5YVFBBOklQSC5JUV9FQklUREFfRVNULkNZMjAyMC43LzE2LzIwMTguQ09OLkYuVVNELkgBAAAAmYAGAAIAAAARLTE3Ljc2ODc5</t>
  </si>
  <si>
    <t>NzU3MDI4MzQBDgAAAAUAAAACMTEBAAAAATACAAAACjEwMDE2NDMzOTMDAAAABjEwMDE4NwQAAAABMwYAAAABMAcAAAADMTYwCAAAAAEwCQAAAAExCgAAAAEwCwAAAAsxMDk1Mzg0MjMxMQwAAAABNw0AAAAJNy8xNy8yMDE4EAAAAAk3LzE2LzIwMTgpHJQQNQnWCHM5YBI1CdYIKkNJUS5BU1g6SU1VLklRX0xBU1RTQUxFUFJJQ0UuNy8xNi8yMDE4LlVTRAEAAACYk6kAAgAAAAgwLjAxOTI4MgApHJQQNQnWCDDXXRI1CdYIHENJUS5YVFJBOk1PUi5JUV9DT01QQU5ZX05BTUUBAAAA3xECAAMAAAAMTW9ycGhvU3lzIEFHAJwL1TgICdYI1F+YbzQJ1gg+Q0lRLk5BU0RBUUdTOkFUTlguSVFfVE9UQUxfRVFVSVRZLkNZMjAxNy43LzMxLzIwMTguTEZSLkYuVVNELkgBAAAA3JlrAQIAAAAGOTAuNzIyAQgAAAAFAAAAATEBAAAACjE4Nzk5MDc2MzUDAAAAAzE2MAIAAAAEMTI3NQQAAAABMAcAAAAJNy8zMS8yMDE4CAAAAAoxMi8zMS8yMDE3CQAAAAEw1owROAgJ1ggkwppvNAnWCC5DSVEuTkFTREFRQ006Q0tQVC5JUV9NQVJLRVRDQVAuNy8xNi8yMDE4LlVTRC5IAQAAALhRFhECAAAACTgyLjU5ODkyNwEGAAAABQAAAAExAQAAAAoxODg4MDA3MTg3AwAAAAMxNjACAAAABjEwMDA1NAQAAAABMAcAAAAJNy8xNi8yMDE4KRyUEDUJ1ggw110SNQnWCC9DSVEuSVFUUjQwOTk1MTg4Ni5JUV9UUl9JTVBMSUVEX0VWX0ZJTkFM</t>
  </si>
  <si>
    <t>Li5VU0QuSAEAAACOXm8YAgAAAAkzMS42NzM4NzIBBgAAAAUAAAACNTQBAAAABjEwMjA0NQIAAAAJNDA5OTUxODg2AwAAAAk0MDk5NTE5MzYEAAAAAzE2MAYAAAAFRmFsc2UMbRAONQnWCMDbgg41CdYIL0NJUS5JUVRSNDExODcxMDgyLklRX1RSX1RBUkdFVF9UT1RBTF9SRVYuLlVTRC5IAQAAAGqnjBgCAAAAAACys0lvNAnWCDWbk280CdYIJ0NJUS5OQVNEQVFHUzpUU1JPLklRX1BFUklPRERBVEVfSVMuMTAwMAEAAABo1lgGBQAAAAoxMi8zMS8yMDE3AJwL1TgICdYIJMKabzQJ1ggfQ0lRLk5BU0RBUUdTOk9CU1YuSVFfTUFSS0VUQ0FQLgEAAABWh58OAgAAAAo1MjcuMzMwMTQ4AQYAAAAFAAAAATEBAAAACjE5MDAwMTg2NDQDAAAAAzE2MAIAAAAGMTAwMDU0BAAAAAEwBwAAAAk4LzIyLzIwMThJU0dvNAnWCPsK2YE0CdYII0NJUS5JUVRSNDAzNzkxNzY3LklRX1RSX1RPVEFMX1NUT0NLAQAAAJdfERgCAAAAAABYzxIONQnWCMDbgg41CdYIQ0NJUS5OQVNEQVFHUzpGUFJYLklRX0VCSVREQV8zWVJfQU5OX0NBR1IuMjAwMC43LzMxLzIwMTguTEZSLkYuVVNELkgBAAAAN10zAAMAAAACTk0BCAAAAAUAAAABMQEAAAAKMTg4NzQwMjIyNwMAAAADMTYwAgAAAAQ0MjIyBAAAAAEwBwAAAAk3LzMxLzIwMTgIAAAACTMvMzEvMjAxOAkAAAABMMgwsjcICdYIGemhbzQJ1ggjQ0lRLklRVFIyNTM5NTQ0NzMuSVFfVFJf</t>
  </si>
  <si>
    <t>VE9UQUxfU1RPQ0sBAAAAqQkjDwIAAAAAALKzSW80CdYINZuTbzQJ1gg9Q0lRLk5BU0RBUUNNOlNSTkUuSVFfUkVWRU5VRV9FU1QuQ1kyMDIxLjcvMzEvMjAxOC5DT04uRi5VU0QuSAEAAABJQ5QDAgAAAAgyMzAuMjMzNQEOAAAABQAAAAIxMQEAAAABMAIAAAAKMTAwMjQ4MTkzNAMAAAAGMTAwMTgwBAAAAAEyBgAAAAEwBwAAAAMxNjAIAAAAATAJAAAAATEKAAAAATALAAAACzEwOTQ1NjMxMjUyDAAAAAE3DQAAAAg4LzEvMjAxOBAAAAAJNy8zMS8yMDE41owROAgJ1ghzJJ1vNAnWCEBDSVEuT1RDUEs6TldCTy5JUV9NSU5PUklUWV9JTlRFUkVTVF9UT1RBTC4uOS8xNS8yMDE3LkxGUi5GLlVTRC5IAQAAAKN6FAADAAAAAAApHJQQNQnWCDDXXRI1CdYIJ0NJUS5OQVNEQVFHUzpBVE5YLklRX1BFUklPRERBVEVfSVMuMTAwMAEAAADcmWsBBQAAAAoxMi8zMS8yMDE3ANaMETgICdYIJMKabzQJ1ggjQ0lRLklRVFI0MDc3NjA2OTIuSVFfVFJfQ0xPU0VEX0RBVEUBAAAANO9NGAUAAAAKMTIvMjAvMjAxNgAMbRAONQnWCAw+hQ41CdYIPENJUS5OQVNEQVFHUzpUU1JPLklRX0VBUk5JTkdfQ08uQ1kyMDE2LjcvMTYvMjAxOC5MRlIuRi5VU0QuSAEAAABo1lgGAgAAAAgtMzc0LjIyNAEIAAAABQAAAAExAQAAAAoxODc3MjI2Mjg0AwAAAAMxNjACAAAAATcEAAAAATAHAAAACTcvMTYvMjAxOAgAAAAKMTIvMzEvMjAxNgkA</t>
  </si>
  <si>
    <t>AAABMMT/GxE1CdYIEv5kEjUJ1ggvQ0lRLklRVFI0MDgyOTEzOTUuSVFfVFJfSU1QTElFRF9FVl9GSU5BTC4uVVNELkgBAAAAQwhWGAIAAAAKNDI1Ljg3ODY1MwEGAAAABQAAAAI1NAEAAAAGMTAyMDQ1AgAAAAk0MDgyOTEzOTUDAAAACTQwODMwNDAxMwQAAAADMTYwBgAAAAVGYWxzZVjPEg41CdYIwNuCDjUJ1ghCQ0lRLk5BU0RBUUdTOkFOQUIuSVFfVE9UQUxfUkVWXzJZUl9BTk5fQ0FHUi4uNy8xNi8yMDE4LkxGUi5GLlVTRC5IAQAAACFMsgECAAAACC0yNi4xNTg1AQgAAAAFAAAAATEBAAAACjE4ODc0MDAwNDMDAAAAAzE2MAIAAAAENDIwNwQAAAABMAcAAAAJNy8xNi8yMDE4CAAAAAkzLzMxLzIwMTgJAAAAATDE/xsRNQnWCMKbYhI1CdYISUNJUS4oSU5WQUxJRCBJREVOVElGSUVSKS5JUV9UT1RBTF9SRVZfMllSX0FOTl9DQUdSLi43LzE2LzIwMTguTEZSLkYuVVNELkgFAAAAAAAAAAgAAAAUKEludmFsaWQgSWRlbnRpZmllcinep34QNQnWCJgSWRI1CdYIMUNJUS5JUVRSNDIyODg3NzAxLklRX1RSX1RBUkdFVF9SRVZFTlVFX0VTVC4uVVNELkgBAAAAFcE0GQIAAAAAAAxtEA41CdYIwNuCDjUJ1gg+Q0lRLk5BU0RBUUdTOkZQUlguSVFfVE9UQUxfRVFVSVRZLkNZMjAxNy43LzE2LzIwMTguTEZSLkYuVVNELkgBAAAAN10zAAIAAAAHMjY1LjIwMgEIAAAABQAAAAExAQAAAAoxODc2MTM1OTkxAwAAAAMx</t>
  </si>
  <si>
    <t>NjACAAAABDEyNzUEAAAAATAHAAAACTcvMTYvMjAxOAgAAAAKMTIvMzEvMjAxNwkAAAABMCkclBA1CdYIczlgEjUJ1ggoQ0lRLk5BU0RBUUdTOkNBTEEuSVFfVEVWLjcvMTYvMjAxOC5VU0QuSAEAAAClJ4EGAgAAAAkxNy41MDYwMjQBBgAAAAUAAAABMQEAAAAKMTg4Nzk3OTcwNwMAAAADMTYwAgAAAAYxMDAwNjAEAAAAATAHAAAACTcvMTYvMjAxOCkclBA1CdYI5HRbEjUJ1ggwQ0lRLi5JUV9FQklUREFfTUFSR0lOLjIwMDAuNy8zMS8yMDE4LkxGUi5GLlVTRC5IBQAAAAEAAAAIAAAAFChJbnZhbGlkIElkZW50aWZpZXIp9YQyRzQJ1gj1hDJHNAnWCDhDSVEuTkFTREFRR1M6QU5BQi5JUV9HUk9TU19NQVJHSU4uLjcvMTYvMjAxOC5MRlIuRi5VU0QuSAEAAAAhTLIBAgAAAActMjMzLjE4AQgAAAAFAAAAATEBAAAACjE4ODc0MDAwNDMDAAAAAzE2MAIAAAAENDA3NAQAAAABMAcAAAAJNy8xNi8yMDE4CAAAAAkzLzMxLzIwMTgJAAAAATDE/xsRNQnWCMKbYhI1CdYIOUNJUS5PVENQSzpOV0JPLklRX0VBUk5JTkdfQ08uQ1kyMDE2LjcvMTYvMjAxOC5MRlIuRi5VU0QuSAEAAACjehQAAgAAAActODAuMjE0AQgAAAAFAAAAATEBAAAACjE4ODMyNDkwNjUDAAAAAzE2MAIAAAABNwQAAAABMAcAAAAJNy8xNi8yMDE4CAAAAAoxMi8zMS8yMDE2CQAAAAEwKRyUEDUJ1ggw110SNQnWCChDSVEuTkFTREFRR006Q1JJUy5J</t>
  </si>
  <si>
    <t>UV9URVYuNy8zMS8yMDE4LlVTRC5IAQAAABdqAAACAAAACTQzLjMwMzIzOQEGAAAABQAAAAExAQAAAAoxODg2MjQ2NzQ5AwAAAAMxNjACAAAABjEwMDA2MAQAAAABMAcAAAAJNy8zMS8yMDE4yDCyNwgJ1gjdS6RvNAnWCCpDSVEuSVFUUjMwNzg2Mzk4NC5JUV9UUl9UQVJHRVRfRUJJVC4uVVNELkgBAAAAsKFZEgIAAAAAAFjPEg41CdYIwNuCDjUJ1gglQ0lRLklRVFI1NTExNjYyOTIuSVFfVFJfTUFKX01JTl9TVEFLRQEAAABUIdogAwAAAAhNYWpvcml0eQAMbRAONQnWCMDbgg41CdYIOkNJUS5OQVNEQVFHUzpNUlNOLklRX1RPVEFMX0RFQlQuMjAwMC43LzMxLzIwMTguTEZSLkYuVVNELkgBAAAA5sUYAAIAAAABMAEIAAAABQAAAAExAQAAAAoxODg5MDk2NjUzAwAAAAMxNjACAAAABDQxNzMEAAAAATAHAAAACTcvMzEvMjAxOAgAAAAJMy8zMS8yMDE4CQAAAAEw1owROAgJ1gjDhp9vNAnWCCdDSVEuTkFTREFRR1M6VFNSTy5JUV9CRVRBXzFZUi43LzMxLzIwMTgBAAAAaNZYBgIAAAAQMS4wMDk1MjY3NzQ5MDE3OQCcC9U4CAnWCCTCmm80CdYINUNJUS5OQVNEQVFHUzpDVE1YLklRX05JX01BUkdJTi4uNy8xNi8yMDE4LkxGUi5GLlVTRC5IAQAAANw4mwMCAAAABy02Ny44NzkBCAAAAAUAAAABMQEAAAAKMTg4NzY3NTMxNgMAAAADMTYwAgAAAAQ0MDk0BAAAAAEwBwAAAAk3LzE2LzIwMTgIAAAACTMvMzEvMjAx</t>
  </si>
  <si>
    <t>OAkAAAABMMT/GxE1CdYIwptiEjUJ1gg3Q0lRLk9UQ1BLOk5XQk8uSVFfQ0FTSF9TVF9JTlZFU1QuLjcvMTYvMjAxOC5MRlIuRi5VU0QuSAEAAACjehQAAgAAAAUwLjE5OAEIAAAABQAAAAExAQAAAAoxODg5MzAyODI0AwAAAAMxNjACAAAABDEwMDIEAAAAATAHAAAACTcvMTYvMjAxOAgAAAAJMy8zMS8yMDE4CQAAAAEwKRyUEDUJ1ghzOWASNQnWCDpDSVEuTkFTREFRR1M6TksuSVFfRUJJVERBX0VTVC5DWTIwMjAuNy8zMS8yMDE4LkNPTi5GLlVTRC5IAQAAAA19oQ8DAAAAAADWjBE4CAnWCMOGn280CdYIKUNJUS5JUVRSNTUwMjU5Mzk3LklRX0JVU0lORVNTX0RFU0NSSVBUSU9OAQAAAE4KDA8DAAAAyw9KdW5vIFRoZXJhcGV1dGljcywgSW5jLiBkZXZlbG9wcyBjZWxsLWJhc2VkIGNhbmNlciBpbW11bm90aGVyYXBpZXMgYmFzZWQgb24gaXRzIGNoaW1lcmljIGFudGlnZW4gcmVjZXB0b3IgYW5kIFQgY2VsbCByZWNlcHRvciB0ZWNobm9sb2dpZXMgdG8gZ2VuZXRpY2FsbHkgZW5naW5lZXIgVCBjZWxscyB0byByZWNvZ25pemUgYW5kIGtpbGwgY2FuY2VyIGNlbGxzLiBJdHMgQ0QxOSBwcm9kdWN0IGNhbmRpZGF0ZXMgaW5jbHVkZSBKQ0FSMDE3IHRoYXQgaXMgaW4gUGhhc2UgSS9JSSB0cmlhbHMgZm9yIGFkdWx0cyB3aXRoIHJlbGFwc2VkIG9yIHJlZnJhY3RvcnkgKHIvcikgQiBjZWxsIGFnZ3Jlc3Np</t>
  </si>
  <si>
    <t>dmUgbm9uLUhvZGdraW4gbHltcGhvbWEgKE5ITCkgYW5kIHBlZGlhdHJpYyBwYXRpZW50cyB3aXRoIHIvciBCIGNlbGwgYWN1dGUgbHltcGhvYmxhc3RpYyBsZXVrZW1pYSAoQUxMKTsgYW5kIEpDQVIwMTQsIHdoaWNoIGlzIGluIFBoYXNlIEkvSUkgdHJpYWxzIHRvIHRyZWF0IEIgY2VsbCBtYWxpZ25hbmNpZXMgaW4gcGF0aWVudHMgcmVsYXBzZWQgb3IgcmVmcmFjdG9yeSB0byBzdGFuZGFyZCB0aGVyYXBpZXMuIFRoZSBjb21wYW554oCZcyBDRDIyIHByb2R1Y3QgY2FuZGlkYXRlIGNvbXByaXNlIEpDQVIwMTggdGhhdCBpcyBpbiBQaGFzZSBJIHRyaWFsIGZvciBwZWRpYXRyaWMgYW5kIHlvdW5nIGFkdWx0IHBhdGllbnRzIHdpdGggQ0QyMi1wb3NpdGl2ZSByL3IgQUxMIG9yIHIvciBOSEwuIEl0cyBhZGRpdGlvbmFsIHByb2R1Y3QgY2FuZGlkYXRlcyBpbmNsdWRlIENEMTcxLCBhIGNlbGwtc3VyZmFjZSBhZGhlc2lvbiBtb2xlY3VsZSBmb3IgbmV1cm9ibGFzdG9tYTsgTGV3aXMgWSBmb3IgdGhlIHRyZWF0bWVudCBvZiBsdW5nIGNhbmNlcjsgSkNBUjAyMywgd2hpY2ggaXMgaW4gUGhhc2UgSSB0cmlhbCBmb3IgcmVmcmFjdG9yeSBvciByZWN1cnJlbnQgcGVkaWF0cmljIG5ldXJvYmxhc3RvbWE7IE1VQy0xNiBwcm90ZWluIGZvciBvdmFyaWFuIGNhbmNlcnM7IGFuZCBJTC0xMiwgYSBjeXRva2lu</t>
  </si>
  <si>
    <t>ZSB0byBvdmVyY29tZSB0aGUgaW5oaWJpdG9yeSBlZmZlY3RzLiBUaGUgY29tcGFueeKAmXMgYWRkaXRpb25hbCBwcm9kdWN0IGNhbmRpZGF0ZXMgYWxzbyBjb21wcmlzZSBST1ItMSBwcm90ZWluIGZvciBub24tc21hbGwgY2VsbCBsdW5nLCB0cmlwbGUgbmVnYXRpdmUgYnJlYXN0LCBwYW5jcmVhdGljLCBhbmQgcHJvc3RhdGUgY2FuY2VyczsgV1QtMSwgYW4gaW50cmFjZWxsdWxhciBwcm90ZWluIHRoYXQgaXMgaW4gUGhhc2UgSS9JSSBjbGluaWNhbCB0cmlhbHM7IEhQViBlNi9lNyBmb3IgY2FuY2VyczsgYW5kIElMMTNyYTIgZm9yIGdsaW9ibGFzdG9tYS4gSnVubyBUaGVyYXBldXRpY3MsIEluYy4gaGFzIGNvbGxhYm9yYXRpb24gYWdyZWVtZW50cyB3aXRoIENlbGdlbmUgQ29ycG9yYXRpb24sIEZyZWQgSHV0Y2hpbnNvbiBDYW5jZXIgUmVzZWFyY2ggQ2VudGVyLCBNZW1vcmlhbCBTbG9hbiBLZXR0ZXJpbmcgQ2FuY2VyIENlbnRlciwgU3QuIEp1ZGUgQ2hpbGRyZW7igJlzIFJlc2VhcmNoIEhvc3BpdGFsL05vdmFydGlzLCBTZWF0dGxlIENoaWxkcmVu4oCZcyBSZXNlYXJjaCBJbnN0aXR1dGUsIE9wdXMgQmlvLCBJbmMuLCBGYXRlIFRoZXJhcGV1dGljcywgSW5jLiwgRWRpdGFzIE1lZGljaW5lLCBJbmMuLCBhbmQgSlcgKENheW1hbikgVGhlcmFwZXV0aWNzIENvLiwgTHRkLiBUaGUgY29tcGFu</t>
  </si>
  <si>
    <t>eSB3YXMgZm9ybWVybHkga25vd24gYXMgRkMgVGhlcmFwZXV0aWNzLCBJbmMuIGFuZCBjaGFuZ2VkIGl0cyBuYW1lIHRvIEp1bm8gVGhlcmFwZXV0aWNzLCBJbmMuIGluIE9jdG9iZXIgMjAxMy4gSnVubyBUaGVyYXBldXRpY3MsIEluYy4gd2FzIGZvdW5kZWQgaW4gMjAxMyBhbmQgaXMgaGVhZHF1YXJ0ZXJlZCBpbiBTZWF0dGxlLCBXYXNoaW5ndG9uLiBBcyBvZiBNYXJjaCA2LCAyMDE4LCBKdW5vIFRoZXJhcGV1dGljcywgSW5jLiBvcGVyYXRlcyBhcyBhIHN1YnNpZGlhcnkgb2YgQ2VsZ2VuZSBDb3Jwb3JhdGlvbi4ADG0QDjUJ1gh3eYAONQnWCDdDSVEuTkFTREFRR1M6RlBSWC5JUV9QUkVGX0VRVUlUWS4uNy8xNi8yMDE4LkxGUi5GLlVTRC5IAQAAADddMwADAAAAAAApHJQQNQnWCHM5YBI1CdYIOkNJUS5OQVNEQVFHUzpFUFpNLklRX0VBUk5JTkdfQ08uMTk5Ni43LzMxLzIwMTguTEZSLkYuVVNELkgBAAAAAyY9AwIAAAAILTExOS44NTUBCAAAAAUAAAABMQEAAAAKMTg4NzI0NjA0OQMAAAADMTYwAgAAAAE3BAAAAAEwBwAAAAk3LzMxLzIwMTgIAAAACTMvMzEvMjAxNwkAAAABMNaMETgICdYIcySdbzQJ1gg6Q0lRLk9UQ1BLOk1CVlguSVFfUkVWRU5VRV9FU1QuQ1kyMDIwLjcvMTYvMjAxOC5DT04uRi5VU0QuSAEAAADYRIsCAwAAAAAA3qd+EDUJ1giYElkSNQnWCDlDSVEuTkFTREFRR1M6RlBSWC5J</t>
  </si>
  <si>
    <t>UV9UT1RBTF9ERUJULjIwMDAuNS81LzIwMTcuTEZSLkYuVVNELkgBAAAAN10zAAIAAAABMAEIAAAABQAAAAExAQAAAAoxODQwNTY1ODM2AwAAAAMxNjACAAAABDQxNzMEAAAAATAHAAAACDUvNS8yMDE3CAAAAAkzLzMxLzIwMTcJAAAAATDIMLI3CAnWCBnpoW80CdYIOENJUS5OQVNEQVFHUzpTR0VOLklRX0dST1NTX01BUkdJTi4uNy8xNi8yMDE4LkxGUi5GLlVTRC5IAQAAAGGFAAACAAAABy02Ljg3MTcBCAAAAAUAAAABMQEAAAAKMTg4NDg5Mjg1MgMAAAADMTYwAgAAAAQ0MDc0BAAAAAEwBwAAAAk3LzE2LzIwMTgIAAAACTMvMzEvMjAxOAkAAAABMMT/GxE1CdYIaGBnEjUJ1gg8Q0lRLk5BU0RBUUdTOkdUSFguSVFfRUFSTklOR19DTy5DWTIwMTcuNy8zMS8yMDE4LkxGUi5GLlVTRC5IAQAAAGU0aQgCAAAABy02MC4xMjEBCAAAAAUAAAABMQEAAAAKMTg3NTMyNzMwNgMAAAADMTYwAgAAAAE3BAAAAAEwBwAAAAk3LzMxLzIwMTgIAAAACjEyLzMxLzIwMTcJAAAAATDWjBE4CAnWCCTCmm80CdYIJUNJUS5JUVRSNDA4NDA3ODIyLklRX1BSSU1BUllfSU5EVVNUUlkBAAAA4M5XGAMAAAANQmlvdGVjaG5vbG9neQCys0lvNAnWCIH9lW80CdYILENJUS5JUVRSNDA5OTUxODg2LklRX1RSX1RBUkdFVF9FQklUREEuLlVTRC5IAQAAAI5ebxgCAAAAAAAMbRAONQnWCMDbgg41CdYIO0NJUS5PVENQSzpNQlZYLklRX1RP</t>
  </si>
  <si>
    <t>VEFMX0VRVUlUWS5DWTIwMTcuNy8xNi8yMDE4LkxGUi5GLlVTRC5IAQAAANhEiwICAAAABzEuMTMwNDQBCAAAAAUAAAABMQEAAAAKMTg4MTIxMzI0NQMAAAADMTYwAgAAAAQxMjc1BAAAAAEwBwAAAAk3LzE2LzIwMTgIAAAACjEyLzMxLzIwMTcJAAAAATDep34QNQnWCJgSWRI1CdYIO0NJUS5OQVNEQVFHUzpOSy5JUV9SRVZFTlVFX0VTVC5DWTIwMjEuNy8zMS8yMDE4LkNPTi5GLlVTRC5IAQAAAA19oQ8CAAAABDQwLjYBDgAAAAUAAAACMTEBAAAAATACAAAACjEwMDMxNjQ4MTYDAAAABjEwMDE4MAQAAAABMgYAAAABMAcAAAADMTYwCAAAAAEwCQAAAAExCgAAAAEwCwAAAAsxMDc4NzkwNzU0MwwAAAABNw0AAAAIOC8xLzIwMTgQAAAACTcvMzEvMjAxONaMETgICdYIw4afbzQJ1gghQ0lRLi5JUV9UUl9UQVJHRVRfU1RPQ0tQUkVNSVVNXzFNBQAAAAAAAAAIAAAAFChJbnZhbGlkIElkZW50aWZpZXIpnAvVOAgJ1gh3eYAONQnWCD5DSVEuTkFTREFRR006Q1JWUy5JUV9DQVNIX1NUX0lOVkVTVC4yMDAwLjcvMzEvMjAxOC5MRlIuRi5VU0QuSAEAAAD0sKYQAgAAAAcxNDMuOTMzAQgAAAAFAAAAATEBAAAACjE4ODYzNjc1OTEDAAAAAzE2MAIAAAAEMTAwMgQAAAABMAcAAAAJNy8zMS8yMDE4CAAAAAkzLzMxLzIwMTgJAAAAATDWjBE4CAnWCBnpoW80CdYIPUNJUS5OQVNEQVFHUzpFUFpNLklRX1JFVkVOVUVfRVNU</t>
  </si>
  <si>
    <t>LkNZMjAyMC43LzMxLzIwMTguQ09OLkYuVVNELkgBAAAAAyY9AwIAAAAJMTIxLjA4MDY3AQ4AAAAFAAAAAjExAQAAAAEwAgAAAAoxMDAxODY0MjY4AwAAAAYxMDAxODAEAAAAATIGAAAAATAHAAAAAzE2MAgAAAABMAkAAAABMQoAAAABMAsAAAALMTA5ODcxNDM3MDUMAAAAATcNAAAACDgvMS8yMDE4EAAAAAk3LzMxLzIwMTjWjBE4CAnWCHMknW80CdYIO0NJUS5OQVNEQVFHTTpDUklTLklRX1RPVEFMX1JFVi5DWTIwMTcuNy8zMS8yMDE4LkxGUi5GLlVTRC5IAQAAABdqAAACAAAABTkuODk4AQgAAAAFAAAAATEBAAAACjE4NzgwMTE2NTcDAAAAAzE2MAIAAAACMjgEAAAAATAHAAAACTcvMzEvMjAxOAgAAAAKMTIvMzEvMjAxNwkAAAABMMgwsjcICdYI3UukbzQJ1gg2Q0lRLk5BU0RBUUdNOkFGTUQuSVFfVE9UQUxfREVCVC4uNy8xNi8yMDE4LkxGUi5GLlVTRC5IAQAAANv3DAACAAAACDguMDg3OTY0AQgAAAAFAAAAATEBAAAACjE4ODk4NjYwNDkDAAAAAzE2MAIAAAAENDE3MwQAAAABMAcAAAAJNy8xNi8yMDE4CAAAAAkzLzMxLzIwMTgJAAAAATApHJQQNQnWCDDXXRI1CdYIO0NJUS5OQVNEQVFHTTpOTE5LLklRX1RPVEFMX1JFVi5DWTIwMTYuNy8xNi8yMDE4LkxGUi5GLlVTRC5IAQAAAJV7jAACAAAABjM1Ljc2OAEIAAAABQAAAAExAQAAAAoxODc3Mjk4NzA1AwAAAAMxNjACAAAAAjI4BAAAAAEwBwAAAAk3</t>
  </si>
  <si>
    <t>LzE2LzIwMTgIAAAACjEyLzMxLzIwMTYJAAAAATApHJQQNQnWCOR0WxI1CdYIIkNJUS5JUVRSNTYzOTE5MDQ5LklRX1RSX1BDVF9TT1VHSFQBAAAAybicIQIAAAADMTAwAQYAAAAFAAAAAjU0AQAAAAYxMDEwMjQCAAAACTU2MzkxOTA0OQMAAAAJNTYzOTQwMDQyBAAAAAMxNjAGAAAABFRydWUMbRAONQnWCMDbgg41CdYIMUNJUS5JUVRSMjczNTA3MTg1LklRX1RSX1RBUkdFVF9SRVZFTlVFX0VTVC4uVVNELkgBAAAAcWNNEAIAAAAEMC4wNQCys0lvNAnWCIH9lW80CdYINkNJUS5OQVNEQVFHUzpGUFJYLklRX0VCSVREQS4xOTkyLjcvMzEvMjAxOC5MRlIuRi5VU0QuSAEAAAA3XTMAAgAAAAcyNzkuMzc3AQgAAAAFAAAAATEBAAAACjE4NDA1NjU3OTQDAAAAAzE2MAIAAAAENDA1MQQAAAABMAcAAAAJNy8zMS8yMDE4CAAAAAkzLzMxLzIwMTYJAAAAATDWjBE4CAnWCBnpoW80CdYIN0NJUS5OQVNEQVFHUzpBTkFCLklRX1BSRUZfRVFVSVRZLi45LzE1LzIwMTcuTEZSLkYuVVNELkgBAAAAIUyyAQMAAAAAAMT/GxE1CdYIwptiEjUJ1ggwQ0lRLk5BU0RBUUdNOkZBVEUuSVFfTEFTVFNBTEVQUklDRS43LzMxLzIwMTguVVNEAQAAAGgxVwICAAAABDguOTMA1owROAgJ1gjDhp9vNAnWCD1DSVEuTkFTREFRR1M6TUdOWC5JUV9SRVZFTlVFX0VTVC5DWTIwMTkuNy8xNi8yMDE4LkNPTi5GLlVTRC5IAQAAAE8rCQACAAAA</t>
  </si>
  <si>
    <t>CDQ2Ljc5NzA4AQ4AAAAFAAAAAjExAQAAAAEwAgAAAAoxMDAxOTcyOTMwAwAAAAYxMDAxODAEAAAAATIGAAAAATAHAAAAAzE2MAgAAAABMAkAAAABMQoAAAABMAsAAAALMTEwMzM2MzMyMDUMAAAAATcNAAAACTcvMTcvMjAxOBAAAAAJNy8xNi8yMDE4xP8bETUJ1gjCm2ISNQnWCC5DSVEuSVFUUjI3MzUwNzE4NS5JUV9UUl9UQVJHRVRfU1RPQ0tQUkVNSVVNXzFXAQAAAHFjTRACAAAABzg0LjI5MTkBBgAAAAUAAAACNTQBAAAABjEwMTA1NAIAAAAJMjczNTA3MTg1AwAAAAkyNzM1MDc3ODcEAAAAAzE2MAYAAAAFRmFsc2Wys0lvNAnWCIH9lW80CdYILUNJUS5OQVNEQVFHUzpFUFpNLklRX01BUktFVENBUC41LzUvMjAxNy5VU0QuSAEAAAADJj0DAgAAAAo5NTEuMjM5MDY4AQYAAAAFAAAAATEBAAAACjE4MzE3Mjg3NTgDAAAAAzE2MAIAAAAGMTAwMDU0BAAAAAEwBwAAAAg1LzUvMjAxN9aMETgICdYIcySdbzQJ1ghCQ0lRLk5BU0RBUUdNOkxQVFguSVFfVE9UQUxfUkVWXzNZUl9BTk5fQ0FHUi4uNy8xNi8yMDE4LkxGUi5GLlVTRC5IAQAAAAw2CQcDAAAAAAApHJQQNQnWCDDXXRI1CdYIKUNJUS5JUVRSNTMzMzg1NzQ0LklRX1RSX0lNUExJRURfRVFfTklfTFRNAQAAABDSyh8CAAAAAAAMbRAONQnWCMDbgg41CdYIL0NJUS5JUVRSNDA4MjkxMzk1LklRX1RSX1RBUkdFVF9UT1RBTF9SRVYuLlVTRC5IAQAAAEMI</t>
  </si>
  <si>
    <t>VhgCAAAAAABYzxIONQnWCMDbgg41CdYIOUNJUS5OQVNEQVFHUzpGUFJYLklRX1RPVEFMX1JFVi4xOTk2LjcvMzEvMjAxOC5MRlIuRi5VU0QuSAEAAAA3XTMAAgAAAAYzNC4zMDYBCAAAAAUAAAABMQEAAAAKMTg4NzQwMjIyNAMAAAADMTYwAgAAAAIyOAQAAAABMAcAAAAJNy8zMS8yMDE4CAAAAAkzLzMxLzIwMTcJAAAAATDWjBE4CAnWCBnpoW80CdYIO0NJUS5OQVNEQVFHTTpOTE5LLklRX1RPVEFMX1JFVi5DWTIwMTcuNy8xNi8yMDE4LkxGUi5GLlVTRC5IAQAAAJV7jAACAAAABjI4LjcxMQEIAAAABQAAAAExAQAAAAoxODc3Mjk4ODEzAwAAAAMxNjACAAAAAjI4BAAAAAEwBwAAAAk3LzE2LzIwMTgIAAAACjEyLzMxLzIwMTcJAAAAATApHJQQNQnWCOR0WxI1CdYIIUNJUS5JUVRSNTMzMzg1NzQ0LklRX1RSX0JVWUVSTkFNRQEAAAAQ0sofAwAAABxCcmlzdG9sLU15ZXJzIFNxdWliYiBDb21wYW55AAxtEA41CdYId3mADjUJ1gg5Q0lRLk5BU0RBUUdTOk1SU04uSVFfVE9UQUxfUkVWLjIwMDAuNy8zMS8yMDE4LkxGUi5GLlVTRC5IAQAAAObFGAACAAAABjE2LjMxOQEIAAAABQAAAAExAQAAAAoxODg5MDk2NjUzAwAAAAMxNjACAAAAAjI4BAAAAAEwBwAAAAk3LzMxLzIwMTgIAAAACTMvMzEvMjAxOAkAAAABMNaMETgICdYIw4afbzQJ1gg/Q0lRLk9UQ1BLOk5XQk8uSVFfVE9UQUxfUkVWXzJZUl9BTk5fQ0FH</t>
  </si>
  <si>
    <t>Ui4uNy8xNi8yMDE4LkxGUi5GLlVTRC5IAQAAAKN6FAACAAAACC01Mi42MDg5AQgAAAAFAAAAATEBAAAACjE4ODkzMDI4MjQDAAAAAzE2MAIAAAAENDIwNwQAAAABMAcAAAAJNy8xNi8yMDE4CAAAAAkzLzMxLzIwMTgJAAAAATApHJQQNQnWCDDXXRI1CdYINENJUS5OQVNEQVFHUzpOSy5JUV9FQklUREEuMTk5Mi43LzMxLzIwMTguTEZSLkYuVVNELkgBAAAADX2hDwIAAAAILTI1OS4yMDcBCAAAAAUAAAABMQEAAAAKMTg0MDc0MTg1NwMAAAADMTYwAgAAAAQ0MDUxBAAAAAEwBwAAAAk3LzMxLzIwMTgIAAAACTMvMzEvMjAxNgkAAAABMNaMETgICdYIw4afbzQJ1ghDQ0lRLk5BU0RBUUdTOk1SU04uSVFfRUJJVERBXzJZUl9BTk5fQ0FHUi4yMDAwLjcvMzEvMjAxOC5MRlIuRi5VU0QuSAEAAADmxRgAAwAAAAAA1owROAgJ1gjDhp9vNAnWCCBDSVEuSVFUUjMyMTg2NTI5Ny5JUV9UUl9FQVJOT1VUUwEAAABRRi8TAgAAAAAAWM8SDjUJ1ggMPoUONQnWCDxDSVEuTkFTREFRR1M6QURYUy5JUV9FQVJOSU5HX0NPLkNZMjAxNy43LzE2LzIwMTguTEZSLkYuVVNELkgBAAAAnux4AAIAAAAKLTk2Ljg0Njg2NQEIAAAABQAAAAExAQAAAAoxODc4MDEyNDczAwAAAAMxNjACAAAAATcEAAAAATAHAAAACTcvMTYvMjAxOAgAAAAJMS8zMS8yMDE4CQAAAAEwKRyUEDUJ1gjkdFsSNQnWCDxDSVEuTkFTREFRR006TkxOSy5JUV9F</t>
  </si>
  <si>
    <t>QklUREFfRVNULkNZMjAyMC43LzE2LzIwMTguQ09OLkYuVVNELkgBAAAAlXuMAAMAAAAAACkclBA1CdYI5HRbEjUJ1gguQ0lRLk5BU0RBUUdTOkJHTkUuSVFfTUFSS0VUQ0FQLjcvMzEvMjAxOC5VU0QuSAEAAADg5N0GAgAAAAwxMDMwNS4yNjI1ODUBBgAAAAUAAAABMQEAAAAKMTg4NzY4ODUwMAMAAAADMTYwAgAAAAYxMDAwNTQEAAAAATAHAAAACTcvMzEvMjAxOJwL1TgICdYIgf2VbzQJ1gg6Q0lRLk5BU0RBUUdNOkxQVFguSVFfQ0FTSF9TVF9JTlZFU1QuLjcvMTYvMjAxOC5MRlIuRi5VU0QuSAEAAAAMNgkHAgAAAAYzNS4zNzYBCAAAAAUAAAABMQEAAAAKMTg5MDE2MzkzNgMAAAADMTYwAgAAAAQxMDAyBAAAAAEwBwAAAAk3LzE2LzIwMTgIAAAACTMvMzEvMjAxOAkAAAABMCkclBA1CdYIMNddEjUJ1gg0Q0lRLk5BU0RBUUdTOlNHRU4uSVFfUkVWRU5VRV9FU1QuQ1kyMDIwLi5DT04uRi5VU0QuSAEAAABhhQAAAgAAAAoxMTQwLjQxMzI1AQ4AAAAFAAAAAjExAQAAAAEwAgAAAAoxMDAwMTI0NzI4AwAAAAYxMDAxODAEAAAAATIGAAAAATAHAAAAAzE2MAgAAAABMAkAAAABMQoAAAABMAsAAAALMTEwNTIxNTA2MDUMAAAAATcNAAAACTgvMjQvMjAxOBAAAAAJOC8yMy8yMDE4xP8bETUJ1gjE/xsRNQnWCDdDSVEuWFRSQTpNT1IuSVFfRUFSTklOR19DTy5DWTIwMTYuNy8zMS8yMDE4LkxGUi5GLlVTRC5IAQAA</t>
  </si>
  <si>
    <t>AN8RAgACAAAACi02My43NDE5NzgBCAAAAAUAAAABMQEAAAAKMTg3ODMyMzE1NAMAAAADMTYwAgAAAAE3BAAAAAEwBwAAAAk3LzMxLzIwMTgIAAAACjEyLzMxLzIwMTYJAAAAATCcC9U4CAnWCNRfmG80CdYIIkNJUS5JUVRSMzE0ODI5MjM2LklRX1RSX1RPVEFMX0NBU0gBAAAAtOnDEgIAAAADMTQwAFjPEg41CdYIwNuCDjUJ1ggrQ0lRLk5BU0RBUUNNOk1URU0uSVFfTEFTVFNBTEVQUklDRS41LzUvMjAxNwEAAACZm6kBAwAAAAAAyDCyNwgJ1ggZ6aFvNAnWCCVDSVEuSVFUUjQyMjg4NzcwMS5JUV9QUklNQVJZX0lORFVTVFJZAQAAAP3m1g8DAAAADUJpb3RlY2hub2xvZ3kADG0QDjUJ1gjA24IONQnWCDxDSVEuTkFTREFRR006Q1JJUy5JUV9FQVJOSU5HX0NPLkNZMjAxNi43LzMxLzIwMTguTEZSLkYuVVNELkgBAAAAF2oAAAIAAAAHLTYwLjQxMQEIAAAABQAAAAExAQAAAAoxODc4MDExNjU0AwAAAAMxNjACAAAAATcEAAAAATAHAAAACTcvMzEvMjAxOAgAAAAKMTIvMzEvMjAxNgkAAAABMMgwsjcICdYI3UukbzQJ1ggxQ0lRLkFTWDpJTVUuSVFfRUJJVF9NQVJHSU4uLjcvMTYvMjAxOC5MRlIuRi5VU0QuSAEAAACYk6kAAgAAAAgtMjM0LjU4NwEIAAAABQAAAAExAQAAAAoxODc3MzA1MzIwAwAAAAE5AgAAAAQ0MDUzBAAAAAEwBwAAAAk3LzE2LzIwMTgIAAAACjEyLzMxLzIwMTcJAAAAATApHJQQNQnWCDDX</t>
  </si>
  <si>
    <t>XRI1CdYIHUNJUS5OQVNEQVFDTTpBVkVPLklRX0VYQ0hBTkdFAQAAAPQWHQADAAAACE5hc2RhcUNNAEadGRE1CdYIwptiEjUJ1ggxQ0lRLklRVFIzNzE3MTUxMTkuSVFfVFJfVEFSR0VUX1JFVkVOVUVfRVNULi5VU0QuSAEAAAAv7CcWAgAAAAAAWM8SDjUJ1gjA24IONQnWCEJDSVEuTkFTREFRR1M6VFNSTy5JUV9UT1RBTF9SRVZfMllSX0FOTl9DQUdSLi43LzE2LzIwMTguTEZSLkYuVVNELkgBAAAAaNZYBgIAAAAJMTk5MS44NzI4AQgAAAAFAAAAATEBAAAACjE4ODYzMzc0NjYDAAAAAzE2MAIAAAAENDIwNwQAAAABMAcAAAAJNy8xNi8yMDE4CAAAAAkzLzMxLzIwMTgJAAAAATDE/xsRNQnWCBL+ZBI1CdYIIUNJUS5JUVRSNTQ4MzM4MDIwLklRX1RSX0JVWUVSTkFNRQEAAABk+a4gAwAAAB1BU0xBTiBQaGFybWFjZXV0aWNhbHMgTGltaXRlZAAMbRAONQnWCMDbgg41CdYIOENJUS5OQVNEQVFHTTpDUklTLklRX0VCSVREQS5DWTIwMTcuNy8zMS8yMDE4LkxGUi5GLlVTRC5IAQAAABdqAAACAAAABy00OS41MjUBCAAAAAUAAAABMQEAAAAKMTg3ODAxMTY1NwMAAAADMTYwAgAAAAQ0MDUxBAAAAAEwBwAAAAk3LzMxLzIwMTgIAAAACjEyLzMxLzIwMTcJAAAAATDIMLI3CAnWCN1LpG80CdYIHkNJUS5FTlhUUEE6SVBILklRX0NPTVBBTllfTkFNRQEAAACZgAYAAwAAABJJbm5hdGUgUGhhcm1hIFMuQS4AKRyUEDUJ</t>
  </si>
  <si>
    <t>1ghzOWASNQnWCENDSVEuTkFTREFRR1M6QURYUy5JUV9NSU5PUklUWV9JTlRFUkVTVF9UT1RBTC4uOS8xNS8yMDE3LkxGUi5GLlVTRC5IAQAAAJ7seAADAAAAAAApHJQQNQnWCOR0WxI1CdYINkNJUS5OQVNEQVFHUzpOSy5JUV9FQklUREEuQ1kyMDE2LjcvMzEvMjAxOC5MRlIuRi5VU0QuSAEAAAANfaEPAgAAAAgtMTIwLjg5MwEIAAAABQAAAAExAQAAAAoxODc4MDEyNTc4AwAAAAMxNjACAAAABDQwNTEEAAAAATAHAAAACTcvMzEvMjAxOAgAAAAKMTIvMzEvMjAxNgkAAAABMNaMETgICdYIw4afbzQJ1ggiQ0lRLklRVFIyNjM3MTg2NDcuSVFfVFJfVEFSR0VUTkFNRQEAAAD3BrgPAwAAAApUZWxpayBJbmMuALKzSW80CdYINZuTbzQJ1gg3Q0lRLk5BU0RBUUdTOkVQWk0uSVFfUEVSSU9EREFURV9JUy4yMDAwLjcvMzEvMjAxOC5MRlIuRgEAAAADJj0DBQAAAAkzLzMxLzIwMTgA1owROAgJ1ggkwppvNAnWCD1DSVEuTkFTREFRR1M6VFNSTy5JUV9SRVZFTlVFX0VTVC5DWTIwMTguNy8zMS8yMDE4LkNPTi5GLlVTRC5IAQAAAGjWWAYCAAAACDMwNi4wNDA5AQ4AAAAFAAAAAjExAQAAAAEwAgAAAAoxMDAxNTgwMzQwAwAAAAYxMDAxODAEAAAAATIGAAAAATAHAAAAAzE2MAgAAAABMAkAAAABMQoAAAABMAsAAAALMTA5ODExMzc3MjAMAAAAATcNAAAACDgvMS8yMDE4EAAAAAk3LzMxLzIwMTicC9U4CAnWCCTCmm80</t>
  </si>
  <si>
    <t>CdYIMUNJUS5OQVNEQVFHUzpDQUxBLklRX0RBX0NGLi43LzE2LzIwMTguTEZSLkYuVVNELkgBAAAApSeBBgIAAAAFMC40MDkBCAAAAAUAAAABMQEAAAAKMTg4Nzk4MDMwNQMAAAADMTYwAgAAAAQyMTYwBAAAAAEwBwAAAAk3LzE2LzIwMTgIAAAACTMvMzEvMjAxOAkAAAABMCkclBA1CdYI5HRbEjUJ1gghQ0lRLklRVFIyNjM3MTg2NDcuSVFfVFJfQlVZRVJOQU1FAQAAAPcGuA8DAAAAQk1hYlZheCBUaGVyYXBldXRpY3MsIEluYy4gKG5rYTpNYWJWYXggVGhlcmFwZXV0aWNzIEhvbGRpbmdzLCBJbmMuKQCys0lvNAnWCDWbk280CdYIKENJUS5YVFJBOk1PUi5JUV9NQVJLRVRDQVAuNS81LzIwMTcuVVNELkgBAAAA3xECAAIAAAALMTgwMS4yMTQ2MTEBBgAAAAUAAAABMQEAAAAKMTgzOTkzOTc5MgMAAAADMTYwAgAAAAYxMDAwNTQEAAAAATAHAAAACDUvNS8yMDE3nAvVOAgJ1gjUX5hvNAnWCEZDSVEuTkFTREFRR1M6QVROWC5JUV9UT1RBTF9SRVZfMllSX0FOTl9DQUdSLjIwMDAuNy8zMS8yMDE4LkxGUi5GLlVTRC5IAQAAANyZawEDAAAAAADWjBE4CAnWCCTCmm80CdYIK0NJUS5JUVRSNDMxODQxNTgxLklRX1RSX1RPVEFMX0dST1NTX1RWLi5VU0QBAAAALWG9GQIAAAADODI1AQYAAAAFAAAAAjU0AQAAAAYxMDIwODgCAAAACTQzMTg0MTU4MQMAAAAJNDMxODQyMzg2BAAAAAMxNjAGAAAABUZhbHNlDG0QDjUJ</t>
  </si>
  <si>
    <t>1ggMPoUONQnWCCxDSVEuSVFUUjU1MzU0ODAyNS5JUV9UUl9UQVJHRVRfRUJJVERBLi5VU0QuSAEAAAD5eP4gAgAAAAktOS4wNDU5MDIBBwAAAAUAAAACMzcBAAAACjE4NzcwMDUyNTcCAAAABTIxNjc3AwAAAAMxNjAEAAAAATAHAAAACDEvMS8xOTAwBgAAAAkyLzIxLzIwMTiys0lvNAnWCIH9lW80CdYIJUNJUS5PVENQSzpNQlZYLklRX1RFVi43LzE2LzIwMTguVVNELkgBAAAA2ESLAgIAAAAIOS45NzQ0MjYBBgAAAAUAAAABMQEAAAAKMTg4MTIxMzIzNQMAAAADMTYwAgAAAAYxMDAwNjAEAAAAATAHAAAACTcvMTYvMjAxON6nfhA1CdYImBJZEjUJ1ggxQ0lRLk5BU0RBUUdTOlBCWUkuSVFfREFfQ0YuLjcvMTYvMjAxOC5MRlIuRi5VU0QuSAEAAAACaqwHAgAAAAUzLjg3NQEIAAAABQAAAAExAQAAAAoxODg4NjY3NzQzAwAAAAMxNjACAAAABDIxNjAEAAAAATAHAAAACTcvMTYvMjAxOAgAAAAJMy8zMS8yMDE4CQAAAAEwxP8bETUJ1ggS/mQSNQnWCDFDSVEuWFRSQTpNT1IuSVFfRUJJVERBLjIwMDAuNy8zMS8yMDE4LkxGUi5GLlVTRC5IAQAAAN8RAgACAAAACi03MS4zNDQ0ODcBCAAAAAUAAAABMQEAAAAKMTg4NjE1MTY0OAMAAAADMTYwAgAAAAQ0MDUxBAAAAAEwBwAAAAk3LzMxLzIwMTgIAAAACTMvMzEvMjAxOAkAAAABMJwL1TgICdYI1F+YbzQJ1gg1Q0lRLk5BU0RBUUNNOlNSTkUuSVFfREFfQ0YuMjAw</t>
  </si>
  <si>
    <t>MC43LzMxLzIwMTguTEZSLkYuVVNELkgBAAAASUOUAwIAAAAENy42MwEIAAAABQAAAAExAQAAAAoxODg3OTg5ODMxAwAAAAMxNjACAAAABDIxNjAEAAAAATAHAAAACTcvMzEvMjAxOAgAAAAJMy8zMS8yMDE4CQAAAAEw1owROAgJ1ghzJJ1vNAnWCCJDSVEuWFRSQTpNT1IuSVFfQkVUQV8yWVIuNy8zMS8yMDE4AQAAAN8RAgACAAAAEDEuMDEzODk1MTcyNDk4NjEAnAvVOAgJ1gjUX5hvNAnWCDBDSVEuTkFTREFRR1M6UEJZSS5JUV9MQVNUU0FMRVBSSUNFLjcvMTYvMjAxOC5VU0QBAAAAAmqsBwIAAAAFNTIuNTUARp0ZETUJ1ggS/mQSNQnWCEFDSVEuWFRSQTpNT1IuSVFfVE9UQUxfUkVWXzNZUl9BTk5fQ0FHUi4yMDAwLjcvMzEvMjAxOC5MRlIuRi5VU0QuSAEAAADfEQIAAgAAAActMjEuMzA5AQgAAAAFAAAAATEBAAAACjE4ODYxNTE2NDgDAAAAAjUwAgAAAAQ0MjIwBAAAAAEwBwAAAAk3LzMxLzIwMTgIAAAACTMvMzEvMjAxOAkAAAABMJwL1TgICdYI1F+YbzQJ1ghCQ0lRLk5BU0RBUUdTOk1HTlguSVFfVE9UQUxfUkVWXzVZUl9BTk5fQ0FHUi4uNy8xNi8yMDE4LkxGUi5GLlVTRC5IAQAAAE8rCQACAAAABzI0LjM2MzEBCAAAAAUAAAABMQEAAAAKMTg4NzExNDk0NQMAAAADMTYwAgAAAAQ0MjMzBAAAAAEwBwAAAAk3LzE2LzIwMTgIAAAACTMvMzEvMjAxOAkAAAABMMT/GxE1CdYIwptiEjUJ1gg8Q0lRLk5B</t>
  </si>
  <si>
    <t>U0RBUUdNOkZBVEUuSVFfVE9UQUxfRVFVSVRZLjIwMDAuNy8zMS8yMDE4LkxGUi5GLlVTRC5IAQAAAGgxVwICAAAABjY0Ljk5NQEIAAAABQAAAAExAQAAAAoxODg4NTAwNTI3AwAAAAMxNjACAAAABDEyNzUEAAAAATAHAAAACTcvMzEvMjAxOAgAAAAJMy8zMS8yMDE4CQAAAAEw1owROAgJ1gjDhp9vNAnWCC5DSVEuSVFUUjMyMTg2NTI5Ny5JUV9UUl9UQVJHRVRfU1RPQ0tQUkVNSVVNXzFXAQAAAFFGLxMCAAAAAABYzxIONQnWCAw+hQ41CdYINENJUS5YVFJBOk1PUi5JUV9UT1RBTF9SRVYuMTk5Ni43LzMxLzIwMTguTEZSLkYuVVNELkgBAAAA3xECAAIAAAAJNTIuOTE3NjYxAQgAAAAFAAAAATEBAAAACjE4ODYxNTE2NDcDAAAAAzE2MAIAAAACMjgEAAAAATAHAAAACTcvMzEvMjAxOAgAAAAJMy8zMS8yMDE3CQAAAAEwnAvVOAgJ1gjUX5hvNAnWCDZDSVEuT1RDUEs6TldCTy5JUV9FQklUREFfTUFSR0lOLi43LzE2LzIwMTguTEZSLkYuVVNELkgBAAAAo3oUAAMAAAACTk0BCAAAAAUAAAABMQEAAAAKMTg4OTMwMjgyNAMAAAADMTYwAgAAAAQ0MDQ3BAAAAAEwBwAAAAk3LzE2LzIwMTgIAAAACTMvMzEvMjAxOAkAAAABMCkclBA1CdYIczlgEjUJ1gglQ0lRLklRVFI0MDgyOTEzOTUuSVFfUFJJTUFSWV9JTkRVU1RSWQEAAACyTxoDAwAAAA1CaW90ZWNobm9sb2d5AAxtEA41CdYIwNuCDjUJ1ggiQ0lRLjAuSVFf</t>
  </si>
  <si>
    <t>VFJfVEFSR0VUX1NUT0NLUFJFTUlVTV8xVwUAAAAAAAAACAAAABgoSW52YWxpZCBUcmFuc2FjdGlvbiBJZClJU0dvNAnWCAfi8IE0CdYILUNJUS5OQVNEQVFHUzpDQUxBLklRX01BUktFVENBUC41LzUvMjAxNy5VU0QuSAEAAAClJ4EGAgAAAAozOTMuNDg2NTY2AQYAAAAFAAAAATEBAAAACjE4MzIxNzc2NTYDAAAAAzE2MAIAAAAGMTAwMDU0BAAAAAEwBwAAAAg1LzUvMjAxN8gwsjcICdYI3UukbzQJ1ggtQ0lRLk5BU0RBUUdTOkdUSFguSVFfTUFSS0VUQ0FQLjUvNS8yMDE3LlVTRC5IAQAAAGU0aQgDAAAAAADWjBE4CAnWCCTCmm80CdYIPENJUS5OQVNEQVFHUzpLVVJBLklRX1RPVEFMX0VRVUlUWS4yMDAwLjcvMzEvMjAxOC5MRlIuRi5VU0QuSAEAAAC4y9oQAgAAAAUxMjQuOAEIAAAABQAAAAExAQAAAAoxODg3MzgyOTM3AwAAAAMxNjACAAAABDEyNzUEAAAAATAHAAAACTcvMzEvMjAxOAgAAAAJMy8zMS8yMDE4CQAAAAEw1owROAgJ1ghzJJ1vNAnWCCFDSVEuSVEyNjIyNDE1NDkuSVFfQ09NUEFOWV9USUNLRVIBAAAADX2hDwMAAAALTmFzZGFxR1M6TksAsrNJbzQJ1gh7HeyBNAnWCCxDSVEuSVFUUjI2MzcxODY0Ny5JUV9UUl9UT1RBTF9HUk9TU19UVi5VU0QuSAUAAAAAAAAACAAAABooSW52YWxpZCBDdXJyZW5jeSBSZXF1ZXN0KUlTR280CdYIgf2VbzQJ1ggpQ0lRLk5BU0RBUUdNOkxQVFguSVFfQlVT</t>
  </si>
  <si>
    <t>SU5FU1NfREVTQ1JJUFRJT04BAAAADDYJBwMAAADVBkxlYXAgVGhlcmFwZXV0aWNzLCBJbmMuLCBhIGJpb3BoYXJtYWNldXRpY2FsIGNvbXBhbnksIGFjcXVpcmVzIGFuZCBkZXZlbG9wcyB0aGVyYXBpZXMgZm9yIHRoZSB0cmVhdG1lbnQgb2YgY2FuY2VyLiBUaGUgY29tcGFueeKAmXMgY2xpbmljYWwgc3RhZ2UgcHJvZ3JhbXMgaW5jbHVkZSBES04tMDEsIGEgbW9ub2Nsb25hbCBhbnRpYm9keSB0aGF0IGluaGliaXRzIERpY2trb3BmLXJlbGF0ZWQgcHJvdGVpbiAxLCB3aGljaCBpcyBpbiBQaGFzZSBJL0lJIGNsaW5pY2FsIHRyaWFsIGluIHBhdGllbnRzIHdpdGggZXNvcGhhZ29nYXN0cmljLCBiaWxpYXJ5IHRyYWN0LCBneW5lY29sb2dpYywgYW5kIG5vbi1zbWFsbCBjZWxsIGx1bmcgY2FuY2VycywgYXMgd2VsbCBhcyBoZXBhdG9jZWxsdWxhciBjYXJjaW5vbWEsIGEgdHlwZSBvZiBsaXZlciBjYW5jZXIuIEl0cyBjbGluaWNhbCBzdGFnZSBwcm9ncmFtcyBhbHNvIGluY2x1ZGUgVFJYNTE4LCBhIG1vbm9jbG9uYWwgYW50aWJvZHksIHdoaWNoIGlzIGluIGNsaW5pY2FsIHRyaWFsIHRhcmdldGluZyB0aGUgZ2x1Y29jb3J0aWNvaWQtaW5kdWNlZCB0dW1vciBuZWNyb3NpcyBmYWN0b3ItcmVsYXRlZCByZWNlcHRvciBpbiBwYXRpZW50cyB3aXRoIHNvbGlkIHR1bW9ycy4gVGhlIGNvbXBhbnkgd2Fz</t>
  </si>
  <si>
    <t>IGZvcm1lcmx5IGtub3duIGFzIEhlYWx0aENhcmUgUGhhcm1hY2V1dGljYWxzLCBJbmMuIGFuZCBjaGFuZ2VkIGl0cyBuYW1lIHRvIExlYXAgVGhlcmFwZXV0aWNzLCBJbmMuIGluIE5vdmVtYmVyIDIwMTUuIExlYXAgVGhlcmFwZXV0aWNzLCBJbmMuIHdhcyBmb3VuZGVkIGluIDIwMTEgYW5kIGlzIGJhc2VkIGluIENhbWJyaWRnZSwgTWFzc2FjaHVzZXR0cy4AKRyUEDUJ1ggw110SNQnWCCtDSVEuSVFUUjQxMTg3MTA4Mi5JUV9UUl9UT1RBTF9HUk9TU19UVi4uVVNEAQAAAGqnjBgCAAAABjE2OTYuMwEGAAAABQAAAAI1NAEAAAAGMTAyMDg4AgAAAAk0MTE4NzEwODIDAAAACTQxMTg3MTI5MQQAAAADMTYwBgAAAAVGYWxzZbKzSW80CdYINZuTbzQJ1gghQ0lRLklRVFI1NTM1NDgwMjUuSVFfVFJfQlVZRVJOQU1FAQAAAPl4/iADAAAAJk1lcmNrIFNoYXJwICYgRG9obWUgKEhvbGRpbmdzKSBQdHkgTHRkALKzSW80CdYIgf2VbzQJ1gg5Q0lRLi5JUV9NSU5PUklUWV9JTlRFUkVTVF9UT1RBTC4yMDAwLjUvNS8yMDE3LkxGUi5GLlVTRC5IBQAAAAEAAAAIAAAAFChJbnZhbGlkIElkZW50aWZpZXIp9YQyRzQJ1gj1hDJHNAnWCEZDSVEuTkFTREFRR006Q1JWUy5JUV9NSU5PUklUWV9JTlRFUkVTVF9UT1RBTC4yMDAwLjUvNS8yMDE3LkxGUi5GLlVTRC5IAQAAAPSwphADAAAAAADWjBE4CAnWCBnpoW80CdYIKUNJ</t>
  </si>
  <si>
    <t>US5OQVNEQVFHTTpDUklTLklRX0JVU0lORVNTX0RFU0NSSVBUSU9OAQAAABdqAAADAAAApApDdXJpcywgSW5jLiwgYSBiaW90ZWNobm9sb2d5IGNvbXBhbnksIGZvY3VzZXMgb24gdGhlIGRldmVsb3BtZW50IGFuZCBjb21tZXJjaWFsaXphdGlvbiBvZiBkcnVnIGNhbmRpZGF0ZXMgZm9yIHRoZSB0cmVhdG1lbnQgb2YgaHVtYW4gY2FuY2VycyBpbiB0aGUgVW5pdGVkIFN0YXRlcy4gSXRzIGNsaW5pY2FsIHN0YWdlIGRydWcgY2FuZGlkYXRlcyBpbmNsdWRlIENVREMtOTA3LCBhbiBvcmFsIGR1YWwgaW5oaWJpdG9yIG9mIEhEQUMgYW5kIFBJM0sgZW56eW1lcywgd2hpY2ggaXMgaW4gUGhhc2UgSUkgY2xpbmljYWwgdHJpYWwgZm9yIHRoZSB0cmVhdG1lbnQgb2YgcGF0aWVudHMgd2l0aCBNWUMtYWx0ZXJlZCBkaWZmdXNlIGxhcmdlIEItY2VsbCBseW1waG9tYSBhbmQgc29saWQgdHVtb3JzOyBDQS0xNzAsIGFuIG9yYWwgc21hbGwgbW9sZWN1bGUgZHJ1ZyBjYW5kaWRhdGUgdGhhdCBpcyBpbiBQaGFzZSBJIGNsaW5pY2FsIHRyaWFsIGZvciB0cmVhdGluZyBwYXRpZW50cyB3aXRoIGFkdmFuY2VkIHNvbGlkIHR1bW9ycyBhbmQgbHltcGhvbWFzOyBDQS00OTQ4LCBhbiBvcmFsIHNtYWxsIG1vbGVjdWxlIGRydWcgY2FuZGlkYXRlLCB3aGljaCBpcyBpbiBQaGFzZSBJIGNsaW5pY2FsIHRyaWFsIGZvciB0</t>
  </si>
  <si>
    <t>aGUgdHJlYXRtZW50IG9mIG5vbi1ob2Rna2luIGx5bXBob21hczsgYW5kIENBLTMyNywgYW4gb3JhbCBzbWFsbCBtb2xlY3VsZSBkcnVnIGNhbmRpZGF0ZSB0aGF0IGlzIGluIHByZWNsaW5pY2FsIHN0YWdlIGZvciB0aGUgdHJlYXRtZW50IG9mIGNhbmNlcnMuIFRoZSBjb21wYW55IGhhcyBjb2xsYWJvcmF0aW9uIGFncmVlbWVudCB3aXRoIEYuIEhvZmZtYW5uLUxhIFJvY2hlIEx0ZC4gYW5kIEdlbmVudGVjaCBJbmMuIGZvciB0aGUgZGV2ZWxvcG1lbnQgYW5kIGNvbW1lcmNpYWxpemF0aW9uIG9mIEVyaXZlZGdlLCBhbiBvcmFsbHktYWRtaW5pc3RlcmVkIHNtYWxsIG1vbGVjdWxlIGhlZGdlaG9nIHNpZ25hbGluZyBwYXRod2F5IGluaGliaXRvciBmb3IgdGhlIHRyZWF0bWVudCBvZiBhZHZhbmNlZCBiYXNhbCBjZWxsIGNhcmNpbm9tYTsgYW5kIHdpdGggQXVyaWdlbmUgRGlzY292ZXJ5IFRlY2hub2xvZ2llcyBMaW1pdGVkIGZvciB0aGUgZGlzY292ZXJ5LCBkZXZlbG9wbWVudCwgYW5kIGNvbW1lcmNpYWxpemF0aW9uIG9mIHNtYWxsIG1vbGVjdWxlIGNvbXBvdW5kcyBpbiB0aGUgYXJlYXMgb2YgaW1tdW5vLW9uY29sb2d5IGFuZCBwcmVjaXNpb24gb25jb2xvZ3kuIEN1cmlzLCBJbmMuIHdhcyBmb3VuZGVkIGluIDIwMDAgYW5kIGlzIGhlYWRxdWFydGVyZWQgaW4gTGV4aW5ndG9uLCBNYXNzYWNo</t>
  </si>
  <si>
    <t>dXNldHRzLgDIMLI3CAnWCN1LpG80CdYILkNJUS5JUVRSMzEyMTIyNTA0LklRX1RSX1RBUkdFVF9TVE9DS1BSRU1JVU1fMU0BAAAAiJyaEgIAAAAAAFjPEg41CdYIwNuCDjUJ1gg4Q0lRLk5BU0RBUUdTOkFEWFMuSVFfRUJJVERBLkNZMjAxNi43LzE2LzIwMTguTEZSLkYuVVNELkgBAAAAnux4AAIAAAAJLTczLjA2MTc4AQgAAAAFAAAAATEBAAAACjE4NzgwMTI0MjkDAAAAAzE2MAIAAAAENDA1MQQAAAABMAcAAAAJNy8xNi8yMDE4CAAAAAkxLzMxLzIwMTcJAAAAATApHJQQNQnWCOR0WxI1CdYIM0NJUS5PVENQSzpOV0JPLklRX0VBUk5JTkdfQ08uLjcvMTYvMjAxOC5MRlIuRi5VU0QuSAEAAACjehQAAgAAAActODIuMDY4AQgAAAAFAAAAATEBAAAACjE4ODkzMDI4MjQDAAAAAzE2MAIAAAABNwQAAAABMAcAAAAJNy8xNi8yMDE4CAAAAAkzLzMxLzIwMTgJAAAAATApHJQQNQnWCDDXXRI1CdYIO0NJUS5OQVNEQVFDTTpDS1BULklRX1RPVEFMX1JFVi5DWTIwMTcuNy8xNi8yMDE4LkxGUi5GLlVTRC5IAQAAALhRFhECAAAABTEuNzI1AQgAAAAFAAAAATEBAAAACjE4Nzg3ODQ1NzgDAAAAAzE2MAIAAAACMjgEAAAAATAHAAAACTcvMTYvMjAxOAgAAAAKMTIvMzEvMjAxNwkAAAABMCkclBA1CdYIMNddEjUJ1ggqQ0lRLklRVFIyNDU4MzEwMDcuSVFfVFJfVEFSR0VUX0VCSVQuLlVTRC5IAQAAAF8Vpw4CAAAABi05</t>
  </si>
  <si>
    <t>LjMwNAEGAAAABQAAAAIzNwEAAAAKMTYzMDI5Njk3MgIAAAAFMjE2NzUDAAAAAzE2MAQAAAABMAcAAAAIMS8xLzE5MDCys0lvNAnWCIH9lW80CdYIO0NJUS5FTlhUUEE6SVBILklRX1RPVEFMX0VRVUlUWS5DWTIwMTYuNy8xNi8yMDE4LkxGUi5GLlVTRC5IAQAAAJmABgACAAAACTkwLjk2MjczNgEIAAAABQAAAAExAQAAAAoxODg5NTUyMTM2AwAAAAMxNjACAAAABDEyNzUEAAAAATAHAAAACTcvMTYvMjAxOAgAAAAKMTIvMzEvMjAxNgkAAAABMCkclBA1CdYIczlgEjUJ1ggwQ0lRLk5BU0RBUUdTOlNHRU4uSVFfTEFTVFNBTEVQUklDRS43LzE2LzIwMTguVVNEAQAAAGGFAAACAAAABTY4Ljk5AEadGRE1CdYIaGBnEjUJ1ggpQ0lRLklRVFIzMTIxMjI1MDQuSVFfVFJfSU1QTElFRF9FUV9OSV9MVE0BAAAAiJyaEgIAAAAIOS4xMTkyMTcAWM8SDjUJ1gjA24IONQnWCDxDSVEuTkFTREFRQ006TVRFTS5JUV9FQklUREFfRVNULkNZMjAyMC43LzMxLzIwMTguQ09OLkYuVVNELkgBAAAAmZupAQMAAAAAAMgwsjcICdYIGemhbzQJ1gguQ0lRLklRVFI1NjM5MTkwNDkuSVFfVFJfVEFSR0VUX1NUT0NLUFJFTUlVTV8xVwEAAADJuJwhAgAAAAc4MS4wMjgyAQYAAAAFAAAAAjU0AQAAAAYxMDEwNTQCAAAACTU2MzkxOTA0OQMAAAAJNTYzOTQwMDQyBAAAAAMxNjAGAAAABUZhbHNlDG0QDjUJ1gjA24IONQnWCChDSVEuTkFT</t>
  </si>
  <si>
    <t>REFRR1M6TVJTTi5JUV9URVYuNy8xNi8yMDE4LlVTRC5IAQAAAObFGAACAAAACjI0NS4xODc1NzMBBgAAAAUAAAABMQEAAAAKMTg4OTA5NDEwMAMAAAADMTYwAgAAAAYxMDAwNjAEAAAAATAHAAAACTcvMTYvMjAxOEadGRE1CdYIczlgEjUJ1ggrQ0lRLklRVFI1NDgzMzgwMjAuSVFfVFJfVE9UQUxfR1JPU1NfVFYuLlVTRAEAAABk+a4gAgAAAAMxMjkBBgAAAAUAAAACNTQBAAAABjEwMjA4OAIAAAAJNTQ4MzM4MDIwAwAAAAk1NDgzNDA5ODUEAAAAAzE2MAYAAAAFRmFsc2UMbRAONQnWCMDbgg41CdYIK0NJUS5JUVRSMjYzNzE4NjQ3LklRX1RSX0lNUExJRURfRVZfRUJJVF9GV0QBAAAA9wa4DwIAAAAAALKzSW80CdYIgf2VbzQJ1gg8Q0lRLk5BU0RBUUdTOkpOQ0UuSVFfRUJJVERBX0VTVC5DWTIwMTguNy8xNi8yMDE4LkNPTi5GLlVTRC5IAQAAAOJ5ng0CAAAABy00MS44MzEBDgAAAAUAAAACMTEBAAAAATACAAAACjEwMDM2MjkwOTcDAAAABjEwMDE4NwQAAAABMgYAAAABMAcAAAADMTYwCAAAAAEwCQAAAAExCgAAAAEwCwAAAAsxMDg4NzQxNzk0MgwAAAABNw0AAAAJNy8xNy8yMDE4EAAAAAk3LzE2LzIwMTgpHJQQNQnWCJgSWRI1CdYIO0NJUS5OQVNEQVFDTTpDS1BULklRX1RPVEFMX1JFVi5DWTIwMTYuNy8xNi8yMDE4LkxGUi5GLlVTRC5IAQAAALhRFhECAAAABDIuNTcBCAAAAAUAAAABMQEAAAAKMTg3</t>
  </si>
  <si>
    <t>ODc4NDU3NQMAAAADMTYwAgAAAAIyOAQAAAABMAcAAAAJNy8xNi8yMDE4CAAAAAoxMi8zMS8yMDE2CQAAAAEwKRyUEDUJ1ggw110SNQnWCDxDSVEuTkFTREFRR1M6TVJTTi5JUV9FQklUREFfRVNULkNZMjAxOC43LzE2LzIwMTguQ09OLkYuVVNELkgBAAAA5sUYAAIAAAAHLTUwLjYyNAEOAAAABQAAAAIxMQEAAAABMAIAAAAKMTAwMzgwMzI3NQMAAAAGMTAwMTg3BAAAAAEyBgAAAAEwBwAAAAMxNjAIAAAAATAJAAAAATEKAAAAATALAAAACzEwODgzODMxNjUyDAAAAAE3DQAAAAk3LzE3LzIwMTgQAAAACTcvMTYvMjAxOMT/GxE1CdYIczlgEjUJ1ggzQ0lRLk5BU0RBUUdTOkJHTkUuSVFfR1JPU1NfTUFSR0lOLjIwMDAuLkxGUi5GLlVTRC5IAQAAAODk3QYCAAAABy0zNy44NDUBCAAAAAUAAAABMQEAAAAKMTg5OTkwMDYzMQMAAAADMTYwAgAAAAQ0MDc0BAAAAAEwBwAAAAk4LzIzLzIwMTgIAAAACTYvMzAvMjAxOAkAAAABMJwL1TgICdYInAvVOAgJ1gg8Q0lRLk5BU0RBUUNNOkNLUFQuSVFfRUFSTklOR19DTy5DWTIwMTcuNy8xNi8yMDE4LkxGUi5GLlVTRC5IAQAAALhRFhECAAAABy0yMi42NzcBCAAAAAUAAAABMQEAAAAKMTg3ODc4NDU3OAMAAAADMTYwAgAAAAE3BAAAAAEwBwAAAAk3LzE2LzIwMTgIAAAACjEyLzMxLzIwMTcJAAAAATApHJQQNQnWCOR0WxI1CdYIL0NJUS5JUVRSNTMzMzg1NzQ0LklRX1RS</t>
  </si>
  <si>
    <t>X1RBUkdFVF9UT1RBTF9SRVYuLlVTRC5IAQAAABDSyh8CAAAAAAAMbRAONQnWCMDbgg41CdYIIENJUS5JUVRSNDA5OTUxODg2LklRX1RSX0VBUk5PVVRTAQAAAI5ebxgCAAAAAjMwAQYAAAAFAAAAAjU0AQAAAAYxMDE0MDMCAAAACTQwOTk1MTg4NgMAAAAJNDA5OTUxOTM2BAAAAAMxNjAGAAAABUZhbHNlDG0QDjUJ1gjA24IONQnWCBZDSVEuMC5JUV9UUl9UT1RBTF9DQVNIBQAAAAAAAAAIAAAAGChJbnZhbGlkIFRyYW5zYWN0aW9uIElkKUlTR280CdYIzFjngTQJ1gghQ0lRLk5BU0RBUUdTOkFOQUIuSVFfQ09NUEFOWV9OQU1FAQAAACFMsgEDAAAAEEFuYXB0eXNCaW8sIEluYy4ARp0ZETUJ1ggS/mQSNQnWCCxDSVEuTkFTREFRR006TkxOSy5JUV9MQVNUU0FMRVBSSUNFLjkvMTUvMjAxNwEAAACVe4wAAgAAAAUxMi42NwApHJQQNQnWCOR0WxI1CdYIIUNJUS5JUVRSMzcxNzE1MTE5LklRX1RSX0JVWUVSTkFNRQEAAAAv7CcWAwAAABxCcmlzdG9sLU15ZXJzIFNxdWliYiBDb21wYW55AFjPEg41CdYIwNuCDjUJ1gggQ0lRLklRVFI0MTM5NTM2NjEuSVFfVFJfRUFSTk9VVFMBAAAAfW6sGAIAAAADNTgwAQYAAAAFAAAAAjU0AQAAAAYxMDE0MDMCAAAACTQxMzk1MzY2MQMAAAAJNDEzOTU3NjQwBAAAAAMxNjAGAAAABUZhbHNlsrNJbzQJ1giB/ZVvNAnWCCVDSVEuSVFUUjU0NzQyMzY4MC5JUV9QUklNQVJZX0lO</t>
  </si>
  <si>
    <t>RFVTVFJZAQAAAAIYcwgDAAAADUJpb3RlY2hub2xvZ3kADG0QDjUJ1gjA24IONQnWCDpDSVEuTkFTREFRR1M6Q1RNWC5JUV9DQVNIX1NUX0lOVkVTVC4uOS8xNS8yMDE3LkxGUi5GLlVTRC5IAQAAANw4mwMCAAAABzMzNS45MTYBCAAAAAUAAAABMQEAAAAKMTg1MjM1OTcyMgMAAAADMTYwAgAAAAQxMDAyBAAAAAEwBwAAAAk5LzE1LzIwMTcIAAAACTYvMzAvMjAxNwkAAAABMMT/GxE1CdYIwptiEjUJ1ghGQ0lRLihJTlZBTElEIElERU5USUZJRVIpLklRX0VCSVREQV8yWVJfQU5OX0NBR1IuLjcvMTYvMjAxOC5MRlIuRi5VU0QuSAUAAAAAAAAACAAAABQoSW52YWxpZCBJZGVudGlmaWVyKd6nfhA1CdYImBJZEjUJ1gg8Q0lRLk5BU0RBUUdNOkFSUUwuSVFfR1JPU1NfTUFSR0lOLjIwMDAuNy8zMS8yMDE4LkxGUi5GLlVTRC5IAQAAAPZhAAADAAAAAk5NAQgAAAAFAAAAATEBAAAACjE4ODg3ODg3NzADAAAAAzE2MAIAAAAENDA3NAQAAAABMAcAAAAJNy8zMS8yMDE4CAAAAAkzLzMxLzIwMTgJAAAAATDWjBE4CAnWCHMknW80CdYIJUNJUS5JUVRSMzE0ODI5MjM2LklRX1BSSU1BUllfSU5EVVNUUlkBAAAARObDEgMAAAANQmlvdGVjaG5vbG9neQAMbRAONQnWCMDbgg41CdYINkNJUS5OQVNEQVFHTTpDUklTLklRX0VCSVREQS4yMDAwLjcvMzEvMjAxOC5MRlIuRi5VU0QuSAEAAAAXagAAAgAAAActNDQuMzgyAQgA</t>
  </si>
  <si>
    <t>AAAFAAAAATEBAAAACjE4ODYyNDc0MjADAAAAAzE2MAIAAAAENDA1MQQAAAABMAcAAAAJNy8zMS8yMDE4CAAAAAkzLzMxLzIwMTgJAAAAATDIMLI3CAnWCN1LpG80CdYIO0NJUS5OQVNEQVFHUzpCR05FLklRX1RPVEFMX1JFVi5DWTIwMTYuNy8zMS8yMDE4LkxGUi5GLlVTRC5IAQAAAODk3QYCAAAABDEuMDcBCAAAAAUAAAABMQEAAAAKMTg5OTg4MTIwNAMAAAADMTYwAgAAAAIyOAQAAAABMAcAAAAJNy8zMS8yMDE4CAAAAAoxMi8zMS8yMDE2CQAAAAEwnAvVOAgJ1giB/ZVvNAnWCClDSVEuSVFUUjU1MzU0ODAyNS5JUV9UUl9JTVBMSUVEX0VRX05JX0xUTQEAAAD5eP4gAwAAAAJOTQCys0lvNAnWCIH9lW80CdYIPUNJUS5OQVNEQVFDTTpBVkVPLklRX1JFVkVOVUVfRVNULkNZMjAyMS43LzE2LzIwMTguQ09OLkYuVVNELkgBAAAA9BYdAAIAAAAFMTE4LjMBDgAAAAUAAAACMTEBAAAAATACAAAACjEwMDA5MzM2MjgDAAAABjEwMDE4MAQAAAABMgYAAAABMAcAAAADMTYwCAAAAAEwCQAAAAExCgAAAAEwCwAAAAsxMDg3MTI2MTEzOQwAAAABNw0AAAAJNy8xNy8yMDE4EAAAAAk3LzE2LzIwMTjE/xsRNQnWCMKbYhI1CdYIOUNJUS5OQVNEQVFHUzpCR05FLklRX1RPVEFMX1JFVi4yMDAwLjcvMzEvMjAxOC5MRlIuRi5VU0QuSAEAAADg5N0GAgAAAAcyNzAuOTMxAQgAAAAFAAAAATEBAAAACjE4ODc2ODg1ODgDAAAA</t>
  </si>
  <si>
    <t>AzE2MAIAAAACMjgEAAAAATAHAAAACTcvMzEvMjAxOAgAAAAJMy8zMS8yMDE4CQAAAAEwnAvVOAgJ1giB/ZVvNAnWCDxDSVEuTkFTREFRR1M6RlBSWC5JUV9UT1RBTF9FUVVJVFkuMTk5Mi43LzMxLzIwMTguTEZSLkYuVVNELkgBAAAAN10zAAIAAAAHNDI4LjEzNwEIAAAABQAAAAExAQAAAAoxODQwNTY1Nzk0AwAAAAMxNjACAAAABDEyNzUEAAAAATAHAAAACTcvMzEvMjAxOAgAAAAJMy8zMS8yMDE2CQAAAAEwyDCyNwgJ1ggZ6aFvNAnWCC1DSVEuTkFTREFRR1M6QkdORS5JUV9FQklUREEuMTk5Mi4uTEZSLkYuVVNELkgBAAAA4OTdBgIAAAAHLTgzLjU3OQEIAAAABQAAAAExAQAAAAoxODUyNzAwNTIxAwAAAAMxNjACAAAABDQwNTEEAAAAATAHAAAACTgvMjMvMjAxOAgAAAAJNi8zMC8yMDE2CQAAAAEwnAvVOAgJ1gicC9U4CAnWCDhDSVEuTkFTREFRR1M6QkdORS5JUV9FQklUREEuQ1kyMDE2LjcvMzEvMjAxOC5MRlIuRi5VU0QuSAEAAADg5N0GAgAAAAgtMTE1LjE1MQEIAAAABQAAAAExAQAAAAoxODk5ODgxMjA0AwAAAAMxNjACAAAABDQwNTEEAAAAATAHAAAACTcvMzEvMjAxOAgAAAAKMTIvMzEvMjAxNgkAAAABMJwL1TgICdYIgf2VbzQJ1ggwQ0lRLk5BU0RBUUNNOlpJT1AuSVFfTEFTVFNBTEVQUklDRS43LzMxLzIwMTguVVNEAQAAALNRsgACAAAABDIuNTkA1owROAgJ1gjDhp9vNAnWCDZDSVEuTkFT</t>
  </si>
  <si>
    <t>REFRR1M6QU5BQi5JUV9FQVJOSU5HX0NPLi43LzE2LzIwMTguTEZSLkYuVVNELkgBAAAAIUyyAQIAAAAHLTMzLjcyMQEIAAAABQAAAAExAQAAAAoxODg3NDAwMDQzAwAAAAMxNjACAAAAATcEAAAAATAHAAAACTcvMTYvMjAxOAgAAAAJMy8zMS8yMDE4CQAAAAEwxP8bETUJ1gjCm2ISNQnWCDFDSVEuSVFUUjQwMzc5MTc2Ny5JUV9UUl9UQVJHRVRfUkVWRU5VRV9FU1QuLlVTRC5IAQAAAJdfERgCAAAAAABYzxIONQnWCMDbgg41CdYIN0NJUS5OQVNEQVFHTTpDUklTLklRX1BFUklPRERBVEVfSVMuMjAwMC43LzMxLzIwMTguTEZSLkYBAAAAF2oAAAUAAAAJMy8zMS8yMDE4AMgwsjcICdYI3UukbzQJ1ghEQ0lRLihJTlZBTElEIElERU5USUZJRVIpLklRX1JFVkVOVUVfRVNULkNZMjAyMS43LzMxLzIwMTguQ09OLkYuVVNELkgFAAAAAAAAAAgAAAAUKEludmFsaWQgSWRlbnRpZmllcinIMLI3CAnWCO02sG80CdYIKkNJUS5JUVRSNTM1NzE5OTk4LklRX1RSX1RBUkdFVF9FQklULi5VU0QuSAEAAAA+cO4fAgAAAAgtMzU0LjczNwEGAAAABQAAAAIzNwEAAAAKMTg1MjU1ODIyOAIAAAAFMjE2NzUDAAAAAzE2MAQAAAABMAcAAAAIMS8xLzE5MDCys0lvNAnWCIH9lW80CdYIJENJUS5PVENQSzpOV0JPLklRX0JFVEFfMVlSLjcvMTYvMjAxOAEAAACjehQAAgAAABEwLjE0NDEzODQ3MDk4MTY0MQApHJQQNQnWCDDXXRI1</t>
  </si>
  <si>
    <t>CdYIOUNJUS5OQVNEQVFHUzpDQUxBLklRX05JX01BUkdJTi4yMDAwLjcvMzEvMjAxOC5MRlIuRi5VU0QuSAEAAAClJ4EGAgAAAAktMTMxLjUxMTUBCAAAAAUAAAABMQEAAAAKMTg4Nzk4MDMwNQMAAAADMTYwAgAAAAQ0MDk0BAAAAAEwBwAAAAk3LzMxLzIwMTgIAAAACTMvMzEvMjAxOAkAAAABMMgwsjcICdYI3UukbzQJ1gggQ0lRLklRMTE2ODYzMjMuSVFfQ09NUEFOWV9USUNLRVIBAAAAs1GyAAMAAAANTmFzZGFxQ006WklPUACys0lvNAnWCMOGn280CdYII0NJUS5JUVRSNDExODcxMDgyLklRX1RSX0NMT1NFRF9EQVRFAQAAAGqnjBgFAAAACjEyLzE2LzIwMTYAsrNJbzQJ1gg1m5NvNAnWCDtDSVEuTkFTREFRR1M6TksuSVFfRUJJVERBX01BUkdJTi4yMDAwLjcvMzEvMjAxOC5MRlIuRi5VU0QuSAEAAAANfaEPAwAAAAJOTQEIAAAABQAAAAExAQAAAAoxODg3MTE4NzkxAwAAAAMxNjACAAAABDQwNDcEAAAAATAHAAAACTcvMzEvMjAxOAgAAAAJMy8zMS8yMDE4CQAAAAEw1owROAgJ1gjDhp9vNAnWCDlDSVEuTkFTREFRR1M6RVBaTS5JUV9UT1RBTF9SRVYuMjAwMC43LzMxLzIwMTguTEZSLkYuVVNELkgBAAAAAyY9AwIAAAACMTABCAAAAAUAAAABMQEAAAAKMTg4NzI0NjA3NwMAAAADMTYwAgAAAAIyOAQAAAABMAcAAAAJNy8zMS8yMDE4CAAAAAkzLzMxLzIwMTgJAAAAATDWjBE4CAnWCCTCmm80CdYIPUNJ</t>
  </si>
  <si>
    <t>US5OQVNEQVFHUzpUU1JPLklRX1JFVkVOVUVfRVNULkNZMjAxOS43LzMxLzIwMTguQ09OLkYuVVNELkgBAAAAaNZYBgIAAAAJNDY2LjcyNzM3AQ4AAAAFAAAAAjExAQAAAAEwAgAAAAoxMDAxNTgwMzQ1AwAAAAYxMDAxODAEAAAAATIGAAAAATAHAAAAAzE2MAgAAAABMAkAAAABMQoAAAABMAsAAAALMTA5ODExMzc0NDMMAAAAATcNAAAACDgvMS8yMDE4EAAAAAk3LzMxLzIwMTicC9U4CAnWCCTCmm80CdYIOUNJUS5FTlhUUEE6SVBILklRX0VBUk5JTkdfQ08uQ1kyMDE2LjcvMTYvMjAxOC5MRlIuRi5VU0QuSAEAAACZgAYAAgAAAAkxMy4zNDMxODYBCAAAAAUAAAABMQEAAAAKMTg4OTU1MjEzNgMAAAADMTYwAgAAAAE3BAAAAAEwBwAAAAk3LzE2LzIwMTgIAAAACjEyLzMxLzIwMTYJAAAAATApHJQQNQnWCHM5YBI1CdYILkNJUS5OQVNEQVFDTTpNVEVNLklRX01BUktFVENBUC43LzMxLzIwMTguVVNELkgBAAAAmZupAQIAAAAKMTQwLjE3MzkyNAEGAAAABQAAAAExAQAAAAoxODg4NzMyOTI3AwAAAAMxNjACAAAABjEwMDA1NAQAAAABMAcAAAAJNy8zMS8yMDE4yDCyNwgJ1ggZ6aFvNAnWCBdDSVEuLklRX0VGRkVDVF9UQVhfUkFURQUAAAAAAAAACAAAABQoSW52YWxpZCBJZGVudGlmaWVyKfWEMkc0CdYIaKoQ9zQJ1gg8Q0lRLk5BU0RBUUdTOkZQUlguSVFfRUJJVERBX0VTVC5DWTIwMTguNy8zMS8yMDE4LkNP</t>
  </si>
  <si>
    <t>Ti5GLlVTRC5IAQAAADddMwACAAAACC0xMjAuODg2AQ4AAAAFAAAAAjExAQAAAAEwAgAAAAoxMDAxOTU2MzQ0AwAAAAYxMDAxODcEAAAAATIGAAAAATAHAAAAAzE2MAgAAAABMAkAAAABMQoAAAABMAsAAAALMTA5Mjc5ODA2OTEMAAAAATcNAAAACDgvMS8yMDE4EAAAAAk3LzMxLzIwMTjWjBE4CAnWCBnpoW80CdYILkNJUS5OQVNEQVFHUzpKTkNFLklRX01BUktFVENBUC43LzE2LzIwMTguVVNELkgBAAAA4nmeDQIAAAAKMjU0LjM0NTM1MQEGAAAABQAAAAExAQAAAAoxODg4MTg2MDM1AwAAAAMxNjACAAAABjEwMDA1NAQAAAABMAcAAAAJNy8xNi8yMDE4KRyUEDUJ1gjkdFsSNQnWCEZDSVEuTkFTREFRR1M6VFNSTy5JUV9UT1RBTF9SRVZfNVlSX0FOTl9DQUdSLjIwMDAuNy8zMS8yMDE4LkxGUi5GLlVTRC5IAQAAAGjWWAYDAAAAAACcC9U4CAnWCCTCmm80CdYIOUNJUS4uSVFfVE9UQUxfUkVWXzJZUl9BTk5fQ0FHUi4yMDAwLjcvMzEvMjAxOC5MRlIuRi5VU0QuSAUAAAABAAAACAAAABQoSW52YWxpZCBJZGVudGlmaWVyKfWEMkc0CdYI9YQyRzQJ1gg9Q0lRLk5BU0RBUUNNOlNSTkUuSVFfQ0FTSF9TVF9JTlZFU1QuMjAwMC41LzUvMjAxNy5MRlIuRi5VU0QuSAEAAABJQ5QDAgAAAAY4My41MDQBCAAAAAUAAAABMQEAAAAKMTgzMzU2NjU5OQMAAAADMTYwAgAAAAQxMDAyBAAAAAEwBwAAAAg1LzUvMjAxNwgA</t>
  </si>
  <si>
    <t>AAAKMTIvMzEvMjAxNgkAAAABMNaMETgICdYIcySdbzQJ1gg2Q0lRLk5BU0RBUUdTOkJHTkUuSVFfRUJJVERBLjE5OTIuNy8zMS8yMDE4LkxGUi5GLlVTRC5IAQAAAODk3QYCAAAABy02NS42MzUBCAAAAAUAAAABMQEAAAAKMTg0MTE4MDE2OAMAAAADMTYwAgAAAAQ0MDUxBAAAAAEwBwAAAAk3LzMxLzIwMTgIAAAACTMvMzEvMjAxNgkAAAABMJwL1TgICdYIgf2VbzQJ1ggiQ0lRLklRVFI1NDgzMzgwMjAuSVFfVFJfUENUX1NPVUdIVAEAAABk+a4gAgAAAAMxMDABBgAAAAUAAAACNTQBAAAABjEwMTAyNAIAAAAJNTQ4MzM4MDIwAwAAAAk1NDgzNDA5ODUEAAAAAzE2MAYAAAAEVHJ1ZQxtEA41CdYIwNuCDjUJ1ggiQ0lRLklRVFI0MDgyOTEzOTUuSVFfVFJfVEFSR0VUTkFNRQEAAABDCFYYAwAAAB1Lb2xsdGFuIFBoYXJtYWNldXRpY2FscywgSW5jLgBYzxIONQnWCMDbgg41CdYIKkNJUS5JUVRSNDA5OTUxODg2LklRX1RSX1RBUkdFVF9FQklULi5VU0QuSAEAAACOXm8YAgAAAAAADG0QDjUJ1gjA24IONQnWCDxDSVEuTkFTREFRR1M6S1VSQS5JUV9FQklUREFfRVNULkNZMjAxOC43LzMxLzIwMTguQ09OLkYuVVNELkgBAAAAuMvaEAMAAAAAANaMETgICdYIcySdbzQJ1ggxQ0lRLklRVFI0MTM5NTM2NjEuSVFfVFJfVEFSR0VUX1JFVkVOVUVfRVNULi5VU0QuSAEAAAB9bqwYAgAAAAAAsrNJbzQJ1giB/ZVvNAnW</t>
  </si>
  <si>
    <t>CDxDSVEuTkFTREFRQ006QVZFTy5JUV9FQklUREFfRVNULkNZMjAxOC43LzE2LzIwMTguQ09OLkYuVVNELkgBAAAA9BYdAAMAAAAAAMT/GxE1CdYIwptiEjUJ1ggpQ0lRLklRMzYxODM4MjUuSVFfTEFTVFNBTEVQUklDRS43LzMxLzIwMTgBAAAAER8oAgIAAAAEMi42NwBJU0dvNAnWCIH9lW80CdYIHkNJUS5JUTI3OTMyOC5JUV9DT01QQU5ZX1RJQ0tFUgEAAAAgQwQAAwAAAA1OYXNkYXFHTTpJTU1VAAxtEA41CdYIqAKKDjUJ1ghGQ0lRLk5BU0RBUUdTOktVUkEuSVFfTUlOT1JJVFlfSU5URVJFU1RfVE9UQUwuMjAwMC41LzUvMjAxNy5MRlIuRi5VU0QuSAEAAAC4y9oQAwAAAAAA1owROAgJ1ghzJJ1vNAnWCD5DSVEuTkFTREFRR1M6S1VSQS5JUV9UT1RBTF9FUVVJVFkuQ1kyMDE2LjcvMzEvMjAxOC5MRlIuRi5VU0QuSAEAAAC4y9oQAgAAAAY1Ni44NzYBCAAAAAUAAAABMQEAAAAKMTg3ODAxMjQzNQMAAAADMTYwAgAAAAQxMjc1BAAAAAEwBwAAAAk3LzMxLzIwMTgIAAAACjEyLzMxLzIwMTYJAAAAATDWjBE4CAnWCHMknW80CdYIMkNJUS5OQVNEQVFHUzpQQllJLklRX0VCSVREQS4uNy8xNi8yMDE4LkxGUi5GLlVTRC5IAQAAAAJqrAcCAAAACC0yMzguNzA3AQgAAAAFAAAAATEBAAAACjE4ODg2Njc3NDMDAAAAAzE2MAIAAAAENDA1MQQAAAABMAcAAAAJNy8xNi8yMDE4CAAAAAkzLzMxLzIwMTgJAAAAATDE</t>
  </si>
  <si>
    <t>/xsRNQnWCBL+ZBI1CdYIPENJUS5OQVNEQVFHUzpLVVJBLklRX0dST1NTX01BUkdJTi4yMDAwLjcvMzEvMjAxOC5MRlIuRi5VU0QuSAEAAAC4y9oQAwAAAAAA1owROAgJ1ghzJJ1vNAnWCD1DSVEuTkFTREFRR006RkFURS5JUV9SRVZFTlVFX0VTVC5DWTIwMjAuNy8zMS8yMDE4LkNPTi5GLlVTRC5IAQAAAGgxVwICAAAABzE2Ljg0NjUBDgAAAAUAAAACMTEBAAAAATACAAAACjEwMDE5Njc0NDgDAAAABjEwMDE4MAQAAAABMgYAAAABMAcAAAADMTYwCAAAAAEwCQAAAAExCgAAAAEwCwAAAAsxMDk4NTcxNTgyMQwAAAABNw0AAAAIOC8xLzIwMTgQAAAACTcvMzEvMjAxONaMETgICdYIw4afbzQJ1gg9Q0lRLk5BU0RBUUdTOk1HTlguSVFfUkVWRU5VRV9FU1QuQ1kyMDE4LjcvMTYvMjAxOC5DT04uRi5VU0QuSAEAAABPKwkAAgAAAAgyNS4zMjkzNwEOAAAABQAAAAIxMQEAAAABMAIAAAAKMTAwMTk3MjkyOQMAAAAGMTAwMTgwBAAAAAEyBgAAAAEwBwAAAAMxNjAIAAAAATAJAAAAATEKAAAAATALAAAACzExMDMzNjMzMjY0DAAAAAE3DQAAAAk3LzE3LzIwMTgQAAAACTcvMTYvMjAxOMT/GxE1CdYIwptiEjUJ1gg1Q0lRLk5BU0RBUUdTOlNHRU4uSVFfTklfTUFSR0lOLi43LzE2LzIwMTguTEZSLkYuVVNELkgBAAAAYYUAAAIAAAAILTM0LjUwNDkBCAAAAAUAAAABMQEAAAAKMTg4NDg5Mjg1MgMAAAADMTYwAgAAAAQ0</t>
  </si>
  <si>
    <t>MDk0BAAAAAEwBwAAAAk3LzE2LzIwMTgIAAAACTMvMzEvMjAxOAkAAAABMMT/GxE1CdYIaGBnEjUJ1gg9Q0lRLk5BU0RBUUNNOk1URU0uSVFfQ0FTSF9TVF9JTlZFU1QuMjAwMC41LzUvMjAxNy5MRlIuRi5VU0QuSAEAAACZm6kBAwAAAAAAyDCyNwgJ1ggZ6aFvNAnWCClDSVEuSVFUUjI1Mzk1NDQ3My5JUV9UUl9JTVBMSUVEX0VRX05JX0xUTQEAAACpCSMPAgAAAAAAsrNJbzQJ1gg1m5NvNAnWCChDSVEuTkFTREFRQ006Q0tQVC5JUV9URVYuNy8xNi8yMDE4LlVTRC5IAQAAALhRFhECAAAACTQ3LjczNTkyNwEGAAAABQAAAAExAQAAAAoxODg4MDA3MTg3AwAAAAMxNjACAAAABjEwMDA2MAQAAAABMAcAAAAJNy8xNi8yMDE4KRyUEDUJ1ggw110SNQnWCENDSVEuTkFTREFRR006QUZNRC5JUV9NSU5PUklUWV9JTlRFUkVTVF9UT1RBTC4uOS8xNS8yMDE3LkxGUi5GLlVTRC5IAQAAANv3DAADAAAAAAApHJQQNQnWCDDXXRI1CdYIJ0NJUS5OQVNEQVFHTTpDUklTLklRX0JFVEFfMVlSLjcvMzEvMjAxOAEAAAAXagAAAgAAABAzLjAwMjgzMTUyNjYxNjI3AMgwsjcICdYI3UukbzQJ1ggxQ0lRLk5BU0RBUUdTOkJHTkUuSVFfREFfQ0YuLjcvMTYvMjAxOC5MRlIuRi5VU0QuSAEAAADg5N0GAgAAAAU2LjEzOAEIAAAABQAAAAExAQAAAAoxODg3Njg4NTg4AwAAAAMxNjACAAAABDIxNjAEAAAAATAHAAAACTcvMTYvMjAx</t>
  </si>
  <si>
    <t>OAgAAAAJMy8zMS8yMDE4CQAAAAEwxP8bETUJ1ghoYGcSNQnWCDxDSVEuTkFTREFRR006WE5DUi5JUV9FQVJOSU5HX0NPLkNZMjAxNi43LzE2LzIwMTguTEZSLkYuVVNELkgBAAAAploLAAIAAAAGMjMuNjI1AQgAAAAFAAAAATEBAAAACjE4NzY5ODQ1MjMDAAAAAzE2MAIAAAABNwQAAAABMAcAAAAJNy8xNi8yMDE4CAAAAAoxMi8zMS8yMDE2CQAAAAEwxP8bETUJ1ggS/mQSNQnWCEBDSVEuKElOVkFMSUQgSURFTlRJRklFUikuSVFfVE9UQUxfREVCVC4yMDAwLjUvNS8yMDE3LkxGUi5GLlVTRC5IBQAAAAAAAAAIAAAAFChJbnZhbGlkIElkZW50aWZpZXIpyDCyNwgJ1gjtNrBvNAnWCDlDSVEuTkFTREFRR1M6QkdORS5JUV9UT1RBTF9SRVYuMTk5Mi43LzMxLzIwMTguTEZSLkYuVVNELkgBAAAA4OTdBgIAAAAFOC4xMTQBCAAAAAUAAAABMQEAAAAKMTg0MTE4MDE2OAMAAAADMTYwAgAAAAIyOAQAAAABMAcAAAAJNy8zMS8yMDE4CAAAAAkzLzMxLzIwMTYJAAAAATCcC9U4CAnWCIH9lW80CdYIPENJUS5OQVNEQVFHTTpJTU1VLklRX0VCSVREQV9FU1QuQ1kyMDIwLjcvMzEvMjAxOC5DT04uRi5VU0QuSAEAAAAgQwQAAwAAAAAAnAvVOAgJ1gjUX5hvNAnWCDZDSVEuTkFTREFRR006Q1JWUy5JUV9FQklUREEuMTk5Mi43LzMxLzIwMTguTEZSLkYuVVNELkgBAAAA9LCmEAIAAAAHLTE3LjcyOQEIAAAABQAAAAExAQAA</t>
  </si>
  <si>
    <t>AAoxODQwMTE2MTU0AwAAAAMxNjACAAAABDQwNTEEAAAAATAHAAAACTcvMzEvMjAxOAgAAAAJMy8zMS8yMDE2CQAAAAEw1owROAgJ1ggZ6aFvNAnWCDFDSVEuTkFTREFRR006WE5DUi5JUV9DQVBFWC4uNy8xNi8yMDE4LkxGUi5GLlVTRC5IAQAAAKZaCwACAAAABi03LjE2MwEIAAAABQAAAAExAQAAAAoxODg3MTI1ODU1AwAAAAMxNjACAAAABDIwMjEEAAAAATAHAAAACTcvMTYvMjAxOAgAAAAJMy8zMS8yMDE4CQAAAAEwxP8bETUJ1ggS/mQSNQnWCDtDSVEuTkFTREFRR006Q1JWUy5JUV9UT1RBTF9SRVYuQ1kyMDE3LjcvMzEvMjAxOC5MRlIuRi5VU0QuSAEAAAD0sKYQAwAAAAAA1owROAgJ1ggZ6aFvNAnWCDZDSVEuTkFTREFRR006QVJSWS5JUV9FQklUREEuMjAwMC43LzMxLzIwMTguTEZSLkYuVVNELkgBAAAA+GEAAAIAAAAILTEwNy4wNDcBCAAAAAUAAAABMQEAAAAKMTg4ODQ3MDY3NgMAAAADMTYwAgAAAAQ0MDUxBAAAAAEwBwAAAAk3LzMxLzIwMTgIAAAACTMvMzEvMjAxOAkAAAABMJwL1TgICdYI1F+YbzQJ1ggjQ0lRLklRVFI1NDgzMzgwMjAuSVFfVFJfVE9UQUxfU1RPQ0sBAAAAZPmuIAIAAAAAAAxtEA41CdYIwNuCDjUJ1ghDQ0lRLk5BU0RBUUNNOlNSTkUuSVFfRUJJVERBXzNZUl9BTk5fQ0FHUi4yMDAwLjcvMzEvMjAxOC5MRlIuRi5VU0QuSAEAAABJQ5QDAwAAAAJOTQEIAAAABQAAAAExAQAA</t>
  </si>
  <si>
    <t>AAoxODg3OTg5ODMxAwAAAAMxNjACAAAABDQyMjIEAAAAATAHAAAACTcvMzEvMjAxOAgAAAAJMy8zMS8yMDE4CQAAAAEw1owROAgJ1ghzJJ1vNAnWCD1DSVEuTkFTREFRR1M6TVJTTi5JUV9SRVZFTlVFX0VTVC5DWTIwMjAuNy8zMS8yMDE4LkNPTi5GLlVTRC5IAQAAAObFGAACAAAABjIzLjczOAEOAAAABQAAAAIxMQEAAAABMAIAAAAKMTAwMzgwMzI4NQMAAAAGMTAwMTgwBAAAAAEyBgAAAAEwBwAAAAMxNjAIAAAAATAJAAAAATEKAAAAATALAAAACzExMDQzNTgxNTE0DAAAAAE3DQAAAAg4LzEvMjAxOBAAAAAJNy8zMS8yMDE41owROAgJ1gjDhp9vNAnWCEJDSVEuTkFTREFRR1M6QU5BQi5JUV9UT1RBTF9SRVZfNVlSX0FOTl9DQUdSLi43LzE2LzIwMTguTEZSLkYuVVNELkgBAAAAIUyyAQMAAAAAAMT/GxE1CdYIwptiEjUJ1gg5Q0lRLk5BU0RBUUdTOkNBTEEuSVFfVE9UQUxfUkVWLjE5OTYuNy8zMS8yMDE4LkxGUi5GLlVTRC5IAQAAAKUngQYCAAAABTQuMTkyAQgAAAAFAAAAATEBAAAACjE4ODc5ODAyNzcDAAAAAzE2MAIAAAACMjgEAAAAATAHAAAACTcvMzEvMjAxOAgAAAAJMy8zMS8yMDE3CQAAAAEwyDCyNwgJ1gjdS6RvNAnWCDdDSVEuTkFTREFRR1M6VFNSTy5JUV9QUkVGX0VRVUlUWS4uNy8xNi8yMDE4LkxGUi5GLlVTRC5IAQAAAGjWWAYDAAAAAADE/xsRNQnWCBL+ZBI1CdYINUNJUS5OQVNEQVFH</t>
  </si>
  <si>
    <t>UzpBVE5YLklRX0NBUEVYLjIwMDAuNy8zMS8yMDE4LkxGUi5GLlVTRC5IAQAAANyZawECAAAABi01LjA2MwEIAAAABQAAAAExAQAAAAoxODg4NzAyOTgyAwAAAAMxNjACAAAABDIwMjEEAAAAATAHAAAACTcvMzEvMjAxOAgAAAAJMy8zMS8yMDE4CQAAAAEw1owROAgJ1ggkwppvNAnWCC9DSVEuKElOVkFMSUQgSURFTlRJRklFUikuSVFfVEVWLjcvMTYvMjAxOC5VU0QuSAUAAAAAAAAACAAAABQoSW52YWxpZCBJZGVudGlmaWVyKd6nfhA1CdYImBJZEjUJ1gguQ0lRLi5JUV9UT1RBTF9SRVYuQ1kyMDE3LjcvMzEvMjAxOC5MRlIuRi5VU0QuSAUAAAABAAAACAAAABQoSW52YWxpZCBJZGVudGlmaWVyKZYkMEc0CdYIliQwRzQJ1gg9Q0lRLk5BU0RBUUdTOkNBTEEuSVFfQ0FTSF9TVF9JTlZFU1QuMjAwMC41LzUvMjAxNy5MRlIuRi5VU0QuSAEAAAClJ4EGAgAAAAY1MS43ODEBCAAAAAUAAAABMQEAAAAKMTgzMjE3NzY2NgMAAAADMTYwAgAAAAQxMDAyBAAAAAEwBwAAAAg1LzUvMjAxNwgAAAAKMTIvMzEvMjAxNgkAAAABMMgwsjcICdYI3UukbzQJ1gguQ0lRLklRVFIyNzM1MDcxODUuSVFfVFJfVEFSR0VUX1NUT0NLUFJFTUlVTV8xTQEAAABxY00QAgAAAAgxMDQuNzQxOAEGAAAABQAAAAI1NAEAAAAGMTAxMDU1AgAAAAkyNzM1MDcxODUDAAAACTI3MzUwNzc4NwQAAAADMTYwBgAAAAVGYWxzZbKzSW80CdYIgf2V</t>
  </si>
  <si>
    <t>bzQJ1ggvQ0lRLkFTWDpJTVUuSVFfVE9UQUxfUkVWLi43LzE2LzIwMTguTEZSLkYuVVNELkgBAAAAmJOpAAIAAAAHMC44ODE2OQEIAAAABQAAAAExAQAAAAoxODc3MzA1MzIwAwAAAAMxNjACAAAAAjI4BAAAAAEwBwAAAAk3LzE2LzIwMTgIAAAACjEyLzMxLzIwMTcJAAAAATApHJQQNQnWCDDXXRI1CdYIHkNJUS4wLklRX1RSX1RBUkdFVF9FQklULi5VU0QuSAUAAAAAAAAACAAAABgoSW52YWxpZCBUcmFuc2FjdGlvbiBJZClJU0dvNAnWCAfi8IE0CdYIPENJUS5OQVNEQVFHUzpHVEhYLklRX1RPVEFMX0VRVUlUWS4xOTkyLjcvMzEvMjAxOC5MRlIuRi5VU0QuSAEAAABlNGkIAwAAAAAA1owROAgJ1ggkwppvNAnWCCJDSVEuWFRSQTpNT1IuSVFfUEVSSU9EREFURV9JUy4xMDAwAQAAAN8RAgAFAAAACjEyLzMxLzIwMTcAnAvVOAgJ1gjUX5hvNAnWCCFDSVEuSVFUUjQxMTg3MTA4Mi5JUV9UUl9CVVlFUk5BTUUBAAAAaqeMGAMAAAATQ2VsZ2VuZSBDb3Jwb3JhdGlvbgCys0lvNAnWCDWbk280CdYINUNJUS5FTlhUUEE6SVBILklRX0VCSVREQS5DWTIwMTcuNy8xNi8yMDE4LkxGUi5GLlVTRC5IAQAAAJmABgACAAAACS00Mi43MzQxNQEIAAAABQAAAAExAQAAAAoxODg5NTUyMTY0AwAAAAMxNjACAAAABDQwNTEEAAAAATAHAAAACTcvMTYvMjAxOAgAAAAKMTIvMzEvMjAxNwkAAAABMCkclBA1CdYIczlgEjUJ1gg+</t>
  </si>
  <si>
    <t>Q0lRLk5BU0RBUUdTOlRTUk8uSVFfVE9UQUxfRVFVSVRZLkNZMjAxNy43LzE2LzIwMTguTEZSLkYuVVNELkgBAAAAaNZYBgIAAAAHMjQ5LjA4NgEIAAAABQAAAAExAQAAAAoxODc3MjI2MzAxAwAAAAMxNjACAAAABDEyNzUEAAAAATAHAAAACTcvMTYvMjAxOAgAAAAKMTIvMzEvMjAxNwkAAAABMMT/GxE1CdYIEv5kEjUJ1gggQ0lRLklRVFI0MzE4NDE1ODEuSVFfVFJfRUFSTk9VVFMBAAAALWG9GQIAAAAAAAxtEA41CdYIDD6FDjUJ1gg6Q0lRLk5BU0RBUUdTOkNBTEEuSVFfVE9UQUxfREVCVC4yMDAwLjcvMzEvMjAxOC5MRlIuRi5VU0QuSAEAAAClJ4EGAgAAAAEwAQgAAAAFAAAAATEBAAAACjE4ODc5ODAzMDUDAAAAAzE2MAIAAAAENDE3MwQAAAABMAcAAAAJNy8zMS8yMDE4CAAAAAkzLzMxLzIwMTgJAAAAATDIMLI3CAnWCN1LpG80CdYIPENJUS5PVENQSzpNQlZYLklRX0VCSVREQV81WVJfQU5OX0NBR1IuLjcvMTYvMjAxOC5MRlIuRi5VU0QuSAEAAADYRIsCAwAAAAJOTQEIAAAABQAAAAExAQAAAAoxODgxMjEzMjQ1AwAAAAMxNjACAAAABDQyMzUEAAAAATAHAAAACTcvMTYvMjAxOAgAAAAKMTIvMzEvMjAxNwkAAAABMN6nfhA1CdYImBJZEjUJ1ggxQ0lRLk5BU0RBUUdNOkFGTUQuSVFfREFfQ0YuLjcvMTYvMjAxOC5MRlIuRi5VU0QuSAEAAADb9wwAAgAAAAgwLjQ0ODQ0MgEIAAAABQAAAAExAQAAAAox</t>
  </si>
  <si>
    <t>ODg5ODY2MDQ5AwAAAAMxNjACAAAABDIxNjAEAAAAATAHAAAACTcvMTYvMjAxOAgAAAAJMy8zMS8yMDE4CQAAAAEwKRyUEDUJ1ggw110SNQnWCDxDSVEuTkFTREFRQ006WklPUC5JUV9UT1RBTF9FUVVJVFkuMTk5Ni43LzMxLzIwMTguTEZSLkYuVVNELkgBAAAAs1GyAAIAAAAGMzQuNTM5AQgAAAAFAAAAATEBAAAACjE4ODc5NzIzNDgDAAAAAzE2MAIAAAAEMTI3NQQAAAABMAcAAAAJNy8zMS8yMDE4CAAAAAkzLzMxLzIwMTcJAAAAATDWjBE4CAnWCMOGn280CdYIKkNJUS5JUVRSNTMzMzg1NzQ0LklRX1RSX1RBUkdFVF9FQklULi5VU0QuSAEAAAAQ0sofAgAAAAAADG0QDjUJ1gjA24IONQnWCChDSVEuTkFTREFRR1M6Q1RNWC5JUV9URVYuNy8xNi8yMDE4LlVTRC5IAQAAANw4mwMCAAAACjY2Mi45MDg1MzcBBgAAAAUAAAABMQEAAAAKMTg4NzY3NDgyOQMAAAADMTYwAgAAAAYxMDAwNjAEAAAAATAHAAAACTcvMTYvMjAxOEadGRE1CdYIwptiEjUJ1ggwQ0lRLklRVFI1NDgzMzgwMjAuSVFfVFJfVEFSR0VUX0VCSVREQV9FU1QuLlVTRC5IAQAAAGT5riACAAAAAAAMbRAONQnWCMDbgg41CdYIOkNJUS5OQVNEQVFHUzpHVEhYLklRX0VBUk5JTkdfQ08uMjAwMC43LzMxLzIwMTguTEZSLkYuVVNELkgBAAAAZTRpCAIAAAAHLTY4LjE4NgEIAAAABQAAAAExAQAAAAoxODg2MzY3NjY3AwAAAAMxNjACAAAAATcEAAAA</t>
  </si>
  <si>
    <t>ATAHAAAACTcvMzEvMjAxOAgAAAAJMy8zMS8yMDE4CQAAAAEw1owROAgJ1ggkwppvNAnWCDpDSVEuTkFTREFRR006SU1NVS5JUV9FQVJOSU5HX0NPLjE5OTIuNy8zMS8yMDE4LkxGUi5GLlVTRC5IAQAAACBDBAACAAAACi01NS42Mzc3NDYBCAAAAAUAAAABMQEAAAAKMTg0MTE3MTIyNAMAAAADMTYwAgAAAAE3BAAAAAEwBwAAAAk3LzMxLzIwMTgIAAAACTMvMzEvMjAxNgkAAAABMJwL1TgICdYI1F+YbzQJ1gg4Q0lRLk5BU0RBUUdTOkNBTEEuSVFfVE9UQUxfRVFVSVRZLi43LzE2LzIwMTguTEZSLkYuVVNELkgBAAAApSeBBgIAAAAHMTQ3Ljg2NwEIAAAABQAAAAExAQAAAAoxODg3OTgwMzA1AwAAAAMxNjACAAAABDEyNzUEAAAAATAHAAAACTcvMTYvMjAxOAgAAAAJMy8zMS8yMDE4CQAAAAEwKRyUEDUJ1gjkdFsSNQnWCDtDSVEuTkFTREFRR1M6RlBSWC5JUV9UT1RBTF9SRVYuQ1kyMDE3LjcvMzEvMjAxOC5MRlIuRi5VU0QuSAEAAAA3XTMAAgAAAAYzOS41MDgBCAAAAAUAAAABMQEAAAAKMTg3NjEzNTk5MQMAAAADMTYwAgAAAAIyOAQAAAABMAcAAAAJNy8zMS8yMDE4CAAAAAoxMi8zMS8yMDE3CQAAAAEw1owROAgJ1ggZ6aFvNAnWCDVDSVEuRU5YVFBBOklQSC5JUV9FQklUREEuQ1kyMDE2LjcvMTYvMjAxOC5MRlIuRi5VU0QuSAEAAACZgAYAAgAAAAkxMS40MzY3MTUBCAAAAAUAAAABMQEAAAAKMTg4OTU1</t>
  </si>
  <si>
    <t>MjEzNgMAAAADMTYwAgAAAAQ0MDUxBAAAAAEwBwAAAAk3LzE2LzIwMTgIAAAACjEyLzMxLzIwMTYJAAAAATApHJQQNQnWCHM5YBI1CdYIPUNJUS5OQVNEQVFHTTpGQVRFLklRX1JFVkVOVUVfRVNULkNZMjAxOS43LzMxLzIwMTguQ09OLkYuVVNELkgBAAAAaDFXAgIAAAAHMi4yOTQxNwEOAAAABQAAAAIxMQEAAAABMAIAAAAKMTAwMTk2NzQ0MwMAAAAGMTAwMTgwBAAAAAEyBgAAAAEwBwAAAAMxNjAIAAAAATAJAAAAATEKAAAAATALAAAACzEwOTg1NzE1OTg4DAAAAAE3DQAAAAg4LzEvMjAxOBAAAAAJNy8zMS8yMDE41owROAgJ1gjDhp9vNAnWCDpDSVEuTkFTREFRR006QVJSWS5JUV9FQVJOSU5HX0NPLjE5OTIuNy8zMS8yMDE4LkxGUi5GLlVTRC5IAQAAAPhhAAACAAAABi04MC41NgEIAAAABQAAAAExAQAAAAoxODQxMDk1MDI2AwAAAAMxNjACAAAAATcEAAAAATAHAAAACTcvMzEvMjAxOAgAAAAJMy8zMS8yMDE2CQAAAAEwnAvVOAgJ1ggkwppvNAnWCDtDSVEuTkFTREFRR1M6RVBaTS5JUV9QUkVGX0VRVUlUWS4yMDAwLjcvMzEvMjAxOC5MRlIuRi5VU0QuSAEAAAADJj0DAwAAAAAA1owROAgJ1ggkwppvNAnWCClDSVEuTkFTREFRR1M6QVROWC5JUV9CVVNJTkVTU19ERVNDUklQVElPTgEAAADcmWsBAwAAAPMNQXRoZW5leCwgSW5jLiwgYSBiaW9waGFybWFjZXV0aWNhbCBjb21wYW55LCBlbmdhZ2VzIGlu</t>
  </si>
  <si>
    <t>IHRoZSBkaXNjb3ZlcnksIGRldmVsb3BtZW50LCBhbmQgY29tbWVyY2lhbGl6YXRpb24gb2YgdmFyaW91cyB0aGVyYXBpZXMgZm9yIHRoZSB0cmVhdG1lbnQgb2YgY2FuY2VyIGFuZCByZWxhdGVkIGNvbmRpdGlvbnMuIFRoZSBjb21wYW554oCZcyBPcmFzY292ZXJ5IHByb2R1Y3QgY2FuZGlkYXRlcyBpbmNsdWRlIE9yYXhvbCwgYW4gb3JhbCBkb3NhZ2UgZm9ybSwgd2hpY2ggaXMgaW4gUGhhc2UgSUlJIHRyaWFsIGZvciBtZXRhc3RhdGljIGJyZWFzdCBjYW5jZXIsIGFzIHdlbGwgYXMgdmFyaW91cyBjbGluaWNhbCBzdHVkaWVzIGluIGFkdmFuY2VkIG1hbGlnbmFuY2VzIGFuZCBnYXN0cmljIGNhbmNlcjsgYW5kIE9yYXRlY2FuLCBhbiBvcmFsIGRvc2FnZSBmb3JtIG9mIGlyaW5vdGVjYW4gdGhhdCBpcyBpbiBhIFBoYXNlIEkgc3R1ZHkgZm9yIHRoZSB0cmVhdG1lbnQgb2YgbWV0YXN0YXRpYyBjb2xvcmVjdGFsIGNhbmNlciwgZ2xpb2JsYXN0b21hLCBsdW5nLCBvdmFyaWFuLCBjZXJ2aWNhbCwgdXBwZXIgZ2FzdHJvaW50ZXN0aW5hbCwgYW5kIHBhbmNyZWF0aWMgY2FuY2VyLiBJdHMgT3Jhc2NvdmVyeSBwcm9kdWN0IGNhbmRpZGF0ZXMgYWxzbyBjb21wcmlzZSBPcmFkb3hlbCwgYW4gb3JhbCBkb3NhZ2UgZm9ybSBvZiBkb2NldGF4ZWwsIHdoaWNoIGlzIGluIFBoYXNlIEkgY2xpbmljYWwgc3R1</t>
  </si>
  <si>
    <t>ZHkgZm9yIGJyZWFzdCwgbHVuZywgcHJvc3RhdGUsIGdhc3RyaWMsIGFuZCBoZWFkIGFuZCBuZWNrIGNhbmNlcnM7IE9yYXRvcG8sIGFuIG9yYWwgZG9zYWdlIGZvcm0gb2YgdG9wb3RlY2FuIHRoYXQgaXMgdW5kZXIgZGV2ZWxvcG1lbnQgdG8gdHJlYXQgbHVuZywgb3ZhcmlhbiwgYW5kIGNlcnZpY2FsIGNhbmNlcjsgYW5kIG9yYWwgZXJpYnVsaW4gY28tYWRtaW5pc3RlcmVkIHdpdGggSE0zMDE4MUEgdGhhdCBpcyB1bmRlciBwcmUtY2xpbmljYWwgZGV2ZWxvcG1lbnQgdG8gdHJlYXQgY2VydGFpbiBwYXRpZW50cyB3aXRoIGJyZWFzdCBjYW5jZXIgYW5kIGFkdmFuY2VkIGxpcG9zYXJjb20uIEluIGFkZGl0aW9uLCB0aGUgY29tcGFueSBvZmZlcnMgU3JjIEtpbmFzZSBwcm9kdWN0IGNhbmRpZGF0ZXMgY29tcHJpc2luZyBLWC0wMSwgYSBjb21wb3VuZCwgd2hpY2ggaXMgaW4gUGhhc2UgMyBzdHVkeSBmb3IgdGhlIHRyZWF0bWVudCBvZiBhY3RpbmljIGtlcmF0b3NpczsgYW5kIEtYLTAyIHRoYXQgaXMgUGhhc2UgSSBjbGluaWNhbCB0cmlhbCBmb3Igc29saWQgdHVtb3IgcGF0aWVudHMuIEZ1cnRoZXIsIGl0IGlzIGRldmVsb3BpbmcgaW50cmFuYXNhbCBmb3JtdWxhdGlvbnMgb2YgZ3JhbmlzZXRyb24sIGEgNS1oeWRyb3h5dHJ5cHRhbWluZSAzIHJlY2VwdG9yIGFudGFnb25pc3QgdG8gcHJldmVu</t>
  </si>
  <si>
    <t>dCBjaGVtb3RoZXJhcHktaW5kdWNlZCBuYXVzZWEgYW5kIHZvbWl0aW5nOyBhbmQgZHVhbCBhYnNvcnB0aW9uIGVuaGFuY2VycyB0byBpbmhpYml0IHRoZSBQLWdwIHRyYW5zcG9ydGVyIGFuZCB0aGUgY3l0b2Nocm9tZSBQNDUwIGVuenltZXMgd2l0aGluIHRoZSBnYXN0cm9pbnRlc3RpbmFsIHRyYWN0LiBUaGUgY29tcGFueSB3YXMgZm9ybWVybHkga25vd24gYXMgS2luZXggUGhhcm1hY2V1dGljYWxzIExMQyBhbmQgY2hhbmdlZCBpdHMgbmFtZSB0byBBdGhlbmV4LCBJbmMuIGluIEF1Z3VzdCAyMDE1LiBBdGhlbmV4LCBJbmMuIHdhcyBmb3VuZGVkIGluIDIwMDMgYW5kIGlzIGhlYWRxdWFydGVyZWQgaW4gQnVmZmFsbywgTmV3IFlvcmsuANaMETgICdYIJMKabzQJ1ggiQ0lRLklRVFI0MDk5NTE4ODYuSVFfVFJfUENUX1NPVUdIVAEAAACOXm8YAgAAAAMxMDABBgAAAAUAAAACNTQBAAAABjEwMTAyNAIAAAAJNDA5OTUxODg2AwAAAAk0MDk5NTE5MzYEAAAAAzE2MAYAAAAEVHJ1ZQxtEA41CdYIwNuCDjUJ1ggwQ0lRLklRVFI1NDI4MDY2ODYuSVFfVFJfVEFSR0VUX0VCSVREQV9FU1QuLlVTRC5IAQAAAJ6SWiACAAAAAACys0lvNAnWCIH9lW80CdYIL0NJUS5PVENQSzpNQlZYLklRX0VCSVREQS4uNy8xNi8yMDE4LkxGUi5GLlVTRC5IAQAAANhEiwICAAAACS0xNy45MTA2MgEIAAAABQAAAAExAQAAAAox</t>
  </si>
  <si>
    <t>ODgxMjEzMjQ1AwAAAAMxNjACAAAABDQwNTEEAAAAATAHAAAACTcvMTYvMjAxOAgAAAAKMTIvMzEvMjAxNwkAAAABMN6nfhA1CdYImBJZEjUJ1ghEQ0lRLk5BU0RBUUdTOk5LLklRX1RPVEFMX1JFVl8yWVJfQU5OX0NBR1IuMjAwMC43LzMxLzIwMTguTEZSLkYuVVNELkgBAAAADX2hDwIAAAAILTQzLjQ2MDUBCAAAAAUAAAABMQEAAAAKMTg4NzExODc5MQMAAAADMTYwAgAAAAQ0MjA3BAAAAAEwBwAAAAk3LzMxLzIwMTgIAAAACTMvMzEvMjAxOAkAAAABMNaMETgICdYIGemhbzQJ1gg1Q0lRLk5BU0RBUUdTOkFEWFMuSVFfVE9UQUxfUkVWLi43LzE2LzIwMTguTEZSLkYuVVNELkgBAAAAnux4AAIAAAAIOC42MTc5MzUBCAAAAAUAAAABMQEAAAAKMTg5Mjc4ODU0OAMAAAADMTYwAgAAAAIyOAQAAAABMAcAAAAJNy8xNi8yMDE4CAAAAAk0LzMwLzIwMTgJAAAAATApHJQQNQnWCOR0WxI1CdYIPkNJUS5OQVNEQVFHUzpCR05FLklRX1RPVEFMX0VRVUlUWS5DWTIwMTcuNy8zMS8yMDE4LkxGUi5GLlVTRC5IAQAAAODk3QYCAAAABjY4MS45NAEIAAAABQAAAAExAQAAAAoxODk5ODgxMTk0AwAAAAMxNjACAAAABDEyNzUEAAAAATAHAAAACTcvMzEvMjAxOAgAAAAKMTIvMzEvMjAxNwkAAAABMJwL1TgICdYIgf2VbzQJ1ggjQ0lRLk5BU0RBUUdNOkxQVFguSVFfUEVSSU9EREFURV9JUy4BAAAADDYJBwUAAAAJNi8zMC8y</t>
  </si>
  <si>
    <t>MDE4ACkclBA1CdYIMNddEjUJ1gg8Q0lRLk5BU0RBUUdTOk1SU04uSVFfRUJJVERBX0VTVC5DWTIwMTguNy8zMS8yMDE4LkNPTi5GLlVTRC5IAQAAAObFGAACAAAABy01MC42MjQBDgAAAAUAAAACMTEBAAAAATACAAAACjEwMDM4MDMyNzUDAAAABjEwMDE4NwQAAAABMgYAAAABMAcAAAADMTYwCAAAAAEwCQAAAAExCgAAAAEwCwAAAAsxMDk4MTQxNzI3MwwAAAABNw0AAAAIOC8xLzIwMTgQAAAACTcvMzEvMjAxONaMETgICdYIw4afbzQJ1gg4Q0lRLk5BU0RBUUdTOkFOQUIuSVFfVE9UQUxfRVFVSVRZLi43LzE2LzIwMTguTEZSLkYuVVNELkgBAAAAIUyyAQIAAAAHMjk0LjUyNwEIAAAABQAAAAExAQAAAAoxODg3NDAwMDQzAwAAAAMxNjACAAAABDEyNzUEAAAAATAHAAAACTcvMTYvMjAxOAgAAAAJMy8zMS8yMDE4CQAAAAEwxP8bETUJ1gjCm2ISNQnWCDBDSVEuT1RDUEs6TldCTy5JUV9QRVJJT0REQVRFX0lTLi43LzE2LzIwMTguTEZSLkYBAAAAo3oUAAUAAAAJMy8zMS8yMDE4ACkclBA1CdYIczlgEjUJ1ggnQ0lRLk5BU0RBUUdTOkZQUlguSVFfQkVUQV81WVIuNy8zMS8yMDE4AQAAADddMwACAAAAEDMuMzM2NjQyMDkwOTcyNDQA1owROAgJ1ggZ6aFvNAnWCDtDSVEuTkFTREFRR1M6QVROWC5JUV9UT1RBTF9SRVYuQ1kyMDE3LjcvMzEvMjAxOC5MRlIuRi5VU0QuSAEAAADcmWsBAgAAAAYzOC4wNDMBCAAA</t>
  </si>
  <si>
    <t>AAUAAAABMQEAAAAKMTg3OTkwNzYzNQMAAAADMTYwAgAAAAIyOAQAAAABMAcAAAAJNy8zMS8yMDE4CAAAAAoxMi8zMS8yMDE3CQAAAAEw1owROAgJ1ggkwppvNAnWCDlDSVEuT1RDUEs6TUJWWC5JUV9FQklUREFfRVNULkNZMjAxOC43LzE2LzIwMTguQ09OLkYuVVNELkgBAAAA2ESLAgMAAAAAAN6nfhA1CdYImBJZEjUJ1gg2Q0lRLk5BU0RBUUdTOkFEWFMuSVFfVE9UQUxfREVCVC4uNy8xNi8yMDE4LkxGUi5GLlVTRC5IAQAAAJ7seAACAAAAATABCAAAAAUAAAABMQEAAAAKMTg5Mjc4ODU0OAMAAAADMTYwAgAAAAQ0MTczBAAAAAEwBwAAAAk3LzE2LzIwMTgIAAAACTQvMzAvMjAxOAkAAAABMCkclBA1CdYI5HRbEjUJ1ggrQ0lRLk5BU0RBUUdTOkdUSFguSVFfTEFTVFNBTEVQUklDRS41LzUvMjAxNwEAAABlNGkIAwAAAAAA1owROAgJ1ggkwppvNAnWCCJDSVEuSVFUUjQwODI5MTM5NS5JUV9UUl9UT1RBTF9DQVNIAQAAAEMIVhgCAAAAAABYzxIONQnWCMDbgg41CdYIPENJUS5OQVNEQVFHTTpJTU1VLklRX0VBUk5JTkdfQ08uQ1kyMDE3LjcvMzEvMjAxOC5MRlIuRi5VU0QuSAEAAAAgQwQAAgAAAAstMjMzLjg3ODY3MgEIAAAABQAAAAExAQAAAAoxODczNDkzNTI4AwAAAAMxNjACAAAAATcEAAAAATAHAAAACTcvMzEvMjAxOAgAAAAKMTIvMzEvMjAxNwkAAAABMJwL1TgICdYI1F+YbzQJ1gg+Q0lRLk5BU0RB</t>
  </si>
  <si>
    <t>UUdTOk1SU04uSVFfVE9UQUxfRVFVSVRZLkNZMjAxNy43LzE2LzIwMTguTEZSLkYuVVNELkgBAAAA5sUYAAIAAAAGNjkuOTk0AQgAAAAFAAAAATEBAAAACjE4ODA1NDczOTUDAAAAAzE2MAIAAAAEMTI3NQQAAAABMAcAAAAJNy8xNi8yMDE4CAAAAAoxMi8zMS8yMDE3CQAAAAEwKRyUEDUJ1ghzOWASNQnWCDhDSVEuTkFTREFRR006QUZNRC5JUV9FQklUREEuQ1kyMDE3LjcvMTYvMjAxOC5MRlIuRi5VU0QuSAEAAADb9wwAAgAAAAotMzIuMzExNDc5AQgAAAAFAAAAATEBAAAACjE4NzkxNDc2OTYDAAAAAzE2MAIAAAAENDA1MQQAAAABMAcAAAAJNy8xNi8yMDE4CAAAAAoxMi8zMS8yMDE3CQAAAAEwKRyUEDUJ1ggw110SNQnWCDxDSVEuTkFTREFRR1M6RlBSWC5JUV9UT1RBTF9FUVVJVFkuMjAwMC43LzMxLzIwMTguTEZSLkYuVVNELkgBAAAAN10zAAIAAAAHMzYyLjIxNgEIAAAABQAAAAExAQAAAAoxODg3NDAyMjI3AwAAAAMxNjACAAAABDEyNzUEAAAAATAHAAAACTcvMzEvMjAxOAgAAAAJMy8zMS8yMDE4CQAAAAEwyDCyNwgJ1ggZ6aFvNAnWCClDSVEuSVFUUjI1Mzk1NDQ3My5JUV9CVVNJTkVTU19ERVNDUklQVElPTgEAAAClCCMPAwAAAK4CQXMgb2YgSmFudWFyeSA5LCAyMDE0LCB0d28gZXhwZXJpbWVudGFsIGJsb29kIGNhbmNlciBkcnVncyB3ZXJlIGFjcXVpcmVkIGJ5IFN1bmVzaXMgUGhhcm1hY2V1</t>
  </si>
  <si>
    <t>dGljYWxzLCBJbmMuIFR3byBleHBlcmltZW50YWwgYmxvb2QgY2FuY2VyIGRydWdzIGNvbXByaXNlcyB0aGUgbGljZW5zZSBmb3IgdHdvIGJsb29kIGNhbmNlciBkcnVncyB3aGljaCBpbmNsdWRlIFNOUy0wNjIsIGEgbWVkaWF0b3Igb2YgcmVjZXB0b3Igc2lnbmFsaW5nIGZvciBibG9vZCBjYW5jZXJzIGFuZCBQREsxLCBhIGNhbmNlciBzaWduYWxpbmcgcGF0aHdheS4AsrNJbzQJ1gg1m5NvNAnWCD1DSVEuTkFTREFRQ006QVZFTy5JUV9SRVZFTlVFX0VTVC5DWTIwMTkuNy8xNi8yMDE4LkNPTi5GLlVTRC5IAQAAAPQWHQACAAAABzE5LjQyMzUBDgAAAAUAAAACMTEBAAAAATACAAAACjEwMDA3NDgwNzgDAAAABjEwMDE4MAQAAAABMgYAAAABMAcAAAADMTYwCAAAAAEwCQAAAAExCgAAAAEwCwAAAAsxMDg3MTYwOTA1NgwAAAABNw0AAAAJNy8xNy8yMDE4EAAAAAk3LzE2LzIwMTjE/xsRNQnWCMKbYhI1CdYIQ0NJUS5OQVNEQVFDTTpTUk5FLklRX0VCSVREQV8yWVJfQU5OX0NBR1IuMjAwMC43LzMxLzIwMTguTEZSLkYuVVNELkgBAAAASUOUAwMAAAACTk0BCAAAAAUAAAABMQEAAAAKMTg4Nzk4OTgzMQMAAAADMTYwAgAAAAQ0MjA5BAAAAAEwBwAAAAk3LzMxLzIwMTgIAAAACTMvMzEvMjAxOAkAAAABMNaMETgICdYIcySdbzQJ1gg/Q0lRLk5BU0RBUUdTOlRTUk8uSVFfTkVUX1dPUktJTkdfQ0FQLjE5OTYu</t>
  </si>
  <si>
    <t>Ny8zMS8yMDE4LkxGUi5GLlVTRC5IAQAAAGjWWAYCAAAABy03Mi4xMzgBCAAAAAUAAAABMQEAAAAKMTg4NjMzNzQ1MQMAAAADMTYwAgAAAAQxMzExBAAAAAEwBwAAAAk3LzMxLzIwMTgIAAAACTMvMzEvMjAxNwkAAAABMJwL1TgICdYIJMKabzQJ1ggoQ0lRLihJTlZBTElEIElERU5USUZJRVIpLklRX0NPTVBBTllfTkFNRQUAAAAAAAAACAAAABQoSW52YWxpZCBJZGVudGlmaWVyKcgwsjcICdYIQsWtDjUJ1ghGQ0lRLihJTlZBTElEIElERU5USUZJRVIpLklRX0VCSVREQV8zWVJfQU5OX0NBR1IuLjcvMTYvMjAxOC5MRlIuRi5VU0QuSAUAAAAAAAAACAAAABQoSW52YWxpZCBJZGVudGlmaWVyKd6nfhA1CdYImBJZEjUJ1gg/Q0lRLk5BU0RBUUNNOkFWRU8uSVFfRUJJVERBXzVZUl9BTk5fQ0FHUi4uNy8xNi8yMDE4LkxGUi5GLlVTRC5IAQAAAPQWHQADAAAAAADE/xsRNQnWCHM5YBI1CdYIRENJUS5OQVNEQVFHUzpOSy5JUV9UT1RBTF9SRVZfM1lSX0FOTl9DQUdSLjIwMDAuNy8zMS8yMDE4LkxGUi5GLlVTRC5IAQAAAA19oQ8CAAAACC01Ni41MzY2AQgAAAAFAAAAATEBAAAACjE4ODcxMTg3OTEDAAAAAzE2MAIAAAAENDIyMAQAAAABMAcAAAAJNy8zMS8yMDE4CAAAAAkzLzMxLzIwMTgJAAAAATDWjBE4CAnWCBnpoW80CdYILENJUS5JUVRSNTUwMjU5Mzk3LklRX1RSX1RPVEFMX0dST1NTX1RWLlVTRC5IBQAA</t>
  </si>
  <si>
    <t>AAAAAAAIAAAAGihJbnZhbGlkIEN1cnJlbmN5IFJlcXVlc3QpDG0QDjUJ1gh3eYAONQnWCCxDSVEuSVFUUjQyMjg4NzcwMS5JUV9UUl9UT1RBTF9HUk9TU19UVi5VU0QuSAUAAAAAAAAACAAAABooSW52YWxpZCBDdXJyZW5jeSBSZXF1ZXN0KQxtEA41CdYIwNuCDjUJ1gg4Q0lRLk5BU0RBUUdNOlhOQ1IuSVFfVE9UQUxfRVFVSVRZLi43LzE2LzIwMTguTEZSLkYuVVNELkgBAAAAploLAAIAAAAHNTM3LjY2NAEIAAAABQAAAAExAQAAAAoxODg3MTI1ODU1AwAAAAMxNjACAAAABDEyNzUEAAAAATAHAAAACTcvMTYvMjAxOAgAAAAJMy8zMS8yMDE4CQAAAAEwxP8bETUJ1ggS/mQSNQnWCCFDSVEuT1RDUEs6TldCTy5JUV9FRkZFQ1RfVEFYX1JBVEUBAAAAo3oUAAMAAAAAACkclBA1CdYIMNddEjUJ1gg4Q0lRLk5BU0RBUUdTOk1SU04uSVFfRUJJVERBLkNZMjAxNy43LzMxLzIwMTguTEZSLkYuVVNELkgBAAAA5sUYAAIAAAAHLTM4LjY4OQEIAAAABQAAAAExAQAAAAoxODgwNTQ3Mzk1AwAAAAMxNjACAAAABDQwNTEEAAAAATAHAAAACTcvMzEvMjAxOAgAAAAKMTIvMzEvMjAxNwkAAAABMNaMETgICdYIw4afbzQJ1gg7Q0lRLk5BU0RBUUdTOktVUkEuSVFfUFJFRl9FUVVJVFkuMjAwMC43LzMxLzIwMTguTEZSLkYuVVNELkgBAAAAuMvaEAMAAAAAANaMETgICdYIcySdbzQJ1ghCQ0lRLk5BU0RBUUdTOlBCWUkuSVFf</t>
  </si>
  <si>
    <t>VE9UQUxfUkVWXzJZUl9BTk5fQ0FHUi4uNy8xNi8yMDE4LkxGUi5GLlVTRC5IAQAAAAJqrAcDAAAAAADE/xsRNQnWCBL+ZBI1CdYIPUNJUS5OQVNEQVFHTTpBUlFMLklRX0VCSVREQV9NQVJHSU4uMjAwMC43LzMxLzIwMTguTEZSLkYuVVNELkgBAAAA9mEAAAMAAAACTk0BCAAAAAUAAAABMQEAAAAKMTg4ODc4ODc3MAMAAAADMTYwAgAAAAQ0MDQ3BAAAAAEwBwAAAAk3LzMxLzIwMTgIAAAACTMvMzEvMjAxOAkAAAABMNaMETgICdYIcySdbzQJ1gg8Q0lRLk5BU0RBUUNNOlpJT1AuSVFfRUFSTklOR19DTy5DWTIwMTYuNy8zMS8yMDE4LkxGUi5GLlVTRC5IAQAAALNRsgACAAAACC0xNjUuMjk3AQgAAAAFAAAAATEBAAAACjE4NzcyMDQ0MTYDAAAAAzE2MAIAAAABNwQAAAABMAcAAAAJNy8zMS8yMDE4CAAAAAoxMi8zMS8yMDE2CQAAAAEw1owROAgJ1gjDhp9vNAnWCCJDSVEuSVFUUjQxMzk1MzY2MS5JUV9UUl9UT1RBTF9DQVNIAQAAAH1urBgCAAAAAzIwMAEGAAAABQAAAAI1NAEAAAAGMTAxMDU2AgAAAAk0MTM5NTM2NjEDAAAACTQxMzk1NzY0MAQAAAADMTYwBgAAAAVGYWxzZbKzSW80CdYIgf2VbzQJ1ggpQ0lRLlhUUkE6TU9SLklRX01BUktFVENBUC43LzMxLzIwMTguVVNELkgBAAAA3xECAAIAAAALNDE4My44NjI3NjgBBgAAAAUAAAABMQEAAAAKMTg4NjE1MTU5OAMAAAADMTYwAgAAAAYxMDAwNTQEAAAA</t>
  </si>
  <si>
    <t>ATAHAAAACTcvMzEvMjAxOJwL1TgICdYI1F+YbzQJ1ghDQ0lRLk5BU0RBUUdTOlRTUk8uSVFfTUlOT1JJVFlfSU5URVJFU1RfVE9UQUwuLjkvMTUvMjAxNy5MRlIuRi5VU0QuSAEAAABo1lgGAwAAAAAAxP8bETUJ1ggS/mQSNQnWCClDSVEuTkFTREFRR1M6TVJTTi5JUV9CVVNJTkVTU19ERVNDUklQVElPTgEAAADmxRgAAwAAAKYITWVyc2FuYSBUaGVyYXBldXRpY3MsIEluYy4sIGEgY2xpbmljYWwgc3RhZ2UgYmlvcGhhcm1hY2V1dGljYWwgY29tcGFueSBmb2N1c2luZyBvbiB0aGUgZGV2ZWxvcG1lbnQgb2Ygb25jb2xvZ3kgdGhlcmFwZXV0aWNzIGluIHRoZSBVbml0ZWQgU3RhdGVzIGFuZCBDYW5hZGEuIFRoZSBjb21wYW55IGRldmVsb3BzIERvbGFmbGV4aW4sIGFuIGFudGlib2R5IGRydWcgY29uanVnYXRlIChBREMpIHBsYXRmb3JtIGRlc2lnbmVkIHRvIGVuaGFuY2UgdGhlIHBvdGVuY3kgYW5kIGVmZmljYWN5IG9mIEFEQ3Mgd2hpbGUgc2ltdWx0YW5lb3VzbHkgZW5oYW5jaW5nIHRoZSBzYWZldHkgYW5kIHRvbGVyYWJpbGl0eS4gSXRzIGxlYWQgcHJvZHVjdCBjYW5kaWRhdGVzIGluY2x1ZGUgWE1ULTE1MjIsIGFuIEFEQyB0YXJnZXRpbmcgSEVSMi1leHByZXNzaW5nIHR1bW9ycywgd2hpY2ggaXMgaW4gUGhhc2UgSSBjbGluaWNhbCB0cmlhbCBmb3IgdHJlYXRpbmcgcGF0aWVudHMgd2l0aCBi</t>
  </si>
  <si>
    <t>cmVhc3QgY2FuY2VyLCBub24tc21hbGwtY2VsbC1sdW5nLWNhbmNlciAoTlNDTEMpLCBhbmQgZ2FzdHJpYyBjYW5jZXI7IGFuZCBYTVQtMTUzNiwgYW4gQURDIHRhcmdldGluZyBOYVBpMmIgdGhhdCBpcyBpbiBQaGFzZSBJIGNsaW5pY2FsIHRyaWFsIGZvciB0aGUgdHJlYXRtZW50IG9mIHBhdGllbnRzIHdpdGggb3ZhcmlhbiBjYW5jZXIsIE5TQ0xDLCBhbmQgb3RoZXIgY2FuY2Vycy4gTWVyc2FuYSBUaGVyYXBldXRpY3MsIEluYy4gaGFzIHN0cmF0ZWdpYyBhbGxpYW5jZXMgd2l0aCBUYWtlZGEgUGhhcm1hY2V1dGljYWwgQ29tcGFueSBMaW1pdGVkOyBNZXJjayBLR2FBOyBhbmQgQXNhbmEgQmlvU2NpZW5jZXMsIExMQy4gVGhlIGNvbXBhbnkgd2FzIGZvcm1lcmx5IGtub3duIGFzIE5hbm9waGFybWEgQ29ycC4gYW5kIGNoYW5nZWQgaXRzIG5hbWUgdG8gTWVyc2FuYSBUaGVyYXBldXRpY3MsIEluYy4gaW4gTm92ZW1iZXIgMjAwNS4gTWVyc2FuYSBUaGVyYXBldXRpY3MsIEluYy4gd2FzIGluY29ycG9yYXRlZCBpbiAyMDAyIGFuZCBpcyBiYXNlZCBpbiBDYW1icmlkZ2UsIE1hc3NhY2h1c2V0dHMuANaMETgICdYI44uTDjUJ1ghDQ0lRLk5BU0RBUUdTOkVQWk0uSVFfRUJJVERBXzJZUl9BTk5fQ0FHUi4yMDAwLjcvMzEvMjAxOC5MRlIuRi5VU0QuSAEAAAADJj0DAwAAAAJOTQEIAAAABQAAAAExAQAA</t>
  </si>
  <si>
    <t>AAoxODg3MjQ2MDc3AwAAAAMxNjACAAAABDQyMDkEAAAAATAHAAAACTcvMzEvMjAxOAgAAAAJMy8zMS8yMDE4CQAAAAEw1owROAgJ1ghzJJ1vNAnWCDBDSVEuTkFTREFRQ006TVRFTS5JUV9MQVNUU0FMRVBSSUNFLjcvMzEvMjAxOC5VU0QBAAAAmZupAQIAAAAENS4xOADIMLI3CAnWCBnpoW80CdYILUNJUS5OQVNEQVFHUzpFUFpNLklRX0RJVklERU5EX1lJRUxELjcvMzEvMjAxOAEAAAADJj0DAwAAAAAA1owROAgJ1ghzJJ1vNAnWCD1DSVEuTkFTREFRQ006WklPUC5JUV9DQVNIX1NUX0lOVkVTVC4yMDAwLjUvNS8yMDE3LkxGUi5GLlVTRC5IAQAAALNRsgACAAAABjY2LjQ0NwEIAAAABQAAAAExAQAAAAoxODM5MzQxMTk0AwAAAAMxNjACAAAABDEwMDIEAAAAATAHAAAACDUvNS8yMDE3CAAAAAkzLzMxLzIwMTcJAAAAATDWjBE4CAnWCMOGn280CdYIIUNJUS5FTlhUUEE6SVBILklRX0VGRkVDVF9UQVhfUkFURQEAAACZgAYAAwAAAAJOTQEIAAAABQAAAAExAQAAAAoxODg5NTUyMTY0AwAAAAI1MAIAAAAENDM3NgQAAAABMAcAAAAJOC8yMy8yMDE4CAAAAAoxMi8zMS8yMDE3CQAAAAEwKRyUEDUJ1ghzOWASNQnWCENDSVEuTkFTREFRR1M6RVBaTS5JUV9FQklUREFfM1lSX0FOTl9DQUdSLjIwMDAuNy8zMS8yMDE4LkxGUi5GLlVTRC5IAQAAAAMmPQMDAAAAAk5NAQgAAAAFAAAAATEBAAAACjE4ODcyNDYwNzcD</t>
  </si>
  <si>
    <t>AAAAAzE2MAIAAAAENDIyMgQAAAABMAcAAAAJNy8zMS8yMDE4CAAAAAkzLzMxLzIwMTgJAAAAATDWjBE4CAnWCHMknW80CdYIJ0NJUS5OQVNEQVFHUzpCR05FLklRX0JFVEFfNVlSLjcvMTYvMjAxOAEAAADg5N0GAgAAABEwLjYxMjEyNTE0MTY2MTY3MgDE/xsRNQnWCGhgZxI1CdYIM0NJUS5PVENQSzpOV0JPLklRX1RPVEFMX0RFQlQuLjkvMTUvMjAxNy5MRlIuRi5VU0QuSAEAAACjehQAAgAAAAYzMi4wMjYBCAAAAAUAAAABMQEAAAAKMTg1NTMyNjM3MQMAAAADMTYwAgAAAAQ0MTczBAAAAAEwBwAAAAk5LzE1LzIwMTcIAAAACTYvMzAvMjAxNwkAAAABMCkclBA1CdYIMNddEjUJ1gg3Q0lRLk5BU0RBUUdTOk5LLklRX1RPVEFMX1JFVi4yMDAwLjcvMzEvMjAxOC5MRlIuRi5VU0QuSAEAAAANfaEPAgAAAAUwLjAzOQEIAAAABQAAAAExAQAAAAoxODg3MTE4NzkxAwAAAAMxNjACAAAAAjI4BAAAAAEwBwAAAAk3LzMxLzIwMTgIAAAACTMvMzEvMjAxOAkAAAABMNaMETgICdYIw4afbzQJ1gg8Q0lRLk5BU0RBUUdNOkFSUlkuSVFfR1JPU1NfTUFSR0lOLjIwMDAuNy8zMS8yMDE4LkxGUi5GLlVTRC5IAQAAAPhhAAACAAAABzM3LjI2NTYBCAAAAAUAAAABMQEAAAAKMTg4ODQ3MDY3NgMAAAADMTYwAgAAAAQ0MDc0BAAAAAEwBwAAAAk3LzMxLzIwMTgIAAAACTMvMzEvMjAxOAkAAAABMJwL1TgICdYI1F+YbzQJ1ggq</t>
  </si>
  <si>
    <t>Q0lRLi5JUV9QRVJJT0REQVRFX0lTLjIwMDAuNy8zMS8yMDE4LkxGUi5GBQAAAAEAAAAIAAAAFChJbnZhbGlkIElkZW50aWZpZXIpliQwRzQJ1giWJDBHNAnWCDxDSVEuTkFTREFRR1M6RVBaTS5JUV9HUk9TU19NQVJHSU4uMjAwMC43LzMxLzIwMTguTEZSLkYuVVNELkgBAAAAAyY9AwMAAAACTk0BCAAAAAUAAAABMQEAAAAKMTg4NzI0NjA3NwMAAAADMTYwAgAAAAQ0MDc0BAAAAAEwBwAAAAk3LzMxLzIwMTgIAAAACTMvMzEvMjAxOAkAAAABMNaMETgICdYIcySdbzQJ1gg1Q0lRLk5BU0RBUUdTOk1SU04uSVFfQ0FQRVguMTk5Ni43LzMxLzIwMTguTEZSLkYuVVNELkgBAAAA5sUYAAIAAAAFLTEuMTYBCAAAAAUAAAABMQEAAAAKMTg4OTA5NjU5NwMAAAADMTYwAgAAAAQyMDIxBAAAAAEwBwAAAAk3LzMxLzIwMTgIAAAACTMvMzEvMjAxNwkAAAABMNaMETgICdYIw4afbzQJ1gg/Q0lRLk5BU0RBUUdTOk1SU04uSVFfRUJJVERBXzJZUl9BTk5fQ0FHUi4uNy8xNi8yMDE4LkxGUi5GLlVTRC5IAQAAAObFGAADAAAAAAApHJQQNQnWCHM5YBI1CdYIRkNJUS5OQVNEQVFDTTpNVEVNLklRX01JTk9SSVRZX0lOVEVSRVNUX1RPVEFMLjIwMDAuNS81LzIwMTcuTEZSLkYuVVNELkgBAAAAmZupAQMAAAAAAMgwsjcICdYIGemhbzQJ1ggtQ0lRLk5BU0RBUUdNOkFSUUwuSVFfRElWSURFTkRfWUlFTEQuNy8zMS8yMDE4AQAA</t>
  </si>
  <si>
    <t>APZhAAADAAAAAADWjBE4CAnWCHMknW80CdYIPkNJUS5OQVNEQVFHUzpTR0VOLklRX1RPVEFMX0VRVUlUWS5DWTIwMTYuNy8xNi8yMDE4LkxGUi5GLlVTRC5IAQAAAGGFAAACAAAABzYzNC4wODcBCAAAAAUAAAABMQEAAAAKMTg3NDY5NjE5NgMAAAADMTYwAgAAAAQxMjc1BAAAAAEwBwAAAAk3LzE2LzIwMTgIAAAACjEyLzMxLzIwMTYJAAAAATDE/xsRNQnWCGhgZxI1CdYINENJUS5OQVNEQVFHUzpCR05FLklRX0VCSVREQV9NQVJHSU4uMjAwMC4uTEZSLkYuVVNELkgBAAAA4OTdBgIAAAAILTcwLjE0MTYBCAAAAAUAAAABMQEAAAAKMTg5OTkwMDYzMQMAAAADMTYwAgAAAAQ0MDQ3BAAAAAEwBwAAAAk4LzIzLzIwMTgIAAAACTYvMzAvMjAxOAkAAAABMJwL1TgICdYInAvVOAgJ1gguQ0lRLklRVFIzMTQ4MjkyMzYuSVFfVFJfVEFSR0VUX1NUT0NLUFJFTUlVTV8xTQEAAAC06cMSAgAAAAAAWM8SDjUJ1gjA24IONQnWCC5DSVEuTkFTREFRR006TkxOSy5JUV9NQVJLRVRDQVAuOS8xNS8yMDE3LlVTRC5IAQAAAJV7jAACAAAACjM3Mi43NjQ1ODkBBgAAAAUAAAABMQEAAAAKMTg1MTg5MTQwOAMAAAADMTYwAgAAAAYxMDAwNTQEAAAAATAHAAAACTkvMTUvMjAxNykclBA1CdYI5HRbEjUJ1gg6Q0lRLk5BU0RBUUNNOlpJT1AuSVFfRUFSTklOR19DTy4yMDAwLjcvMzEvMjAxOC5MRlIuRi5VU0QuSAEAAACzUbIAAgAA</t>
  </si>
  <si>
    <t>AActNTQuODU2AQgAAAAFAAAAATEBAAAACjE4ODc5NzIzNTkDAAAAAzE2MAIAAAABNwQAAAABMAcAAAAJNy8zMS8yMDE4CAAAAAkzLzMxLzIwMTgJAAAAATDWjBE4CAnWCMOGn280CdYILkNJUS4uSVFfRUJJVF9NQVJHSU4uMjAwMC43LzMxLzIwMTguTEZSLkYuVVNELkgFAAAAAQAAAAgAAAAUKEludmFsaWQgSWRlbnRpZmllcin1hDJHNAnWCPWEMkc0CdYIPUNJUS5OQVNEQVFHUzpDQUxBLklRX0VCSVREQV9NQVJHSU4uMjAwMC43LzMxLzIwMTguTEZSLkYuVVNELkgBAAAApSeBBgIAAAAJLTEzOC41MTY2AQgAAAAFAAAAATEBAAAACjE4ODc5ODAzMDUDAAAAAzE2MAIAAAAENDA0NwQAAAABMAcAAAAJNy8zMS8yMDE4CAAAAAkzLzMxLzIwMTgJAAAAATDIMLI3CAnWCN1LpG80CdYIQ0NJUS5OQVNEQVFHTTpGQVRFLklRX0VCSVREQV8zWVJfQU5OX0NBR1IuMjAwMC43LzMxLzIwMTguTEZSLkYuVVNELkgBAAAAaDFXAgMAAAACTk0BCAAAAAUAAAABMQEAAAAKMTg4ODUwMDUyNwMAAAADMTYwAgAAAAQ0MjIyBAAAAAEwBwAAAAk3LzMxLzIwMTgIAAAACTMvMzEvMjAxOAkAAAABMNaMETgICdYIw4afbzQJ1gg7Q0lRLk5BU0RBUUNNOlpJT1AuSVFfUFJFRl9FUVVJVFkuMjAwMC43LzMxLzIwMTguTEZSLkYuVVNELkgBAAAAs1GyAAIAAAAHMTQ5LjAzOQEIAAAABQAAAAExAQAAAAoxODg3OTcyMzU5AwAAAAMxNjAC</t>
  </si>
  <si>
    <t>AAAABDEwMDUEAAAAATAHAAAACTcvMzEvMjAxOAgAAAAJMy8zMS8yMDE4CQAAAAEw1owROAgJ1gjDhp9vNAnWCC1DSVEuTkFTREFRR006TFBUWC5JUV9ESVZJREVORF9ZSUVMRC43LzE2LzIwMTgBAAAADDYJBwMAAAAAACkclBA1CdYIMNddEjUJ1gg8Q0lRLk5BU0RBUUdNOklNTVUuSVFfRUJJVERBX0VTVC5DWTIwMTguNy8xNi8yMDE4LkNPTi5GLlVTRC5IAQAAACBDBAADAAAAAADE/xsRNQnWCBL+ZBI1CdYIJUNJUS5JUVRSNTM1NzE5OTk4LklRX1RSX01BSl9NSU5fU1RBS0UBAAAAPnDuHwMAAAAITWFqb3JpdHkAsrNJbzQJ1giB/ZVvNAnWCB1DSVEuTkFTREFRR006QVJSWS5JUV9FWENIQU5HRQEAAAD4YQAAAwAAAAhOYXNkYXFHTQCcC9U4CAnWCNRfmG80CdYIHUNJUS4lVVNQTVJULklRX0xBU1RTQUxFUFJJQ0UuAQAAAFntWgACAAAAATUAnAvVOAgJ1gh3eYAONQnWCCFDSVEuSVExMDkxMjc1ODkuSVFfQ09NUEFOWV9USUNLRVIBAAAApSeBBgMAAAANTmFzZGFxR1M6Q0FMQQAMbRAONQnWCB8VnQ41CdYIJ0NJUS5OQVNEQVFHUzpUU1JPLklRX0JFVEFfNVlSLjcvMTYvMjAxOAEAAABo1lgGAgAAABAxLjIyMjUwOTMyNTg3Mjk2AMT/GxE1CdYIEv5kEjUJ1gguQ0lRLklRVFIyNjM3MTg2NDcuSVFfVFJfVEFSR0VUX1NUT0NLUFJFTUlVTV8xVwEAAAD3BrgPAgAAAAAAsrNJbzQJ1giB/ZVvNAnWCDhDSVEu</t>
  </si>
  <si>
    <t>TkFTREFRR006WE5DUi5JUV9FQklUREEuQ1kyMDE2LjcvMTYvMjAxOC5MRlIuRi5VU0QuSAEAAACmWgsAAgAAAAYyNC4zNjIBCAAAAAUAAAABMQEAAAAKMTg3Njk4NDUyMwMAAAADMTYwAgAAAAQ0MDUxBAAAAAEwBwAAAAk3LzE2LzIwMTgIAAAACjEyLzMxLzIwMTYJAAAAATDE/xsRNQnWCBL+ZBI1CdYIJUNJUS5JUVRSMzA3ODYzOTg0LklRX1RSX01BSl9NSU5fU1RBS0UBAAAAsKFZEgMAAAAITWFqb3JpdHkAWM8SDjUJ1gjA24IONQnWCD1DSVEuTkFTREFRQ006Q0tQVC5JUV9SRVZFTlVFX0VTVC5DWTIwMjAuNy8xNi8yMDE4LkNPTi5GLlVTRC5IAQAAALhRFhECAAAAAzIuMQEOAAAABQAAAAIxMQEAAAABMAIAAAAKMTAwMzY2NTYwNwMAAAAGMTAwMTgwBAAAAAEyBgAAAAEwBwAAAAMxNjAIAAAAATAJAAAAATEKAAAAATALAAAACzEwODc4NzA3NzM2DAAAAAE3DQAAAAk3LzE3LzIwMTgQAAAACTcvMTYvMjAxOCkclBA1CdYIMNddEjUJ1gg9Q0lRLk5BU0RBUUdNOlhOQ1IuSVFfUkVWRU5VRV9FU1QuQ1kyMDE5LjcvMTYvMjAxOC5DT04uRi5VU0QuSAEAAACmWgsAAgAAAAgzMy4zMzIwMwEOAAAABQAAAAIxMQEAAAABMAIAAAAKMTAwMjAyNTI1MgMAAAAGMTAwMTgwBAAAAAEyBgAAAAEwBwAAAAMxNjAIAAAAATAJAAAAATEKAAAAATALAAAACzEwOTE1ODMyNTg1DAAAAAE3DQAAAAk3LzE3LzIwMTgQAAAACTcv</t>
  </si>
  <si>
    <t>MTYvMjAxOMT/GxE1CdYIEv5kEjUJ1ghCQ0lRLk5BU0RBUUdTOkNBTEEuSVFfVE9UQUxfUkVWXzNZUl9BTk5fQ0FHUi4uNy8xNi8yMDE4LkxGUi5GLlVTRC5IAQAAAKUngQYDAAAAAAApHJQQNQnWCOR0WxI1CdYIL0NJUS5JUVRSNDA4NDA3ODIyLklRX1RSX0lNUExJRURfRVZfRklOQUwuLlVTRC5IAQAAAA7PVxgCAAAACjE4OS45NDU2NTUBBgAAAAUAAAACNTQBAAAABjEwMjA0NQIAAAAJNDA4NDA3ODIyAwAAAAk0MDg0MTA1NDEEAAAAAzE2MAYAAAAFRmFsc2Wys0lvNAnWCIH9lW80CdYINUNJUS5OQVNEQVFDTTpDS1BULklRX1RPVEFMX1JFVi4uNy8xNi8yMDE4LkxGUi5GLlVTRC5IAQAAALhRFhECAAAABTEuMzc1AQgAAAAFAAAAATEBAAAACjE4ODgwMDcyMjMDAAAAAzE2MAIAAAACMjgEAAAAATAHAAAACTcvMTYvMjAxOAgAAAAJMy8zMS8yMDE4CQAAAAEwKRyUEDUJ1ggw110SNQnWCDlDSVEuTkFTREFRR1M6R1RIWC5JUV9UT1RBTF9SRVYuMjAwMC43LzMxLzIwMTguTEZSLkYuVVNELkgBAAAAZTRpCAMAAAAAAJwL1TgICdYIJMKabzQJ1gg1Q0lRLk5BU0RBUUdTOlRTUk8uSVFfQ0FQRVguMTk5Mi43LzMxLzIwMTguTEZSLkYuVVNELkgBAAAAaNZYBgIAAAAGLTIuNTEzAQgAAAAFAAAAATEBAAAACjE4NDA5MzQ2NjMDAAAAAzE2MAIAAAAEMjAyMQQAAAABMAcAAAAJNy8zMS8yMDE4CAAAAAkzLzMxLzIw</t>
  </si>
  <si>
    <t>MTYJAAAAATCcC9U4CAnWCCTCmm80CdYIIUNJUS5OQVNEQVFHTTpJTU1VLklRX0NPTVBBTllfTkFNRQEAAAAgQwQAAwAAABJJbW11bm9tZWRpY3MsIEluYy4AnAvVOAgJ1gioAooONQnWCC9DSVEuLklRX0VCSVREQV9FU1QuQ1kyMDE5LjcvMzEvMjAxOC5DT04uRi5VU0QuSAUAAAABAAAACAAAABQoSW52YWxpZCBJZGVudGlmaWVyKfWEMkc0CdYI9YQyRzQJ1ghDQ0lRLihJTlZBTElEIElERU5USUZJRVIpLklRX0VCSVREQV9FU1QuQ1kyMDE5LjcvMTYvMjAxOC5DT04uRi5VU0QuSAUAAAAAAAAACAAAABQoSW52YWxpZCBJZGVudGlmaWVyKSAKgRA1CdYImBJZEjUJ1ggdQ0lRLk5BU0RBUUdTOk1SU04uSVFfRVhDSEFOR0UBAAAA5sUYAAMAAAAITmFzZGFxR1MA1owROAgJ1gjji5MONQnWCDpDSVEuTkFTREFRR1M6TksuSVFfVE9UQUxfRVFVSVRZLjIwMDAuNy8zMS8yMDE4LkxGUi5GLlVTRC5IAQAAAA19oQ8CAAAABjIwMC4zNgEIAAAABQAAAAExAQAAAAoxODg3MTE4NzkxAwAAAAMxNjACAAAABDEyNzUEAAAAATAHAAAACTcvMzEvMjAxOAgAAAAJMy8zMS8yMDE4CQAAAAEw1owROAgJ1ggZ6aFvNAnWCC5DSVEuTkFTREFRR1M6TVJTTi5JUV9NQVJLRVRDQVAuNy8xNi8yMDE4LlVTRC5IAQAAAObFGAACAAAACjM1My4xNDY1NzMBBgAAAAUAAAABMQEAAAAKMTg4OTA5NDEwMAMAAAADMTYwAgAAAAYxMDAwNTQE</t>
  </si>
  <si>
    <t>AAAAATAHAAAACTcvMTYvMjAxOEadGRE1CdYIczlgEjUJ1gg0Q0lRLk5BU0RBUUdTOkJHTkUuSVFfUkVWRU5VRV9FU1QuQ1kyMDIwLi5DT04uRi5VU0QuSAEAAADg5N0GAgAAAAgzNzUuOTA3NgEOAAAABQAAAAIxMQEAAAABMAIAAAAKMTAwMzMyNjI3NwMAAAAGMTAwMTgwBAAAAAEyBgAAAAEwBwAAAAMxNjAIAAAAATAJAAAAATEKAAAAATALAAAACzExMDMyMjg1NzY5DAAAAAE3DQAAAAk4LzI0LzIwMTgQAAAACTgvMjMvMjAxOJwL1TgICdYInAvVOAgJ1gg4Q0lRLlhUUkE6TU9SLklRX1JFVkVOVUVfRVNULkNZMjAyMC43LzMxLzIwMTguQ09OLkYuVVNELkgBAAAA3xECAAIAAAAQMTMzLjU2NjE1NTY4ODk4NAEOAAAABQAAAAIxMQEAAAABMAIAAAAKMTAwMDk4OTAwNwMAAAAGMTAwMTgwBAAAAAEzBgAAAAEwBwAAAAMxNjAIAAAAATAJAAAAATEKAAAAATALAAAACzExMDAxMzE1MTc0DAAAAAE3DQAAAAg4LzEvMjAxOBAAAAAJNy8zMS8yMDE4nAvVOAgJ1gjUX5hvNAnWCDlDSVEuTkFTREFRR1M6QURYUy5JUV9FQklUREFfTUFSR0lOLi43LzE2LzIwMTguTEZSLkYuVVNELkgBAAAAnux4AAMAAAACTk0BCAAAAAUAAAABMQEAAAAKMTg5Mjc4ODU0OAMAAAADMTYwAgAAAAQ0MDQ3BAAAAAEwBwAAAAk3LzE2LzIwMTgIAAAACTQvMzAvMjAxOAkAAAABMCkclBA1CdYI5HRbEjUJ1ggnQ0lRLk5BU0RBUUdNOklNTVUu</t>
  </si>
  <si>
    <t>SVFfUEVSSU9EREFURV9JUy4xMDAwAQAAACBDBAAFAAAACTYvMzAvMjAxNwCcC9U4CAnWCNRfmG80CdYIKUNJUS5JUVRSNTM1NzE5OTk4LklRX1RSX0lNUExJRURfRVFfTklfTFRNAQAAAD5w7h8DAAAAAk5NALKzSW80CdYIgf2VbzQJ1gglQ0lRLk5BU0RBUUdTOkNBTEEuSVFfRklSU1RQUklDSU5HREFURQEAAAClJ4EGBQAAAAkxMC8zLzIwMTQAyDCyNwgJ1ggfFZ0ONQnWCDxDSVEuTkFTREFRR006Q1JWUy5JUV9FQklUREFfRVNULkNZMjAxOS43LzMxLzIwMTguQ09OLkYuVVNELkgBAAAA9LCmEAIAAAAILTExNC41MzkBDgAAAAUAAAACMTEBAAAAATACAAAACjEwMDMzNzAzNTYDAAAABjEwMDE4NwQAAAABMgYAAAABMAcAAAADMTYwCAAAAAEwCQAAAAExCgAAAAEwCwAAAAsxMDk1NTQ2MTg0MQwAAAABNw0AAAAIOC8xLzIwMTgQAAAACTcvMzEvMjAxONaMETgICdYIGemhbzQJ1ggnQ0lRLk5BU0RBUUdNOkFSUUwuSVFfQkVUQV8yWVIuNy8zMS8yMDE4AQAAAPZhAAACAAAAETAuNDgxMjQ1MDE5ODMxNzkzANaMETgICdYIcySdbzQJ1gg8Q0lRLk5BU0RBUUdTOkJHTkUuSVFfRUJJVERBX0VTVC5DWTIwMTguNy8xNi8yMDE4LkNPTi5GLlVTRC5IAQAAAODk3QYCAAAACS0zMTQuNjM1NAEOAAAABQAAAAIxMQEAAAABMAIAAAAKMTAwMzMyNjI2MwMAAAAGMTAwMTg3BAAAAAEyBgAAAAEwBwAAAAMxNjAIAAAAATAJ</t>
  </si>
  <si>
    <t>AAAAATEKAAAAATALAAAACzEwOTY3MTM5MTg3DAAAAAE3DQAAAAk3LzE3LzIwMTgQAAAACTcvMTYvMjAxOMT/GxE1CdYIaGBnEjUJ1gg8Q0lRLk5BU0RBUUdTOlBCWUkuSVFfRUFSTklOR19DTy5DWTIwMTYuNy8xNi8yMDE4LkxGUi5GLlVTRC5IAQAAAAJqrAcCAAAACC0yNzYuMDExAQgAAAAFAAAAATEBAAAACjE4NzgwNjMzMzADAAAAAzE2MAIAAAABNwQAAAABMAcAAAAJNy8xNi8yMDE4CAAAAAoxMi8zMS8yMDE2CQAAAAEwxP8bETUJ1ggS/mQSNQnWCDBDSVEuTkFTREFRR1M6Q0FMQS5JUV9MQVNUU0FMRVBSSUNFLjcvMTYvMjAxOC5VU0QBAAAApSeBBgIAAAADNC43ACkclBA1CdYI5HRbEjUJ1ghHQ0lRLk5BU0RBUUdTOlRTUk8uSVFfTUlOT1JJVFlfSU5URVJFU1RfVE9UQUwuMjAwMC43LzMxLzIwMTguTEZSLkYuVVNELkgBAAAAaNZYBgMAAAAAAJwL1TgICdYIJMKabzQJ1gg9Q0lRLk5BU0RBUUNNOkNLUFQuSVFfUkVWRU5VRV9FU1QuQ1kyMDIxLjcvMTYvMjAxOC5DT04uRi5VU0QuSAEAAAC4URYRAwAAAAAAKRyUEDUJ1ggw110SNQnWCCdDSVEuTkFTREFRQ006WklPUC5JUV9CRVRBXzJZUi43LzMxLzIwMTgBAAAAs1GyAAIAAAAQMS40ODI3NDg4ODM2Njg0NwDWjBE4CAnWCMOGn280CdYIOkNJUS5OQVNEQVFHUzpBVE5YLklRX0VBUk5JTkdfQ08uMTk5Mi43LzMxLzIwMTguTEZSLkYuVVNELkgBAAAA</t>
  </si>
  <si>
    <t>3JlrAQIAAAAHLTE3LjcyOAEIAAAABQAAAAExAQAAAAoxODQyNDkwMjczAwAAAAMxNjACAAAAATcEAAAAATAHAAAACTcvMzEvMjAxOAgAAAAKMTIvMzEvMjAxNAkAAAABMNaMETgICdYIJMKabzQJ1gg8Q0lRLk5BU0RBUUdTOkVQWk0uSVFfVE9UQUxfRVFVSVRZLjE5OTIuNy8zMS8yMDE4LkxGUi5GLlVTRC5IAQAAAAMmPQMCAAAABjI3OS4wMQEIAAAABQAAAAExAQAAAAoxODQwNjMwMzk0AwAAAAMxNjACAAAABDEyNzUEAAAAATAHAAAACTcvMzEvMjAxOAgAAAAJMy8zMS8yMDE2CQAAAAEw1owROAgJ1ghzJJ1vNAnWCCBDSVEuSVFUUjI2MzcxODY0Ny5JUV9UUl9FQVJOT1VUUwEAAAD3BrgPAgAAAAAAsrNJbzQJ1giB/ZVvNAnWCDhDSVEuT1RDUEs6TUJWWC5JUV9UT1RBTF9SRVYuQ1kyMDE2LjcvMTYvMjAxOC5MRlIuRi5VU0QuSAEAAADYRIsCAgAAAAgwLjE0ODA1NAEIAAAABQAAAAExAQAAAAoxODgxMjEzMjIwAwAAAAMxNjACAAAAAjI4BAAAAAEwBwAAAAk3LzE2LzIwMTgIAAAACjEyLzMxLzIwMTYJAAAAATDep34QNQnWCJgSWRI1CdYIN0NJUS4oSU5WQUxJRCBJREVOVElGSUVSKS5JUV9MQVNUU0FMRVBSSUNFLjcvMzEvMjAxOC5VU0QFAAAAAAAAAAgAAAAUKEludmFsaWQgSWRlbnRpZmllcinIMLI3CAnWCO02sG80CdYILENJUS5OQVNEQVFHUzpTR0VOLklRX0xBU1RTQUxFUFJJQ0UuOS8xNS8yMDE3</t>
  </si>
  <si>
    <t>AQAAAGGFAAACAAAABTUzLjc5AEadGRE1CdYIaGBnEjUJ1gguQ0lRLklRVFI0MjQzNDIwNDYuSVFfVFJfVEFSR0VUX1NUT0NLUFJFTUlVTV8xTQEAAAAe8koZAgAAAAAADG0QDjUJ1gjA24IONQnWCC5DSVEuRU5YVFBBOklQSC5JUV9DQVBFWC4uNy8xNi8yMDE4LkxGUi5GLlVTRC5IAQAAAJmABgACAAAACS0zLjU1OTA3OAEIAAAABQAAAAExAQAAAAoxODg5NTUyMTY0AwAAAAMxNjACAAAABDIwMjEEAAAAATAHAAAACTcvMTYvMjAxOAgAAAAKMTIvMzEvMjAxNwkAAAABMCkclBA1CdYIczlgEjUJ1ggzQ0lRLk5BU0RBUUdTOkJHTkUuSVFfRUFSTklOR19DTy5DWTIwMTYuLkxGUi5GLlVTRC5IAQAAAODk3QYCAAAACC0xMTkuMjE3AQgAAAAFAAAAATEBAAAACjE4OTk4ODEyMDQDAAAAAzE2MAIAAAABNwQAAAABMAcAAAAJOC8yMy8yMDE4CAAAAAoxMi8zMS8yMDE2CQAAAAEwnAvVOAgJ1gicC9U4CAnWCDpDSVEuTkFTREFRR006Q1JWUy5JUV9QUkVGX0VRVUlUWS4yMDAwLjUvNS8yMDE3LkxGUi5GLlVTRC5IAQAAAPSwphADAAAAAADWjBE4CAnWCBnpoW80CdYIQkNJUS5OQVNEQVFHUzpCR05FLklRX1RPVEFMX1JFVl8yWVJfQU5OX0NBR1IuLjcvMTYvMjAxOC5MRlIuRi5VU0QuSAEAAADg5N0GAgAAAAg0NzcuODQ1NgEIAAAABQAAAAExAQAAAAoxODg3Njg4NTg4AwAAAAMxNjACAAAABDQyMDcEAAAAATAHAAAA</t>
  </si>
  <si>
    <t>CTcvMTYvMjAxOAgAAAAJMy8zMS8yMDE4CQAAAAEwxP8bETUJ1ghoYGcSNQnWCDZDSVEuWFRSQTpNT1IuSVFfVE9UQUxfUkVWLkNZMjAxNi43LzMxLzIwMTguTEZSLkYuVVNELkgBAAAA3xECAAIAAAAJNTIuNTEwODM2AQgAAAAFAAAAATEBAAAACjE4NzgzMjMxNTQDAAAAAzE2MAIAAAACMjgEAAAAATAHAAAACTcvMzEvMjAxOAgAAAAKMTIvMzEvMjAxNgkAAAABMJwL1TgICdYI1F+YbzQJ1gg6Q0lRLk5BU0RBUUdTOk5LLklRX0VBUk5JTkdfQ08uQ1kyMDE3LjcvMzEvMjAxOC5MRlIuRi5VU0QuSAEAAAANfaEPAgAAAActOTYuNDIzAQgAAAAFAAAAATEBAAAACjE4NzgwMTI1OTcDAAAAAzE2MAIAAAABNwQAAAABMAcAAAAJNy8zMS8yMDE4CAAAAAoxMi8zMS8yMDE3CQAAAAEw1owROAgJ1ggZ6aFvNAnWCDZDSVEuTkFTREFRR1M6RVBaTS5JUV9FQklUREEuMjAwMC43LzMxLzIwMTguTEZSLkYuVVNELkgBAAAAAyY9AwIAAAAILTEzNy4yNzEBCAAAAAUAAAABMQEAAAAKMTg4NzI0NjA3NwMAAAADMTYwAgAAAAQ0MDUxBAAAAAEwBwAAAAk3LzMxLzIwMTgIAAAACTMvMzEvMjAxOAkAAAABMNaMETgICdYIcySdbzQJ1gg9Q0lRLk5BU0RBUUdNOkFGTUQuSVFfUkVWRU5VRV9FU1QuQ1kyMDIxLjcvMTYvMjAxOC5DT04uRi5VU0QuSAEAAADb9wwAAgAAAA81Mi43NDA0NzUzNzA3ODIBDgAAAAUAAAACMTEBAAAAATAC</t>
  </si>
  <si>
    <t>AAAACjEwMDI4ODQxMDUDAAAABjEwMDE4MAQAAAABMwYAAAABMAcAAAADMTYwCAAAAAEwCQAAAAExCgAAAAEwCwAAAAsxMDg4NzE3NTk5NgwAAAABNw0AAAAJNy8xNy8yMDE4EAAAAAk3LzE2LzIwMTgpHJQQNQnWCDDXXRI1CdYILkNJUS5OQVNEQVFHUzpDQUxBLklRX01BUktFVENBUC45LzE1LzIwMTcuVVNELkgBAAAApSeBBgIAAAAKNTMzLjkyNDA0OQEGAAAABQAAAAExAQAAAAoxODUyNDc0NjMzAwAAAAMxNjACAAAABjEwMDA1NAQAAAABMAcAAAAJOS8xNS8yMDE3KRyUEDUJ1gjkdFsSNQnWCDlDSVEuTkFTREFRQ006WklPUC5JUV9UT1RBTF9SRVYuMjAwMC43LzMxLzIwMTguTEZSLkYuVVNELkgBAAAAs1GyAAIAAAAFNC45MzgBCAAAAAUAAAABMQEAAAAKMTg4Nzk3MjM1OQMAAAADMTYwAgAAAAIyOAQAAAABMAcAAAAJNy8zMS8yMDE4CAAAAAkzLzMxLzIwMTgJAAAAATDWjBE4CAnWCMOGn280CdYIIENJUS5FTlhUUEE6SVBILklRX1BFUklPRERBVEVfSVMuAQAAAJmABgAFAAAACjEyLzMxLzIwMTcAKRyUEDUJ1ghzOWASNQnWCCVDSVEuSVFUUjQyMjg4NzcwMS5JUV9UUl9NQUpfTUlOX1NUQUtFAQAAABXBNBkDAAAACE1ham9yaXR5AAxtEA41CdYIwNuCDjUJ1ggyQ0lRLi5JUV9ORVRfV09SS0lOR19DQVAuMTk5Ni43LzMxLzIwMTguTEZSLkYuVVNELkgFAAAAAQAAAAgAAAAUKEludmFsaWQgSWRlbnRp</t>
  </si>
  <si>
    <t>Zmllcin1hDJHNAnWCPWEMkc0CdYIMkNJUS5OQVNEQVFHUzpTR0VOLklRX05FVF9XT1JLSU5HX0NBUC4uLkxGUi5GLlVTRC5IAQAAAGGFAAACAAAABjc2Ljk5NwEIAAAABQAAAAExAQAAAAoxODk3MjMzNTE4AwAAAAMxNjACAAAABDEzMTEEAAAAATAHAAAACTgvMjMvMjAxOAgAAAAJNi8zMC8yMDE4CQAAAAEwRp0ZETUJ1ghGnRkRNQnWCD9DSVEuTkFTREFRR1M6TVJTTi5JUV9ORVRfV09SS0lOR19DQVAuMjAwMC43LzMxLzIwMTguTEZSLkYuVVNELkgBAAAA5sUYAAIAAAAHLTI1LjkzOAEIAAAABQAAAAExAQAAAAoxODg5MDk2NjUzAwAAAAMxNjACAAAABDEzMTEEAAAAATAHAAAACTcvMzEvMjAxOAgAAAAJMy8zMS8yMDE4CQAAAAEw1owROAgJ1gjDhp9vNAnWCClDSVEuSVFUUjQwMzc5MTc2Ny5JUV9CVVNJTkVTU19ERVNDUklQVElPTgEAAABwXxEYAwAAAJcERW5nTWFiIEFHLCBhIHN0YXJ0LXVwIGJpb3RlY2hub2xvZ3kgY29tcGFueSwgc3BlY2lhbGl6ZXMgaW4gZW5naW5lZXJlZCBtb25vY2xvbmFsIGFudGlib2R5IGJhc2VkIG1vbGVjdWxlcyBlbmhhbmNpbmcgaW1tdW5lIGF0dGFja3MgYWdhaW5zdCB0dW1vcnMuIEl0cyBwcm9qZWN0cyBpbmNsdWRlIGEgVC1jZWxsIGJpc3BlY2lmaWMgYW50aWJvZHkgZm9yIGEgaGlnaCB1bm1ldCBtZWRpY2FsIG5lZWQgaGVtYXRvbG9naWNhbCBtYWxpZ25hbmN5</t>
  </si>
  <si>
    <t>OyBhbmQgYSBULWNlbGwgYmlzcGVjaWZpYyBhbnRpYm9keSB0YXJnZXRpbmcgYSB0dW1vciBhbnRpZ2VuIGV4cHJlc3NlZCBvbiBoZW1hdG9sb2dpY2FsIG1hbGlnbmFuY2llcyBhbmQgc29saWQgdHVtb3JzLiBUaGUgY29tcGFueSB3YXMgZm91bmRlZCBpbiAyMDEzIGFuZCBpcyBoZWFkcXVhcnRlcmVkIGluIFBmYWZmaWtvbiwgU3dpdHplcmxhbmQuIEFzIG9mIFNlcHRlbWJlciAyNywgMjAxNiwgRW5nTWFiIEFHIG9wZXJhdGVzIGFzIGEgc3Vic2lkaWFyeSBvZiBDZWxnZW5lIENvcnBvcmF0aW9uLgAMbRAONQnWCMDbgg41CdYIO0NJUS5OQVNEQVFHUzpLVVJBLklRX1RPVEFMX1JFVi5DWTIwMTYuNy8zMS8yMDE4LkxGUi5GLlVTRC5IAQAAALjL2hADAAAAAADWjBE4CAnWCHMknW80CdYILUNJUS5OQVNEQVFHTTpYTkNSLklRX0RJVklERU5EX1lJRUxELjcvMTYvMjAxOAEAAACmWgsAAwAAAAAARp0ZETUJ1ggS/mQSNQnWCDFDSVEuTkFTREFRR006QUZNRC5JUV9DQVBFWC4uNy8xNi8yMDE4LkxGUi5GLlVTRC5IAQAAANv3DAACAAAACS0wLjg0NzYwNAEIAAAABQAAAAExAQAAAAoxODg5ODY2MDQ5AwAAAAMxNjACAAAABDIwMjEEAAAAATAHAAAACTcvMTYvMjAxOAgAAAAJMy8zMS8yMDE4CQAAAAEwKRyUEDUJ1ggw110SNQnWCCVDSVEuTkFTREFRQ006Q0tQVC5JUV9GSVJTVFBSSUNJTkdEQVRFAQAAALhR</t>
  </si>
  <si>
    <t>FhEFAAAACTExLzQvMjAxNgApHJQQNQnWCDDXXRI1CdYIK0NJUS5OWVNFOkJIVk4uSVFfRUJJVERBLjIwMDAuMTAvMTgvMjAxNi4uLi4BAAAA3GcgDwMAAAAAALKzSW80CdYINZuTbzQJ1gg7Q0lRLk5BU0RBUUdTOkFOQUIuSVFfVE9UQUxfUkVWLkNZMjAxNi43LzE2LzIwMTguTEZSLkYuVVNELkgBAAAAIUyyAQIAAAAGMTYuNjg0AQgAAAAFAAAAATEBAAAACjE4NzcwNjUxOTYDAAAAAzE2MAIAAAACMjgEAAAAATAHAAAACTcvMTYvMjAxOAgAAAAKMTIvMzEvMjAxNgkAAAABMMT/GxE1CdYIwptiEjUJ1gg4Q0lRLk5BU0RBUUdTOlBCWUkuSVFfVE9UQUxfRVFVSVRZLi43LzE2LzIwMTguTEZSLkYuVVNELkgBAAAAAmqsBwIAAAAGNTcuNDU2AQgAAAAFAAAAATEBAAAACjE4ODg2Njc3NDMDAAAAAzE2MAIAAAAEMTI3NQQAAAABMAcAAAAJNy8xNi8yMDE4CAAAAAkzLzMxLzIwMTgJAAAAATDE/xsRNQnWCBL+ZBI1CdYIJENJUS5OQVNEQVFHTTpMUFRYLklRX0VGRkVDVF9UQVhfUkFURQEAAAAMNgkHAwAAAAJOTQEIAAAABQAAAAExAQAAAAoxODk5MTUzNzgxAwAAAAMxNjACAAAABDQzNzYEAAAAATAHAAAACTgvMjMvMjAxOAgAAAAJNi8zMC8yMDE4CQAAAAEwKRyUEDUJ1ggw110SNQnWCEJDSVEuTkFTREFRR1M6Sk5DRS5JUV9UT1RBTF9SRVZfM1lSX0FOTl9DQUdSLi43LzE2LzIwMTguTEZSLkYuVVNELkgBAAAA</t>
  </si>
  <si>
    <t>4nmeDQMAAAAAAN6nfhA1CdYImBJZEjUJ1ggxQ0lRLklRVFIzMTIxMjI1MDQuSVFfVFJfVEFSR0VUX1JFVkVOVUVfRVNULi5VU0QuSAEAAACInJoSAgAAAAAAWM8SDjUJ1gjA24IONQnWCDhDSVEuTkFTREFRR1M6QURYUy5JUV9HUk9TU19NQVJHSU4uLjcvMTYvMjAxOC5MRlIuRi5VU0QuSAEAAACe7HgAAgAAAAMxMDABCAAAAAUAAAABMQEAAAAKMTg5Mjc4ODU0OAMAAAADMTYwAgAAAAQ0MDc0BAAAAAEwBwAAAAk3LzE2LzIwMTgIAAAACTQvMzAvMjAxOAkAAAABMCkclBA1CdYI5HRbEjUJ1ggtQ0lRLk5BU0RBUUdNOkNSVlMuSVFfRElWSURFTkRfWUlFTEQuNy8zMS8yMDE4AQAAAPSwphADAAAAAADWjBE4CAnWCBnpoW80CdYIQ0NJUS5OQVNEQVFHTTpDUklTLklRX0VCSVREQV8yWVJfQU5OX0NBR1IuMjAwMC43LzMxLzIwMTguTEZSLkYuVVNELkgBAAAAF2oAAAMAAAACTk0BCAAAAAUAAAABMQEAAAAKMTg4NjI0NzQyMAMAAAADMTYwAgAAAAQ0MjA5BAAAAAEwBwAAAAk3LzMxLzIwMTgIAAAACTMvMzEvMjAxOAkAAAABMMgwsjcICdYI3UukbzQJ1gg7Q0lRLk5BU0RBUUdNOkFSUUwuSVFfUFJFRl9FUVVJVFkuMjAwMC43LzMxLzIwMTguTEZSLkYuVVNELkgBAAAA9mEAAAIAAAAGMTIuNjI1AQgAAAAFAAAAATEBAAAACjE4ODg3ODg3NzADAAAAAzE2MAIAAAAEMTAwNQQAAAABMAcAAAAJNy8zMS8yMDE4CAAA</t>
  </si>
  <si>
    <t>AAkzLzMxLzIwMTgJAAAAATDWjBE4CAnWCHMknW80CdYIKUNJUS5JUVRSMjQ1ODMxMDA3LklRX0JVU0lORVNTX0RFU0NSSVBUSU9OAQAAAHaIAAADAAAAqA5Bc3RleCBQaGFybWFjZXV0aWNhbHMsIEluYy4gZGlzY292ZXJzIGFuZCBkZXZlbG9wcyBzbWFsbC1tb2xlY3VsZSB0aGVyYXBldXRpY3Mgd2l0aCBhIGZvY3VzIG9uIG9uY29sb2d5IGFuZCBoZW1hdG9sb2d5LiBJdCBwcm92aWRlcyBQeXJhbWlkLCBhIGZyYWdtZW50LWJhc2VkIGRydWcgZGlzY292ZXJ5IHBsYXRmb3JtLiBUaGUgY29tcGFueSBvZmZlcnMgRGFjb2dlbiAoZGVjaXRhYmluZSkgZm9yIGluamVjdGlvbiBmb3IgdGhlIHRyZWF0bWVudCBvZiBwYXRpZW50cyB3aXRoIG15ZWxvZHlzcGxhc3RpYyBzeW5kcm9tZSAoTURTKS4gSXRzIHByb2R1Y3RzIGluY2x1ZGUgU0dJLTExMCwgYSBzbWFsbCBtb2xlY3VsZSBETkEtaHlwb21ldGh5YXRpbmcgYWdlbnQgdGhhdCB0cmVhdHMgTURTLCBhY3V0ZSBteWVsb2lkIGxldWtlbWlhLCBwbGF0aW51bSByZXNpc3RhbnQgb3ZhcmlhbiBjYW5jZXIsIGFuZCBoZXBhdG9jZWxsdWxhciBjYXJjaW5vbWE7IGFuZCBBVDEzMzg3LCBhIHNtYWxsIG1vbGVjdWxlIGluaGliaXRvciBmb3IgSHNwOTAsIHdoaWNoIHN0dWRpZXMgcGF0aWVudHMgd2l0aCByZWZyYWN0b3J5IGdhc3Ryb2ludGVzdGluYWwgc3Ry</t>
  </si>
  <si>
    <t>b21hbCB0dW1vcnMsIGNhc3RyYXRpb24gcmVzaXN0YW50IHByb3N0YXRlIGNhbmNlciwgYW5kIG5vbi1zbWFsbCBjZWxsIGx1bmcgY2FuY2VyLiBUaGUgY29tcGFueeKAmXMgcHJvZHVjdHMgYWxzbyBjb21wcmlzZSBBVDc1MTksIGEgc21hbGwgbW9sZWN1bGUgdGFyZ2V0ZWQgaW5oaWJpdG9yIG9mIHNldmVyYWwgY3ljbGluLWRlcGVuZGVudCBraW5hc2VzLCB3aGljaCBjb21iaW5lcyBib3J0ZXpvbWliIGluIHBhdGllbnRzIHdpdGggbXVsdGlwbGUgbXllbG9tYTsgQVQ5MjgzLCBhIHNtYWxsIG1vbGVjdWxlIGluaGliaXRvciBvZiBraW5hc2VzIHRoYXQgc3R1ZGllcyBjaGVtb3RoZXJhcHkgcmVmcmFjdG9yeSBtdWx0aXBsZSBteWVsb21hIHBhdGllbnQgcG9wdWxhdGlvbiBhbmQgcGVkaWF0cmljIGxldWtlbWlhOyBhbmQgQW11dmF0aW5pYiwgYSBtdWx0aS10YXJnZXRlZCB0eXJvc2luZSBraW5hc2UgaW5oaWJpdG9yIHRoYXQgc3R1ZGllcyBjYW5jZXIgdHJlYXRtZW50LiBJbiBhZGRpdGlvbiwgaXQsIHRvZ2V0aGVyIHdpdGggaXRzIHBhcnRuZXJzLCBkZXZlbG9wcyBMRUUwMTEsIGEgc2VsZWN0aXZlIGluaGliaXRvciBvZiBDREs0IGFuZCBDREs2IGluIFBoYXNlIEkgYW5kIFBoYXNlIEkvSUkgY2xpbmljYWwgdHJpYWxzOyBKTko0Mjc1NjQ5MyBGR0ZyIGluaGliaXRvciB0aGF0IGlzIGluIFBo</t>
  </si>
  <si>
    <t>YXNlIEkgY2xpbmljYWwgdHJpYWwgZm9yIGNhbmNlciB0cmVhdG1lbnQ7IEFaRDMyOTMsIGEgUGhhc2UgSSBjbGluaWNhbCB0cmlhbCBwcm9kdWN0IGZvciB0cmVhdGluZyBBbHpoZWltZXLigJlzIGRpc2Vhc2U7IGFuZCBBVDEzMTQ44oCUQUNHIEtpbmFzZSBJbmhpYml0b3IgdGhhdCBpcyBpbiBQaGFzZSBJIGNsaW5pY2FsIHRyaWFsLiBBc3RleCBQaGFybWFjZXV0aWNhbHMsIEluYy4gaGFzIGEgY2xpbmljYWwgY29sbGFib3JhdGlvbiB3aXRoIEdlbmVudGVjaC4gVGhlIGNvbXBhbnkgd2FzIGZvcm1lcmx5IGtub3duIGFzIFN1cGVyR2VuIEluYy4gYW5kIGNoYW5nZWQgaXRzIG5hbWUgdG8gQXN0ZXggUGhhcm1hY2V1dGljYWxzLCBJbmMuIGluIFNlcHRlbWJlciAyMDExLiBUaGUgY29tcGFueSB3YXMgZm91bmRlZCBpbiAxOTkxIGFuZCBpcyBoZWFkcXVhcnRlcmVkIGluIER1YmxpbiwgQ2FsaWZvcm5pYS4gQXMgb2YgT2N0b2JlciAxMSwgMjAxMywgQXN0ZXggUGhhcm1hY2V1dGljYWxzLCBJbmMuIG9wZXJhdGVzIGFzIGEgc3Vic2lkaWFyeSBvZiBPdHN1a2EgQW1lcmljYSwgSW5jLgCys0lvNAnWCIH9lW80CdYIKENJUS4uSVFfQ0FQRVguMTk5Mi43LzMxLzIwMTguTEZSLkYuVVNELkgFAAAAAQAAAAgAAAAUKEludmFsaWQgSWRlbnRpZmllcimWJDBHNAnWCJYkMEc0CdYIJ0NJUS5OQVNEQVFHTTpB</t>
  </si>
  <si>
    <t>UlJZLklRX0JFVEFfMVlSLjcvMzEvMjAxOAEAAAD4YQAAAgAAABMtMC4wNjYyNzg5MjYyMDc2NzQ5AJwL1TgICdYIJMKabzQJ1ggrQ0lRLklRVFIzMTIxMjI1MDQuSVFfVFJfVE9UQUxfR1JPU1NfVFYuLlVTRAEAAACInJoSAgAAAAk2MC4wOTk4ODYAWM8SDjUJ1gjA24IONQnWCCdDSVEuQVNYOklNVS5JUV9ESVZJREVORF9ZSUVMRC43LzE2LzIwMTgBAAAAmJOpAAMAAAAAACkclBA1CdYIMNddEjUJ1ggdQ0lRLk5BU0RBUUdTOkFOQUIuSVFfRVhDSEFOR0UBAAAAIUyyAQMAAAAITmFzZGFxR1MARp0ZETUJ1ggS/mQSNQnWCD1DSVEuTkFTREFRR006Q1JJUy5JUV9SRVZFTlVFX0VTVC5DWTIwMTguNy8zMS8yMDE4LkNPTi5GLlVTRC5IAQAAABdqAAACAAAABzkuNzkwOTgBDgAAAAUAAAACMTEBAAAAATACAAAACjEwMDEzODc3NDMDAAAABjEwMDE4MAQAAAABMgYAAAABMAcAAAADMTYwCAAAAAEwCQAAAAExCgAAAAEwCwAAAAsxMDk1MTI0MjY5NAwAAAABNw0AAAAIOC8xLzIwMTgQAAAACTcvMzEvMjAxOMgwsjcICdYI3UukbzQJ1ggqQ0lRLklRVFI0MDg0MDc4MjIuSVFfVFJfVEFSR0VUX0VCSVQuLlVTRC5IAQAAAA7PVxgCAAAAAACys0lvNAnWCIH9lW80CdYIKUNJUS5JUVRSNTMzNjM5NTAxLklRX0JVU0lORVNTX0RFU0NSSVBUSU9OAQAAAFuO2gEDAAAAxgpBcyBvZiBEZWNlbWJlciAyOSwgMjAxNywgR2Fs</t>
  </si>
  <si>
    <t>ZW5hIEJpb3BoYXJtYSwgSW5jLiB3YXMgYWNxdWlyZWQgYnkgU0VMTEFTIExpZmUgU2NpZW5jZXMgR3JvdXAgQUcsIGluIGEgcmV2ZXJzZSBtZXJnZXIgdHJhbnNhY3Rpb24uIEdhbGVuYSBCaW9waGFybWEsIEluYy4sIGEgYmlvcGhhcm1hY2V1dGljYWwgY29tcGFueSwgZGV2ZWxvcHMgaGVtYXRvbG9neSBhbmQgb25jb2xvZ3kgdGhlcmFwZXV0aWNzIHRoYXQgYWRkcmVzcyB1bm1ldCBtZWRpY2FsIG5lZWRzLiBUaGUgY29tcGFueSBkZXZlbG9wcyBHQUxFLTQwMSAoYW5hZ3JlbGlkZSBjb250cm9sbGVkIHJlbGVhc2UpLCB3aGljaCBjb21wbGV0ZWQgUGhhc2UgSUkgY2xpbmljYWwgdHJpYWwgZm9yIHRoZSB0cmVhdG1lbnQgb2YgcGF0aWVudHMgd2l0aCBteWVsb3Byb2xpZmVyYXRpdmUgbmVvcGxhc21zIHRvIGxvd2VyIGVsZXZhdGVkIHBsYXRlbGV0IGxldmVscy4gSXQgYWxzbyBkZXZlbG9wcyBOZXVWYXggKG5lbGlwZXBpbXV0LVMpLCB3aGljaCBpcyBpbiBQaGFzZSBJSWIgY2xpbmljYWwgdHJpYWwgaW4gY29tYmluYXRpb24gd2l0aCB0cmFzdHV6dW1hYiBmb3IgSEVSMiAxKyBhbmQgMisgbm9kZSBwb3NpdGl2ZSBhbmQgaGlnaC1yaXNrIG5vZGUgbmVnYXRpdmUgYnJlYXN0IGNhbmNlciBwYXRpZW50czsgUGhhc2UgSUkgY2xpbmljYWwgdHJpYWwgaW4gY29tYmluYXRpb24gd2l0aCB0cmFzdHV6</t>
  </si>
  <si>
    <t>dW1hYiBmb3IgSEVSMiAzKyBicmVhc3QgY2FuY2VyIHBhdGllbnRzOyBQaGFzZSBJSSBjbGluaWNhbCB0cmlhbCBmb3Igd29tZW4gd2l0aCBkdWN0YWwgY2FyY2lub21hIGluIHNpdHUgb2YgdGhlIGJyZWFzdDsgYW5kIFBoYXNlIElJIGNsaW5pY2FsIHRyaWFsIGZvciBwYXRpZW50cyB3aXRoIGdhc3RyaWMgY2FuY2VyLiBJbiBhZGRpdGlvbiwgdGhlIGNvbXBhbnkgZGV2ZWxvcHMgR0FMRS0zMDEgYW5kIEdBTEUtMzAyIGZvciBvdmFyaWFuLCBlbmRvbWV0cmlhbCwgYW5kIGJyZWFzdCBjYW5jZXJzLiBJdCBoYXMgc3RyYXRlZ2ljIGRldmVsb3BtZW50IGFuZCBjb21tZXJjaWFsaXphdGlvbiBwYXJ0bmVyc2hpcCB3aXRoIERyLiBSZWRkeeKAmXMgTGFib3JhdG9yaWVzIEx0ZC4gZm9yIE5ldVZheCBpbiBicmVhc3QgYW5kIGdhc3RyaWMgY2FuY2Vycy4gVGhlIGNvbXBhbnkgd2FzIGZvcm1lcmx5IGtub3duIGFzIFJYaSBQaGFybWFjZXV0aWNhbHMgQ29ycG9yYXRpb24gYW5kIGNoYW5nZWQgaXRzIG5hbWUgdG8gR2FsZW5hIEJpb3BoYXJtYSwgSW5jLiBpbiBTZXB0ZW1iZXIgMjAxMS4gR2FsZW5hIEJpb3BoYXJtYSwgSW5jLiB3YXMgZm91bmRlZCBpbiAyMDAzIGFuZCBpcyBiYXNlZCBpbiBTYW4gUmFtb24sIENhbGlmb3JuaWEuDQoADG0QDjUJ1gjA24IONQnWCDxDSVEuTkFTREFRR006QVJSWS5JUV9U</t>
  </si>
  <si>
    <t>T1RBTF9FUVVJVFkuMTk5Ni43LzMxLzIwMTguTEZSLkYuVVNELkgBAAAA+GEAAAIAAAAGMjcuNzE0AQgAAAAFAAAAATEBAAAACjE4ODg0NzA2NTYDAAAAAzE2MAIAAAAEMTI3NQQAAAABMAcAAAAJNy8zMS8yMDE4CAAAAAkzLzMxLzIwMTcJAAAAATCcC9U4CAnWCCTCmm80CdYIO0NJUS5OQVNEQVFHTTpBUlJZLklRX0VCSVRfTUFSR0lOLjIwMDAuNy8zMS8yMDE4LkxGUi5GLlVTRC5IAQAAAPhhAAACAAAACC0xMjguNzE2AQgAAAAFAAAAATEBAAAACjE4ODg0NzA2NzYDAAAAAzE2MAIAAAAENDA1MwQAAAABMAcAAAAJNy8zMS8yMDE4CAAAAAkzLzMxLzIwMTgJAAAAATCcC9U4CAnWCNRfmG80CdYIO0NJUS5OQVNEQVFHTTpDUklTLklRX1BSRUZfRVFVSVRZLjIwMDAuNy8zMS8yMDE4LkxGUi5GLlVTRC5IAQAAABdqAAADAAAAAADIMLI3CAnWCN1LpG80CdYIOUNJUS5OQVNEQVFHUzpCR05FLklRX0VCSVREQV9NQVJHSU4uLjcvMTYvMjAxOC5MRlIuRi5VU0QuSAEAAADg5N0GAgAAAAYtNTUuOTUBCAAAAAUAAAABMQEAAAAKMTg4NzY4ODU4OAMAAAADMTYwAgAAAAQ0MDQ3BAAAAAEwBwAAAAk3LzE2LzIwMTgIAAAACTMvMzEvMjAxOAkAAAABMMT/GxE1CdYIaGBnEjUJ1ggiQ0lRLklRVFIyNTM5NTQ0NzMuSVFfVFJfVEFSR0VUTkFNRQEAAACpCSMPAwAAACNUd28gRXhwZXJpbWVudGFsIEJsb29kIENhbmNlciBE</t>
  </si>
  <si>
    <t>cnVncwCys0lvNAnWCDWbk280CdYIPENJUS5OQVNEQVFDTTpNVEVNLklRX0VCSVREQV9FU1QuQ1kyMDE5LjcvMzEvMjAxOC5DT04uRi5VU0QuSAEAAACZm6kBAwAAAAAAyDCyNwgJ1ggZ6aFvNAnWCDFDSVEuTkFTREFRR006SU1NVS5JUV9EQV9DRi4uNy8xNi8yMDE4LkxGUi5GLlVTRC5IAQAAACBDBAACAAAACDEuMjMwNTQxAQgAAAAFAAAAATEBAAAACjE4ODg1MjMzODQDAAAAAzE2MAIAAAAEMjE2MAQAAAABMAcAAAAJNy8xNi8yMDE4CAAAAAkzLzMxLzIwMTgJAAAAATDE/xsRNQnWCGhgZxI1CdYIP0NJUS5OQVNEQVFHTTpGQVRFLklRX05FVF9XT1JLSU5HX0NBUC4yMDAwLjcvMzEvMjAxOC5MRlIuRi5VU0QuSAEAAABoMVcCAgAAAAYtOS44MzkBCAAAAAUAAAABMQEAAAAKMTg4ODUwMDUyNwMAAAADMTYwAgAAAAQxMzExBAAAAAEwBwAAAAk3LzMxLzIwMTgIAAAACTMvMzEvMjAxOAkAAAABMNaMETgICdYIw4afbzQJ1gg8Q0lRLk5BU0RBUUdTOkZQUlguSVFfRUFSTklOR19DTy5DWTIwMTcuNy8zMS8yMDE4LkxGUi5GLlVTRC5IAQAAADddMwACAAAACC0xNTAuMjIyAQgAAAAFAAAAATEBAAAACjE4NzYxMzU5OTEDAAAAAzE2MAIAAAABNwQAAAABMAcAAAAJNy8zMS8yMDE4CAAAAAoxMi8zMS8yMDE3CQAAAAEwyDCyNwgJ1ggZ6aFvNAnWCDpDSVEuTkFTREFRR1M6TVJTTi5JUV9DQVNIX1NUX0lOVkVTVC4u</t>
  </si>
  <si>
    <t>OS8xNS8yMDE3LkxGUi5GLlVTRC5IAQAAAObFGAACAAAABjc3LjIzMgEIAAAABQAAAAExAQAAAAoxODUzMzU0MDU2AwAAAAMxNjACAAAABDEwMDIEAAAAATAHAAAACTkvMTUvMjAxNwgAAAAJNi8zMC8yMDE3CQAAAAEwKRyUEDUJ1ghzOWASNQnWCDJDSVEuQVNYOklNVS5JUV9FQklUREEuQ1kyMDE3LjcvMTYvMjAxOC5MRlIuRi5VU0QuSAEAAACYk6kAAgAAAAktMi4wNjY2MjQBCAAAAAUAAAABMQEAAAAKMTg3NzMwNTMyMAMAAAADMTYwAgAAAAQ0MDUxBAAAAAEwBwAAAAk3LzE2LzIwMTgIAAAACjEyLzMxLzIwMTcJAAAAATApHJQQNQnWCDDXXRI1CdYIO0NJUS5OQVNEQVFHUzpDQUxBLklRX1RPVEFMX1JFVi5DWTIwMTYuNy8zMS8yMDE4LkxGUi5GLlVTRC5IAQAAAKUngQYDAAAAAADIMLI3CAnWCN1LpG80CdYIPUNJUS5OQVNEQVFHUzpBVE5YLklRX1JFVkVOVUVfRVNULkNZMjAyMS43LzMxLzIwMTguQ09OLkYuVVNELkgBAAAA3JlrAQIAAAAJMzA0LjIxMDMzAQ4AAAAFAAAAAjExAQAAAAEwAgAAAAoxMDAzNzc4NDE5AwAAAAYxMDAxODAEAAAAATIGAAAAATAHAAAAAzE2MAgAAAABMAkAAAABMQoAAAABMAsAAAALMTA5OTU0MjM0NDEMAAAAATcNAAAACDgvMS8yMDE4EAAAAAk3LzMxLzIwMTjWjBE4CAnWCCTCmm80CdYIJENJUS5PVENQSzpNQlZYLklRX0JFVEFfMllSLjcvMTYvMjAxOAEAAADYRIsCAgAA</t>
  </si>
  <si>
    <t>ABAxLjA4OTUyOTMwMjE1NjIyACAKgRA1CdYImBJZEjUJ1ghHQ0lRLk5BU0RBUUdNOklNTVUuSVFfTUlOT1JJVFlfSU5URVJFU1RfVE9UQUwuMjAwMC43LzMxLzIwMTguTEZSLkYuVVNELkgBAAAAIEMEAAIAAAAJLTAuODEwMTY5AQgAAAAFAAAAATEBAAAACjE4ODg1MjMzODQDAAAAAzE2MAIAAAAEMTMxMgQAAAABMAcAAAAJNy8zMS8yMDE4CAAAAAkzLzMxLzIwMTgJAAAAATCcC9U4CAnWCNRfmG80CdYIPENJUS5OQVNEQVFHTTpDUklTLklRX1RPVEFMX0VRVUlUWS4yMDAwLjcvMzEvMjAxOC5MRlIuRi5VU0QuSAEAAAAXagAAAgAAAAYxNC40NjcBCAAAAAUAAAABMQEAAAAKMTg4NjI0NzQyMAMAAAADMTYwAgAAAAQxMjc1BAAAAAEwBwAAAAk3LzMxLzIwMTgIAAAACTMvMzEvMjAxOAkAAAABMMgwsjcICdYI3UukbzQJ1gguQ0lRLklRVFI0MjI4ODc3MDEuSVFfVFJfVEFSR0VUX1NUT0NLUFJFTUlVTV8xTQEAAAAVwTQZAgAAAAAADG0QDjUJ1gjA24IONQnWCC1DSVEuTkFTREFRR1M6S1VSQS5JUV9NQVJLRVRDQVAuNS81LzIwMTcuVVNELkgBAAAAuMvaEAIAAAAKMTgxLjA2NzkwMgEGAAAABQAAAAExAQAAAAoxODMxOTMxNjA2AwAAAAMxNjACAAAABjEwMDA1NAQAAAABMAcAAAAINS81LzIwMTfWjBE4CAnWCHMknW80CdYIK0NJUS5JUVRSMzcxNzE1MTE5LklRX1RSX1RPVEFMX0dST1NTX1RWLi5VU0QBAAAA</t>
  </si>
  <si>
    <t>L+wnFgIAAAADNTIwAQYAAAAFAAAAAjU0AQAAAAYxMDIwODgCAAAACTM3MTcxNTExOQMAAAAJMzcxNzI0MTQ2BAAAAAMxNjAGAAAABUZhbHNlWM8SDjUJ1gjA24IONQnWCD1DSVEuTkFTREFRR1M6VFNSTy5JUV9SRVZFTlVFX0VTVC5DWTIwMTkuNy8xNi8yMDE4LkNPTi5GLlVTRC5IAQAAAGjWWAYCAAAACTQ2Ni44NjgwOAEOAAAABQAAAAIxMQEAAAABMAIAAAAKMTAwMTU4MDM0NQMAAAAGMTAwMTgwBAAAAAEyBgAAAAEwBwAAAAMxNjAIAAAAATAJAAAAATEKAAAAATALAAAACzEwOTY3MjE1OTg4DAAAAAE3DQAAAAk3LzE3LzIwMTgQAAAACTcvMTYvMjAxOMT/GxE1CdYIEv5kEjUJ1gg7Q0lRLk5BU0RBUUdNOkZBVEUuSVFfVE9UQUxfUkVWLkNZMjAxNy43LzMxLzIwMTguTEZSLkYuVVNELkgBAAAAaDFXAgIAAAAFNC4xMDYBCAAAAAUAAAABMQEAAAAKMTg3NzA2OTA5MAMAAAADMTYwAgAAAAIyOAQAAAABMAcAAAAJNy8zMS8yMDE4CAAAAAoxMi8zMS8yMDE3CQAAAAEw1owROAgJ1gjDhp9vNAnWCDhDSVEuTkFTREFRR1M6R1RIWC5JUV9FQklUREEuQ1kyMDE2LjcvMzEvMjAxOC5MRlIuRi5VU0QuSAEAAABlNGkIAgAAAActMzAuMzI0AQgAAAAFAAAAATEBAAAACjE4NzUzMjczMDEDAAAAAzE2MAIAAAAENDA1MQQAAAABMAcAAAAJNy8zMS8yMDE4CAAAAAoxMi8zMS8yMDE2CQAAAAEwnAvVOAgJ1ggkwppvNAnW</t>
  </si>
  <si>
    <t>CClDSVEuTkFTREFRR1M6TUdOWC5JUV9CVVNJTkVTU19ERVNDUklQVElPTgEAAABPKwkAAwAAALwOTWFjcm9HZW5pY3MsIEluYy4sIGEgYmlvcGhhcm1hY2V1dGljYWwgY29tcGFueSwgZm9jdXNlcyBvbiB0aGUgZGlzY292ZXJ5IGFuZCBkZXZlbG9wbWVudCBvZiBhbnRpYm9keS1iYXNlZCB0aGVyYXBldXRpY3MgZm9yIHRoZSB0cmVhdG1lbnQgb2YgY2FuY2VyIHByaW1hcmlseSBieSBtb2R1bGF0aW5nIHRoZSBodW1hbiBpbW11bmUgc3lzdGVtLCBhcyB3ZWxsIGFzIHZhcmlvdXMgYXV0b2ltbXVuZSBkaXNvcmRlcnMgYW5kIGluZmVjdGlvdXMgZGlzZWFzZXMgaW4gdGhlIFVuaXRlZCBTdGF0ZXMuIFRoZSBjb21wYW554oCZcyBhZHZhbmNlZCBjbGluaWNhbCBwcm9kdWN0IGNhbmRpZGF0ZSBpcyBNYXJnZXR1eGltYWIsIGEgbW9ub2Nsb25hbCBhbnRpYm9keSwgd2hpY2ggaXMgaW4gUGhhc2UgSUlJIGNsaW5pY2FsIHRyaWFsIHRoYXQgdGFyZ2V0cyBodW1hbiBlcGlkZXJtYWwgZ3Jvd3RoIGZhY3RvciByZWNlcHRvciAyLWV4cHJlc3NpbmcgdHVtb3JzLCBzdWNoIGFzIHZhcmlvdXMgYnJlYXN0IGFuZCBnYXN0cm9lc29waGFnZWFsIGNhbmNlcnMuIEl0IGlzIGFsc28gZGV2ZWxvcGluZyBGbG90ZXR1enVtYWIsIGEgREFSVCBtb2xlY3VsZSB0aGF0IHRhcmdldHMgQ0QxMjMgYW5kIENEMzsgTUdBMDEy</t>
  </si>
  <si>
    <t>LCBhIG1vbm9jbG9uYWwgYW50aWJvZHksIHdoaWNoIHRhcmdldHMgcHJvZ3JhbW1lZCBjZWxsIGRlYXRoIHByb3RlaW4gMSAoUEQtMSk7IE1HRDAxMywgYSBEQVJUIG1vbGVjdWxlIHRoYXQgZW5hYmxlcyB0aGUgY28tYmxvY2thZGUgd2l0aCBhIHNpbmdsZSByZWNvbWJpbmFudCBhZ2VudCBvZiB0d28gaW1tdW5lIGNoZWNrcG9pbnQgbW9sZWN1bGVzOyBNR0QwMTksIGEgcHJlY2xpbmljYWwgREFSVCBtb2xlY3VsZSBkZXNpZ25lZCB0byByZWNvZ25pemUgdGhlIGltbXVuZSBjaGVja3BvaW50cyBQRC0xIGFuZCBjeXRvdG94aWMgVC1seW1waG9jeXRlLWFzc29jaWF0ZWQgcHJvdGVpbiA0IChDVExBLTQpOyBhbmQgRW5vYmxpdHV6dW1hYiwgYSBtb25vY2xvbmFsIGFudGlib2R5IHRoYXQgdGFyZ2V0cyBCNy1IMy4gSW4gYWRkaXRpb24sIHRoZSBjb21wYW55IGRldmVsb3BzIE1HRDAwOSwgYSBEQVJUIG1vbGVjdWxlIHJlY29nbml6ZXMgQjctSDMgYW5kIENEMzsgTUdDMDE4LCBhIEI3LUgzIGFudGlib2R5LWRydWcgY29uanVnYXRlOyBNR0QwMDcsIGEgREFSVCBtb2xlY3VsZSwgd2hpY2ggdGFyZ2V0cyBnbHljb3Byb3RlaW4gQTMzIGFuZCBDRDM7IFRlcGxpenVtYWIsIGFuIGFudGktQ0QzIG1vbm9jbG9uYWwgYW50aWJvZHkgdG8gdHJlYXQgdHlwZSAxIGRpYWJldGVzOyBNR0QwMTAsIGEgREFSVCBt</t>
  </si>
  <si>
    <t>b2xlY3VsZSBkZXNpZ25lZCB0byBhZGRyZXNzIGxpbWl0YXRpb25zIG9mIGV4aXN0aW5nIEIgY2VsbC10YXJnZXRlZCB0aGVyYXBpZXMgYnkgYmluZGluZyB0byB0aGUgQ0QzMkIgYW5kIENENzlCIHByb3RlaW5zIGZvdW5kIG9uIGh1bWFuIEIgY2VsbHM7IGFuZCBNR0QwMTQsIGEgREFSVCBtb2xlY3VsZSB0aGF0IHRhcmdldHMgdGhlIGVudmVsb3BlIHByb3RlaW4gb2YgaHVtYW4gaW1tdW5vZGVmaWNpZW5jeSB2aXJ1cywgb3IgSElWLWluZmVjdGVkIGNlbGxzIGFuZCBDRDMtZXhwcmVzc2luZyBUIGNlbGxzLiBJdCBoYXMgc3RyYXRlZ2ljIGNvbGxhYm9yYXRpb25zIHdpdGggSW5jeXRlIENvcnBvcmF0aW9uOyBMZXMgTGFib3JhdG9pcmVzIFNlcnZpZXIgYW5kIEluc3RpdHV0IGRlIFJlY2hlcmNoZXMgU2VydmllcjsgYW5kIEYuIEhvZmZtYW5uLUxhIFJvY2hlIEx0ZC4gYW5kIEhvZmZtYW5uLUxhIFJvY2hlIEluYy4gTWFjcm9HZW5pY3MsIEluYy4gd2FzIGZvdW5kZWQgaW4gMjAwMCBhbmQgaXMgaGVhZHF1YXJ0ZXJlZCBpbiBSb2NrdmlsbGUsIE1hcnlsYW5kLgBGnRkRNQnWCMKbYhI1CdYIJkNJUS5OQVNEQVFHUzpOSy5JUV9URVYuNy8zMS8yMDE4LlVTRC5IAQAAAA19oQ8CAAAACjE1OC41NDM2NjYBBgAAAAUAAAABMQEAAAAKMTg4NzExNjkyOQMAAAADMTYwAgAAAAYxMDAwNjAEAAAAATAHAAAA</t>
  </si>
  <si>
    <t>CTcvMzEvMjAxONaMETgICdYIw4afbzQJ1gg8Q0lRLk5BU0RBUUdTOkpOQ0UuSVFfRUJJVERBX0VTVC5DWTIwMTkuNy8xNi8yMDE4LkNPTi5GLlVTRC5IAQAAAOJ5ng0CAAAABy0zNC4zNzYBDgAAAAUAAAACMTEBAAAAATACAAAACjEwMDM2MjkyMDIDAAAABjEwMDE4NwQAAAABMgYAAAABMAcAAAADMTYwCAAAAAEwCQAAAAExCgAAAAEwCwAAAAsxMDg4NzQxNzUyOAwAAAABNw0AAAAJNy8xNy8yMDE4EAAAAAk3LzE2LzIwMTgpHJQQNQnWCJgSWRI1CdYIRUNJUS4oSU5WQUxJRCBJREVOVElGSUVSKS5JUV9DQVNIX1NUX0lOVkVTVC4yMDAwLjcvMzEvMjAxOC5MRlIuRi5VU0QuSAUAAAAAAAAACAAAABQoSW52YWxpZCBJZGVudGlmaWVyKcgwsjcICdYI7TawbzQJ1ggrQ0lRLklRVFI1NDI4MDY2ODYuSVFfVFJfVE9UQUxfR1JPU1NfVFYuLlVTRAEAAACeklogAgAAAAAAsrNJbzQJ1giB/ZVvNAnWCCBDSVEuSVFUUjQwMzc5MTc2Ny5JUV9UUl9FQVJOT1VUUwEAAACXXxEYAgAAAAsyNDYzLjk2NDUxOQEGAAAABQAAAAI1NAEAAAAGMTAxNDAzAgAAAAk0MDM3OTE3NjcDAAAACTQwMzc5MjEwOQQAAAADMTYwBgAAAAVGYWxzZVjPEg41CdYIwNuCDjUJ1gg2Q0lRLk5BU0RBUUdTOlBCWUkuSVFfVE9UQUxfREVCVC4uNy8xNi8yMDE4LkxGUi5GLlVTRC5IAQAAAAJqrAcCAAAABjQ4LjU1NgEIAAAABQAAAAExAQAAAAox</t>
  </si>
  <si>
    <t>ODg4NjY3NzQzAwAAAAMxNjACAAAABDQxNzMEAAAAATAHAAAACTcvMTYvMjAxOAgAAAAJMy8zMS8yMDE4CQAAAAEwxP8bETUJ1ggS/mQSNQnWCENDSVEuTkFTREFRR006QVJRTC5JUV9FQklUREFfMllSX0FOTl9DQUdSLjIwMDAuNy8zMS8yMDE4LkxGUi5GLlVTRC5IAQAAAPZhAAADAAAAAk5NAQgAAAAFAAAAATEBAAAACjE4ODg3ODg3NzADAAAAAzE2MAIAAAAENDIwOQQAAAABMAcAAAAJNy8zMS8yMDE4CAAAAAkzLzMxLzIwMTgJAAAAATDWjBE4CAnWCMOGn280CdYIP0NJUS5OQVNEQVFHUzpGUFJYLklRX0VCSVREQV8yWVJfQU5OX0NBR1IuLjcvMTYvMjAxOC5MRlIuRi5VU0QuSAEAAAA3XTMAAwAAAAJOTQEIAAAABQAAAAExAQAAAAoxODg3NDAyMjI3AwAAAAMxNjACAAAABDQyMDkEAAAAATAHAAAACTcvMTYvMjAxOAgAAAAJMy8zMS8yMDE4CQAAAAEwKRyUEDUJ1ghzOWASNQnWCCVDSVEuTkFTREFRR1M6QURYUy5JUV9GSVJTVFBSSUNJTkdEQVRFAQAAAJ7seAAFAAAACTcvMjgvMjAwNQApHJQQNQnWCOR0WxI1CdYINkNJUS5OQVNEQVFHTTpJTU1VLklRX0VBUk5JTkdfQ08uLjcvMTYvMjAxOC5MRlIuRi5VU0QuSAEAAAAgQwQAAgAAAAstMjEwLjExNjQzNwEIAAAABQAAAAExAQAAAAoxODg4NTIzMzg0AwAAAAMxNjACAAAAATcEAAAAATAHAAAACTcvMTYvMjAxOAgAAAAJMy8zMS8yMDE4CQAAAAEwxP8b</t>
  </si>
  <si>
    <t>ETUJ1ggS/mQSNQnWCCNDSVEuSVFUUjQwODI5MTM5NS5JUV9UUl9DTE9TRURfREFURQEAAABDCFYYBQAAAAoxMS8yOS8yMDE2AFjPEg41CdYIwNuCDjUJ1ggVQ0lRLi5JUV9UUl9UT1RBTF9DQVNIBQAAAAAAAAAIAAAAFChJbnZhbGlkIElkZW50aWZpZXIpnAvVOAgJ1gh3eYAONQnWCENDSVEuTkFTREFRR1M6VFNSTy5JUV9FQklUREFfNVlSX0FOTl9DQUdSLjIwMDAuNy8zMS8yMDE4LkxGUi5GLlVTRC5IAQAAAGjWWAYDAAAAAk5NAQgAAAAFAAAAATEBAAAACjE4ODYzMzc0NjYDAAAAAzE2MAIAAAAENDIzNQQAAAABMAcAAAAJNy8zMS8yMDE4CAAAAAkzLzMxLzIwMTgJAAAAATCcC9U4CAnWCCTCmm80CdYIO0NJUS5OQVNEQVFHUzpLVVJBLklRX0VCSVRfTUFSR0lOLjIwMDAuNy8zMS8yMDE4LkxGUi5GLlVTRC5IAQAAALjL2hADAAAAAADWjBE4CAnWCHMknW80CdYIOkNJUS5OQVNEQVFHTTpOTE5LLklRX0NBU0hfU1RfSU5WRVNULi43LzE2LzIwMTguTEZSLkYuVVNELkgBAAAAlXuMAAIAAAAHMTQzLjg5MQEIAAAABQAAAAExAQAAAAoxODg4MzU0MjA3AwAAAAMxNjACAAAABDEwMDIEAAAAATAHAAAACTcvMTYvMjAxOAgAAAAJMy8zMS8yMDE4CQAAAAEwKRyUEDUJ1gjkdFsSNQnWCCFDSVEuTkFTREFRR1M6VFNSTy5JUV9DT01QQU5ZX05BTUUBAAAAaNZYBgMAAAAMVGVzYXJvLCBJbmMuAJwL1TgICdYID2WM</t>
  </si>
  <si>
    <t>DjUJ1ggiQ0lRLklRVFI0MDg0MDc4MjIuSVFfVFJfVE9UQUxfQ0FTSAEAAAAOz1cYAgAAAAIxMgEGAAAABQAAAAI1NAEAAAAGMTAxMDU2AgAAAAk0MDg0MDc4MjIDAAAACTQwODQxMDU0MQQAAAADMTYwBgAAAAVGYWxzZbKzSW80CdYIgf2VbzQJ1gg/Q0lRLkVOWFRQQTpJUEguSVFfVE9UQUxfUkVWXzNZUl9BTk5fQ0FHUi4uNy8xNi8yMDE4LkxGUi5GLlVTRC5IAQAAAJmABgACAAAABzc5LjQyNTUBCAAAAAUAAAABMQEAAAAKMTg4OTU1MjE2NAMAAAACNTACAAAABDQyMjAEAAAAATAHAAAACTcvMTYvMjAxOAgAAAAKMTIvMzEvMjAxNwkAAAABMCkclBA1CdYIczlgEjUJ1gg6Q0lRLk5BU0RBUUdTOkFEWFMuSVFfQ0FTSF9TVF9JTlZFU1QuLjkvMTUvMjAxNy5MRlIuRi5VU0QuSAEAAACe7HgAAgAAAAk4OS40MDUzMTEBCAAAAAUAAAABMQEAAAAKMTg1ODg2OTg5NwMAAAADMTYwAgAAAAQxMDAyBAAAAAEwBwAAAAk5LzE1LzIwMTcIAAAACTcvMzEvMjAxNwkAAAABMCkclBA1CdYI5HRbEjUJ1gg/Q0lRLk5BU0RBUUdNOkFSUlkuSVFfTkVUX1dPUktJTkdfQ0FQLjE5OTYuNy8zMS8yMDE4LkxGUi5GLlVTRC5IAQAAAPhhAAACAAAABy0xOC45NDQBCAAAAAUAAAABMQEAAAAKMTg4ODQ3MDY1NgMAAAADMTYwAgAAAAQxMzExBAAAAAEwBwAAAAk3LzMxLzIwMTgIAAAACTMvMzEvMjAxNwkAAAABMJwL1TgICdYI1F+Y</t>
  </si>
  <si>
    <t>bzQJ1ggpQ0lRLk5BU0RBUUdTOktVUkEuSVFfQlVTSU5FU1NfREVTQ1JJUFRJT04BAAAAuMvaEAMAAADcBkt1cmEgT25jb2xvZ3ksIEluYy4sIGEgY2xpbmljYWwtc3RhZ2UgYmlvcGhhcm1hY2V1dGljYWwgY29tcGFueSwgZGV2ZWxvcHMgbWVkaWNpbmVzIGZvciB0aGUgdHJlYXRtZW50IG9mIGNhbmNlcnMuIEl0cyBwaXBlbGluZSBjb25zaXN0cyBvZiBzbWFsbCBtb2xlY3VsZSBwcm9kdWN0IGNhbmRpZGF0ZXMgdGhhdCB0YXJnZXQgY2FuY2VyLiBUaGUgY29tcGFueeKAmXMgbGVhZCBwcm9kdWN0IGNhbmRpZGF0ZSBpcyBUaXBpZmFybmliLCBhbiBvcmFsIGZhcm5lc3lsIHRyYW5zZmVyYXNlIGluaGliaXRvciB0aGF0IGlzIGluIFBoYXNlIElJIGNsaW5pY2FsIHRyaWFscyBmb3IgdGhlIHRyZWF0bWVudCBvZiBzb2xpZCB0dW1vcnMsIHBlcmlwaGVyYWwgVC1jZWxsIGx5bXBob21hcywgbXllbG9keXNwbGFzdGljIHN5bmRyb21lcywgYWN1dGUgbXllbG9pZCBsZXVrZW1pYSwgYW5kIGNocm9uaWMgbXllbG9tb25vY3l0aWMgbGV1a2VtaWEuIEl0IGlzIGFsc28gZGV2ZWxvcGluZyBLTy05NDcsIGEgc21hbGwgbW9sZWN1bGUgaW5oaWJpdG9yIG9mIGV4dHJhY2VsbHVsYXIgc2lnbmFsIHJlbGF0ZWQga2luYXNlIHVzZWQgZm9yIHRoZSB0cmVhdG1lbnQgb2YgcGF0aWVudHMgd2l0aCB0dW1vcnMgdGhh</t>
  </si>
  <si>
    <t>dCBoYXZlIG11dGF0aW9ucyBpbiwgb3Igb3RoZXIgZHlzcmVndWxhdGlvbiBvZiwgdGhlIG1pdG9nZW4tYWN0aXZhdGVkIHByb3RlaW4ga2luYXNlOyBhbmQgS08tNTM5LCBhIHNtYWxsIG1vbGVjdWxlIGluaGliaXRvciBvZiB0aGUgbWVuaW4tbWl4ZWQgbGluZWFnZSBsZXVrZW1pYS4gVGhlIGNvbXBhbnkgd2FzIGZvdW5kZWQgaW4gMjAxNCBhbmQgaXMgaGVhZHF1YXJ0ZXJlZCBpbiBTYW4gRGllZ28sIENhbGlmb3JuaWEuANaMETgICdYIcySdbzQJ1gg8Q0lRLk5BU0RBUUdTOlBCWUkuSVFfRUJJVERBX0VTVC5DWTIwMTguNy8xNi8yMDE4LkNPTi5GLlVTRC5IAQAAAAJqrAcCAAAACC0yOS4zNjQ3AQ4AAAAFAAAAAjExAQAAAAEwAgAAAAoxMDAxNTEzMDc0AwAAAAYxMDAxODcEAAAAATIGAAAAATAHAAAAAzE2MAgAAAABMAkAAAABMQoAAAABMAsAAAALMTA5NDIwODk2MDkMAAAAATcNAAAACTcvMTcvMjAxOBAAAAAJNy8xNi8yMDE4xP8bETUJ1ggS/mQSNQnWCDVDSVEuTkFTREFRR1M6QVROWC5JUV9DQVBFWC4xOTkyLjcvMzEvMjAxOC5MRlIuRi5VU0QuSAEAAADcmWsBAgAAAAYtMC4xNzgBCAAAAAUAAAABMQEAAAAKMTg0MjQ5MDI3MwMAAAADMTYwAgAAAAQyMDIxBAAAAAEwBwAAAAk3LzMxLzIwMTgIAAAACjEyLzMxLzIwMTQJAAAAATDWjBE4CAnWCCTCmm80CdYII0NJUS5JUVRSNTMzNjM5NTAxLklR</t>
  </si>
  <si>
    <t>X1RSX0NMT1NFRF9EQVRFAQAAAE2xzh8FAAAACjEyLzI5LzIwMTcADG0QDjUJ1gjA24IONQnWCChDSVEuTkFTREFRR1M6S1VSQS5JUV9URVYuNy8zMS8yMDE4LlVTRC5IAQAAALjL2hACAAAACjYyMy4zMTk0MjIBBgAAAAUAAAABMQEAAAAKMTg4NzM4MjI4MQMAAAADMTYwAgAAAAYxMDAwNjAEAAAAATAHAAAACTcvMzEvMjAxONaMETgICdYIcySdbzQJ1gg8Q0lRLk5BU0RBUUdTOk1HTlguSVFfRUJJVERBX0VTVC5DWTIwMTguNy8xNi8yMDE4LkNPTi5GLlVTRC5IAQAAAE8rCQACAAAACi0xNzcuNTI2MjEBDgAAAAUAAAACMTEBAAAAATACAAAACjEwMDE5NzI5MjkDAAAABjEwMDE4NwQAAAABMgYAAAABMAcAAAADMTYwCAAAAAEwCQAAAAExCgAAAAEwCwAAAAsxMDg4NTkzOTQ1OAwAAAABNw0AAAAJNy8xNy8yMDE4EAAAAAk3LzE2LzIwMTjE/xsRNQnWCMKbYhI1CdYIRkNJUS4oSU5WQUxJRCBJREVOVElGSUVSKS5JUV9FQklUREFfNVlSX0FOTl9DQUdSLi43LzE2LzIwMTguTEZSLkYuVVNELkgFAAAAAAAAAAgAAAAUKEludmFsaWQgSWRlbnRpZmllcinep34QNQnWCJgSWRI1CdYILkNJUS5JUVRSNDA5OTUxODg2LklRX1RSX1RBUkdFVF9TVE9DS1BSRU1JVU1fMVcBAAAAjl5vGAIAAAAAAAxtEA41CdYIwNuCDjUJ1gg4Q0lRLk5BU0RBUUdTOkNBTEEuSVFfRUJJVERBLkNZMjAxNi43LzE2LzIwMTguTEZSLkYu</t>
  </si>
  <si>
    <t>VVNELkgBAAAApSeBBgIAAAAHLTM3LjczNwEIAAAABQAAAAExAQAAAAoxODc3OTU1NjAxAwAAAAMxNjACAAAABDQwNTEEAAAAATAHAAAACTcvMTYvMjAxOAgAAAAKMTIvMzEvMjAxNgkAAAABMCkclBA1CdYI5HRbEjUJ1ggnQ0lRLk5BU0RBUUdTOkVQWk0uSVFfUEVSSU9EREFURV9JUy4xMDAwAQAAAAMmPQMFAAAACjEyLzMxLzIwMTcA1owROAgJ1ggkwppvNAnWCClDSVEuSVEzNjE4MzgzMS5JUV9MQVNUU0FMRVBSSUNFLjcvMTYvMjAxOAEAAAAXHygCAgAAAAQyLjc1AAxtEA41CdYIDD6FDjUJ1ggvQ0lRLklRVFIzMTQ4MjkyMzYuSVFfVFJfSU1QTElFRF9FVl9GSU5BTC4uVVNELkgBAAAAtOnDEgIAAAADMjU4AFjPEg41CdYIwNuCDjUJ1gg3Q0lRLk5BU0RBUUdTOkFEWFMuSVFfUFJFRl9FUVVJVFkuLjcvMTYvMjAxOC5MRlIuRi5VU0QuSAEAAACe7HgAAwAAAAAAKRyUEDUJ1gjkdFsSNQnWCBdDSVEuMC5JUV9UUl9UT1RBTF9TVE9DSwUAAAAAAAAACAAAABgoSW52YWxpZCBUcmFuc2FjdGlvbiBJZClJU0dvNAnWCMxY54E0CdYIOENJUS5OQVNEQVFHUzpOSy5JUV9QUkVGX0VRVUlUWS4yMDAwLjUvNS8yMDE3LkxGUi5GLlVTRC5IAQAAAA19oQ8DAAAAAADWjBE4CAnWCBnpoW80CdYII0NJUS5JUVRSNDA3NzYwNjkyLklRX1RSX1RPVEFMX1NUT0NLAQAAADTvTRgCAAAAAAAMbRAONQnWCAw+hQ41CdYIPUNJ</t>
  </si>
  <si>
    <t>US5OQVNEQVFHUzpLVVJBLklRX0NBU0hfU1RfSU5WRVNULjIwMDAuNS81LzIwMTcuTEZSLkYuVVNELkgBAAAAuMvaEAIAAAAFNjcuNzkBCAAAAAUAAAABMQEAAAAKMTgzMTkzMTYwOAMAAAADMTYwAgAAAAQxMDAyBAAAAAEwBwAAAAg1LzUvMjAxNwgAAAAKMTIvMzEvMjAxNgkAAAABMNaMETgICdYIcySdbzQJ1gg7Q0lRLk5BU0RBUUdTOlRTUk8uSVFfUFJFRl9FUVVJVFkuMjAwMC43LzMxLzIwMTguTEZSLkYuVVNELkgBAAAAaNZYBgMAAAAAAJwL1TgICdYIJMKabzQJ1ggjQ0lRLklRVFI0MDk5NTE4ODYuSVFfVFJfQ0xPU0VEX0RBVEUBAAAAjl5vGAUAAAAJNC8yOC8yMDE3AAxtEA41CdYIwNuCDjUJ1ghHQ0lRLk5BU0RBUUdTOkVQWk0uSVFfTUlOT1JJVFlfSU5URVJFU1RfVE9UQUwuMjAwMC43LzMxLzIwMTguTEZSLkYuVVNELkgBAAAAAyY9AwMAAAAAANaMETgICdYIJMKabzQJ1gg5Q0lRLk9UQ1BLOk5XQk8uSVFfRUFSTklOR19DTy5DWTIwMTcuNy8xNi8yMDE4LkxGUi5GLlVTRC5IAQAAAKN6FAACAAAABy03My4xNDMBCAAAAAUAAAABMQEAAAAKMTg4MzI0OTA4NgMAAAADMTYwAgAAAAE3BAAAAAEwBwAAAAk3LzE2LzIwMTgIAAAACjEyLzMxLzIwMTcJAAAAATApHJQQNQnWCDDXXRI1CdYIIUNJUS5JUVRSNTYzOTE5MDQ5LklRX1RSX0JVWUVSTkFNRQEAAADJuJwhAwAAABVFbGkgTGlsbHkgYW5kIENv</t>
  </si>
  <si>
    <t>bXBhbnkADG0QDjUJ1gjA24IONQnWCEZDSVEuTkFTREFRR006RkFURS5JUV9UT1RBTF9SRVZfM1lSX0FOTl9DQUdSLjIwMDAuNy8zMS8yMDE4LkxGUi5GLlVTRC5IAQAAAGgxVwIDAAAAAADWjBE4CAnWCMOGn280CdYIOkNJUS5PVENQSzpOV0JPLklRX1JFVkVOVUVfRVNULkNZMjAxOC43LzE2LzIwMTguQ09OLkYuVVNELkgBAAAAo3oUAAMAAAAAACkclBA1CdYIczlgEjUJ1gg1Q0lRLk5BU0RBUUdNOkZBVEUuSVFfREFfQ0YuMjAwMC43LzMxLzIwMTguTEZSLkYuVVNELkgBAAAAaDFXAgIAAAAFMS4wNTEBCAAAAAUAAAABMQEAAAAKMTg4ODUwMDUyNwMAAAADMTYwAgAAAAQyMTYwBAAAAAEwBwAAAAk3LzMxLzIwMTgIAAAACTMvMzEvMjAxOAkAAAABMNaMETgICdYIw4afbzQJ1gg1Q0lRLk5BU0RBUUdNOkZBVEUuSVFfQ0FQRVguMjAwMC43LzMxLzIwMTguTEZSLkYuVVNELkgBAAAAaDFXAgIAAAAGLTEuNzU0AQgAAAAFAAAAATEBAAAACjE4ODg1MDA1MjcDAAAAAzE2MAIAAAAEMjAyMQQAAAABMAcAAAAJNy8zMS8yMDE4CAAAAAkzLzMxLzIwMTgJAAAAATDWjBE4CAnWCMOGn280CdYIOENJUS5OQVNEQVFHTTpMUFRYLklRX0VCSVREQS5DWTIwMTYuNy8xNi8yMDE4LkxGUi5GLlVTRC5IAQAAAAw2CQcCAAAABi0yNC4xNQEIAAAABQAAAAExAQAAAAoxODc1NTU5OTM5AwAAAAMxNjACAAAABDQwNTEEAAAAATAH</t>
  </si>
  <si>
    <t>AAAACTcvMTYvMjAxOAgAAAAKMTIvMzEvMjAxNgkAAAABMCkclBA1CdYIMNddEjUJ1gg4Q0lRLk5BU0RBUUdTOk5LLklRX0VBUk5JTkdfQ08uMTk5Ni43LzMxLzIwMTguTEZSLkYuVVNELkgBAAAADX2hDwIAAAAILTExNC42NDcBCAAAAAUAAAABMQEAAAAKMTg4NzExODc2NwMAAAADMTYwAgAAAAE3BAAAAAEwBwAAAAk3LzMxLzIwMTgIAAAACTMvMzEvMjAxNwkAAAABMNaMETgICdYIGemhbzQJ1ggjQ0lRLk5BU0RBUUNNOkFWRU8uSVFfUEVSSU9EREFURV9JUy4BAAAA9BYdAAUAAAAJNi8zMC8yMDE4AMT/GxE1CdYIwptiEjUJ1ggvQ0lRLklRVFIzMjE4NjUyOTcuSVFfVFJfSU1QTElFRF9FVl9GSU5BTC4uVVNELkgBAAAAUUYvEwIAAAAAAFjPEg41CdYIDD6FDjUJ1ghBQ0lRLk5BU0RBUUdTOk5LLklRX0VCSVREQV8zWVJfQU5OX0NBR1IuMjAwMC43LzMxLzIwMTguTEZSLkYuVVNELkgBAAAADX2hDwMAAAACTk0BCAAAAAUAAAABMQEAAAAKMTg4NzExODc5MQMAAAADMTYwAgAAAAQ0MjIyBAAAAAEwBwAAAAk3LzMxLzIwMTgIAAAACTMvMzEvMjAxOAkAAAABMNaMETgICdYIGemhbzQJ1gg4Q0lRLk5BU0RBUUdTOk1SU04uSVFfVE9UQUxfRVFVSVRZLi43LzE2LzIwMTguTEZSLkYuVVNELkgBAAAA5sUYAAIAAAAGNTYuNTQ3AQgAAAAFAAAAATEBAAAACjE4ODkwOTY2NTMDAAAAAzE2MAIAAAAEMTI3NQQAAAAB</t>
  </si>
  <si>
    <t>MAcAAAAJNy8xNi8yMDE4CAAAAAkzLzMxLzIwMTgJAAAAATApHJQQNQnWCHM5YBI1CdYIP0NJUS5OQVNEQVFHTTpGQVRFLklRX05FVF9XT1JLSU5HX0NBUC4xOTkyLjcvMzEvMjAxOC5MRlIuRi5VU0QuSAEAAABoMVcCAgAAAAYtNS4yMjYBCAAAAAUAAAABMQEAAAAKMTg0MzU0NDMyMQMAAAADMTYwAgAAAAQxMzExBAAAAAEwBwAAAAk3LzMxLzIwMTgIAAAACTMvMzEvMjAxNgkAAAABMNaMETgICdYIw4afbzQJ1gg8Q0lRLk5BU0RBUUdTOk1SU04uSVFfVE9UQUxfRVFVSVRZLjE5OTYuNy8zMS8yMDE4LkxGUi5GLlVTRC5IAQAAAObFGAACAAAABjMxLjEzOAEIAAAABQAAAAExAQAAAAoxODg5MDk2NTk3AwAAAAMxNjACAAAABDEyNzUEAAAAATAHAAAACTcvMzEvMjAxOAgAAAAJMy8zMS8yMDE3CQAAAAEw1owROAgJ1gjDhp9vNAnWCCxDSVEuSVFUUjU2MzkxOTA0OS5JUV9UUl9UT1RBTF9HUk9TU19UVi5VU0QuSAUAAAAAAAAACAAAABooSW52YWxpZCBDdXJyZW5jeSBSZXF1ZXN0KQxtEA41CdYIwNuCDjUJ1ggjQ0lRLklRVFIyNDU4MzEwMDcuSVFfVFJfQ0xPU0VEX0RBVEUBAAAAXxWnDgUAAAAKMTAvMTEvMjAxMwCys0lvNAnWCIH9lW80CdYIP0NJUS5OQVNEQVFHUzpCR05FLklRX05FVF9XT1JLSU5HX0NBUC4xOTkyLjcvMzEvMjAxOC5MRlIuRi5VU0QuSAEAAADg5N0GAgAAAAYtMTEuMjcBCAAAAAUAAAAB</t>
  </si>
  <si>
    <t>MQEAAAAKMTg0MTE4MDE2OAMAAAADMTYwAgAAAAQxMzExBAAAAAEwBwAAAAk3LzMxLzIwMTgIAAAACTMvMzEvMjAxNgkAAAABMJwL1TgICdYIgf2VbzQJ1ggzQ0lRLk5BU0RBUUdTOlNHRU4uSVFfRUJJVERBX0VTVC5DWTIwMTkuLkNPTi5GLlVTRC5IAQAAAGGFAAACAAAABy0xMzcuMzIBDgAAAAUAAAACMTEBAAAAATACAAAACjEwMDAxMjQ3MjcDAAAABjEwMDE4NwQAAAABMgYAAAABMAcAAAADMTYwCAAAAAEwCQAAAAExCgAAAAEwCwAAAAsxMDk5OTM0OTM0NgwAAAABNw0AAAAJOC8yNC8yMDE4EAAAAAk4LzIzLzIwMTjE/xsRNQnWCMT/GxE1CdYIFkNJUS4wLklRX1RSX1BDVF9TT1VHSFQFAAAAAAAAAAgAAAAYKEludmFsaWQgVHJhbnNhY3Rpb24gSWQpSVNHbzQJ1ggH4vCBNAnWCC1DSVEuTkFTREFRR1M6VFNSTy5JUV9ESVZJREVORF9ZSUVMRC43LzE2LzIwMTgBAAAAaNZYBgMAAAAAAEadGRE1CdYIEv5kEjUJ1gggQ0lRLklRNTQzMzkwNzUuSVFfQ09NUEFOWV9USUNLRVIBAAAAAyY9AwMAAAANTmFzZGFxR1M6RVBaTQCys0lvNAnWCCTCmm80CdYIPENJUS5OQVNEQVFHUzpDVE1YLklRX0VCSVREQV9FU1QuQ1kyMDIwLjcvMTYvMjAxOC5DT04uRi5VU0QuSAEAAADcOJsDAwAAAAAAxP8bETUJ1gjCm2ISNQnWCDdDSVEuTkFTREFRR1M6UEJZSS5JUV9QUkVGX0VRVUlUWS4uOS8xNS8yMDE3LkxGUi5GLlVT</t>
  </si>
  <si>
    <t>RC5IAQAAAAJqrAcDAAAAAADE/xsRNQnWCBL+ZBI1CdYILkNJUS5OQVNEQVFHUzpHVEhYLklRX01BUktFVENBUC43LzMxLzIwMTguVVNELkgBAAAAZTRpCAIAAAALMTY4NC45NTgwMjUBBgAAAAUAAAABMQEAAAAKMTg4NjM2NzQxMAMAAAADMTYwAgAAAAYxMDAwNTQEAAAAATAHAAAACTcvMzEvMjAxOJwL1TgICdYIJMKabzQJ1gg+Q0lRLk5BU0RBUUdNOkxQVFguSVFfVE9UQUxfRVFVSVRZLkNZMjAxNi43LzE2LzIwMTguTEZSLkYuVVNELkgBAAAADDYJBwIAAAAFLTI5LjcBCAAAAAUAAAABMQEAAAAKMTg3NTU1OTkzOQMAAAADMTYwAgAAAAQxMjc1BAAAAAEwBwAAAAk3LzE2LzIwMTgIAAAACjEyLzMxLzIwMTYJAAAAATApHJQQNQnWCDDXXRI1CdYIPUNJUS5OQVNEQVFHTTpBUlFMLklRX1JFVkVOVUVfRVNULkNZMjAyMS43LzMxLzIwMTguQ09OLkYuVVNELkgBAAAA9mEAAAIAAAAGMzkuMTkxAQ4AAAAFAAAAAjExAQAAAAEwAgAAAAoxMDAyNjc5NTU3AwAAAAYxMDAxODAEAAAAATIGAAAAATAHAAAAAzE2MAgAAAABMAkAAAABMQoAAAABMAsAAAALMTA5NDY2MjIxNjYMAAAAATcNAAAACDgvMS8yMDE4EAAAAAk3LzMxLzIwMTjWjBE4CAnWCHMknW80CdYIN0NJUS5OQVNEQVFHTTpJTU1VLklRX0VCSVRfTUFSR0lOLi43LzE2LzIwMTguTEZSLkYuVVNELkgBAAAAIEMEAAMAAAACTk0BCAAAAAUAAAABMQEAAAAK</t>
  </si>
  <si>
    <t>MTg4ODUyMzM4NAMAAAADMTYwAgAAAAQ0MDUzBAAAAAEwBwAAAAk3LzE2LzIwMTgIAAAACTMvMzEvMjAxOAkAAAABMMT/GxE1CdYIEv5kEjUJ1ggtQ0lRLk5BU0RBUUdTOk1HTlguSVFfRElWSURFTkRfWUlFTEQuNy8xNi8yMDE4AQAAAE8rCQADAAAAAABGnRkRNQnWCMKbYhI1CdYIMUNJUS5OQVNEQVFHUzpTR0VOLklRX0RBX0NGLi43LzE2LzIwMTguTEZSLkYuVVNELkgBAAAAYYUAAAIAAAAGMjYuNDk1AQgAAAAFAAAAATEBAAAACjE4ODQ4OTI4NTIDAAAAAzE2MAIAAAAEMjE2MAQAAAABMAcAAAAJNy8xNi8yMDE4CAAAAAkzLzMxLzIwMTgJAAAAATDE/xsRNQnWCGhgZxI1CdYIOUNJUS5OQVNEQVFHUzpGUFJYLklRX05JX01BUkdJTi4yMDAwLjcvMzEvMjAxOC5MRlIuRi5VU0QuSAEAAAA3XTMAAgAAAAktMjIxLjc0NDYBCAAAAAUAAAABMQEAAAAKMTg4NzQwMjIyNwMAAAADMTYwAgAAAAQ0MDk0BAAAAAEwBwAAAAk3LzMxLzIwMTgIAAAACTMvMzEvMjAxOAkAAAABMNaMETgICdYIGemhbzQJ1ggtQ0lRLk5BU0RBUUNNOlNSTkUuSVFfRElWSURFTkRfWUlFTEQuNy8zMS8yMDE4AQAAAElDlAMDAAAAAADWjBE4CAnWCHMknW80CdYIP0NJUS5OQVNEQVFDTTpTUk5FLklRX05FVF9XT1JLSU5HX0NBUC4yMDAwLjcvMzEvMjAxOC5MRlIuRi5VU0QuSAEAAABJQ5QDAgAAAActMzguMDU3AQgAAAAFAAAAATEBAAAA</t>
  </si>
  <si>
    <t>CjE4ODc5ODk4MzEDAAAAAzE2MAIAAAAEMTMxMQQAAAABMAcAAAAJNy8zMS8yMDE4CAAAAAkzLzMxLzIwMTgJAAAAATDWjBE4CAnWCHMknW80CdYIQ0NJUS5OQVNEQVFHTTpMUFRYLklRX01JTk9SSVRZX0lOVEVSRVNUX1RPVEFMLi45LzE1LzIwMTcuTEZSLkYuVVNELkgBAAAADDYJBwMAAAAAACkclBA1CdYIMNddEjUJ1gg7Q0lRLk5BU0RBUUdNOkFSUUwuSVFfVE9UQUxfUkVWLkNZMjAxNi43LzMxLzIwMTguTEZSLkYuVVNELkgBAAAA9mEAAAIAAAAFNC43MDkBCAAAAAUAAAABMQEAAAAKMTg3ODUwODY5NQMAAAADMTYwAgAAAAIyOAQAAAABMAcAAAAJNy8zMS8yMDE4CAAAAAoxMi8zMS8yMDE2CQAAAAEw1owROAgJ1ghzJJ1vNAnWCC5DSVEuSVFUUjQwOTk1MTg4Ni5JUV9UUl9UQVJHRVRfU1RPQ0tQUkVNSVVNXzFNAQAAAI5ebxgCAAAAAAAMbRAONQnWCMDbgg41CdYIMkNJUS5OQVNEQVFHUzpBTkFCLklRX0VCSVREQS4uNy8xNi8yMDE4LkxGUi5GLlVTRC5IAQAAACFMsgECAAAABy0zNC4zNTIBCAAAAAUAAAABMQEAAAAKMTg4NzQwMDA0MwMAAAADMTYwAgAAAAQ0MDUxBAAAAAEwBwAAAAk3LzE2LzIwMTgIAAAACTMvMzEvMjAxOAkAAAABMMT/GxE1CdYIwptiEjUJ1ggxQ0lRLk5BU0RBUUdTOkNBTEEuSVFfQ0FQRVguLjcvMTYvMjAxOC5MRlIuRi5VU0QuSAEAAAClJ4EGAgAAAAYtMS4yMDUBCAAAAAUA</t>
  </si>
  <si>
    <t>AAABMQEAAAAKMTg4Nzk4MDMwNQMAAAADMTYwAgAAAAQyMDIxBAAAAAEwBwAAAAk3LzE2LzIwMTgIAAAACTMvMzEvMjAxOAkAAAABMCkclBA1CdYI5HRbEjUJ1gg7Q0lRLk5BU0RBUUdTOkNUTVguSVFfVE9UQUxfUkVWLkNZMjAxNy43LzE2LzIwMTguTEZSLkYuVVNELkgBAAAA3DibAwIAAAAGNzEuNjIzAQgAAAAFAAAAATEBAAAACjE4NzczMTY3NjkDAAAAAzE2MAIAAAACMjgEAAAAATAHAAAACTcvMTYvMjAxOAgAAAAKMTIvMzEvMjAxNwkAAAABMMT/GxE1CdYIwptiEjUJ1gg8Q0lRLk5BU0RBUUdTOkJHTkUuSVFfVE9UQUxfRVFVSVRZLjE5OTYuNy8zMS8yMDE4LkxGUi5GLlVTRC5IAQAAAODk3QYCAAAABzMwOC40MTcBCAAAAAUAAAABMQEAAAAKMTg4NzY4ODU4MwMAAAADMTYwAgAAAAQxMjc1BAAAAAEwBwAAAAk3LzMxLzIwMTgIAAAACTMvMzEvMjAxNwkAAAABMJwL1TgICdYIgf2VbzQJ1ggdQ0lRLjAuSVFfQlVTSU5FU1NfREVTQ1JJUFRJT04BAAAAVYR3AwMAAAAAALKzSW80CdYIB+LwgTQJ1gglQ0lRLklRVFI1NDI4MDY2ODYuSVFfUFJJTUFSWV9JTkRVU1RSWQEAAACZUdECAwAAAA1CaW90ZWNobm9sb2d5AElTR280CdYIgf2VbzQJ1gghQ0lRLk5BU0RBUUNNOkNLUFQuSVFfQ09NUEFOWV9OQU1FAQAAALhRFhEDAAAAHUNoZWNrcG9pbnQgVGhlcmFwZXV0aWNzLCBJbmMuACkclBA1CdYIMNddEjUJ</t>
  </si>
  <si>
    <t>1ggvQ0lRLklRVFI0MDM3OTE3NjcuSVFfVFJfVEFSR0VUX1RPVEFMX1JFVi4uVVNELkgBAAAAl18RGAIAAAAAAFjPEg41CdYIwNuCDjUJ1ggdQ0lRLk5BU0RBUUdTOk1HTlguSVFfRVhDSEFOR0UBAAAATysJAAMAAAAITmFzZGFxR1MARp0ZETUJ1gjCm2ISNQnWCChDSVEuLklRX0RBX0NGLjIwMDAuNy8zMS8yMDE4LkxGUi5GLlVTRC5IBQAAAAEAAAAIAAAAFChJbnZhbGlkIElkZW50aWZpZXIp9YQyRzQJ1gj1hDJHNAnWCCVDSVEuSVFUUjMwMjg2NjYyNy5JUV9UUl9NQUpfTUlOX1NUQUtFAQAAAMNgDRIDAAAACE1ham9yaXR5AFjPEg41CdYIDD6FDjUJ1gg8Q0lRLk5BU0RBUUdTOk1SU04uSVFfRUJJVERBX0VTVC5DWTIwMjAuNy8xNi8yMDE4LkNPTi5GLlVTRC5IAQAAAObFGAACAAAABy03My45NTUBDgAAAAUAAAACMTEBAAAAATACAAAACjEwMDM4MDMyODUDAAAABjEwMDE4NwQAAAABMgYAAAABMAcAAAADMTYwCAAAAAEwCQAAAAExCgAAAAEwCwAAAAsxMDg4MzgzMTM0MAwAAAABNw0AAAAJNy8xNy8yMDE4EAAAAAk3LzE2LzIwMTjE/xsRNQnWCHM5YBI1CdYIOkNJUS5OQVNEQVFHTTpJTU1VLklRX0VBUk5JTkdfQ08uMjAwMC43LzMxLzIwMTguTEZSLkYuVVNELkgBAAAAIEMEAAIAAAALLTIxMC4xMTY0MzcBCAAAAAUAAAABMQEAAAAKMTg4ODUyMzM4NAMAAAADMTYwAgAAAAE3BAAAAAEwBwAAAAk3LzMx</t>
  </si>
  <si>
    <t>LzIwMTgIAAAACTMvMzEvMjAxOAkAAAABMJwL1TgICdYI1F+YbzQJ1ggvQ0lRLklRVFI1MzU3MTk5OTguSVFfVFJfVEFSR0VUX1RPVEFMX1JFVi4uVVNELkgBAAAAPnDuHwIAAAAGMzIuMTM2AQYAAAAFAAAAAjM3AQAAAAoxODUyNTU4MjI4AgAAAAIyOAMAAAADMTYwBAAAAAEwBwAAAAgxLzEvMTkwMLKzSW80CdYIgf2VbzQJ1ghBQ0lRLihJTlZBTElEIElERU5USUZJRVIpLklRX0NBU0hfU1RfSU5WRVNULi43LzE2LzIwMTguTEZSLkYuVVNELkgFAAAAAAAAAAgAAAAUKEludmFsaWQgSWRlbnRpZmllcinep34QNQnWCJgSWRI1CdYIOENJUS5OQVNEQVFHUzpOSy5JUV9UT1RBTF9ERUJULjIwMDAuNy8zMS8yMDE4LkxGUi5GLlVTRC5IAQAAAA19oQ8CAAAABTcuMDIzAQgAAAAFAAAAATEBAAAACjE4ODcxMTg3OTEDAAAAAzE2MAIAAAAENDE3MwQAAAABMAcAAAAJNy8zMS8yMDE4CAAAAAkzLzMxLzIwMTgJAAAAATDWjBE4CAnWCMOGn280CdYIJENJUS4oSU5WQUxJRCBJREVOVElGSUVSKS5JUV9FWENIQU5HRQUAAAAAAAAACAAAABQoSW52YWxpZCBJZGVudGlmaWVyKcgwsjcICdYIQsWtDjUJ1ggpQ0lRLklRMzYxODM4MjUuSVFfTEFTVFNBTEVQUklDRS43LzE2LzIwMTgBAAAAER8oAgIAAAAEMi41OQAMbRAONQnWCAw+hQ41CdYIP0NJUS5OQVNEQVFHUzpUU1JPLklRX0VCSVREQV8yWVJfQU5OX0NBR1IuLjcv</t>
  </si>
  <si>
    <t>MTYvMjAxOC5MRlIuRi5VU0QuSAEAAABo1lgGAwAAAAJOTQEIAAAABQAAAAExAQAAAAoxODg2MzM3NDY2AwAAAAMxNjACAAAABDQyMDkEAAAAATAHAAAACTcvMTYvMjAxOAgAAAAJMy8zMS8yMDE4CQAAAAEwxP8bETUJ1ggS/mQSNQnWCDFDSVEuTkFTREFRR1M6VFNSTy5JUV9DQVBFWC4uNy8xNi8yMDE4LkxGUi5GLlVTRC5IAQAAAGjWWAYCAAAABi01LjgwNwEIAAAABQAAAAExAQAAAAoxODg2MzM3NDY2AwAAAAMxNjACAAAABDIwMjEEAAAAATAHAAAACTcvMTYvMjAxOAgAAAAJMy8zMS8yMDE4CQAAAAEwxP8bETUJ1ggS/mQSNQnWCDhDSVEuWFRSQTpNT1IuSVFfQ0FTSF9TVF9JTlZFU1QuMjAwMC41LzUvMjAxNy5MRlIuRi5VU0QuSAEAAADfEQIAAgAAAAoyOTMuOTYyODg1AQgAAAAFAAAAATEBAAAACjE4Mzk5NDA3MjEDAAAAAzE2MAIAAAAEMTAwMgQAAAABMAcAAAAINS81LzIwMTcIAAAACTMvMzEvMjAxNwkAAAABMJwL1TgICdYI1F+YbzQJ1ggrQ0lRLklRVFI0MDM3OTE3NjcuSVFfVFJfSU1QTElFRF9FVl9FQklUX0ZXRAEAAACXXxEYAgAAAAAAWM8SDjUJ1gjA24IONQnWCCBDSVEuSVEyODQ2MjExMy5JUV9DT01QQU5ZX1RJQ0tFUgEAAAAhTLIBAwAAAA1OYXNkYXFHUzpBTkFCAAxtEA41CdYIW8eODjUJ1gguQ0lRLklRVFI0MzE4NDE1ODEuSVFfVFJfVEFSR0VUX1NUT0NLUFJFTUlVTV8xTQEAAAAt</t>
  </si>
  <si>
    <t>Yb0ZAgAAAAAADG0QDjUJ1ggMPoUONQnWCCtDSVEuT1RDUEs6TUJWWC5JUV9NQVJLRVRDQVAuNy8xNi8yMDE4LlVTRC5IAQAAANhEiwICAAAACDcuNDgzMTM2AQYAAAAFAAAAATEBAAAACjE4ODEyMTMyMzUDAAAAAzE2MAIAAAAGMTAwMDU0BAAAAAEwBwAAAAk3LzE2LzIwMTjep34QNQnWCJgSWRI1CdYIPENJUS5OQVNEQVFDTTpDS1BULklRX0VCSVREQV9FU1QuQ1kyMDE5LjcvMTYvMjAxOC5DT04uRi5VU0QuSAEAAAC4URYRAgAAAAUtNDEuNgEOAAAABQAAAAIxMQEAAAABMAIAAAAKMTAwMzY2NTYwMgMAAAAGMTAwMTg3BAAAAAEyBgAAAAEwBwAAAAMxNjAIAAAAATAJAAAAATEKAAAAATALAAAACzEwODc4NzAwNDkyDAAAAAE3DQAAAAk3LzE3LzIwMTgQAAAACTcvMTYvMjAxOCkclBA1CdYI5HRbEjUJ1gg2Q0lRLkFTWDpJTVUuSVFfRUFSTklOR19DTy5DWTIwMTcuNy8xNi8yMDE4LkxGUi5GLlVTRC5IAQAAAJiTqQACAAAACS0yLjA2NzU4MQEIAAAABQAAAAExAQAAAAoxODc3MzA1MzIwAwAAAAMxNjACAAAAATcEAAAAATAHAAAACTcvMTYvMjAxOAgAAAAKMTIvMzEvMjAxNwkAAAABMCkclBA1CdYIMNddEjUJ1gguQ0lRLklRVFIzNzE3MTUxMTkuSVFfVFJfVEFSR0VUX1NUT0NLUFJFTUlVTV8xVwEAAAAv7CcWAgAAAAAAWM8SDjUJ1gjA24IONQnWCBhDSVEuLklRX1RSX0lNUExJRURfRVFfQlYFAAAAAAAA</t>
  </si>
  <si>
    <t>AAgAAAAUKEludmFsaWQgSWRlbnRpZmllcimcC9U4CAnWCHd5gA41CdYIJ0NJUS5OQVNEQVFHUzpDVE1YLklRX0JFVEFfMllSLjcvMTYvMjAxOAEAAADcOJsDAgAAABEwLjc0NTQ1MTc4NTk3NzE3MQDE/xsRNQnWCMKbYhI1CdYIL0NJUS5JUVRSNDIyODg3NzAxLklRX1RSX1RBUkdFVF9UT1RBTF9SRVYuLlVTRC5IAQAAABXBNBkCAAAAAAAMbRAONQnWCMDbgg41CdYIOkNJUS4uSVFfTUlOT1JJVFlfSU5URVJFU1RfVE9UQUwuMjAwMC43LzMxLzIwMTguTEZSLkYuVVNELkgFAAAAAQAAAAgAAAAUKEludmFsaWQgSWRlbnRpZmllcin1hDJHNAnWCPWEMkc0CdYIQ0NJUS5OQVNEQVFHTTpDUlZTLklRX0VCSVREQV8zWVJfQU5OX0NBR1IuMjAwMC43LzMxLzIwMTguTEZSLkYuVVNELkgBAAAA9LCmEAMAAAAAANaMETgICdYIGemhbzQJ1gg5Q0lRLk5BU0RBUUdNOkNSVlMuSVFfVE9UQUxfREVCVC4yMDAwLjUvNS8yMDE3LkxGUi5GLlVTRC5IAQAAAPSwphACAAAAATABCAAAAAUAAAABMQEAAAAKMTg0MDExNjE3MwMAAAADMTYwAgAAAAQ0MTczBAAAAAEwBwAAAAg1LzUvMjAxNwgAAAAJMy8zMS8yMDE3CQAAAAEw1owROAgJ1ggZ6aFvNAnWCD1DSVEuTkFTREFRR006TFBUWC5JUV9SRVZFTlVFX0VTVC5DWTIwMjEuNy8xNi8yMDE4LkNPTi5GLlVTRC5IAQAAAAw2CQcCAAAAATABDgAAAAUAAAACMTEBAAAAATACAAAA</t>
  </si>
  <si>
    <t>CjEwMDM2Mzk1NjIDAAAABjEwMDE4MAQAAAABMgYAAAABMAcAAAADMTYwCAAAAAEwCQAAAAExCgAAAAEwCwAAAAsxMDg4MjAyMDQ4MwwAAAABNw0AAAAJNy8xNy8yMDE4EAAAAAk3LzE2LzIwMTgpHJQQNQnWCDDXXRI1CdYILkNJUS5OQVNEQVFHTTpBUlFMLklRX01BUktFVENBUC43LzMxLzIwMTguVVNELkgBAAAA9mEAAAIAAAAKNDk2Ljg4MTEyOAEGAAAABQAAAAExAQAAAAoxODg4Nzg3NDUyAwAAAAMxNjACAAAABjEwMDA1NAQAAAABMAcAAAAJNy8zMS8yMDE41owROAgJ1ghzJJ1vNAnWCDZDSVEuTkFTREFRR1M6RlBSWC5JUV9FQVJOSU5HX0NPLi43LzE2LzIwMTguTEZSLkYuVVNELkgBAAAAN10zAAIAAAAILTEzNy4xNjkBCAAAAAUAAAABMQEAAAAKMTg4NzQwMjIyNwMAAAADMTYwAgAAAAE3BAAAAAEwBwAAAAk3LzE2LzIwMTgIAAAACTMvMzEvMjAxOAkAAAABMCkclBA1CdYIczlgEjUJ1gg3Q0lRLk5BU0RBUUdNOkFSUUwuSVFfUEVSSU9EREFURV9JUy4yMDAwLjcvMzEvMjAxOC5MRlIuRgEAAAD2YQAABQAAAAkzLzMxLzIwMTgA1owROAgJ1ghzJJ1vNAnWCBtDSVEuQVNYOklNVS5JUV9DT01QQU5ZX05BTUUBAAAAmJOpAAMAAAAPSW11Z2VuZSBMaW1pdGVkACkclBA1CdYIMNddEjUJ1ggkQ0lRLk5BU0RBUUdTOkpOQ0UuSVFfRUZGRUNUX1RBWF9SQVRFAQAAAOJ5ng0DAAAAAk5NAQgAAAAFAAAAATEB</t>
  </si>
  <si>
    <t>AAAACjE4OTk2MTkxODIDAAAAAzE2MAIAAAAENDM3NgQAAAABMAcAAAAJOC8yMy8yMDE4CAAAAAk2LzMwLzIwMTgJAAAAATDep34QNQnWCJgSWRI1CdYIOkNJUS5OQVNEQVFHTTpJTU1VLklRX0NBU0hfU1RfSU5WRVNULi45LzE1LzIwMTcuTEZSLkYuVVNELkgBAAAAIEMEAAIAAAAKMTU0LjkwMTc5NQEIAAAABQAAAAExAQAAAAoxODU0MzgyMzE0AwAAAAMxNjACAAAABDEwMDIEAAAAATAHAAAACTkvMTUvMjAxNwgAAAAJNi8zMC8yMDE3CQAAAAEwxP8bETUJ1ggS/mQSNQnWCDBDSVEuTkFTREFRR1M6QkdORS5JUV9MQVNUU0FMRVBSSUNFLjcvMzEvMjAxOC5VU0QBAAAA4OTdBgIAAAAGMTg5LjY2AJwL1TgICdYIgf2VbzQJ1ggjQ0lRLklRVFI1NDc0MjM2ODAuSVFfVFJfVE9UQUxfU1RPQ0sBAAAAwAWhIAIAAAAAAAxtEA41CdYIwNuCDjUJ1gg2Q0lRLkFTWDpJTVUuSVFfRUFSTklOR19DTy5DWTIwMTYuNy8xNi8yMDE4LkxGUi5GLlVTRC5IAQAAAJiTqQACAAAACS0yLjMwNzEzOAEIAAAABQAAAAExAQAAAAoxODc3MzA1ODczAwAAAAMxNjACAAAAATcEAAAAATAHAAAACTcvMTYvMjAxOAgAAAAKMTIvMzEvMjAxNgkAAAABMCkclBA1CdYIMNddEjUJ1ggrQ0lRLk5BU0RBUUdNOklNTVUuSVFfTEFTVFNBTEVQUklDRS41LzUvMjAxNwEAAAAgQwQAAgAAAAQ2LjM2AJwL1TgICdYI1F+YbzQJ1ggvQ0lRLklRVFIy</t>
  </si>
  <si>
    <t>NzM1MDcxODUuSVFfVFJfVEFSR0VUX1RPVEFMX1JFVi4uVVNELkgBAAAAcWNNEAIAAAAFOS4wMTIBBgAAAAUAAAACMzcBAAAACjE2OTE3NjgyNjQCAAAAAjI4AwAAAAMxNjAEAAAAATAHAAAACDEvMS8xOTAwsrNJbzQJ1giB/ZVvNAnWCEZDSVEuTkFTREFRR1M6Q0FMQS5JUV9UT1RBTF9SRVZfM1lSX0FOTl9DQUdSLjIwMDAuNy8zMS8yMDE4LkxGUi5GLlVTRC5IAQAAAKUngQYDAAAAAADIMLI3CAnWCN1LpG80CdYIPENJUS5OQVNEQVFHUzpQQllJLklRX0VCSVREQV9FU1QuQ1kyMDE5LjcvMTYvMjAxOC5DT04uRi5VU0QuSAEAAAACaqwHAgAAAAc4NS45NTM3AQ4AAAAFAAAAAjExAQAAAAEwAgAAAAoxMDAxNTEzMDc5AwAAAAYxMDAxODcEAAAAATIGAAAAATAHAAAAAzE2MAgAAAABMAkAAAABMQoAAAABMAsAAAALMTA5NDIwNzQ4MTQMAAAAATcNAAAACTcvMTcvMjAxOBAAAAAJNy8xNi8yMDE4xP8bETUJ1ggS/mQSNQnWCD1DSVEuTkFTREFRR1M6TVJTTi5JUV9SRVZFTlVFX0VTVC5DWTIwMTguNy8xNi8yMDE4LkNPTi5GLlVTRC5IAQAAAObFGAACAAAABjE1LjQyOQEOAAAABQAAAAIxMQEAAAABMAIAAAAKMTAwMzgwMzI3NQMAAAAGMTAwMTgwBAAAAAEyBgAAAAEwBwAAAAMxNjAIAAAAATAJAAAAATEKAAAAATALAAAACzExMDQxNzgzODA3DAAAAAE3DQAAAAk3LzE3LzIwMTgQAAAACTcvMTYvMjAxOMT/GxE1</t>
  </si>
  <si>
    <t>CdYIczlgEjUJ1gg8Q0lRLk5BU0RBUUdNOklNTVUuSVFfRUJJVERBX0VTVC5DWTIwMTguNy8zMS8yMDE4LkNPTi5GLlVTRC5IAQAAACBDBAADAAAAAACcC9U4CAnWCNRfmG80CdYIIUNJUS5JUTI4Mjc3NDQ1Ni5JUV9DT01QQU5ZX1RJQ0tFUgEAAAC4y9oQAwAAAA1OYXNkYXFHUzpLVVJBALKzSW80CdYIcySdbzQJ1gg0Q0lRLihJTlZBTElEIElERU5USUZJRVIpLklRX01BUktFVENBUC41LzUvMjAxNy5VU0QuSAUAAAAAAAAACAAAABQoSW52YWxpZCBJZGVudGlmaWVyKcgwsjcICdYI7TawbzQJ1ggzQ0lRLk5BU0RBUUdTOkNUTVguSVFfUEVSSU9EREFURV9JUy4uNy8xNi8yMDE4LkxGUi5GAQAAANw4mwMFAAAACTMvMzEvMjAxOADE/xsRNQnWCMKbYhI1CdYIOUNJUS5OQVNEQVFHUzpBVE5YLklRX1RPVEFMX1JFVi4xOTkyLjcvMzEvMjAxOC5MRlIuRi5VU0QuSAEAAADcmWsBAgAAAAUxLjIxMQEIAAAABQAAAAExAQAAAAoxODQyNDkwMjczAwAAAAMxNjACAAAAAjI4BAAAAAEwBwAAAAk3LzMxLzIwMTgIAAAACjEyLzMxLzIwMTQJAAAAATDWjBE4CAnWCCTCmm80CdYIN0NJUS5PVENQSzpOV0JPLklRX0NBU0hfU1RfSU5WRVNULi45LzE1LzIwMTcuTEZSLkYuVVNELkgBAAAAo3oUAAIAAAAFMC4wMjIBCAAAAAUAAAABMQEAAAAKMTg1NTMyNjM3MQMAAAADMTYwAgAAAAQxMDAyBAAAAAEwBwAAAAk5LzE1LzIw</t>
  </si>
  <si>
    <t>MTcIAAAACTYvMzAvMjAxNwkAAAABMCkclBA1CdYIMNddEjUJ1gglQ0lRLkVOWFRQQTpJUEguSVFfVEVWLjcvMTYvMjAxOC5VU0QuSAEAAACZgAYAAgAAAAoxODAuNzM4NjI0AQYAAAAFAAAAATEBAAAACjE4ODk1NTIxNjIDAAAAAzE2MAIAAAAGMTAwMDYwBAAAAAEwBwAAAAk3LzE2LzIwMTgpHJQQNQnWCHM5YBI1CdYIJUNJUS5JUVRSNTUxMTY2MjkyLklRX1RSX0lNUExJRURfRVFfQlYBAAAAVCHaIAIAAAAINS4wNjc1ODMBBgAAAAUAAAACNTQBAAAABjEwMjA5NwIAAAAJNTUxMTY2MjkyAwAAAAk1NTExNzMzNzUEAAAAAzE2MAYAAAAFRmFsc2UMbRAONQnWCMDbgg41CdYIMENJUS4uSVFfQ0FTSF9TVF9JTlZFU1QuMjAwMC41LzUvMjAxNy5MRlIuRi5VU0QuSAUAAAABAAAACAAAABQoSW52YWxpZCBJZGVudGlmaWVyKfWEMkc0CdYI9YQyRzQJ1gg7Q0lRLk5BU0RBUUdTOkVQWk0uSVFfVE9UQUxfUkVWLkNZMjAxNy43LzMxLzIwMTguTEZSLkYuVVNELkgBAAAAAyY9AwIAAAACMTABCAAAAAUAAAABMQEAAAAKMTg3ODA4MTA2NAMAAAADMTYwAgAAAAIyOAQAAAABMAcAAAAJNy8zMS8yMDE4CAAAAAoxMi8zMS8yMDE3CQAAAAEw1owROAgJ1ghzJJ1vNAnWCDFDSVEuSVFUUjQwODI5MTM5NS5JUV9UUl9UQVJHRVRfUkVWRU5VRV9FU1QuLlVTRC5IAQAAAEMIVhgCAAAAAABYzxIONQnWCMDbgg41CdYINkNJUS5O</t>
  </si>
  <si>
    <t>QVNEQVFHUzpDQUxBLklRX1RPVEFMX0RFQlQuLjkvMTUvMjAxNy5MRlIuRi5VU0QuSAEAAAClJ4EGAgAAAAEwAQgAAAAFAAAAATEBAAAACjE4NTI0NzUwNzkDAAAAAzE2MAIAAAAENDE3MwQAAAABMAcAAAAJOS8xNS8yMDE3CAAAAAk2LzMwLzIwMTcJAAAAATApHJQQNQnWCOR0WxI1CdYIHENJUS4uSVFfQlVTSU5FU1NfREVTQ1JJUFRJT04FAAAAAAAAAAgAAAAUKEludmFsaWQgSWRlbnRpZmllcimcC9U4CAnWCHd5gA41CdYIL0NJUS5JUVRSNTQ4MzM4MDIwLklRX1RSX1RBUkdFVF9UT1RBTF9SRVYuLlVTRC5IAQAAAGT5riACAAAAAAAMbRAONQnWCMDbgg41CdYIO0NJUS5OQVNEQVFHTTpBRk1ELklRX1RPVEFMX1JFVi5DWTIwMTYuNy8xNi8yMDE4LkxGUi5GLlVTRC5IAQAAANv3DAACAAAACDYuODE4MzI2AQgAAAAFAAAAATEBAAAACjE4NzkxNDc2NjIDAAAAAzE2MAIAAAACMjgEAAAAATAHAAAACTcvMTYvMjAxOAgAAAAKMTIvMzEvMjAxNgkAAAABMCkclBA1CdYIMNddEjUJ1gg2Q0lRLk5BU0RBUUdTOkJHTkUuSVFfRUFSTklOR19DTy4uNy8xNi8yMDE4LkxGUi5GLlVTRC5IAQAAAODk3QYCAAAACC0xNDcuNzkyAQgAAAAFAAAAATEBAAAACjE4ODc2ODg1ODgDAAAAAzE2MAIAAAABNwQAAAABMAcAAAAJNy8xNi8yMDE4CAAAAAkzLzMxLzIwMTgJAAAAATDE/xsRNQnWCGhgZxI1CdYIQkNJUS4oSU5WQUxJ</t>
  </si>
  <si>
    <t>RCBJREVOVElGSUVSKS5JUV9UT1RBTF9SRVYuQ1kyMDE2LjcvMzEvMjAxOC5MRlIuRi5VU0QuSAUAAAAAAAAACAAAABQoSW52YWxpZCBJZGVudGlmaWVyKcgwsjcICdYI7TawbzQJ1gg6Q0lRLk5BU0RBUUNNOk1URU0uSVFfRUFSTklOR19DTy4xOTkyLjcvMzEvMjAxOC5MRlIuRi5VU0QuSAEAAACZm6kBAwAAAAAAyDCyNwgJ1ggZ6aFvNAnWCDFDSVEuLklRX1RPVEFMX0VRVUlUWS5DWTIwMTYuNy8zMS8yMDE4LkxGUi5GLlVTRC5IBQAAAAEAAAAIAAAAFChJbnZhbGlkIElkZW50aWZpZXIp9YQyRzQJ1gj1hDJHNAnWCDZDSVEuTkFTREFRR1M6Q0FMQS5JUV9FQklUREEuMTk5Mi43LzMxLzIwMTguTEZSLkYuVVNELkgBAAAApSeBBgIAAAAHLTM0LjIyOQEIAAAABQAAAAExAQAAAAoxODQwOTgyNjQ2AwAAAAMxNjACAAAABDQwNTEEAAAAATAHAAAACTcvMzEvMjAxOAgAAAAJMy8zMS8yMDE2CQAAAAEwyDCyNwgJ1gjdS6RvNAnWCB5DSVEuSVEzNjE4MzgyMi5JUV9DT01QQU5ZX05BTUUBAAAADh8oAgMAAAAxVW5pdGVkIFN0YXRlcyBUcmVhc3VyeSBDb25zdGFudCBNYXR1cml0eSAtIDEgWWVhcgAMbRAONQnWCHd5gA41CdYIJ0NJUS5OQVNEQVFHUzpCR05FLklRX0JFVEFfMllSLjcvMzEvMjAxOAEAAADg5N0GAgAAABEwLjg3MDE4NzE3MTEyNTEzOQCcC9U4CAnWCIH9lW80CdYIIkNJUS5JUVRSNTUzNTQ4MDI1</t>
  </si>
  <si>
    <t>LklRX1RSX1RPVEFMX0NBU0gBAAAA+Xj+IAIAAAAKMzgxLjM5MTAyMQEGAAAABQAAAAI1NAEAAAAGMTAxMDU2AgAAAAk1NTM1NDgwMjUDAAAACTU1MzU2NDk3MQQAAAADMTYwBgAAAAVGYWxzZbKzSW80CdYIgf2VbzQJ1gg1Q0lRLk5BU0RBUUNNOkFWRU8uSVFfVE9UQUxfUkVWLi43LzE2LzIwMTguTEZSLkYuVVNELkgBAAAA9BYdAAIAAAAFNi4wNzMBCAAAAAUAAAABMQEAAAAKMTg4NzIzNDI5NQMAAAADMTYwAgAAAAIyOAQAAAABMAcAAAAJNy8xNi8yMDE4CAAAAAkzLzMxLzIwMTgJAAAAATDE/xsRNQnWCMKbYhI1CdYIGkNJUS5PVENQSzpNQlZYLklRX0VYQ0hBTkdFAQAAANhEiwIDAAAABU9UQ1BLAN6nfhA1CdYImBJZEjUJ1gg8Q0lRLk5BU0RBUUdNOkNSVlMuSVFfRUJJVERBX0VTVC5DWTIwMjAuNy8zMS8yMDE4LkNPTi5GLlVTRC5IAQAAAPSwphACAAAABy05My41MzkBDgAAAAUAAAACMTEBAAAAATACAAAACjEwMDMzNzAzNTcDAAAABjEwMDE4NwQAAAABMgYAAAABMAcAAAADMTYwCAAAAAEwCQAAAAExCgAAAAEwCwAAAAsxMDk1NTQ2MTgwNQwAAAABNw0AAAAIOC8xLzIwMTgQAAAACTcvMzEvMjAxONaMETgICdYIGemhbzQJ1gg9Q0lRLk5BU0RBUUdNOkNSVlMuSVFfUkVWRU5VRV9FU1QuQ1kyMDIxLjcvMzEvMjAxOC5DT04uRi5VU0QuSAEAAAD0sKYQAgAAAAY1LjA4ODUBDgAAAAUAAAACMTEBAAAA</t>
  </si>
  <si>
    <t>ATACAAAACjEwMDMzNzAzNTgDAAAABjEwMDE4MAQAAAABMgYAAAABMAcAAAADMTYwCAAAAAEwCQAAAAExCgAAAAEwCwAAAAsxMDk1NTQ2MTc3NQwAAAABNw0AAAAIOC8xLzIwMTgQAAAACTcvMzEvMjAxONaMETgICdYIGemhbzQJ1gg6Q0lRLk5BU0RBUUdNOkFSUlkuSVFfUFJFRl9FUVVJVFkuMjAwMC41LzUvMjAxNy5MRlIuRi5VU0QuSAEAAAD4YQAAAwAAAAAAnAvVOAgJ1ggkwppvNAnWCDxDSVEuTkFTREFRR1M6QVROWC5JUV9UT1RBTF9FUVVJVFkuMTk5Ni43LzMxLzIwMTguTEZSLkYuVVNELkgBAAAA3JlrAQIAAAAGLTMuNjE3AQgAAAAFAAAAATEBAAAACjE4ODg3MDI5NzYDAAAAAzE2MAIAAAAEMTI3NQQAAAABMAcAAAAJNy8zMS8yMDE4CAAAAAkzLzMxLzIwMTcJAAAAATDWjBE4CAnWCCTCmm80CdYILENJUS5JUVRSMzEyMTIyNTA0LklRX1RSX1RPVEFMX0dST1NTX1RWLlVTRC5IBQAAAAAAAAAIAAAAGihJbnZhbGlkIEN1cnJlbmN5IFJlcXVlc3QpDG0QDjUJ1gjA24IONQnWCDtDSVEuTkFTREFRR1M6Sk5DRS5JUV9ORVRfV09SS0lOR19DQVAuLjcvMTYvMjAxOC5MRlIuRi5VU0QuSAEAAADieZ4NAgAAAActNTAuNTI1AQgAAAAFAAAAATEBAAAACjE4ODgxODYzNzQDAAAAAzE2MAIAAAAEMTMxMQQAAAABMAcAAAAJNy8xNi8yMDE4CAAAAAkzLzMxLzIwMTgJAAAAATApHJQQNQnWCJgSWRI1CdYIPUNJ</t>
  </si>
  <si>
    <t>US5OQVNEQVFHUzpDQUxBLklRX1JFVkVOVUVfRVNULkNZMjAyMS43LzMxLzIwMTguQ09OLkYuVVNELkgBAAAApSeBBgIAAAAHMjM1LjYzMQEOAAAABQAAAAIxMQEAAAABMAIAAAAKMTAwMjg5NjQzMwMAAAAGMTAwMTgwBAAAAAEyBgAAAAEwBwAAAAMxNjAIAAAAATAJAAAAATEKAAAAATALAAAACzEwOTEzMjc4NDQ5DAAAAAE3DQAAAAg4LzEvMjAxOBAAAAAJNy8zMS8yMDE4yDCyNwgJ1gjdS6RvNAnWCDlDSVEuWFRSQTpNT1IuSVFfVE9UQUxfRVFVSVRZLkNZMjAxNy43LzMxLzIwMTguTEZSLkYuVVNELkgBAAAA3xECAAIAAAAKNDMwLjY4MDg4MwEIAAAABQAAAAExAQAAAAoxODc4MzIzMTU3AwAAAAMxNjACAAAABDEyNzUEAAAAATAHAAAACTcvMzEvMjAxOAgAAAAKMTIvMzEvMjAxNwkAAAABMJwL1TgICdYI1F+YbzQJ1gg6Q0lRLk5BU0RBUUdTOkNBTEEuSVFfRUFSTklOR19DTy4xOTkyLjcvMzEvMjAxOC5MRlIuRi5VU0QuSAEAAAClJ4EGAgAAAActMzQuMzY4AQgAAAAFAAAAATEBAAAACjE4NDA5ODI2NDYDAAAAAzE2MAIAAAABNwQAAAABMAcAAAAJNy8zMS8yMDE4CAAAAAkzLzMxLzIwMTYJAAAAATDIMLI3CAnWCN1LpG80CdYIKUNJUS5JUVRSNTMzMzg1NzQ0LklRX0JVU0lORVNTX0RFU0NSSVBUSU9OAQAAAMx26BUDAAAAjwRJRk0gVGhlcmFwZXV0aWNzLCBJbmMuLCBhIGJpb3BoYXJtYWNldXRpY2Fs</t>
  </si>
  <si>
    <t>IGNvbXBhbnksIGRldmVsb3BzIGEgcG9ydGZvbGlvIG9mIHNtYWxsIG1vbGVjdWxlcyB0YXJnZXRpbmcgdGhlIGlubmF0ZSBpbW11bmUgc3lzdGVtIGZvciB0aGUgdHJlYXRtZW50IG9mIGNhbmNlciBhbmQgaW5mbGFtbWF0b3J5IGRpc29yZGVycy4gSXQgZm9jdXNlcyBvbiB0cmFuc2Zvcm1hdGl2ZSB0aGVyYXBpZXMgdG8gaW1wcm92ZSB0aGUgbGl2ZXMgb2YgcGF0aWVudHMgd2l0aCBzZXJpb3VzIGFuZCBsaWZlIHRocmVhdGVuaW5nIGRpc2Vhc2VzLiBUaGUgY29tcGFueSB3YXMgaW5jb3Jwb3JhdGVkIGluIDIwMTUgYW5kIGlzIGhlYWRxdWFydGVyZWQgaW4gQ2FtYnJpZGdlLCBNYXNzYWNodXNldHRzIHdpdGggYSBzdWJzaWRpYXJ5IGluIEJvbm4sIEdlcm1hbnkuIEFzIG9mIFNlcHRlbWJlciA3LCAyMDE3LCBJRk0gVGhlcmFwZXV0aWNzLCBJbmMuIG9wZXJhdGVzIGFzIGEgc3Vic2lkaWFyeSBvZiBCcmlzdG9sLU15ZXJzIFNxdWliYiBDb21wYW55LgAMbRAONQnWCMDbgg41CdYIQkNJUS5OQVNEQVFDTTpBVkVPLklRX1RPVEFMX1JFVl81WVJfQU5OX0NBR1IuLjcvMTYvMjAxOC5MRlIuRi5VU0QuSAEAAAD0Fh0AAgAAAAgtMjAuMTg0OQEIAAAABQAAAAExAQAAAAoxODg3MjM0Mjk1AwAAAAMxNjACAAAABDQyMzMEAAAAATAHAAAACTcvMTYvMjAxOAgAAAAJMy8zMS8yMDE4CQAAAAEwxP8bETUJ1ghz</t>
  </si>
  <si>
    <t>OWASNQnWCCxDSVEuLklRX1RPVEFMX0RFQlQuMjAwMC41LzUvMjAxNy5MRlIuRi5VU0QuSAUAAAABAAAACAAAABQoSW52YWxpZCBJZGVudGlmaWVyKfWEMkc0CdYI9YQyRzQJ1gg1Q0lRLk5BU0RBUUdTOk5LLklRX1BFUklPRERBVEVfSVMuMjAwMC43LzMxLzIwMTguTEZSLkYBAAAADX2hDwUAAAAJMy8zMS8yMDE4ANaMETgICdYIw4afbzQJ1ggpQ0lRLklRVFI1NjE2MDYzNjUuSVFfVFJfSU1QTElFRF9FUV9OSV9MVE0BAAAA3W55IQIAAAAAALKzSW80CdYINZuTbzQJ1gglQ0lRLk5BU0RBUUdTOk5LLklRX0JFVEFfNVlSLjcvMzEvMjAxOAEAAAANfaEPAgAAABAyLjg3NDA3NTM3MzMyMzcxANaMETgICdYIGemhbzQJ1ggvQ0lRLklRVFIzNzE3MTUxMTkuSVFfVFJfSU1QTElFRF9FVl9GSU5BTC4uVVNELkgBAAAAL+wnFgIAAAADNTIwAQYAAAAFAAAAAjU0AQAAAAYxMDIwNDUCAAAACTM3MTcxNTExOQMAAAAJMzcxNzI0MTQ2BAAAAAMxNjAGAAAABUZhbHNlWM8SDjUJ1gjA24IONQnWCDNDSVEuTkFTREFRR1M6Q0FMQS5JUV9QRVJJT0REQVRFX0lTLi43LzE2LzIwMTguTEZSLkYBAAAApSeBBgUAAAAJMy8zMS8yMDE4ACkclBA1CdYI5HRbEjUJ1ggkQ0lRLk5BU0RBUUdNOkZBVEUuSVFfRUZGRUNUX1RBWF9SQVRFAQAAAGgxVwIDAAAAAADWjBE4CAnWCMu2tYs0CdYIJUNJUS5JUVRSNDA3NzYwNjkyLklRX1BS</t>
  </si>
  <si>
    <t>SU1BUllfSU5EVVNUUlkBAAAAt+4qAAMAAAANQmlvdGVjaG5vbG9neQAMbRAONQnWCAw+hQ41CdYIKENJUS5OQVNEQVFHUzpQQllJLklRX1RFVi43LzE2LzIwMTguVVNELkgBAAAAAmqsBwIAAAALMTk1Ny4wMDQxNTgBBgAAAAUAAAABMQEAAAAKMTg4ODY2NzExNQMAAAADMTYwAgAAAAYxMDAwNjAEAAAAATAHAAAACTcvMTYvMjAxOEadGRE1CdYIEv5kEjUJ1ghDQ0lRLihJTlZBTElEIElERU5USUZJRVIpLklRX0dST1NTX01BUkdJTi4yMDAwLjcvMzEvMjAxOC5MRlIuRi5VU0QuSAUAAAAAAAAACAAAABQoSW52YWxpZCBJZGVudGlmaWVyKcgwsjcICdYI7TawbzQJ1gg/Q0lRLk5BU0RBUUdNOklNTVUuSVFfTkVUX1dPUktJTkdfQ0FQLjE5OTYuNy8zMS8yMDE4LkxGUi5GLlVTRC5IAQAAACBDBAACAAAACi04Mi40Njc4NTgBCAAAAAUAAAABMQEAAAAKMTg4ODUyMzM5MgMAAAADMTYwAgAAAAQxMzExBAAAAAEwBwAAAAk3LzMxLzIwMTgIAAAACTMvMzEvMjAxNwkAAAABMJwL1TgICdYI1F+YbzQJ1ghDQ0lRLk5BU0RBUUdTOlBCWUkuSVFfTUlOT1JJVFlfSU5URVJFU1RfVE9UQUwuLjkvMTUvMjAxNy5MRlIuRi5VU0QuSAEAAAACaqwHAwAAAAAAxP8bETUJ1ggS/mQSNQnWCBRDSVEuLklRX1RSX0JVWUVSTkFNRQUAAAAAAAAACAAAABQoSW52YWxpZCBJZGVudGlmaWVyKZwL1TgICdYId3mADjUJ1ggdQ0lRLk5B</t>
  </si>
  <si>
    <t>U0RBUUdNOklNTVUuSVFfRVhDSEFOR0UBAAAAIEMEAAMAAAAITmFzZGFxR00AnAvVOAgJ1gioAooONQnWCD1DSVEuTkFTREFRQ006WklPUC5JUV9SRVZFTlVFX0VTVC5DWTIwMjAuNy8zMS8yMDE4LkNPTi5GLlVTRC5IAQAAALNRsgACAAAABTkuMzQ2AQ4AAAAFAAAAAjExAQAAAAEwAgAAAAoxMDAwODk4MDc2AwAAAAYxMDAxODAEAAAAATIGAAAAATAHAAAAAzE2MAgAAAABMAkAAAABMQoAAAABMAsAAAALMTA5MzE1MzM1ODEMAAAAATcNAAAACDgvMS8yMDE4EAAAAAk3LzMxLzIwMTjWjBE4CAnWCMOGn280CdYIIENJUS5JUTM2MTgzODQwLklRX0xBU1RTQUxFUFJJQ0UuAQAAACAfKAICAAAABDIuOTEAnAvVOAgJ1gh3eYAONQnWCENDSVEuTkFTREFRR1M6U0dFTi5JUV9NSU5PUklUWV9JTlRFUkVTVF9UT1RBTC4uOS8xNS8yMDE3LkxGUi5GLlVTRC5IAQAAAGGFAAADAAAAAADE/xsRNQnWCGhgZxI1CdYIOENJUS5OQVNEQVFHTTpDUlZTLklRX0VCSVREQS5DWTIwMTcuNy8zMS8yMDE4LkxGUi5GLlVTRC5IAQAAAPSwphACAAAABy01NS42ODIBCAAAAAUAAAABMQEAAAAKMTg3NzIyMDgwNQMAAAADMTYwAgAAAAQ0MDUxBAAAAAEwBwAAAAk3LzMxLzIwMTgIAAAACjEyLzMxLzIwMTcJAAAAATDWjBE4CAnWCBnpoW80CdYIPENJUS5OQVNEQVFHTTpGQVRFLklRX0VBUk5JTkdfQ08uQ1kyMDE2LjcvMzEvMjAxOC5M</t>
  </si>
  <si>
    <t>RlIuRi5VU0QuSAEAAABoMVcCAgAAAActMzMuNDYyAQgAAAAFAAAAATEBAAAACjE4NzcwNjkwNjcDAAAAAzE2MAIAAAABNwQAAAABMAcAAAAJNy8zMS8yMDE4CAAAAAoxMi8zMS8yMDE2CQAAAAEw1owROAgJ1gjDhp9vNAnWCCdDSVEuTkFTREFRR1M6RVBaTS5JUV9CRVRBXzVZUi43LzMxLzIwMTgBAAAAAyY9AwIAAAAQMi4wMDI1NDQ0NTYzODE1OQDWjBE4CAnWCHMknW80CdYIN0NJUS5OQVNEQVFDTTpDS1BULklRX0VCSVRfTUFSR0lOLi43LzE2LzIwMTguTEZSLkYuVVNELkgBAAAAuFEWEQMAAAACTk0BCAAAAAUAAAABMQEAAAAKMTg4ODAwNzIyMwMAAAADMTYwAgAAAAQ0MDUzBAAAAAEwBwAAAAk3LzE2LzIwMTgIAAAACTMvMzEvMjAxOAkAAAABMCkclBA1CdYI5HRbEjUJ1ggpQ0lRLklRVFI0MTE4NzEwODIuSVFfQlVTSU5FU1NfREVTQ1JJUFRJT04BAAAAVKOvAwMAAAD9BUFjZXR5bG9uIFBoYXJtYWNldXRpY2FscywgSW5jLiBlbmdhZ2VzIGluIHRoZSBkZXZlbG9wbWVudCBvZiBzbWFsbCBtb2xlY3VsZSBkcnVncyB0YXJnZXRpbmcgZXBpZ2VuZXRpYyBtZWNoYW5pc21zIGZvciB0aGUgZW5oYW5jZW1lbnQgb2YgdGhlcmFwZXV0aWMgb3V0Y29tZXMgaW4gY2FuY2VyIGFuZCBvdGhlciBjcml0aWNhbCBodW1hbiBkaXNlYXNlcy4gVGhlIGNvbXBhbnnigJlzIGVwaWdlbmV0aWMgZHJ1ZyBkaXNjb3Zl</t>
  </si>
  <si>
    <t>cnkgcGxhdGZvcm0gaGFzIHlpZWxkZWQgYSBwcm9wcmlldGFyeSBwb3J0Zm9saW8gb2Ygb3B0aW1pemVkIENsYXNzIEkgYW5kIENsYXNzIElJIGhpc3RvbmUgZGVhY2V0eWxhc2Ugc2VsZWN0aXZlIGNvbXBvdW5kcyBmb3Igb3JhbCBhZG1pbmlzdHJhdGlvbi4gSXQgb2ZmZXJzIEFDWS0xMjE1IGFuZCBBQ1ktMjQxIGxlYWQgZHJ1ZyBjYW5kaWRhdGVzIHRoYXQgYXJlIHNlbGVjdGl2ZSBIREFDNiBpbmhpYml0b3JzIGN1cnJlbnRseSBpbiBQaGFzZSAyIGFuZCBQaGFzZSAxYiBjbGluaWNhbCBkZXZlbG9wbWVudCBmb3IgdGhlIHRyZWF0bWVudCBvZiBtdWx0aXBsZSBteWVsb21hLiBBY2V0eWxvbiBQaGFybWFjZXV0aWNhbHMsIEluYy4gd2FzIGZvdW5kZWQgaW4gMjAwOCBhbmQgaXMgYmFzZWQgaW4gQm9zdG9uLCBNYXNzYWNodXNldHRzLiBBcyBvZiBEZWNlbWJlciAxNiwgMjAxNiwgQWNldHlsb24gUGhhcm1hY2V1dGljYWxzLCBJbmMuIG9wZXJhdGVzIGFzIGEgc3Vic2lkaWFyeSBvZiBDZWxnZW5lIENvcnBvcmF0aW9uLgCys0lvNAnWCDWbk280CdYILENJUS5JUVRSMzA3ODYzOTg0LklRX1RSX1RPVEFMX0dST1NTX1RWLlVTRC5IBQAAAAAAAAAIAAAAGihJbnZhbGlkIEN1cnJlbmN5IFJlcXVlc3QpDG0QDjUJ1gjA24IONQnWCD9DSVEuTkFTREFRQ006WklPUC5JUV9ORVRfV09SS0lOR19DQVAuMjAw</t>
  </si>
  <si>
    <t>MC43LzMxLzIwMTguTEZSLkYuVVNELkgBAAAAs1GyAAIAAAAGMTAuOTQ1AQgAAAAFAAAAATEBAAAACjE4ODc5NzIzNTkDAAAAAzE2MAIAAAAEMTMxMQQAAAABMAcAAAAJNy8zMS8yMDE4CAAAAAkzLzMxLzIwMTgJAAAAATDWjBE4CAnWCMOGn280CdYIN0NJUS5OQVNEQVFHUzpOSy5JUV9UT1RBTF9SRVYuMTk5Ni43LzMxLzIwMTguTEZSLkYuVVNELkgBAAAADX2hDwIAAAAFMC4wNDkBCAAAAAUAAAABMQEAAAAKMTg4NzExODc2NwMAAAADMTYwAgAAAAIyOAQAAAABMAcAAAAJNy8zMS8yMDE4CAAAAAkzLzMxLzIwMTcJAAAAATDWjBE4CAnWCMOGn280CdYIOUNJUS5PVENQSzpOV0JPLklRX0VCSVREQV9FU1QuQ1kyMDIwLjcvMTYvMjAxOC5DT04uRi5VU0QuSAEAAACjehQAAwAAAAAAKRyUEDUJ1ghzOWASNQnWCCtDSVEuTkFTREFRR006Q1JWUy5JUV9MQVNUU0FMRVBSSUNFLjUvNS8yMDE3AQAAAPSwphACAAAABDkuOTkA1owROAgJ1ggZ6aFvNAnWCBBDSVEuLklRX0VYQ0hBTkdFBQAAAAAAAAAIAAAAFChJbnZhbGlkIElkZW50aWZpZXIp9YQyRzQJ1gjm5Qv3NAnWCDZDSVEuTkFTREFRR1M6QU5BQi5JUV9UT1RBTF9ERUJULi43LzE2LzIwMTguTEZSLkYuVVNELkgBAAAAIUyyAQIAAAAGMTMuMzM0AQgAAAAFAAAAATEBAAAACjE4ODc0MDAwNDMDAAAAAzE2MAIAAAAENDE3MwQAAAABMAcAAAAJNy8xNi8yMDE4</t>
  </si>
  <si>
    <t>CAAAAAkzLzMxLzIwMTgJAAAAATDE/xsRNQnWCBL+ZBI1CdYIOkNJUS5OQVNEQVFDTTpBVkVPLklRX0NBU0hfU1RfSU5WRVNULi45LzE1LzIwMTcuTEZSLkYuVVNELkgBAAAA9BYdAAIAAAAGNDAuMTI3AQgAAAAFAAAAATEBAAAACjE4NTI1NzM3MTADAAAAAzE2MAIAAAAEMTAwMgQAAAABMAcAAAAJOS8xNS8yMDE3CAAAAAk2LzMwLzIwMTcJAAAAATDE/xsRNQnWCHM5YBI1CdYIRkNJUS5OQVNEQVFHUzpCR05FLklRX1RPVEFMX1JFVl8yWVJfQU5OX0NBR1IuMjAwMC43LzMxLzIwMTguTEZSLkYuVVNELkgBAAAA4OTdBgIAAAAINDc3Ljg0NTYBCAAAAAUAAAABMQEAAAAKMTg4NzY4ODU4OAMAAAADMTYwAgAAAAQ0MjA3BAAAAAEwBwAAAAk3LzMxLzIwMTgIAAAACTMvMzEvMjAxOAkAAAABMJwL1TgICdYI1F+YbzQJ1gglQ0lRLk5BU0RBUUNNOlNSTkUuSVFfRklSU1RQUklDSU5HREFURQEAAABJQ5QDBQAAAAk5LzIyLzIwMDkA1owROAgJ1ghzJJ1vNAnWCDxDSVEuTkFTREFRR1M6RVBaTS5JUV9FQklUREFfRVNULkNZMjAxOS43LzMxLzIwMTguQ09OLkYuVVNELkgBAAAAAyY9AwMAAAAAANaMETgICdYIcySdbzQJ1gg1Q0lRLk9UQ1BLOk1CVlguSVFfR1JPU1NfTUFSR0lOLi43LzE2LzIwMTguTEZSLkYuVVNELkgBAAAA2ESLAgMAAAAAAN6nfhA1CdYImBJZEjUJ1ggwQ0lRLi5JUV9SRVZFTlVFX0VTVC5DWTIw</t>
  </si>
  <si>
    <t>MjEuNy8zMS8yMDE4LkNPTi5GLlVTRC5IBQAAAAEAAAAIAAAAFChJbnZhbGlkIElkZW50aWZpZXIpliQwRzQJ1giWJDBHNAnWCDdDSVEuRU5YVFBBOklQSC5JUV9DQVNIX1NUX0lOVkVTVC4uNy8xNi8yMDE4LkxGUi5GLlVTRC5IAQAAAJmABgACAAAACTEzOS40MjEyMwEIAAAABQAAAAExAQAAAAoxODg5NTUyMTY0AwAAAAMxNjACAAAABDEwMDIEAAAAATAHAAAACTcvMTYvMjAxOAgAAAAKMTIvMzEvMjAxNwkAAAABMCkclBA1CdYIczlgEjUJ1gg8Q0lRLk5BU0RBUUdTOk1SU04uSVFfRUFSTklOR19DTy5DWTIwMTYuNy8xNi8yMDE4LkxGUi5GLlVTRC5IAQAAAObFGAACAAAABS0xMy43AQgAAAAFAAAAATEBAAAACjE4ODA1NDczODMDAAAAAzE2MAIAAAABNwQAAAABMAcAAAAJNy8xNi8yMDE4CAAAAAoxMi8zMS8yMDE2CQAAAAEwKRyUEDUJ1ghzOWASNQnWCCtDSVEuLklRX0VCSVREQS5DWTIwMTcuNy8zMS8yMDE4LkxGUi5GLlVTRC5IBQAAAAEAAAAIAAAAFChJbnZhbGlkIElkZW50aWZpZXIp9YQyRzQJ1gj1hDJHNAnWCDFDSVEuSVFUUjQwNzc2MDY5Mi5JUV9UUl9UQVJHRVRfUkVWRU5VRV9FU1QuLlVTRC5IAQAAADTvTRgCAAAAAABYzxIONQnWCAw+hQ41CdYIOUNJUS5OQVNEQVFDTTpaSU9QLklRX1RPVEFMX1JFVi4xOTkyLjcvMzEvMjAxOC5MRlIuRi5VU0QuSAEAAACzUbIAAgAAAAU2LjAyOQEIAAAA</t>
  </si>
  <si>
    <t>BQAAAAExAQAAAAoxODM5MzQxMDY3AwAAAAMxNjACAAAAAjI4BAAAAAEwBwAAAAk3LzMxLzIwMTgIAAAACTMvMzEvMjAxNgkAAAABMNaMETgICdYIw4afbzQJ1ggnQ0lRLk5BU0RBUUNNOkNLUFQuSVFfQkVUQV8xWVIuNy8xNi8yMDE4AQAAALhRFhECAAAAEjAuMDkyNDgwOTYzNzE2OTA4OQApHJQQNQnWCOR0WxI1CdYIN0NJUS5OQVNEQVFHTTpYTkNSLklRX0VCSVRfTUFSR0lOLi43LzE2LzIwMTguTEZSLkYuVVNELkgBAAAAploLAAIAAAAJLTIwOS40MTkxAQgAAAAFAAAAATEBAAAACjE4ODcxMjU4NTUDAAAAAzE2MAIAAAAENDA1MwQAAAABMAcAAAAJNy8xNi8yMDE4CAAAAAkzLzMxLzIwMTgJAAAAATDE/xsRNQnWCBL+ZBI1CdYIPENJUS5OQVNEQVFDTTpNVEVNLklRX1RPVEFMX0VRVUlUWS4xOTkyLjcvMzEvMjAxOC5MRlIuRi5VU0QuSAEAAACZm6kBAwAAAAAAyDCyNwgJ1ggZ6aFvNAnWCDpDSVEuT1RDUEs6TldCTy5JUV9SRVZFTlVFX0VTVC5DWTIwMTkuNy8xNi8yMDE4LkNPTi5GLlVTRC5IAQAAAKN6FAADAAAAAAApHJQQNQnWCHM5YBI1CdYILkNJUS5OQVNEQVFHTTpDUlZTLklRX01BUktFVENBUC43LzMxLzIwMTguVVNELkgBAAAA9LCmEAIAAAAKMjg4LjE0MDgzMgEGAAAABQAAAAExAQAAAAoxODg2MzY3Mjg0AwAAAAMxNjACAAAABjEwMDA1NAQAAAABMAcAAAAJNy8zMS8yMDE41owROAgJ1ggZ</t>
  </si>
  <si>
    <t>6aFvNAnWCCRDSVEuTkFTREFRR1M6TUdOWC5JUV9FRkZFQ1RfVEFYX1JBVEUBAAAATysJAAMAAAAAAMT/GxE1CdYIwptiEjUJ1gg8Q0lRLk5BU0RBUUdTOkpOQ0UuSVFfRUFSTklOR19DTy5DWTIwMTYuNy8xNi8yMDE4LkxGUi5GLlVTRC5IAQAAAOJ5ng0CAAAABy0xMy43MDMBCAAAAAUAAAABMQEAAAAKMTg3NzcxNjQ5MgMAAAADMTYwAgAAAAE3BAAAAAEwBwAAAAk3LzE2LzIwMTgIAAAACjEyLzMxLzIwMTYJAAAAATDep34QNQnWCJgSWRI1CdYILkNJUS5PVENQSzpNQlZYLklRX0RBX0NGLi43LzE2LzIwMTguTEZSLkYuVVNELkgBAAAA2ESLAgIAAAAIMC4xNTk4NDIBCAAAAAUAAAABMQEAAAAKMTg4MTIxMzI0NQMAAAADMTYwAgAAAAQyMTYwBAAAAAEwBwAAAAk3LzE2LzIwMTgIAAAACjEyLzMxLzIwMTcJAAAAATDep34QNQnWCGhgZxI1CdYIMkNJUS5YVFJBOk1PUi5JUV9QRVJJT0REQVRFX0lTLjIwMDAuNy8zMS8yMDE4LkxGUi5GAQAAAN8RAgAFAAAACTMvMzEvMjAxOACcC9U4CAnWCNRfmG80CdYIOkNJUS5OQVNEQVFHUzpBVE5YLklRX0VBUk5JTkdfQ08uMjAwMC43LzMxLzIwMTguTEZSLkYuVVNELkgBAAAA3JlrAQIAAAAGLTk3LjcxAQgAAAAFAAAAATEBAAAACjE4ODg3MDI5ODIDAAAAAzE2MAIAAAABNwQAAAABMAcAAAAJNy8zMS8yMDE4CAAAAAkzLzMxLzIwMTgJAAAAATDWjBE4CAnWCCTCmm80</t>
  </si>
  <si>
    <t>CdYIPENJUS5OQVNEQVFDTTpNVEVNLklRX1RPVEFMX0VRVUlUWS4xOTk2LjcvMzEvMjAxOC5MRlIuRi5VU0QuSAEAAACZm6kBAgAAAAotMTUuMDUwOTE4AQgAAAAFAAAAATEBAAAACjE4ODg3MzMwMDIDAAAAAzE2MAIAAAAEMTI3NQQAAAABMAcAAAAJNy8zMS8yMDE4CAAAAAkzLzMxLzIwMTcJAAAAATDIMLI3CAnWCBnpoW80CdYII0NJUS5JUVRSNDIyODg3NzAxLklRX1RSX1RPVEFMX1NUT0NLAQAAABXBNBkCAAAACDEuMDI0OTEzAQYAAAAFAAAAAjU0AQAAAAYxMDEwNTcCAAAACTQyMjg4NzcwMQMAAAAJNDMwNDA2MzQzBAAAAAMxNjAGAAAABUZhbHNlDG0QDjUJ1gjA24IONQnWCD5DSVEuTkFTREFRR1M6R1RIWC5JUV9DQVNIX1NUX0lOVkVTVC4yMDAwLjcvMzEvMjAxOC5MRlIuRi5VU0QuSAEAAABlNGkIAgAAAAcxOTQuMzg3AQgAAAAFAAAAATEBAAAACjE4ODYzNjc2NjcDAAAAAzE2MAIAAAAEMTAwMgQAAAABMAcAAAAJNy8zMS8yMDE4CAAAAAkzLzMxLzIwMTgJAAAAATCcC9U4CAnWCCTCmm80CdYIOUNJUS5OQVNEQVFHUzpOSy5JUV9UT1RBTF9SRVYuQ1kyMDE2LjcvMzEvMjAxOC5MRlIuRi5VU0QuSAEAAAANfaEPAgAAAAUwLjA0NAEIAAAABQAAAAExAQAAAAoxODc4MDEyNTc4AwAAAAMxNjACAAAAAjI4BAAAAAEwBwAAAAk3LzMxLzIwMTgIAAAACjEyLzMxLzIwMTYJAAAAATDWjBE4CAnWCMOGn280</t>
  </si>
  <si>
    <t>CdYIMENJUS5OQVNEQVFHUzpBRFhTLklRX0xBU1RTQUxFUFJJQ0UuNy8xNi8yMDE4LlVTRAEAAACe7HgAAgAAAAQxLjQ0ACkclBA1CdYI5HRbEjUJ1gg2Q0lRLk5BU0RBUUdNOkFGTUQuSVFfVE9UQUxfREVCVC4uOS8xNS8yMDE3LkxGUi5GLlVTRC5IAQAAANv3DAACAAAABjguMDI1MQEIAAAABQAAAAExAQAAAAoxODUxMTcwNDYyAwAAAAMxNjACAAAABDQxNzMEAAAAATAHAAAACTkvMTUvMjAxNwgAAAAJNi8zMC8yMDE3CQAAAAEwKRyUEDUJ1ggw110SNQnWCDVDSVEuRU5YVFBBOklQSC5JUV9UT1RBTF9FUVVJVFkuLjcvMTYvMjAxOC5MRlIuRi5VU0QuSAEAAACZgAYAAgAAAAoxMDMuMjEzMjU2AQgAAAAFAAAAATEBAAAACjE4ODk1NTIxNjQDAAAAAzE2MAIAAAAEMTI3NQQAAAABMAcAAAAJNy8xNi8yMDE4CAAAAAoxMi8zMS8yMDE3CQAAAAEwKRyUEDUJ1ghzOWASNQnWCB9DSVEuSVE5MjA2Njc3LklRX0NPTVBBTllfVElDS0VSAQAAAJV7jAADAAAADU5hc2RhcUdNOk5MTksADG0QDjUJ1gjMspoONQnWCChDSVEuTkFTREFRR006Q1JWUy5JUV9URVYuNy8zMS8yMDE4LlVTRC5IAQAAAPSwphACAAAACjE0NC4yMDc4MzIBBgAAAAUAAAABMQEAAAAKMTg4NjM2NzI4NAMAAAADMTYwAgAAAAYxMDAwNjAEAAAAATAHAAAACTcvMzEvMjAxONaMETgICdYIGemhbzQJ1ggrQ0lRLklRVFI1NTM1NDgwMjUuSVFfVFJf</t>
  </si>
  <si>
    <t>VE9UQUxfR1JPU1NfVFYuLlVTRAEAAAD5eP4gAgAAAAozOTMuNTE0NDg2AQYAAAAFAAAAAjU0AQAAAAYxMDIwODgCAAAACTU1MzU0ODAyNQMAAAAJNTUzNTY0OTcxBAAAAAMxNjAGAAAABUZhbHNlsrNJbzQJ1giB/ZVvNAnWCCpDSVEuT1RDUEs6TUJWWC5JUV9ESVZJREVORF9ZSUVMRC43LzE2LzIwMTgBAAAA2ESLAgMAAAAAAN6nfhA1CdYImBJZEjUJ1gg1Q0lRLk5BU0RBUUdTOlNHRU4uSVFfVE9UQUxfRVFVSVRZLkNZMjAxNi4uTEZSLkYuVVNELkgBAAAAYYUAAAIAAAAHNjM0LjA4NwEIAAAABQAAAAExAQAAAAoxODc0Njk2MTk2AwAAAAMxNjACAAAABDEyNzUEAAAAATAHAAAACTgvMjMvMjAxOAgAAAAKMTIvMzEvMjAxNgkAAAABMMT/GxE1CdYIxP8bETUJ1gglQ0lRLk5BU0RBUUdTOkJHTkUuSVFfRklSU1RQUklDSU5HREFURQEAAADg5N0GBQAAAAgyLzMvMjAxNgCcC9U4CAnWCKgCig41CdYIOkNJUS5OQVNEQVFHUzpOSy5JUV9HUk9TU19NQVJHSU4uMjAwMC43LzMxLzIwMTguTEZSLkYuVVNELkgBAAAADX2hDwIAAAADMTAwAQgAAAAFAAAAATEBAAAACjE4ODcxMTg3OTEDAAAAAzE2MAIAAAAENDA3NAQAAAABMAcAAAAJNy8zMS8yMDE4CAAAAAkzLzMxLzIwMTgJAAAAATDWjBE4CAnWCMOGn280CdYILkNJUS5PVENQSzpNQlZYLklRX0NBUEVYLi43LzE2LzIwMTguTEZSLkYuVVNELkgBAAAA2ESLAgIA</t>
  </si>
  <si>
    <t>AAAJLTAuMDIxMDcyAQgAAAAFAAAAATEBAAAACjE4ODEyMTMyNDUDAAAAAzE2MAIAAAAEMjAyMQQAAAABMAcAAAAJNy8xNi8yMDE4CAAAAAoxMi8zMS8yMDE3CQAAAAEw3qd+EDUJ1giYElkSNQnWCDdDSVEuTkFTREFRR1M6Q1RNWC5JUV9FQklUX01BUkdJTi4uNy8xNi8yMDE4LkxGUi5GLlVTRC5IAQAAANw4mwMCAAAACC03MS44NDM3AQgAAAAFAAAAATEBAAAACjE4ODc2NzUzMTYDAAAAAzE2MAIAAAAENDA1MwQAAAABMAcAAAAJNy8xNi8yMDE4CAAAAAkzLzMxLzIwMTgJAAAAATDE/xsRNQnWCMKbYhI1CdYIOENJUS5OQVNEQVFHTTpBUlJZLklRX0VCSVREQS5DWTIwMTYuNy8zMS8yMDE4LkxGUi5GLlVTRC5IAQAAAPhhAAACAAAABi04NC40OAEIAAAABQAAAAExAQAAAAoxODczMjAzNzk1AwAAAAMxNjACAAAABDQwNTEEAAAAATAHAAAACTcvMzEvMjAxOAgAAAAKMTIvMzEvMjAxNgkAAAABMJwL1TgICdYI1F+YbzQJ1ghKQ0lRLihJTlZBTElEIElERU5USUZJRVIpLklRX01JTk9SSVRZX0lOVEVSRVNUX1RPVEFMLi43LzE2LzIwMTguTEZSLkYuVVNELkgFAAAAAAAAAAgAAAAUKEludmFsaWQgSWRlbnRpZmllcinep34QNQnWCJgSWRI1CdYINkNJUS5BU1g6SU1VLklRX0VCSVREQV9FU1QuQ1kyMDIwLjcvMTYvMjAxOC5DT04uRi5VU0QuSAEAAACYk6kAAwAAAAAAKRyUEDUJ1ggw110SNQnWCDlDSVEuTkFT</t>
  </si>
  <si>
    <t>REFRQ006U1JORS5JUV9UT1RBTF9SRVYuMTk5Mi43LzMxLzIwMTguTEZSLkYuVVNELkgBAAAASUOUAwIAAAAFNC42MDEBCAAAAAUAAAABMQEAAAAKMTg0MjI1MTEyMwMAAAADMTYwAgAAAAIyOAQAAAABMAcAAAAJNy8zMS8yMDE4CAAAAAkzLzMxLzIwMTYJAAAAATDWjBE4CAnWCHMknW80CdYIL0NJUS5JUVRSMjYzNzE4NjQ3LklRX1RSX1RBUkdFVF9UT1RBTF9SRVYuLlVTRC5IAQAAAPcGuA8CAAAAAACys0lvNAnWCIH9lW80CdYIPENJUS5OQVNEQVFHUzpUU1JPLklRX0VBUk5JTkdfQ08uQ1kyMDE3LjcvMzEvMjAxOC5MRlIuRi5VU0QuSAEAAABo1lgGAgAAAAgtNDk2LjEyNgEIAAAABQAAAAExAQAAAAoxODc3MjI2MzAxAwAAAAMxNjACAAAAATcEAAAAATAHAAAACTcvMzEvMjAxOAgAAAAKMTIvMzEvMjAxNwkAAAABMJwL1TgICdYIJMKabzQJ1ggjQ0lRLk5BU0RBUUdNOklNTVUuSVFfUEVSSU9EREFURV9JUy4BAAAAIEMEAAUAAAAJMy8zMS8yMDE4AMT/GxE1CdYIaGBnEjUJ1gg8Q0lRLk5BU0RBUUdTOkFUTlguSVFfRUJJVERBX0VTVC5DWTIwMTguNy8zMS8yMDE4LkNPTi5GLlVTRC5IAQAAANyZawECAAAACS05My41ODEzMgEOAAAABQAAAAIxMQEAAAABMAIAAAAKMTAwMzc3ODM2NAMAAAAGMTAwMTg3BAAAAAEyBgAAAAEwBwAAAAMxNjAIAAAAATAJAAAAATEKAAAAATALAAAACzExMDQxNzMzNDcyDAAA</t>
  </si>
  <si>
    <t>AAE3DQAAAAg4LzEvMjAxOBAAAAAJNy8zMS8yMDE41owROAgJ1ggkwppvNAnWCERDSVEuKElOVkFMSUQgSURFTlRJRklFUikuSVFfUkVWRU5VRV9FU1QuQ1kyMDE5LjcvMzEvMjAxOC5DT04uRi5VU0QuSAUAAAAAAAAACAAAABQoSW52YWxpZCBJZGVudGlmaWVyKcgwsjcICdYI7TawbzQJ1ggpQ0lRLk5BU0RBUUdNOkFGTUQuSVFfQlVTSU5FU1NfREVTQ1JJUFRJT04BAAAA2/cMAAMAAACCDUFmZmltZWQgTi5WLiwgYSBjbGluaWNhbC1zdGFnZSBiaW9waGFybWFjZXV0aWNhbCBjb21wYW55LCBmb2N1c2VzIG9uIGRpc2NvdmVyaW5nIGFuZCBkZXZlbG9waW5nIGNhbmNlciBpbW11bm90aGVyYXBpZXMgaW4gdGhlIFVuaXRlZCBTdGF0ZXMsIEV1cm9wZSwgYW5kIEdlcm1hbnkuIEl0cyBsZWFkIGNhbmRpZGF0ZSBpcyBBRk0xMywgYSBuYXR1cmFsIGtpbGxlciBjZWxsIChOSy1jZWxsKSBUYW5kQWIsIHdoaWNoIGlzIGluIFBoYXNlIDJhIGNsaW5pY2FsIHN0dWR5IG9mIHJlbGFwc2VkIENEMzAtcG9zaXRpdmUgbHltcGhvbWEgYW5kIFBoYXNlIDFiIGNsaW5pY2FsIHN0dWR5IG9mIGFudGktUEQtMSBhbnRpYm9keSBLZXl0cnVkYSAocGVtYnJvbGl6dW1hYikgaW4gcGF0aWVudHMgd2l0aCByZWxhcHNlZCBIb2Rna2luIGx5bXBob21hLiBUaGUgY29tcGFueeKAmXMgcHJvZHVjdHMgaW5jbHVkZSBBRk0yNCwg</t>
  </si>
  <si>
    <t>YSBOSy1jZWxsIGJpc3BlY2lmaWMgYW50aWJvZHkgdGFyZ2V0cyBFR0ZSLXdpbGQgdHlwZSByZXByZXNlbnRzIGEgdmFsaWRhdGVkIGFudGlnZW4gZXhwcmVzc2VkIGJ5IHZhcmlvdXMgc29saWQgdHVtb3JzOyBBRk0yNiwgd2hpY2ggYmluZHMgdG8gQiBjZWxsIG1hdHVyYXRpb24gYW50aWdlbiAoQkNNQSkgZm9yIHRoZSB0cmVhdG1lbnQgb2YgbXVsdGlwbGUgbXllbG9tYTsgYW5kIFRyaXNwZWNpZmljIEFicyBmb3IgdGhlIHRyZWF0bWVudCBvZiBtdWx0aXBsZSBteWVsb21hLiBJdHMgcHJvZHVjdHMgYWxzbyBjb21wcmlzZSBBRk0xMSwgYSBUIGNlbGwgVGFuZEFiLCB3aGljaCBpcyBpbiBQaGFzZSAxIGNsaW5pY2FsIHRyaWFsIGluIHBhdGllbnRzIHdpdGggcmVsYXBzZWQgQ0QxOSsgQiBjZWxsIG1hbGlnbmFuY2llcywgaW5jbHVkaW5nIG5vbi1Ib2Rna2luIEx5bXBob21hIGFuZCBhY3V0ZSBseW1waG9jeXRpYyBsZXVrZW1pYSAoQU1MKTsgYW5kIEFNVjU2NCwgYSBDRDMzL0NEMy1zcGVjaWZpYyBULWNlbGwgVGFuZEFiIGlzIGluIFBoYXNlIDEgY2xpbmljYWwgc3R1ZHkgb2YgcmVmcmFjdG9yeSBBTUwuIFRoZSBjb21wYW55IGhhcyBsaWNlbnNlIGFncmVlbWVudHMgd2l0aCBBbXBoaXZlbmEgVGhlcmFwZXV0aWNzLCBJbmMuLCBEZXV0c2NoZXMgS3JlYnNmb3JzY2h1bmdzemVudHJ1bSwgYW5k</t>
  </si>
  <si>
    <t>IFhvbWEgSXJlbGFuZCBMaW1pdGVkOyByZXNlYXJjaCBmdW5kaW5nIGFncmVlbWVudCB3aXRoIFRoZSBMZXVrZW1pYSAmIEx5bXBob21hIFNvY2lldHk7IGFuZCBjb2xsYWJvcmF0aW9uIHdpdGggTWVyY2sgU2hhcnAgJiBEb2htZSBCLlYuIEl0IGFsc28gaGFzIGEgY2xpbmljYWwgZGV2ZWxvcG1lbnQgYW5kIGNvbW1lcmNpYWxpemF0aW9uIGNvbGxhYm9yYXRpb24gd2l0aCBUaGUgVW5pdmVyc2l0eSBvZiBUZXhhcyBNRCBBbmRlcnNvbiBDYW5jZXIgQ2VudGVyIHRvIGV2YWx1YXRlIEFGTTEzIGluIGNvbWJpbmF0aW9uIHdpdGggTUQgQW5kZXJzb27igJlzIE5LLWNlbGwgcHJvZHVjdC4gVGhlIGNvbXBhbnkgd2FzIGZvcm1lcmx5IGtub3duIGFzIEFmZmltZWQgVGhlcmFwZXV0aWNzIEIuVi4gYW5kIGNoYW5nZWQgaXRzIG5hbWUgdG8gQWZmaW1lZCBOLlYuIGluIE9jdG9iZXIgMjAxNC4gQWZmaW1lZCBOLlYuIHdhcyBmb3VuZGVkIGluIDIwMDAgYW5kIGlzIGhlYWRxdWFydGVyZWQgaW4gSGVpZGVsYmVyZywgR2VybWFueS4AKRyUEDUJ1ggw110SNQnWCCdDSVEuTkFTREFRR1M6S1VSQS5JUV9CRVRBXzVZUi43LzMxLzIwMTgBAAAAuMvaEAIAAAAQNC4yNDMxMTE3MDQ1ODc3NQDWjBE4CAnWCHMknW80CdYIMUNJUS5OQVNEQVFHUzpNR05YLklRX0RBX0NGLi43LzE2LzIwMTguTEZSLkYuVVNELkgBAAAA</t>
  </si>
  <si>
    <t>TysJAAIAAAAFNi41ODgBCAAAAAUAAAABMQEAAAAKMTg4NzExNDk0NQMAAAADMTYwAgAAAAQyMTYwBAAAAAEwBwAAAAk3LzE2LzIwMTgIAAAACTMvMzEvMjAxOAkAAAABMMT/GxE1CdYIwptiEjUJ1gg9Q0lRLk5BU0RBUUdTOkFEWFMuSVFfUkVWRU5VRV9FU1QuQ1kyMDIwLjcvMTYvMjAxOC5DT04uRi5VU0QuSAEAAACe7HgAAgAAAAYxNC4yNzUBDgAAAAUAAAACMTEBAAAAATACAAAACTY1MDY1NTA1NwMAAAAGMTAwMTgwBAAAAAEyBgAAAAEwBwAAAAMxNjAIAAAAATAJAAAAATEKAAAAATALAAAACzEwOTI0MTAwOTI5DAAAAAE3DQAAAAk3LzE3LzIwMTgQAAAACTcvMTYvMjAxOCkclBA1CdYI5HRbEjUJ1ghFQ0lRLihJTlZBTElEIElERU5USUZJRVIpLklRX1RPVEFMX0VRVUlUWS5DWTIwMTYuNy8xNi8yMDE4LkxGUi5GLlVTRC5IBQAAAAAAAAAIAAAAFChJbnZhbGlkIElkZW50aWZpZXIp3qd+EDUJ1giYElkSNQnWCCNDSVEuSVFUUjUzMzM4NTc0NC5JUV9UUl9DTE9TRURfREFURQEAAAAQ0sofBQAAAAg5LzcvMjAxNwAMbRAONQnWCHd5gA41CdYIPENJUS5OQVNEQVFHUzpOSy5JUV9UT1RBTF9FUVVJVFkuQ1kyMDE2LjcvMzEvMjAxOC5MRlIuRi5VU0QuSAEAAAANfaEPAgAAAAcyOTMuNDE4AQgAAAAFAAAAATEBAAAACjE4NzgwMTI1NzgDAAAAAzE2MAIAAAAEMTI3NQQAAAABMAcAAAAJNy8zMS8yMDE4CAAA</t>
  </si>
  <si>
    <t>AAoxMi8zMS8yMDE2CQAAAAEw1owROAgJ1ggZ6aFvNAnWCD5DSVEuTkFTREFRR1M6QVROWC5JUV9UT1RBTF9FUVVJVFkuQ1kyMDE2LjcvMzEvMjAxOC5MRlIuRi5VU0QuSAEAAADcmWsBAgAAAAYzNC42NjkBCAAAAAUAAAABMQEAAAAKMTg3OTkwNzYxOQMAAAADMTYwAgAAAAQxMjc1BAAAAAEwBwAAAAk3LzMxLzIwMTgIAAAACjEyLzMxLzIwMTYJAAAAATDWjBE4CAnWCCTCmm80CdYIO0NJUS5OQVNEQVFHUzpQQllJLklRX05FVF9XT1JLSU5HX0NBUC4uNy8xNi8yMDE4LkxGUi5GLlVTRC5IAQAAAAJqrAcCAAAABy0yNS40ODQBCAAAAAUAAAABMQEAAAAKMTg4ODY2Nzc0MwMAAAADMTYwAgAAAAQxMzExBAAAAAEwBwAAAAk3LzE2LzIwMTgIAAAACTMvMzEvMjAxOAkAAAABMMT/GxE1CdYIEv5kEjUJ1gg5Q0lRLk5BU0RBUUdTOktVUkEuSVFfVE9UQUxfUkVWLjE5OTYuNy8zMS8yMDE4LkxGUi5GLlVTRC5IAQAAALjL2hADAAAAAADWjBE4CAnWCHMknW80CdYIOkNJUS5PVENQSzpNQlZYLklRX1JFVkVOVUVfRVNULkNZMjAxOS43LzE2LzIwMTguQ09OLkYuVVNELkgBAAAA2ESLAgMAAAAAAN6nfhA1CdYImBJZEjUJ1gg/Q0lRLk5BU0RBUUdTOlBCWUkuSVFfRUJJVERBXzNZUl9BTk5fQ0FHUi4uNy8xNi8yMDE4LkxGUi5GLlVTRC5IAQAAAAJqrAcDAAAAAk5NAQgAAAAFAAAAATEBAAAACjE4ODg2Njc3NDMDAAAA</t>
  </si>
  <si>
    <t>AzE2MAIAAAAENDIyMgQAAAABMAcAAAAJNy8xNi8yMDE4CAAAAAkzLzMxLzIwMTgJAAAAATDE/xsRNQnWCBL+ZBI1CdYINUNJUS5OQVNEQVFHUzpUU1JPLklRX0NBUEVYLjE5OTYuNy8zMS8yMDE4LkxGUi5GLlVTRC5IAQAAAGjWWAYCAAAABi00LjMwNQEIAAAABQAAAAExAQAAAAoxODg2MzM3NDUxAwAAAAMxNjACAAAABDIwMjEEAAAAATAHAAAACTcvMzEvMjAxOAgAAAAJMy8zMS8yMDE3CQAAAAEwnAvVOAgJ1ggkwppvNAnWCCVDSVEuTkFTREFRR1M6U0dFTi5JUV9NQVJLRVRDQVAuLlVTRC5IAQAAAGGFAAACAAAADDEyMDQ5LjA5NzY1NAEGAAAABQAAAAExAQAAAAoxODk3MjMzMjUxAwAAAAMxNjACAAAABjEwMDA1NAQAAAABMAcAAAAJOC8yMi8yMDE4Rp0ZETUJ1ghGnRkRNQnWCDdDSVEuTkFTREFRR1M6QkdORS5JUV9QRVJJT0REQVRFX0lTLjIwMDAuNy8zMS8yMDE4LkxGUi5GAQAAAODk3QYFAAAACTMvMzEvMjAxOACcC9U4CAnWCIH9lW80CdYIIkNJUS5JUVRSNTMzNjM5NTAxLklRX1RSX1RBUkdFVE5BTUUBAAAATbHOHwMAAAAWR2FsZW5hIEJpb3BoYXJtYSwgSW5jLgAMbRAONQnWCMDbgg41CdYIOUNJUS5PVENQSzpNQlZYLklRX0VCSVREQV9FU1QuQ1kyMDIwLjcvMTYvMjAxOC5DT04uRi5VU0QuSAEAAADYRIsCAwAAAAAA3qd+EDUJ1giYElkSNQnWCClDSVEuSVFUUjQyNDM0MjA0Ni5JUV9UUl9J</t>
  </si>
  <si>
    <t>TVBMSUVEX0VRX05JX0xUTQEAAAAe8koZAgAAAAAADG0QDjUJ1gjA24IONQnWCCJDSVEuSVFUUjU1MDI1OTM5Ny5JUV9UUl9UT1RBTF9DQVNIAQAAAMVKzCACAAAACzkwODguOTIyNTM4AQYAAAAFAAAAAjU0AQAAAAYxMDEwNTYCAAAACTU1MDI1OTM5NwMAAAAJNTUwMjY0NTY0BAAAAAMxNjAGAAAABUZhbHNlDG0QDjUJ1gh3eYAONQnWCChDSVEuTkFTREFRR006RkFURS5JUV9URVYuNy8zMS8yMDE4LlVTRC5IAQAAAGgxVwICAAAACjM5OC4yMjE5MjIBBgAAAAUAAAABMQEAAAAKMTg4ODQ5Nzg5MgMAAAADMTYwAgAAAAYxMDAwNjAEAAAAATAHAAAACTcvMzEvMjAxONaMETgICdYIw4afbzQJ1ggrQ0lRLklRVFIzMjE4NjUyOTcuSVFfVFJfVE9UQUxfR1JPU1NfVFYuLlVTRAEAAABRRi8TAgAAAAAAWM8SDjUJ1ggMPoUONQnWCC9DSVEuTkFTREFRR1M6QkdORS5JUV9FQklUREEuQ1kyMDE3Li5MRlIuRi5VU0QuSAEAAADg5N0GAgAAAActNzcuMzkyAQgAAAAFAAAAATEBAAAACjE4OTk4ODExOTQDAAAAAzE2MAIAAAAENDA1MQQAAAABMAcAAAAJOC8yMy8yMDE4CAAAAAoxMi8zMS8yMDE3CQAAAAEwnAvVOAgJ1gicC9U4CAnWCD1DSVEuTkFTREFRR006Q1JWUy5JUV9DQVNIX1NUX0lOVkVTVC4yMDAwLjUvNS8yMDE3LkxGUi5GLlVTRC5IAQAAAPSwphACAAAABzEyMi4wNjQBCAAAAAUAAAABMQEAAAAKMTg0MDEx</t>
  </si>
  <si>
    <t>NjE3MwMAAAADMTYwAgAAAAQxMDAyBAAAAAEwBwAAAAg1LzUvMjAxNwgAAAAJMy8zMS8yMDE3CQAAAAEw1owROAgJ1ggZ6aFvNAnWCENDSVEuKElOVkFMSUQgSURFTlRJRklFUikuSVFfVE9UQUxfRVFVSVRZLjIwMDAuNy8zMS8yMDE4LkxGUi5GLlVTRC5IBQAAAAAAAAAIAAAAFChJbnZhbGlkIElkZW50aWZpZXIpyDCyNwgJ1gjtNrBvNAnWCCxDSVEuSVFUUjQwODI5MTM5NS5JUV9UUl9UQVJHRVRfRUJJVERBLi5VU0QuSAEAAABDCFYYAgAAAAYtMjkuNDgBBgAAAAUAAAACMzcBAAAACjE4MjY3NTIzNTkCAAAABTIxNjc3AwAAAAMxNjAEAAAAATAHAAAACDEvMS8xOTAwWM8SDjUJ1gjA24IONQnWCDFDSVEuTkFTREFRR1M6TUdOWC5JUV9DQVBFWC4uNy8xNi8yMDE4LkxGUi5GLlVTRC5IAQAAAE8rCQACAAAABi00Mi40MwEIAAAABQAAAAExAQAAAAoxODg3MTE0OTQ1AwAAAAMxNjACAAAABDIwMjEEAAAAATAHAAAACTcvMTYvMjAxOAgAAAAJMy8zMS8yMDE4CQAAAAEwxP8bETUJ1gjCm2ISNQnWCDFDSVEuSVFUUjU2MzkxOTA0OS5JUV9UUl9UQVJHRVRfUkVWRU5VRV9FU1QuLlVTRC5IAQAAAMm4nCECAAAAAAAMbRAONQnWCMDbgg41CdYILkNJUS5JUVRSMjYzNzE4NjQ3LklRX1RSX1RBUkdFVF9TVE9DS1BSRU1JVU1fMU0BAAAA9wa4DwIAAAAAALKzSW80CdYIgf2VbzQJ1gg3Q0lRLk5BU0RBUUNNOlNSTkUu</t>
  </si>
  <si>
    <t>SVFfUEVSSU9EREFURV9JUy4yMDAwLjcvMzEvMjAxOC5MRlIuRgEAAABJQ5QDBQAAAAkzLzMxLzIwMTgA1owROAgJ1ghzJJ1vNAnWCCJDSVEuSVFUUjM3MTcxNTExOS5JUV9UUl9QQ1RfU09VR0hUAQAAAC/sJxYCAAAAAzEwMABYzxIONQnWCMDbgg41CdYIOUNJUS4oSU5WQUxJRCBJREVOVElGSUVSKS5JUV9FQklUREEuLjcvMTYvMjAxOC5MRlIuRi5VU0QuSAUAAAAAAAAACAAAABQoSW52YWxpZCBJZGVudGlmaWVyKd6nfhA1CdYImBJZEjUJ1ggvQ0lRLk5BU0RBUUdTOlNHRU4uSVFfVE9UQUxfRVFVSVRZLi4uTEZSLkYuVVNELkgBAAAAYYUAAAIAAAAIMTM4Mi40MzkBCAAAAAUAAAABMQEAAAAKMTg5NzIzMzUxOAMAAAADMTYwAgAAAAQxMjc1BAAAAAEwBwAAAAk4LzIzLzIwMTgIAAAACTYvMzAvMjAxOAkAAAABMMT/GxE1CdYIxP8bETUJ1ggeQ0lRLklRMTM1NjQ3LklRX0NPTVBBTllfVElDS0VSAQAAAN8RAgADAAAACFhUUkE6TU9SALKzSW80CdYI1F+YbzQJ1gg6Q0lRLk5BU0RBUUdTOkJHTkUuSVFfRUFSTklOR19DTy4xOTk2LjcvMzEvMjAxOC5MRlIuRi5VU0QuSAEAAADg5N0GAgAAAAgtMTQ3LjgzOQEIAAAABQAAAAExAQAAAAoxODg3Njg4NTgzAwAAAAMxNjACAAAAATcEAAAAATAHAAAACTcvMzEvMjAxOAgAAAAJMy8zMS8yMDE3CQAAAAEwnAvVOAgJ1giB/ZVvNAnWCCxDSVEuSVFUUjMxNDgyOTIz</t>
  </si>
  <si>
    <t>Ni5JUV9UUl9UT1RBTF9HUk9TU19UVi5VU0QuSAUAAAAAAAAACAAAABooSW52YWxpZCBDdXJyZW5jeSBSZXF1ZXN0KQxtEA41CdYIwNuCDjUJ1gg6Q0lRLk5BU0RBUUdTOkNBTEEuSVFfUFJFRl9FUVVJVFkuMjAwMC41LzUvMjAxNy5MRlIuRi5VU0QuSAEAAAClJ4EGAwAAAAAAyDCyNwgJ1gjdS6RvNAnWCDpDSVEuTkFTREFRR1M6Sk5DRS5JUV9DQVNIX1NUX0lOVkVTVC4uOS8xNS8yMDE3LkxGUi5GLlVTRC5IAQAAAOJ5ng0CAAAABzI3MC44MDMBCAAAAAUAAAABMQEAAAAKMTg1Mjc5NjIwNwMAAAADMTYwAgAAAAQxMDAyBAAAAAEwBwAAAAk5LzE1LzIwMTcIAAAACTYvMzAvMjAxNwkAAAABMN6nfhA1CdYImBJZEjUJ1gg8Q0lRLk9UQ1BLOk5XQk8uSVFfRUJJVERBXzNZUl9BTk5fQ0FHUi4uNy8xNi8yMDE4LkxGUi5GLlVTRC5IAQAAAKN6FAADAAAAAk5NAQgAAAAFAAAAATEBAAAACjE4ODkzMDI4MjQDAAAAAzE2MAIAAAAENDIyMgQAAAABMAcAAAAJNy8xNi8yMDE4CAAAAAkzLzMxLzIwMTgJAAAAATApHJQQNQnWCDDXXRI1CdYIQ0NJUS5OQVNEQVFHUzpUU1JPLklRX0VCSVREQV8zWVJfQU5OX0NBR1IuMjAwMC43LzMxLzIwMTguTEZSLkYuVVNELkgBAAAAaNZYBgMAAAACTk0BCAAAAAUAAAABMQEAAAAKMTg4NjMzNzQ2NgMAAAADMTYwAgAAAAQ0MjIyBAAAAAEwBwAAAAk3LzMxLzIwMTgIAAAACTMvMzEv</t>
  </si>
  <si>
    <t>MjAxOAkAAAABMJwL1TgICdYIJMKabzQJ1gglQ0lRLklRVFI0MTM5NTM2NjEuSVFfUFJJTUFSWV9JTkRVU1RSWQEAAADxrVMMAwAAAA1CaW90ZWNobm9sb2d5ALKzSW80CdYIgf2VbzQJ1ggrQ0lRLlhUUkE6TU9SLklRX0xBU1RTQUxFUFJJQ0UuNy8zMS8yMDE4LlVTRAEAAADfEQIAAgAAAAoxMzEuNTM4OTEyAJwL1TgICdYI1F+YbzQJ1ggxQ0lRLklRVFI1NTM1NDgwMjUuSVFfVFJfVEFSR0VUX1JFVkVOVUVfRVNULi5VU0QuSAEAAAD5eP4gAgAAAAg0LjU5OTc4MQCys0lvNAnWCIH9lW80CdYILUNJUS5OQVNEQVFHUzpBTkFCLklRX0RJVklERU5EX1lJRUxELjcvMTYvMjAxOAEAAAAhTLIBAwAAAAAARp0ZETUJ1gjCm2ISNQnWCB1DSVEuTkFTREFRR006QUZNRC5JUV9FWENIQU5HRQEAAADb9wwAAwAAAAhOYXNkYXFHTQApHJQQNQnWCDDXXRI1CdYIO0NJUS5OQVNEQVFHTTpJTU1VLklRX1RPVEFMX1JFVi5DWTIwMTYuNy8xNi8yMDE4LkxGUi5GLlVTRC5IAQAAACBDBAACAAAACDIuOTU3MjQxAQgAAAAFAAAAATEBAAAACjE4NzM0OTM0OTEDAAAAAzE2MAIAAAACMjgEAAAAATAHAAAACTcvMTYvMjAxOAgAAAAKMTIvMzEvMjAxNgkAAAABMMT/GxE1CdYIaGBnEjUJ1gghQ0lRLklRVFI0MzE4NDE1ODEuSVFfVFJfQlVZRVJOQU1FAQAAAC1hvRkDAAAAD0Jpb3ZlcmF0aXYgSW5jLgAMbRAONQnWCAw+hQ41CdYI</t>
  </si>
  <si>
    <t>LENJUS5OQVNEQVFHTTpYTkNSLklRX0xBU1RTQUxFUFJJQ0UuOS8xNS8yMDE3AQAAAKZaCwACAAAABTIxLjczAEadGRE1CdYIEv5kEjUJ1ggwQ0lRLk5BU0RBUUdTOkpOQ0UuSVFfTEFTVFNBTEVQUklDRS43LzE2LzIwMTguVVNEAQAAAOJ5ng0CAAAABDcuODMAKRyUEDUJ1gjkdFsSNQnWCCNDSVEuSVFUUjU1MDI1OTM5Ny5JUV9UUl9UT1RBTF9TVE9DSwEAAADFSswgAgAAAAAADG0QDjUJ1gh3eYAONQnWCCVDSVEuTkFTREFRR1M6UEJZSS5JUV9GSVJTVFBSSUNJTkdEQVRFAQAAAAJqrAcFAAAACTQvMTgvMjAxMgBGnRkRNQnWCBL+ZBI1CdYIJENJUS5PVENQSzpOV0JPLklRX0JFVEFfMllSLjcvMTYvMjAxOAEAAACjehQAAgAAABEwLjk1NDIxNjkyNzY5MzI3MwApHJQQNQnWCDDXXRI1CdYIIUNJUS5JUTIyODQ4OTY5OC5JUV9DT01QQU5ZX1RJQ0tFUgEAAADieZ4NAwAAAA1OYXNkYXFHUzpKTkNFAAxtEA41CdYIHxWdDjUJ1ggpQ0lRLk9UQ1BLOk5XQk8uSVFfTEFTVFNBTEVQUklDRS45LzE1LzIwMTcBAAAAo3oUAAIAAAAGMC4xODc1ACkclBA1CdYIMNddEjUJ1gggQ0lRLklRVFI0MDgyOTEzOTUuSVFfVFJfRUFSTk9VVFMBAAAAQwhWGAIAAAAFMTcyLjUBBgAAAAUAAAACNTQBAAAABjEwMTQwMwIAAAAJNDA4MjkxMzk1AwAAAAk0MDgzMDQwMTMEAAAAAzE2MAYAAAAFRmFsc2VYzxIONQnWCMDbgg41CdYI</t>
  </si>
  <si>
    <t>MkNJUS4uSVFfTkVUX1dPUktJTkdfQ0FQLjIwMDAuNy8zMS8yMDE4LkxGUi5GLlVTRC5IBQAAAAEAAAAIAAAAFChJbnZhbGlkIElkZW50aWZpZXIp9YQyRzQJ1gj1hDJHNAnWCCxDSVEuSVFUUjI3MzUwNzE4NS5JUV9UUl9UT1RBTF9HUk9TU19UVi5VU0QuSAUAAAAAAAAACAAAABooSW52YWxpZCBDdXJyZW5jeSBSZXF1ZXN0KUlTR280CdYIgf2VbzQJ1gg3Q0lRLk5BU0RBUUdTOkpOQ0UuSVFfUFJFRl9FUVVJVFkuLjkvMTUvMjAxNy5MRlIuRi5VU0QuSAEAAADieZ4NAwAAAAAA3qd+EDUJ1giYElkSNQnWCD9DSVEuKElOVkFMSUQgSURFTlRJRklFUikuSVFfVE9UQUxfRVFVSVRZLi43LzE2LzIwMTguTEZSLkYuVVNELkgFAAAAAAAAAAgAAAAUKEludmFsaWQgSWRlbnRpZmllcinep34QNQnWCJgSWRI1CdYIOUNJUS5OQVNEQVFHUzpOSy5JUV9FQklUX01BUkdJTi4yMDAwLjcvMzEvMjAxOC5MRlIuRi5VU0QuSAEAAAANfaEPAwAAAAJOTQEIAAAABQAAAAExAQAAAAoxODg3MTE4NzkxAwAAAAMxNjACAAAABDQwNTMEAAAAATAHAAAACTcvMzEvMjAxOAgAAAAJMy8zMS8yMDE4CQAAAAEw1owROAgJ1gjDhp9vNAnWCCNDSVEuSVFUUjMwNzg2Mzk4NC5JUV9UUl9DTE9TRURfREFURQEAAACwoVkSBQAAAAk3LzMxLzIwMTUAWM8SDjUJ1gjA24IONQnWCDxDSVEuTkFTREFRR1M6TUdOWC5JUV9FQVJOSU5HX0NPLkNZ</t>
  </si>
  <si>
    <t>MjAxNy43LzE2LzIwMTguTEZSLkYuVVNELkgBAAAATysJAAIAAAAHLTE5LjYyNgEIAAAABQAAAAExAQAAAAoxODc2MTM1MTcyAwAAAAMxNjACAAAAATcEAAAAATAHAAAACTcvMTYvMjAxOAgAAAAKMTIvMzEvMjAxNwkAAAABMMT/GxE1CdYIwptiEjUJ1ggkQ0lRLk5BU0RBUUdNOlhOQ1IuSVFfRUZGRUNUX1RBWF9SQVRFAQAAAKZaCwADAAAAAk5NAQgAAAAFAAAAATEBAAAACjE4OTkxMTc5MTEDAAAAAzE2MAIAAAAENDM3NgQAAAABMAcAAAAJOC8yMy8yMDE4CAAAAAk2LzMwLzIwMTgJAAAAATDE/xsRNQnWCBL+ZBI1CdYIMUNJUS5JUVRSNDA4NDA3ODIyLklRX1RSX1RBUkdFVF9SRVZFTlVFX0VTVC4uVVNELkgBAAAADs9XGAIAAAAAALKzSW80CdYIgf2VbzQJ1gguQ0lRLklRVFI1MzM2Mzk1MDEuSVFfVFJfVEFSR0VUX1NUT0NLUFJFTUlVTV8xTQEAAABNsc4fAgAAAAAADG0QDjUJ1gjA24IONQnWCDVDSVEuT1RDUEs6TUJWWC5JUV9FQklUREEuQ1kyMDE3LjcvMTYvMjAxOC5MRlIuRi5VU0QuSAEAAADYRIsCAgAAAAktMTcuOTEwNjIBCAAAAAUAAAABMQEAAAAKMTg4MTIxMzI0NQMAAAADMTYwAgAAAAQ0MDUxBAAAAAEwBwAAAAk3LzE2LzIwMTgIAAAACjEyLzMxLzIwMTcJAAAAATDep34QNQnWCJgSWRI1CdYIMENJUS5JUVRSNTYxNjA2MzY1LklRX1RSX1RBUkdFVF9FQklUREFfRVNULi5VU0QuSAEAAADd</t>
  </si>
  <si>
    <t>bnkhAgAAAAAAsrNJbzQJ1gg1m5NvNAnWCENDSVEuKElOVkFMSUQgSURFTlRJRklFUikuSVFfRUJJVERBX0VTVC5DWTIwMjAuNy8xNi8yMDE4LkNPTi5GLlVTRC5IBQAAAAAAAAAIAAAAFChJbnZhbGlkIElkZW50aWZpZXIpIAqBEDUJ1giYElkSNQnWCCtDSVEuSVFUUjMxMjEyMjUwNC5JUV9UUl9JTVBMSUVEX0VWX0VCSVRfRldEAQAAAIicmhICAAAAAABYzxIONQnWCMDbgg41CdYIPUNJUS5OQVNEQVFDTTpNVEVNLklRX1JFVkVOVUVfRVNULkNZMjAxOS43LzMxLzIwMTguQ09OLkYuVVNELkgBAAAAmZupAQIAAAABMAEOAAAABQAAAAIxMQEAAAABMAIAAAAKMTAwMzgxNjU5OQMAAAAGMTAwMTgwBAAAAAEyBgAAAAEwBwAAAAMxNjAIAAAAATAJAAAAATEKAAAAATALAAAACzEwODg3MzM2Mzk0DAAAAAE3DQAAAAg4LzEvMjAxOBAAAAAJNy8zMS8yMDE4yDCyNwgJ1ggZ6aFvNAnWCD9DSVEuTkFTREFRR006Q1JJUy5JUV9ORVRfV09SS0lOR19DQVAuMTk5Ni43LzMxLzIwMTguTEZSLkYuVVNELkgBAAAAF2oAAAIAAAAGLTMuOTEyAQgAAAAFAAAAATEBAAAACjE4ODYyNDczOTUDAAAAAzE2MAIAAAAEMTMxMQQAAAABMAcAAAAJNy8zMS8yMDE4CAAAAAkzLzMxLzIwMTcJAAAAATDIMLI3CAnWCN1LpG80CdYIQ0NJUS5OQVNEQVFHUzpGUFJYLklRX01JTk9SSVRZX0lOVEVSRVNUX1RPVEFMLi45LzE1LzIwMTcuTEZS</t>
  </si>
  <si>
    <t>LkYuVVNELkgBAAAAN10zAAMAAAAAACkclBA1CdYIczlgEjUJ1gg8Q0lRLk5BU0RBUUdNOkZBVEUuSVFfRUJJVERBX0VTVC5DWTIwMjAuNy8zMS8yMDE4LkNPTi5GLlVTRC5IAQAAAGgxVwIDAAAAAADWjBE4CAnWCMOGn280CdYINkNJUS5OQVNEQVFHTTpMUFRYLklRX1RPVEFMX0RFQlQuLjkvMTUvMjAxNy5MRlIuRi5VU0QuSAEAAAAMNgkHAgAAAAEwAQgAAAAFAAAAATEBAAAACjE4NTMxNzIxODUDAAAAAzE2MAIAAAAENDE3MwQAAAABMAcAAAAJOS8xNS8yMDE3CAAAAAk2LzMwLzIwMTcJAAAAATApHJQQNQnWCDDXXRI1CdYILENJUS5JUVRSNDAzNzkxNzY3LklRX1RSX1RPVEFMX0dST1NTX1RWLlVTRC5IBQAAAAAAAAAIAAAAGihJbnZhbGlkIEN1cnJlbmN5IFJlcXVlc3QpDG0QDjUJ1gjA24IONQnWCC5DSVEuKElOVkFMSUQgSURFTlRJRklFUikuSVFfQkVUQV8yWVIuNy8xNi8yMDE4BQAAAAAAAAAIAAAAFChJbnZhbGlkIElkZW50aWZpZXIpIAqBEDUJ1giYElkSNQnWCDxDSVEuTkFTREFRR1M6U0dFTi5JUV9FQVJOSU5HX0NPLkNZMjAxNy43LzE2LzIwMTguTEZSLkYuVVNELkgBAAAAYYUAAAIAAAAHLTEyNS41MwEIAAAABQAAAAExAQAAAAoxODc0Njk2MjIwAwAAAAMxNjACAAAAATcEAAAAATAHAAAACTcvMTYvMjAxOAgAAAAKMTIvMzEvMjAxNwkAAAABMMT/GxE1CdYIaGBnEjUJ1ggwQ0lRLk5BU0RB</t>
  </si>
  <si>
    <t>UUdTOkdUSFguSVFfTEFTVFNBTEVQUklDRS43LzMxLzIwMTguVVNEAQAAAGU0aQgCAAAABTUxLjM1AJwL1TgICdYIJMKabzQJ1ghCQ0lRLihJTlZBTElEIElERU5USUZJRVIpLklRX1RPVEFMX1JFVi5DWTIwMTcuNy8xNi8yMDE4LkxGUi5GLlVTRC5IBQAAAAAAAAAIAAAAFChJbnZhbGlkIElkZW50aWZpZXIp3qd+EDUJ1giYElkSNQnWCDxDSVEuTkFTREFRR1M6TVJTTi5JUV9UT1RBTF9FUVVJVFkuMjAwMC43LzMxLzIwMTguTEZSLkYuVVNELkgBAAAA5sUYAAIAAAAGNTYuNTQ3AQgAAAAFAAAAATEBAAAACjE4ODkwOTY2NTMDAAAAAzE2MAIAAAAEMTI3NQQAAAABMAcAAAAJNy8zMS8yMDE4CAAAAAkzLzMxLzIwMTgJAAAAATDWjBE4CAnWCMOGn280CdYIRkNJUS5OQVNEQVFHTTpGQVRFLklRX01JTk9SSVRZX0lOVEVSRVNUX1RPVEFMLjIwMDAuNS81LzIwMTcuTEZSLkYuVVNELkgBAAAAaDFXAgMAAAAAANaMETgICdYIw4afbzQJ1ggiQ0lRLlhUUkE6TU9SLklRX0JFVEFfMVlSLjcvMzEvMjAxOAEAAADfEQIAAgAAABEwLjgwNDg4NTc1MTMxMjA0NgCcC9U4CAnWCNRfmG80CdYIP0NJUS5OQVNEQVFHTTpJTU1VLklRX05FVF9XT1JLSU5HX0NBUC4xOTkyLjcvMzEvMjAxOC5MRlIuRi5VU0QuSAEAAAAgQwQAAgAAAAotMTAuOTM2ODcxAQgAAAAFAAAAATEBAAAACjE4NDExNzEyMjQDAAAAAzE2MAIAAAAEMTMx</t>
  </si>
  <si>
    <t>MQQAAAABMAcAAAAJNy8zMS8yMDE4CAAAAAkzLzMxLzIwMTYJAAAAATCcC9U4CAnWCNRfmG80CdYIP0NJUS5OQVNEQVFHTTpDUklTLklRX05FVF9XT1JLSU5HX0NBUC4yMDAwLjcvMzEvMjAxOC5MRlIuRi5VU0QuSAEAAAAXagAAAgAAAAYtMy43MDIBCAAAAAUAAAABMQEAAAAKMTg4NjI0NzQyMAMAAAADMTYwAgAAAAQxMzExBAAAAAEwBwAAAAk3LzMxLzIwMTgIAAAACTMvMzEvMjAxOAkAAAABMMgwsjcICdYI3UukbzQJ1ggzQ0lRLk5BU0RBUUdTOkJHTkUuSVFfVE9UQUxfRVFVSVRZLjE5OTYuLkxGUi5GLlVTRC5IAQAAAODk3QYCAAAABzI3MC4xNzIBCAAAAAUAAAABMQEAAAAKMTg5OTkwMDYxOAMAAAADMTYwAgAAAAQxMjc1BAAAAAEwBwAAAAk4LzIzLzIwMTgIAAAACTYvMzAvMjAxNwkAAAABMJwL1TgICdYInAvVOAgJ1ggkQ0lRLk5BU0RBUUdNOkFSUlkuSVFfRUZGRUNUX1RBWF9SQVRFAQAAAPhhAAADAAAAAk5NAQgAAAAFAAAAATEBAAAACjE5MDA1MjQ0MjkDAAAAAzE2MAIAAAAENDM3NgQAAAABMAcAAAAJOC8yMy8yMDE4CAAAAAk2LzMwLzIwMTgJAAAAATCcC9U4CAnWCCTCmm80CdYIOUNJUS5OQVNEQVFHTTpJTU1VLklRX1RPVEFMX1JFVi4xOTk2LjcvMzEvMjAxOC5MRlIuRi5VU0QuSAEAAAAgQwQAAgAAAAgzLjM4MTYwMQEIAAAABQAAAAExAQAAAAoxODg4NTIzMzkyAwAAAAMxNjACAAAAAjI4</t>
  </si>
  <si>
    <t>BAAAAAEwBwAAAAk3LzMxLzIwMTgIAAAACTMvMzEvMjAxNwkAAAABMJwL1TgICdYI1F+YbzQJ1ggiQ0lRLklRVFI0MDk5NTE4ODYuSVFfVFJfVEFSR0VUTkFNRQEAAACOXm8YAwAAABhWaXJ0dHUgQmlvbG9naWNzIExpbWl0ZWQADG0QDjUJ1gjA24IONQnWCEZDSVEuTkFTREFRR1M6S1VSQS5JUV9UT1RBTF9SRVZfMllSX0FOTl9DQUdSLjIwMDAuNy8zMS8yMDE4LkxGUi5GLlVTRC5IAQAAALjL2hADAAAAAADWjBE4CAnWCHMknW80CdYIKkNJUS5JUVRSNTUwMjU5Mzk3LklRX1RSX1RBUkdFVF9FQklULi5VU0QuSAEAAADFSswgAgAAAAgtNDQzLjc3NgEGAAAABQAAAAIzNwEAAAAKMTg3NjU2NTUyOAIAAAAFMjE2NzUDAAAAAzE2MAQAAAABMAcAAAAIMS8xLzE5MDAMbRAONQnWCHd5gA41CdYIJ0NJUS5OQVNEQVFHUzpNR05YLklRX0JFVEFfMllSLjcvMTYvMjAxOAEAAABPKwkAAgAAABAxLjUxMzY0MzcxMjY4MDc2AMT/GxE1CdYIwptiEjUJ1gg5Q0lRLk5BU0RBUUdTOktVUkEuSVFfVE9UQUxfUkVWLjE5OTIuNy8zMS8yMDE4LkxGUi5GLlVTRC5IAQAAALjL2hADAAAAAADWjBE4CAnWCHMknW80CdYIKENJUS5OQVNEQVFHUzpGUFJYLklRX1RFVi43LzE2LzIwMTguVVNELkgBAAAAN10zAAIAAAAKMjE4LjI4NjMyOAEGAAAABQAAAAExAQAAAAoxODg3NDAyMTYwAwAAAAMxNjACAAAABjEwMDA2MAQAAAABMAcA</t>
  </si>
  <si>
    <t>AAAJNy8xNi8yMDE4KRyUEDUJ1ghzOWASNQnWCDxDSVEuTkFTREFRR1M6RlBSWC5JUV9FQklUREFfRVNULkNZMjAxOS43LzE2LzIwMTguQ09OLkYuVVNELkgBAAAAN10zAAIAAAAILTE0My42NDcBDgAAAAUAAAACMTEBAAAAATACAAAACjEwMDE5NTYzNDkDAAAABjEwMDE4NwQAAAABMgYAAAABMAcAAAADMTYwCAAAAAEwCQAAAAExCgAAAAEwCwAAAAsxMDkyNzk4MDU0NwwAAAABNw0AAAAJNy8xNy8yMDE4EAAAAAk3LzE2LzIwMTgpHJQQNQnWCHM5YBI1CdYIRkNJUS5OQVNEQVFHTTpBUlJZLklRX1RPVEFMX1JFVl8zWVJfQU5OX0NBR1IuMjAwMC43LzMxLzIwMTguTEZSLkYuVVNELkgBAAAA+GEAAAIAAAAHMjQuMjY0MwEIAAAABQAAAAExAQAAAAoxODg4NDcwNjc2AwAAAAMxNjACAAAABDQyMjAEAAAAATAHAAAACTcvMzEvMjAxOAgAAAAJMy8zMS8yMDE4CQAAAAEwnAvVOAgJ1ggkwppvNAnWCD9DSVEuTkFTREFRR006QVJRTC5JUV9ORVRfV09SS0lOR19DQVAuMTk5Mi43LzMxLzIwMTguTEZSLkYuVVNELkgBAAAA9mEAAAIAAAAGLTguMDEzAQgAAAAFAAAAATEBAAAACjE4NDE5OTI1NjkDAAAAAzE2MAIAAAAEMTMxMQQAAAABMAcAAAAJNy8zMS8yMDE4CAAAAAkzLzMxLzIwMTYJAAAAATDWjBE4CAnWCHMknW80CdYIPENJUS5OQVNEQVFHUzpHVEhYLklRX0VCSVREQV9FU1QuQ1kyMDIwLjcvMzEvMjAxOC5D</t>
  </si>
  <si>
    <t>T04uRi5VU0QuSAEAAABlNGkIAgAAAAotMTQ5Ljg1MTYxAQ4AAAAFAAAAAjExAQAAAAEwAgAAAAoxMDAzNzUyODI5AwAAAAYxMDAxODcEAAAAATIGAAAAATAHAAAAAzE2MAgAAAABMAkAAAABMQoAAAABMAsAAAALMTA4Nzg2MTg1MjkMAAAAATcNAAAACDgvMS8yMDE4EAAAAAk3LzMxLzIwMTicC9U4CAnWCCTCmm80CdYIQkNJUS4oSU5WQUxJRCBJREVOVElGSUVSKS5JUV9UT1RBTF9SRVYuQ1kyMDE2LjcvMTYvMjAxOC5MRlIuRi5VU0QuSAUAAAAAAAAACAAAABQoSW52YWxpZCBJZGVudGlmaWVyKd6nfhA1CdYImBJZEjUJ1gg5Q0lRLk5BU0RBUUdTOktVUkEuSVFfTklfTUFSR0lOLjIwMDAuNy8zMS8yMDE4LkxGUi5GLlVTRC5IAQAAALjL2hADAAAAAADWjBE4CAnWCHMknW80CdYIPkNJUS5OQVNEQVFHUzpCR05FLklRX1RPVEFMX0VRVUlUWS5DWTIwMTYuNy8xNi8yMDE4LkxGUi5GLlVTRC5IAQAAAODk3QYCAAAABzM1Mi45MDcBCAAAAAUAAAABMQEAAAAKMTg3NjM1NzQzNgMAAAADMTYwAgAAAAQxMjc1BAAAAAEwBwAAAAk3LzE2LzIwMTgIAAAACjEyLzMxLzIwMTYJAAAAATDE/xsRNQnWCGhgZxI1CdYIRkNJUS5OQVNEQVFHTTpDUklTLklRX1RPVEFMX1JFVl8zWVJfQU5OX0NBR1IuMjAwMC43LzMxLzIwMTguTEZSLkYuVVNELkgBAAAAF2oAAAIAAAAGMC4wNTgxAQgAAAAFAAAAATEBAAAACjE4ODYyNDc0</t>
  </si>
  <si>
    <t>MjADAAAAAzE2MAIAAAAENDIyMAQAAAABMAcAAAAJNy8zMS8yMDE4CAAAAAkzLzMxLzIwMTgJAAAAATDIMLI3CAnWCN1LpG80CdYIL0NJUS5JUVRSMzEyMTIyNTA0LklRX1RSX1RBUkdFVF9UT1RBTF9SRVYuLlVTRC5IAQAAAIicmhICAAAABTYuNTU1AFjPEg41CdYIwNuCDjUJ1gg3Q0lRLlhUUkE6TU9SLklRX0VBUk5JTkdfQ08uQ1kyMDE3LjcvMzEvMjAxOC5MRlIuRi5VU0QuSAEAAADfEQIAAgAAAAotODMuODQ1NDI0AQgAAAAFAAAAATEBAAAACjE4NzgzMjMxNTcDAAAAAzE2MAIAAAABNwQAAAABMAcAAAAJNy8zMS8yMDE4CAAAAAoxMi8zMS8yMDE3CQAAAAEwnAvVOAgJ1gjUX5hvNAnWCClDSVEuSVFUUjQwODI5MTM5NS5JUV9UUl9JTVBMSUVEX0VRX05JX0xUTQEAAABDCFYYAwAAAAJOTQBYzxIONQnWCMDbgg41CdYINENJUS5YVFJBOk1PUi5JUV9UT1RBTF9SRVYuMjAwMC43LzMxLzIwMTguTEZSLkYuVVNELkgBAAAA3xECAAIAAAAJNzEuMTQ2NDUyAQgAAAAFAAAAATEBAAAACjE4ODYxNTE2NDgDAAAAAzE2MAIAAAACMjgEAAAAATAHAAAACTcvMzEvMjAxOAgAAAAJMy8zMS8yMDE4CQAAAAEwnAvVOAgJ1gjUX5hvNAnWCCJDSVEuSVFUUjQyNDM0MjA0Ni5JUV9UUl9UQVJHRVROQU1FAQAAAB7yShkDAAAAEkFnYWxpbW11bmUgTGltaXRlZAAMbRAONQnWCMDbgg41CdYIPkNJUS5OQVNEQVFHUzpTR0VO</t>
  </si>
  <si>
    <t>LklRX1RPVEFMX0VRVUlUWS5DWTIwMTcuNy8xNi8yMDE4LkxGUi5GLlVTRC5IAQAAAGGFAAACAAAABzY3Ny41NjkBCAAAAAUAAAABMQEAAAAKMTg3NDY5NjIyMAMAAAADMTYwAgAAAAQxMjc1BAAAAAEwBwAAAAk3LzE2LzIwMTgIAAAACjEyLzMxLzIwMTcJAAAAATDE/xsRNQnWCGhgZxI1CdYIJ0NJUS5OQVNEQVFHTTpMUFRYLklRX0JFVEFfNVlSLjcvMTYvMjAxOAEAAAAMNgkHAwAAAAAAKRyUEDUJ1ggw110SNQnWCENDSVEuTkFTREFRR1M6QkdORS5JUV9FQklUREFfMllSX0FOTl9DQUdSLjIwMDAuNy8zMS8yMDE4LkxGUi5GLlVTRC5IAQAAAODk3QYDAAAAAk5NAQgAAAAFAAAAATEBAAAACjE4ODc2ODg1ODgDAAAAAzE2MAIAAAAENDIwOQQAAAABMAcAAAAJNy8zMS8yMDE4CAAAAAkzLzMxLzIwMTgJAAAAATCcC9U4CAnWCNRfmG80CdYIL0NJUS5JUVRSNTQ4MzM4MDIwLklRX1RSX0lNUExJRURfRVZfRklOQUwuLlVTRC5IAQAAAGT5riACAAAAAzEyOQEGAAAABQAAAAI1NAEAAAAGMTAyMDQ1AgAAAAk1NDgzMzgwMjADAAAACTU0ODM0MDk4NQQAAAADMTYwBgAAAAVGYWxzZQxtEA41CdYIwNuCDjUJ1ggZQ0lRLjAuSVFfVFJfTUFKX01JTl9TVEFLRQUAAAAAAAAACAAAABgoSW52YWxpZCBUcmFuc2FjdGlvbiBJZClJU0dvNAnWCAfi8IE0CdYIPENJUS5OQVNEQVFHTTpDUklTLklRX0VBUk5JTkdfQ08uQ1ky</t>
  </si>
  <si>
    <t>MDE3LjcvMzEvMjAxOC5MRlIuRi5VU0QuSAEAAAAXagAAAgAAAActNTMuMzE3AQgAAAAFAAAAATEBAAAACjE4NzgwMTE2NTcDAAAAAzE2MAIAAAABNwQAAAABMAcAAAAJNy8zMS8yMDE4CAAAAAoxMi8zMS8yMDE3CQAAAAEwyDCyNwgJ1gjdS6RvNAnWCEZDSVEuTkFTREFRR006SU1NVS5JUV9UT1RBTF9SRVZfNVlSX0FOTl9DQUdSLjIwMDAuNy8zMS8yMDE4LkxGUi5GLlVTRC5IAQAAACBDBAACAAAACC0xMS45NzI2AQgAAAAFAAAAATEBAAAACjE4ODg1MjMzODQDAAAAAzE2MAIAAAAENDIzMwQAAAABMAcAAAAJNy8zMS8yMDE4CAAAAAkzLzMxLzIwMTgJAAAAATCcC9U4CAnWCNRfmG80CdYIMkNJUS5OQVNEQVFHTTpOTE5LLklRX0VCSVREQS4uNy8xNi8yMDE4LkxGUi5GLlVTRC5IAQAAAJV7jAACAAAABy02Ny4zMDgBCAAAAAUAAAABMQEAAAAKMTg4ODM1NDIwNwMAAAADMTYwAgAAAAQ0MDUxBAAAAAEwBwAAAAk3LzE2LzIwMTgIAAAACTMvMzEvMjAxOAkAAAABMCkclBA1CdYI5HRbEjUJ1gg8Q0lRLk5BU0RBUUdNOkNSVlMuSVFfRUFSTklOR19DTy5DWTIwMTcuNy8zMS8yMDE4LkxGUi5GLlVTRC5IAQAAAPSwphACAAAABy01NS42NjMBCAAAAAUAAAABMQEAAAAKMTg3NzIyMDgwNQMAAAADMTYwAgAAAAE3BAAAAAEwBwAAAAk3LzMxLzIwMTgIAAAACjEyLzMxLzIwMTcJAAAAATDWjBE4CAnWCBnpoW80CdYI</t>
  </si>
  <si>
    <t>IUNJUS5JUVRSNDA3NzYwNjkyLklRX1RSX0JVWUVSTkFNRQEAAAA0700YAwAAABRBc3RlbGxhcyBQaGFybWEgSW5jLgAMbRAONQnWCAw+hQ41CdYIPENJUS5OQVNEQVFHTTpJTU1VLklRX0VBUk5JTkdfQ08uQ1kyMDE2LjcvMTYvMjAxOC5MRlIuRi5VU0QuSAEAAAAgQwQAAgAAAAotNzAuNjI0MTExAQgAAAAFAAAAATEBAAAACjE4NzM0OTM0OTEDAAAAAzE2MAIAAAABNwQAAAABMAcAAAAJNy8xNi8yMDE4CAAAAAoxMi8zMS8yMDE2CQAAAAEwxP8bETUJ1ggS/mQSNQnWCC1DSVEuT1RDUEs6TUJWWC5JUV9MQVNUU0FMRVBSSUNFLjcvMTYvMjAxOC5VU0QBAAAA2ESLAgIAAAAFMC44MzUA3qd+EDUJ1giYElkSNQnWCD5DSVEuTkFTREFRR006QUZNRC5JUV9UT1RBTF9FUVVJVFkuQ1kyMDE3LjcvMTYvMjAxOC5MRlIuRi5VU0QuSAEAAADb9wwAAgAAAAkzNy45MTkwNjgBCAAAAAUAAAABMQEAAAAKMTg3OTE0NzY5NgMAAAADMTYwAgAAAAQxMjc1BAAAAAEwBwAAAAk3LzE2LzIwMTgIAAAACjEyLzMxLzIwMTcJAAAAATApHJQQNQnWCDDXXRI1CdYII0NJUS5OQVNEQVFHUzpOSy5JUV9GSVJTVFBSSUNJTkdEQVRFAQAAAA19oQ8FAAAACTcvMjgvMjAxNQDWjBE4CAnWCIjN/IE0CdYIQ0NJUS5OQVNEQVFHTTpBRk1ELklRX01JTk9SSVRZX0lOVEVSRVNUX1RPVEFMLi43LzE2LzIwMTguTEZSLkYuVVNELkgBAAAA2/cM</t>
  </si>
  <si>
    <t>AAMAAAAAACkclBA1CdYIMNddEjUJ1gg2Q0lRLk5BU0RBUUdTOkZQUlguSVFfVE9UQUxfREVCVC4uNy8xNi8yMDE4LkxGUi5GLlVTRC5IAQAAADddMwACAAAAATABCAAAAAUAAAABMQEAAAAKMTg4NzQwMjIyNwMAAAADMTYwAgAAAAQ0MTczBAAAAAEwBwAAAAk3LzE2LzIwMTgIAAAACTMvMzEvMjAxOAkAAAABMCkclBA1CdYIczlgEjUJ1ghAQ0lRLkVOWFRQQTpJUEguSVFfTUlOT1JJVFlfSU5URVJFU1RfVE9UQUwuLjcvMTYvMjAxOC5MRlIuRi5VU0QuSAEAAACZgAYAAwAAAAAAKRyUEDUJ1ghzOWASNQnWCDpDSVEuTkFTREFRQ006U1JORS5JUV9QUkVGX0VRVUlUWS4yMDAwLjUvNS8yMDE3LkxGUi5GLlVTRC5IAQAAAElDlAMDAAAAAADWjBE4CAnWCHMknW80CdYIK0NJUS5OQVNEQVFHUzpUU1JPLklRX0xBU1RTQUxFUFJJQ0UuNS81LzIwMTcBAAAAaNZYBgIAAAAGMTQ1LjEzAJwL1TgICdYIJMKabzQJ1gg6Q0lRLk5BU0RBUUdNOlhOQ1IuSVFfQ0FTSF9TVF9JTlZFU1QuLjkvMTUvMjAxNy5MRlIuRi5VU0QuSAEAAACmWgsAAgAAAAcxODguNDg5AQgAAAAFAAAAATEBAAAACjE4NTIyNDIzOTADAAAAAzE2MAIAAAAEMTAwMgQAAAABMAcAAAAJOS8xNS8yMDE3CAAAAAk2LzMwLzIwMTcJAAAAATDE/xsRNQnWCBL+ZBI1CdYIPkNJUS5OQVNEQVFDTTpNVEVNLklRX1RPVEFMX0VRVUlUWS5DWTIwMTYuNy8zMS8y</t>
  </si>
  <si>
    <t>MDE4LkxGUi5GLlVTRC5IAQAAAJmbqQECAAAABy0xMy44ODUBCAAAAAUAAAABMQEAAAAKMTg4MTExODc0NAMAAAADMTYwAgAAAAQxMjc1BAAAAAEwBwAAAAk3LzMxLzIwMTgIAAAACjEyLzMxLzIwMTYJAAAAATDIMLI3CAnWCBnpoW80CdYIPUNJUS5OQVNEQVFHUzpBTkFCLklRX1JFVkVOVUVfRVNULkNZMjAxOS43LzE2LzIwMTguQ09OLkYuVVNELkgBAAAAIUyyAQIAAAAEMjMuMgEOAAAABQAAAAIxMQEAAAABMAIAAAAKMTAwMzYyOTM3OQMAAAAGMTAwMTgwBAAAAAEyBgAAAAEwBwAAAAMxNjAIAAAAATAJAAAAATEKAAAAATALAAAACzEwODg3NTEzMzcyDAAAAAE3DQAAAAk3LzE3LzIwMTgQAAAACTcvMTYvMjAxOMT/GxE1CdYIwptiEjUJ1gg9Q0lRLk5BU0RBUUdNOk5MTksuSVFfUkVWRU5VRV9FU1QuQ1kyMDIxLjcvMTYvMjAxOC5DT04uRi5VU0QuSAEAAACVe4wAAgAAAAE4AQ4AAAAFAAAAAjExAQAAAAEwAgAAAAoxMDAxNDI2MDc4AwAAAAYxMDAxODAEAAAAATIGAAAAATAHAAAAAzE2MAgAAAABMAkAAAABMQoAAAABMAsAAAALMTA5NDk2NDIyMDQMAAAAATcNAAAACTcvMTcvMjAxOBAAAAAJNy8xNi8yMDE4KRyUEDUJ1gjkdFsSNQnWCDdDSVEuTkFTREFRR006QUZNRC5JUV9FQklUX01BUkdJTi4uNy8xNi8yMDE4LkxGUi5GLlVTRC5IAQAAANv3DAADAAAAAk5NAQgAAAAFAAAAATEBAAAACjE4ODk4NjYw</t>
  </si>
  <si>
    <t>NDkDAAAAAjUwAgAAAAQ0MDUzBAAAAAEwBwAAAAk3LzE2LzIwMTgIAAAACTMvMzEvMjAxOAkAAAABMCkclBA1CdYIMNddEjUJ1ggmQ0lRLk9UQ1BLOk5XQk8uSVFfQlVTSU5FU1NfREVTQ1JJUFRJT04BAAAAo3oUAAMAAACABU5vcnRod2VzdCBCaW90aGVyYXBldXRpY3MsIEluYy4sIGEgYmlvdGVjaG5vbG9neSBjb21wYW55LCBkaXNjb3ZlcnMgYW5kIGRldmVsb3BzIHBlcnNvbmFsaXplZCBpbW11bmUgdGhlcmFwaWVzIGZvciBjYW5jZXIgaW4gdGhlIFVuaXRlZCBTdGF0ZXMgYW5kIGludGVybmF0aW9uYWxseS4gVGhlIGNvbXBhbnkgZGV2ZWxvcHMgaXRzIHByb2R1Y3RzIGJhc2VkIG9uIERDVmF4LCBhIHBsYXRmb3JtIHRlY2hub2xvZ3kgdGhhdCB1c2VzIGFjdGl2YXRlZCBkZW5kcml0aWMgY2VsbHMgdG8gbW9iaWxpemUgYSBwYXRpZW504oCZcyBvd24gaW1tdW5lIHN5c3RlbSB0byBhdHRhY2sgY2FuY2VyLiBJdCBpcyBkZXZlbG9waW5nIERDVmF4LUwsIGEgcHJvZHVjdCBpbiBQaGFzZSBJSUkgY2xpbmljYWwgdHJpYWxzIHRvIHRyZWF0IEdsaW9ibGFzdG9tZSBtdWx0aWZvcm1lLCBhIGJyYWluIGNhbmNlcjsgYW5kIERDVmF4LURpcmVjdCwgYSBwcm9kdWN0IGluIFBoYXNlIEkvSUkgY2xpbmljYWwgdHJpYWxzIHRvIHRyZWF0IHZhcmlvdXMgdHlwZXMgb2YgaW5vcGVyYWJsZSBzb2xpZCB0dW1v</t>
  </si>
  <si>
    <t>ciBjYW5jZXJzLiBUaGUgY29tcGFueSB3YXMgZm91bmRlZCBpbiAxOTk2IGFuZCBpcyBoZWFkcXVhcnRlcmVkIGluIEJldGhlc2RhLCBNYXJ5bGFuZC4AKRyUEDUJ1ggw110SNQnWCDhDSVEuTkFTREFRR1M6TVJTTi5JUV9FQklUREEuQ1kyMDE2LjcvMTYvMjAxOC5MRlIuRi5VU0QuSAEAAADmxRgAAgAAAActMTMuMTY2AQgAAAAFAAAAATEBAAAACjE4ODA1NDczODMDAAAAAzE2MAIAAAAENDA1MQQAAAABMAcAAAAJNy8xNi8yMDE4CAAAAAoxMi8zMS8yMDE2CQAAAAEwxP8bETUJ1ghzOWASNQnWCENDSVEuTkFTREFRR006QVJRTC5JUV9FQklUREFfNVlSX0FOTl9DQUdSLjIwMDAuNy8zMS8yMDE4LkxGUi5GLlVTRC5IAQAAAPZhAAADAAAAAk5NAQgAAAAFAAAAATEBAAAACjE4ODg3ODg3NzADAAAAAzE2MAIAAAAENDIzNQQAAAABMAcAAAAJNy8zMS8yMDE4CAAAAAkzLzMxLzIwMTgJAAAAATDWjBE4CAnWCMOGn280CdYIQ0NJUS5OQVNEQVFHUzpCR05FLklRX0VCSVREQV8zWVJfQU5OX0NBR1IuMjAwMC43LzMxLzIwMTguTEZSLkYuVVNELkgBAAAA4OTdBgMAAAACTk0BCAAAAAUAAAABMQEAAAAKMTg4NzY4ODU4OAMAAAADMTYwAgAAAAQ0MjIyBAAAAAEwBwAAAAk3LzMxLzIwMTgIAAAACTMvMzEvMjAxOAkAAAABMJwL1TgICdYI1F+YbzQJ1gg8Q0lRLk5BU0RBUUdNOklNTVUuSVFfRUFSTklOR19DTy5DWTIw</t>
  </si>
  <si>
    <t>MTcuNy8xNi8yMDE4LkxGUi5GLlVTRC5IAQAAACBDBAACAAAACy0yMzMuODc4NjcyAQgAAAAFAAAAATEBAAAACjE4NzM0OTM1MjgDAAAAAzE2MAIAAAABNwQAAAABMAcAAAAJNy8xNi8yMDE4CAAAAAoxMi8zMS8yMDE3CQAAAAEwxP8bETUJ1ggS/mQSNQnWCDRDSVEuT1RDUEs6TUJWWC5JUV9FQklUX01BUkdJTi4uNy8xNi8yMDE4LkxGUi5GLlVTRC5IAQAAANhEiwIDAAAAAADep34QNQnWCJgSWRI1CdYIPUNJUS5BU1g6SU1VLklRX01JTk9SSVRZX0lOVEVSRVNUX1RPVEFMLi43LzE2LzIwMTguTEZSLkYuVVNELkgBAAAAmJOpAAMAAAAAACkclBA1CdYIMNddEjUJ1gg2Q0lRLk5BU0RBUUdTOktVUkEuSVFfRUJJVERBLjE5OTIuNy8zMS8yMDE4LkxGUi5GLlVTRC5IAQAAALjL2hACAAAABy0yNi4xOTIBCAAAAAUAAAABMQEAAAAKMTg0MjI4MDcxNwMAAAADMTYwAgAAAAQ0MDUxBAAAAAEwBwAAAAk3LzMxLzIwMTgIAAAACTMvMzEvMjAxNgkAAAABMNaMETgICdYIcySdbzQJ1ggjQ0lRLklRVFI0MTE4NzEwODIuSVFfVFJfVE9UQUxfU1RPQ0sBAAAAaqeMGAIAAAAAALKzSW80CdYINZuTbzQJ1ggxQ0lRLk5BU0RBUUdTOkJHTkUuSVFfRUFSTklOR19DTy4yMDAwLi5MRlIuRi5VU0QuSAEAAADg5N0GAgAAAAgtMjQ3LjM5NQEIAAAABQAAAAExAQAAAAoxODk5OTAwNjMxAwAAAAMxNjACAAAAATcEAAAAATAHAAAA</t>
  </si>
  <si>
    <t>CTgvMjMvMjAxOAgAAAAJNi8zMC8yMDE4CQAAAAEwnAvVOAgJ1gicC9U4CAnWCC1DSVEuTkFTREFRR1M6VFNSTy5JUV9ESVZJREVORF9ZSUVMRC43LzMxLzIwMTgBAAAAaNZYBgMAAAAAAJwL1TgICdYIJMKabzQJ1ggnQ0lRLk5BU0RBUUdTOlNHRU4uSVFfQkVUQV8yWVIuNy8xNi8yMDE4AQAAAGGFAAACAAAAEDEuNjg3MTkzNTkxNjIxNTgAxP8bETUJ1ghoYGcSNQnWCD5DSVEuTkFTREFRR1M6Sk5DRS5JUV9UT1RBTF9FUVVJVFkuQ1kyMDE2LjcvMTYvMjAxOC5MRlIuRi5VU0QuSAEAAADieZ4NAgAAAAU2OS45NQEIAAAABQAAAAExAQAAAAoxODc3NzE2NDkyAwAAAAMxNjACAAAABDEyNzUEAAAAATAHAAAACTcvMTYvMjAxOAgAAAAKMTIvMzEvMjAxNgkAAAABMN6nfhA1CdYImBJZEjUJ1ggXQ0lRLjAuSVFfVFJfQ0xPU0VEX0RBVEUFAAAAAAAAAAgAAAAYKEludmFsaWQgVHJhbnNhY3Rpb24gSWQpSVNHbzQJ1ggH4vCBNAnWCD1DSVEuTkFTREFRR1M6S1VSQS5JUV9SRVZFTlVFX0VTVC5DWTIwMjAuNy8zMS8yMDE4LkNPTi5GLlVTRC5IAQAAALjL2hACAAAABTM3Ny4zAQ4AAAAFAAAAAjExAQAAAAEwAgAAAAoxMDAzMTg0OTkxAwAAAAYxMDAxODAEAAAAATIGAAAAATAHAAAAAzE2MAgAAAABMAkAAAABMQoAAAABMAsAAAALMTEwMzMzODAzMjUMAAAAATcNAAAACDgvMS8yMDE4EAAAAAk3LzMxLzIwMTjWjBE4</t>
  </si>
  <si>
    <t>CAnWCHMknW80CdYIG0NJUS5OQVNEQVFHUzpOSy5JUV9FWENIQU5HRQEAAAANfaEPAwAAAAhOYXNkYXFHUwDWjBE4CAnWCEVr+oE0CdYIQ0NJUS5OQVNEQVFHUzpBVE5YLklRX0VCSVREQV8yWVJfQU5OX0NBR1IuMjAwMC43LzMxLzIwMTguTEZSLkYuVVNELkgBAAAA3JlrAQMAAAAAANaMETgICdYIJMKabzQJ1ggvQ0lRLklRVFI0MDM3OTE3NjcuSVFfVFJfSU1QTElFRF9FVl9GSU5BTC4uVVNELkgBAAAAl18RGAIAAAALMzA5Mi4xODIzODkBBgAAAAUAAAACNTQBAAAABjEwMjA0NQIAAAAJNDAzNzkxNzY3AwAAAAk0MDM3OTIxMDkEAAAAAzE2MAYAAAAFRmFsc2VYzxIONQnWCMDbgg41CdYIKUNJUS5JUTM2MTgzODE2LklRX0xBU1RTQUxFUFJJQ0UuNy8zMS8yMDE4AQAAAAgfKAICAAAABDIuMDMASVNHbzQJ1giB/ZVvNAnWCEZDSVEuTkFTREFRQ006U1JORS5JUV9UT1RBTF9SRVZfM1lSX0FOTl9DQUdSLjIwMDAuNy8zMS8yMDE4LkxGUi5GLlVTRC5IAQAAAElDlAMCAAAACDI0Mi4xMzUyAQgAAAAFAAAAATEBAAAACjE4ODc5ODk4MzEDAAAAAzE2MAIAAAAENDIyMAQAAAABMAcAAAAJNy8zMS8yMDE4CAAAAAkzLzMxLzIwMTgJAAAAATDWjBE4CAnWCHMknW80CdYIOUNJUS5BU1g6SU1VLklRX0VCSVREQV8zWVJfQU5OX0NBR1IuLjcvMTYvMjAxOC5MRlIuRi5VU0QuSAEAAACYk6kAAwAAAAAAKRyUEDUJ1ggw</t>
  </si>
  <si>
    <t>110SNQnWCCJDSVEuSVFUUjUzMzM4NTc0NC5JUV9UUl9UT1RBTF9DQVNIAQAAABDSyh8CAAAAAzMwMAEGAAAABQAAAAI1NAEAAAAGMTAxMDU2AgAAAAk1MzMzODU3NDQDAAAACTUzMzM4NTgyNAQAAAADMTYwBgAAAAVGYWxzZQxtEA41CdYIwNuCDjUJ1gg4Q0lRLk5BU0RBUUdTOkZQUlguSVFfRUJJVERBLkNZMjAxNy43LzMxLzIwMTguTEZSLkYuVVNELkgBAAAAN10zAAIAAAAILTE0OC44ODkBCAAAAAUAAAABMQEAAAAKMTg3NjEzNTk5MQMAAAADMTYwAgAAAAQ0MDUxBAAAAAEwBwAAAAk3LzMxLzIwMTgIAAAACjEyLzMxLzIwMTcJAAAAATDWjBE4CAnWCBnpoW80CdYIIUNJUS5OQVNEQVFHUzpNUlNOLklRX0NPTVBBTllfTkFNRQEAAADmxRgAAwAAABpNZXJzYW5hIFRoZXJhcGV1dGljcywgSW5jLgDWjBE4CAnWCOOLkw41CdYIOUNJUS5OQVNEQVFHTTpJTU1VLklRX05JX01BUkdJTi4yMDAwLjcvMzEvMjAxOC5MRlIuRi5VU0QuSAEAAAAgQwQAAwAAAAJOTQEIAAAABQAAAAExAQAAAAoxODg4NTIzMzg0AwAAAAMxNjACAAAABDQwOTQEAAAAATAHAAAACTcvMzEvMjAxOAgAAAAJMy8zMS8yMDE4CQAAAAEwnAvVOAgJ1gjUX5hvNAnWCDxDSVEuTkFTREFRR1M6QkdORS5JUV9UT1RBTF9FUVVJVFkuMjAwMC43LzMxLzIwMTguTEZSLkYuVVNELkgBAAAA4OTdBgIAAAAIMTM1OC43MjIBCAAAAAUAAAABMQEAAAAK</t>
  </si>
  <si>
    <t>MTg4NzY4ODU4OAMAAAADMTYwAgAAAAQxMjc1BAAAAAEwBwAAAAk3LzMxLzIwMTgIAAAACTMvMzEvMjAxOAkAAAABMJwL1TgICdYIgf2VbzQJ1gg5Q0lRLk5BU0RBUUdTOlRTUk8uSVFfVE9UQUxfUkVWLjE5OTYuNy8zMS8yMDE4LkxGUi5GLlVTRC5IAQAAAGjWWAYCAAAABjYwLjc5MQEIAAAABQAAAAExAQAAAAoxODg2MzM3NDUxAwAAAAMxNjACAAAAAjI4BAAAAAEwBwAAAAk3LzMxLzIwMTgIAAAACTMvMzEvMjAxNwkAAAABMJwL1TgICdYIJMKabzQJ1ggpQ0lRLk5BU0RBUUdNOklNTVUuSVFfQlVTSU5FU1NfREVTQ1JJUFRJT04BAAAAIEMEAAMAAACODkltbXVub21lZGljcywgSW5jLiwgYSBjbGluaWNhbC1zdGFnZSBiaW9waGFybWFjZXV0aWNhbCBjb21wYW55LCBmb2N1c2VzIG9uIHRoZSBkZXZlbG9wbWVudCBvZiBtb25vY2xvbmFsIGFudGlib2R5LWJhc2VkIHByb2R1Y3RzIGZvciB0aGUgdGFyZ2V0ZWQgdHJlYXRtZW50IG9mIGNhbmNlciwgYXV0b2ltbXVuZSBkaXNvcmRlcnMsIGFuZCBvdGhlciBkaXNlYXNlcy4gVGhlIGNvbXBhbnkgZW5nYWdlcyBpbiBkZXZlbG9waW5nIGFudGlib2R5LWRydWcgY29uanVnYXRlIChBREMpIHByb2R1Y3RzIGNvbXByaXNpbmcgSU1NVS0xMzIsIGFuIEFEQyB0aGF0IGNvbnRhaW5zIFNOLTM4LCB3aGljaCBpcyBpbiBQaGFzZSBJSSB0cmlhbHMgdXNlZCBmb3Ig</t>
  </si>
  <si>
    <t>dGhlIHRyZWF0bWVudCBvZiBwYXRpZW50cyB3aXRoIG1ldGFzdGF0aWMgdHJpcGxlLW5lZ2F0aXZlIGJyZWFzdCBjYW5jZXIsIGFuZCBzbWFsbC1jZWxsIGFuZCBub24tc21hbGwtY2VsbCBsdW5nIGNhbmNlcnM7IElNTVUtMTMwLCBhbiBhbnRpLUNFQUNBTjUtU04tMzggQURDIHRoYXQgaXMgaW4gUGhhc2UgSUkgdHJpYWxzIGZvciB0aGUgdHJlYXRtZW50IG9mIHNvbGlkIHR1bW9ycyBhbmQgbWV0YXN0YXRpYyBjb2xvcmVjdGFsIGNhbmNlcjsgYW5kIElNTVUtMTQwIHRoYXQgdGFyZ2V0cyBITEEtRFIgZm9yIHRoZSBwb3RlbnRpYWwgdHJlYXRtZW50IG9mIGxpcXVpZCBjYW5jZXJzLiBJdCBhbHNvIGRldmVsb3BzIHByb2R1Y3RzIGZvciB0aGUgdHJlYXRtZW50IG9mIGNhbmNlciBhbmQgYXV0b2ltbXVuZSBkaXNlYXNlcywgaW5jbHVkaW5nIGVwcmF0dXp1bWFiLCBhbnRpLUNEMjIgYW50aWJvZHk7IHZlbHR1enVtYWIsIGFudGktQ0QyMCBhbnRpYm9keTsgbWlsYXR1enVtYWIsIGFudGktQ0Q3NCBhbnRpYm9keTsgYW5kIElNTVUtMTE0LCBhIGh1bWFuaXplZCBhbnRpLUhMQS1EUiBhbnRpYm9keS4gVGhlIGNvbXBhbnkgYWxzbyBwcm92aWRlcyBMZXVrb1NjYW4sIGEgZGlhZ25vc3RpYyBpbWFnaW5nIHByb2R1Y3QgdG8gZGV0ZXJtaW5lIHRoZSBsb2NhdGlvbiBhbmQgZXh0ZW50IG9mIGluZmVjdGlv</t>
  </si>
  <si>
    <t>bi9pbmZsYW1tYXRpb24gaW4gYm9uZS4gSW4gYWRkaXRpb24sIGl0IG9mZmVycyBvdGhlciBwcm9kdWN0IGNhbmRpZGF0ZXMgZm9yIHRoZSB0cmVhdG1lbnQgb2Ygc29saWQgdHVtb3JzIGFuZCBoZW1hdG9sb2dpYyBtYWxpZ25hbmNpZXMsIGFzIHdlbGwgYXMgb3RoZXIgZGlzZWFzZXMsIHdoaWNoIGFyZSBpbiB2YXJpb3VzIHN0YWdlcyBvZiBjbGluaWNhbCBhbmQgcHJlLWNsaW5pY2FsIGRldmVsb3BtZW50LiBUaGUgY29tcGFueSBoYXMgYSByZXNlYXJjaCBjb2xsYWJvcmF0aW9uIHdpdGggVGhlIEJheWVyIEdyb3VwIHRvIHN0dWR5IGVwcmF0dXp1bWFiIGFzIGEgdGhvcml1bS0yMjctbGFiZWxlZCBhbnRpYm9keTsgYSBjb2xsYWJvcmF0aW9uIGFncmVlbWVudCB3aXRoIFVuaXZlcnNpdHkgb2YgV2lzY29uc2luIENhcmJvbmUgQ2FuY2VyIENlbnRlciB0byBleHBhbmQgSU1NVS0xMzIgaW50byBwcm9zdGF0ZSBjYW5jZXI7IGFuZCBhIGNvbGxhYm9yYXRpb24gYWdyZWVtZW50IHdpdGggWWFsZSBDYW5jZXIgQ2VudGVyIHRvIGV2YWx1YXRlIGl0cyBBREMgcHJvZHVjdCBhcyBhIHNpbmdsZSBhZ2VudCBpbiB0d28gcGhhc2UgSUkgc3R1ZGllcyBpbiBwYXRpZW50cyB3aXRoIHBlcnNpc3RlbnQgb3IgcmVjdXJyZW50IGVuZG9tZXRyaWFsIGFuZCBjZXJ2aWNhbCBjYW5jZXJzLiBJbW11bm9tZWRpY3Ms</t>
  </si>
  <si>
    <t>IEluYy4gd2FzIGZvdW5kZWQgaW4gMTk4MiBhbmQgaXMgaGVhZHF1YXJ0ZXJlZCBpbiBNb3JyaXMgUGxhaW5zLCBOZXcgSmVyc2V5LgCcC9U4CAnWCA9ljA41CdYINUNJUS5OQVNEQVFHTTpDUlZTLklRX0NBUEVYLjE5OTYuNy8zMS8yMDE4LkxGUi5GLlVTRC5IAQAAAPSwphACAAAABi0xLjY5NgEIAAAABQAAAAExAQAAAAoxODg2MzY3NTc5AwAAAAMxNjACAAAABDIwMjEEAAAAATAHAAAACTcvMzEvMjAxOAgAAAAJMy8zMS8yMDE3CQAAAAEw1owROAgJ1ggZ6aFvNAnWCCVDSVEuTkFTREFRR1M6TUdOWC5JUV9GSVJTVFBSSUNJTkdEQVRFAQAAAE8rCQAFAAAACjEwLzEwLzIwMTMARp0ZETUJ1gjCm2ISNQnWCCpDSVEuSVFUUjU2MTYwNjM2NS5JUV9UUl9UQVJHRVRfRUJJVC4uVVNELkgBAAAA3W55IQIAAAAAALKzSW80CdYINZuTbzQJ1gglQ0lRLklRVFI1MzMzODU3NDQuSVFfVFJfSU1QTElFRF9FUV9CVgEAAAAQ0sofAgAAAAAADG0QDjUJ1gjA24IONQnWCDZDSVEuTkFTREFRQ006WklPUC5JUV9FQklUREEuMjAwMC43LzMxLzIwMTguTEZSLkYuVVNELkgBAAAAs1GyAAIAAAAHLTU1LjMxNwEIAAAABQAAAAExAQAAAAoxODg3OTcyMzU5AwAAAAMxNjACAAAABDQwNTEEAAAAATAHAAAACTcvMzEvMjAxOAgAAAAJMy8zMS8yMDE4CQAAAAEw1owROAgJ1gjDhp9vNAnWCD1DSVEuTkFTREFRR1M6QVROWC5JUV9F</t>
  </si>
  <si>
    <t>QklUREFfTUFSR0lOLjIwMDAuNy8zMS8yMDE4LkxGUi5GLlVTRC5IAQAAANyZawECAAAACS0xMTEuNzcxNwEIAAAABQAAAAExAQAAAAoxODg4NzAyOTgyAwAAAAMxNjACAAAABDQwNDcEAAAAATAHAAAACTcvMzEvMjAxOAgAAAAJMy8zMS8yMDE4CQAAAAEw1owROAgJ1ggkwppvNAnWCCVDSVEuSVFUUjQxMzk1MzY2MS5JUV9UUl9JTVBMSUVEX0VRX0JWAQAAAH1urBgDAAAAAk5NALKzSW80CdYIgf2VbzQJ1gg9Q0lRLk5BU0RBUUdNOkFSUlkuSVFfUkVWRU5VRV9FU1QuQ1kyMDE5LjcvMzEvMjAxOC5DT04uRi5VU0QuSAEAAAD4YQAAAgAAAAgyNzQuMzMyOAEOAAAABQAAAAIxMQEAAAABMAIAAAAJMjU4MzgwODk0AwAAAAYxMDAxODAEAAAAATIGAAAAATAHAAAAAzE2MAgAAAABMAkAAAABMQoAAAABMAsAAAALMTA5ODQwOTMyMzEMAAAAATcNAAAACDgvMS8yMDE4EAAAAAk3LzMxLzIwMTicC9U4CAnWCNRfmG80CdYIM0NJUS5OQVNEQVFHUzpBTkFCLklRX1BFUklPRERBVEVfSVMuLjcvMTYvMjAxOC5MRlIuRgEAAAAhTLIBBQAAAAkzLzMxLzIwMTgAxP8bETUJ1ggS/mQSNQnWCCNDSVEuSVFUUjQxMzk1MzY2MS5JUV9UUl9UT1RBTF9TVE9DSwEAAAB9bqwYAgAAAAAAsrNJbzQJ1giB/ZVvNAnWCDhDSVEuTkFTREFRQ006QVZFTy5JUV9FQklUREEuQ1kyMDE3LjcvMTYvMjAxOC5MRlIuRi5VU0QuSAEAAAD0Fh0A</t>
  </si>
  <si>
    <t>AgAAAActMjYuNzA4AQgAAAAFAAAAATEBAAAACjE4NzgwODI2NTMDAAAAAzE2MAIAAAAENDA1MQQAAAABMAcAAAAJNy8xNi8yMDE4CAAAAAoxMi8zMS8yMDE3CQAAAAEwxP8bETUJ1gjCm2ISNQnWCDBDSVEuWFRSQTpNT1IuSVFfQ0FQRVguMjAwMC43LzMxLzIwMTguTEZSLkYuVVNELkgBAAAA3xECAAIAAAAJLTEuNTY2OTc5AQgAAAAFAAAAATEBAAAACjE4ODYxNTE2NDgDAAAAAzE2MAIAAAAEMjAyMQQAAAABMAcAAAAJNy8zMS8yMDE4CAAAAAkzLzMxLzIwMTgJAAAAATCcC9U4CAnWCNRfmG80CdYINUNJUS5OQVNEQVFHTTpDUlZTLklRX0NBUEVYLjE5OTIuNy8zMS8yMDE4LkxGUi5GLlVTRC5IAQAAAPSwphACAAAABi0yLjAzNwEIAAAABQAAAAExAQAAAAoxODQwMTE2MTU0AwAAAAMxNjACAAAABDIwMjEEAAAAATAHAAAACTcvMzEvMjAxOAgAAAAJMy8zMS8yMDE2CQAAAAEw1owROAgJ1ggZ6aFvNAnWCDVDSVEuTkFTREFRR006Q1JWUy5JUV9EQV9DRi4yMDAwLjcvMzEvMjAxOC5MRlIuRi5VU0QuSAEAAAD0sKYQAgAAAAUwLjg1NwEIAAAABQAAAAExAQAAAAoxODg2MzY3NTkxAwAAAAMxNjACAAAABDIxNjAEAAAAATAHAAAACTcvMzEvMjAxOAgAAAAJMy8zMS8yMDE4CQAAAAEw1owROAgJ1ggZ6aFvNAnWCDRDSVEuT1RDUEs6TUJWWC5JUV9QUkVGX0VRVUlUWS4uNy8xNi8yMDE4LkxGUi5GLlVTRC5IAQAA</t>
  </si>
  <si>
    <t>ANhEiwICAAAACDAuMDA5OTc4AQgAAAAFAAAAATEBAAAACjE4ODEyMTMyNDUDAAAAAzE2MAIAAAAEMTAwNQQAAAABMAcAAAAJNy8xNi8yMDE4CAAAAAoxMi8zMS8yMDE3CQAAAAEw3qd+EDUJ1giYElkSNQnWCDxDSVEuRU5YVFBBOklQSC5JUV9FQklUREFfMllSX0FOTl9DQUdSLi43LzE2LzIwMTguTEZSLkYuVVNELkgBAAAAmYAGAAMAAAACTk0BCAAAAAUAAAABMQEAAAAKMTg4OTU1MjE2NAMAAAACNTACAAAABDQyMDkEAAAAATAHAAAACTcvMTYvMjAxOAgAAAAKMTIvMzEvMjAxNwkAAAABMCkclBA1CdYIczlgEjUJ1gg9Q0lRLk5BU0RBUUdTOlRTUk8uSVFfRUJJVERBX01BUkdJTi4yMDAwLjcvMzEvMjAxOC5MRlIuRi5VU0QuSAEAAABo1lgGAgAAAAktMTc2Ljc3OTkBCAAAAAUAAAABMQEAAAAKMTg4NjMzNzQ2NgMAAAADMTYwAgAAAAQ0MDQ3BAAAAAEwBwAAAAk3LzMxLzIwMTgIAAAACTMvMzEvMjAxOAkAAAABMJwL1TgICdYIJMKabzQJ1ghDQ0lRLk5BU0RBUUdNOlhOQ1IuSVFfTUlOT1JJVFlfSU5URVJFU1RfVE9UQUwuLjkvMTUvMjAxNy5MRlIuRi5VU0QuSAEAAACmWgsAAwAAAAAAxP8bETUJ1ggS/mQSNQnWCCJDSVEuSVFUUjQwOTk1MTg4Ni5JUV9UUl9UT1RBTF9DQVNIAQAAAI5ebxgCAAAAAAAMbRAONQnWCMDbgg41CdYIMUNJUS5BU1g6SU1VLklRX1BSRUZfRVFVSVRZLi45LzE1LzIwMTcuTEZS</t>
  </si>
  <si>
    <t>LkYuVVNELkgBAAAAmJOpAAMAAAAAACkclBA1CdYIMNddEjUJ1gg3Q0lRLlhUUkE6TU9SLklRX0dST1NTX01BUkdJTi4yMDAwLjcvMzEvMjAxOC5MRlIuRi5VU0QuSAEAAADfEQIAAgAAAAMxMDABCAAAAAUAAAABMQEAAAAKMTg4NjE1MTY0OAMAAAACNTACAAAABDQwNzQEAAAAATAHAAAACTcvMzEvMjAxOAgAAAAJMy8zMS8yMDE4CQAAAAEwnAvVOAgJ1gjUX5hvNAnWCENDSVEuTkFTREFRQ006TVRFTS5JUV9FQklUREFfNVlSX0FOTl9DQUdSLjIwMDAuNy8zMS8yMDE4LkxGUi5GLlVTRC5IAQAAAJmbqQEDAAAAAADIMLI3CAnWCN1LpG80CdYINkNJUS5OQVNEQVFDTTpBVkVPLklRX0VBUk5JTkdfQ08uLjcvMTYvMjAxOC5MRlIuRi5VU0QuSAEAAAD0Fh0AAgAAAActNjUuMTczAQgAAAAFAAAAATEBAAAACjE4ODcyMzQyOTUDAAAAAzE2MAIAAAABNwQAAAABMAcAAAAJNy8xNi8yMDE4CAAAAAkzLzMxLzIwMTgJAAAAATDE/xsRNQnWCMKbYhI1CdYINUNJUS5YVFJBOk1PUi5JUV9FQVJOSU5HX0NPLjE5OTIuNy8zMS8yMDE4LkxGUi5GLlVTRC5IAQAAAN8RAgACAAAACi0zNy43NjY0NDgBCAAAAAUAAAABMQEAAAAKMTgzOTk0MDY5MAMAAAADMTYwAgAAAAE3BAAAAAEwBwAAAAk3LzMxLzIwMTgIAAAACTMvMzEvMjAxNgkAAAABMJwL1TgICdYI1F+YbzQJ1gglQ0lRLklRVFIyNjM3MTg2NDcuSVFfVFJfSU1QTElF</t>
  </si>
  <si>
    <t>RF9FUV9CVgEAAAD3BrgPAgAAAAAAsrNJbzQJ1giB/ZVvNAnWCClDSVEuT1RDUEs6TUJWWC5JUV9MQVNUU0FMRVBSSUNFLjkvMTUvMjAxNwEAAADYRIsCAgAAAAgyLjEwMDAwMgDep34QNQnWCJgSWRI1CdYIPENJUS5OQVNEQVFDTTpaSU9QLklRX1RPVEFMX0VRVUlUWS4xOTkyLjcvMzEvMjAxOC5MRlIuRi5VU0QuSAEAAACzUbIAAgAAAAY3Ny44MTMBCAAAAAUAAAABMQEAAAAKMTgzOTM0MTA2NwMAAAADMTYwAgAAAAQxMjc1BAAAAAEwBwAAAAk3LzMxLzIwMTgIAAAACTMvMzEvMjAxNgkAAAABMNaMETgICdYIw4afbzQJ1gg4Q0lRLk5BU0RBUUdNOklNTVUuSVFfVE9UQUxfRVFVSVRZLi43LzE2LzIwMTguTEZSLkYuVVNELkgBAAAAIEMEAAIAAAAJNzEuODE5NDM2AQgAAAAFAAAAATEBAAAACjE4ODg1MjMzODQDAAAAAzE2MAIAAAAEMTI3NQQAAAABMAcAAAAJNy8xNi8yMDE4CAAAAAkzLzMxLzIwMTgJAAAAATDE/xsRNQnWCBL+ZBI1CdYIKUNJUS5OQVNEQVFHUzpFUFpNLklRX0JVU0lORVNTX0RFU0NSSVBUSU9OAQAAAAMmPQMDAAAAlAxFcGl6eW1lLCBJbmMuLCBhIGNsaW5pY2FsIHN0YWdlIGJpb3BoYXJtYWNldXRpY2FsIGNvbXBhbnksIGRpc2NvdmVycyBhbmQgZGV2ZWxvcHMgbm92ZWwgZXBpZ2VuZXRpYyBtZWRpY2luZXMgZm9yIHBhdGllbnRzIHdpdGggY2FuY2VyIGFuZCBvdGhlciBkaXNlYXNl</t>
  </si>
  <si>
    <t>cyBpbiB0aGUgVW5pdGVkIFN0YXRlcy4gSXRzIHByb2R1Y3QgY2FuZGlkYXRlcyBpbmNsdWRlIHRhemVtZXRvc3RhdCwgYW4gaW5oaWJpdG9yIG9mIHRoZSBFWkgyLCB3aGljaCBpcyBpbiBQaGFzZSBJSSBjbGluaWNhbCB0cmlhbCBmb3IgcGF0aWVudHMgd2l0aCByZWxhcHNlZCBvciByZWZyYWN0b3J5IG5vbi1ob2Rna2luIGx5bXBob21hIChOSEwpOyBQaGFzZSBJSSBjbGluaWNhbCB0cmlhbCBmb3IgcmVsYXBzZWQgb3IgcmVmcmFjdG9yeSBwYXRpZW50cyB3aXRoIG1lc290aGVsaW9tYTsgUGhhc2UgSSBkb3NlLWVzY2FsYXRpb24gYW5kIGV4cGFuc2lvbiBzdHVkeSBmb3IgY2hpbGRyZW4gd2l0aCBJTkkxLW5lZ2F0aXZlIHNvbGlkIHR1bW9yczsgUGhhc2UgSUkgY2xpbmljYWwgdHJpYWxzIGZvciBwYXRpZW50cyB3aXRoIHJlbGFwc2VkIG9yIHJlZnJhY3RvcnkgZGlmZnVzZSBsYXJnZSBCLWNlbGwgbHltcGhvbWEgKERMQkNMKTsgUGhhc2UgSWIvSUkgY2xpbmljYWwgdHJpYWwgaW4gZWxkZXJseSBwYXRpZW50cyB3aXRoIERMQkNMOyBhbmQgUGhhc2UgSUkgY2xpbmljYWwgdHJpYWwgZm9yIHJlbGFwc2VkIG9yIHJlZnJhY3RvcnkgcGF0aWVudHMgd2l0aCBtZXNvdGhlbGlvbWEgY2hhcmFjdGVyaXplZCBieSBCQVAxIGxvc3Mtb2YtZnVuY3Rpb24sOyBhbmQgUGhhc2UgSWIvSUkgY2xpbmljYWwg</t>
  </si>
  <si>
    <t>dHJpYWwgZm9yIHRoZSB0cmVhdG1lbnQgb2YgcGF0aWVudHMgd2l0aCByZWxhcHNlZCBvciByZWZyYWN0b3J5IG1ldGFzdGF0aWMgbm9uLXNtYWxsIGNlbGwgbHVuZyBjYW5jZXIsIGFzIHdlbGwgYXMgUGhhc2UgSUkgY2xpbmljYWwgdHJpYWwgaW4gYWR1bHQgcGF0aWVudHMgd2l0aCBvdmFyaWFuIGNhbmNlci4gVGhlIGNvbXBhbnkgaXMgYWxzbyBkZXZlbG9waW5nIGFkZGl0aW9uYWwgcHJvZ3JhbXMsIHN1Y2ggYXMgcGlub21ldG9zdGF0LCBhbiBpbnRyYXZlbm91c2x5IGFkbWluaXN0ZXJlZCBzbWFsbCBtb2xlY3VsZSBpbmhpYml0b3Igb2YgRE9UMUwgZm9yIHRoZSB0cmVhdG1lbnQgb2YgYWN1dGUgbGV1a2VtaWFzOyBhbmQgUFJNVDUgaW5oaWJpdG9yIHRoYXQgaXMgaW4gUGhhc2UgSSBjbGluaWNhbCB0cmlhbCBmb3IgcGF0aWVudHMgd2l0aCBzb2xpZCB0dW1vcnMgYW5kIE5ITC4gSXQgaGFzIGNvbGxhYm9yYXRpb24gYWdyZWVtZW50cyB3aXRoIENlbGdlbmUgQ29ycG9yYXRpb24sIEdlbmVudGVjaCBJbmMuLCBhbmQgR2xheG8gR3JvdXAgTGltaXRlZCwgYXMgd2VsbCBhcyB3aXRoIFJvY2hlIE1vbGVjdWxhciBTeXN0ZW1zLCBJbmMuLCBFaXNhaSBDby4gTHRkLiwgYW5kIEx5bXBob21hIFN0dWR5IEFzc29jaWF0aW9uLiBFcGl6eW1lLCBJbmMuIHdhcyBmb3VuZGVkIGluIDIwMDcgYW5kIGlz</t>
  </si>
  <si>
    <t>IGhlYWRxdWFydGVyZWQgaW4gQ2FtYnJpZGdlLCBNYXNzYWNodXNldHRzLgDWjBE4CAnWCHMknW80CdYIKUNJUS5OQVNEQVFHUzpTR0VOLklRX0VCSVREQS4uLkxGUi5GLlVTRC5IAQAAAGGFAAACAAAACC0xNjQuOTM1AQgAAAAFAAAAATEBAAAACjE4OTcyMzM1MTgDAAAAAzE2MAIAAAAENDA1MQQAAAABMAcAAAAJOC8yMy8yMDE4CAAAAAk2LzMwLzIwMTgJAAAAATBGnRkRNQnWCEadGRE1CdYIOUNJUS5OQVNEQVFDTTpNVEVNLklRX1RPVEFMX1JFVi4xOTkyLjcvMzEvMjAxOC5MRlIuRi5VU0QuSAEAAACZm6kBAwAAAAAAyDCyNwgJ1ggZ6aFvNAnWCD1DSVEuTkFTREFRR006QVJRTC5JUV9DQVNIX1NUX0lOVkVTVC4yMDAwLjUvNS8yMDE3LkxGUi5GLlVTRC5IAQAAAPZhAAACAAAABTM3LjU0AQgAAAAFAAAAATEBAAAACjE4NDE5OTI1MTIDAAAAAzE2MAIAAAAEMTAwMgQAAAABMAcAAAAINS81LzIwMTcIAAAACTMvMzEvMjAxNwkAAAABMNaMETgICdYIw4afbzQJ1ggiQ0lRLklRVFI0MDc3NjA2OTIuSVFfVFJfVE9UQUxfQ0FTSAEAAAA0700YAgAAAAo0NjEuMzUzNDQ5AQYAAAAFAAAAAjU0AQAAAAYxMDEwNTYCAAAACTQwNzc2MDY5MgMAAAAJNDA3Nzg1MzIwBAAAAAMxNjAGAAAABUZhbHNlDG0QDjUJ1ggMPoUONQnWCDZDSVEuTkFTREFRR1M6UEJZSS5JUV9UT1RBTF9ERUJULi45LzE1LzIwMTcuTEZSLkYu</t>
  </si>
  <si>
    <t>VVNELkgBAAAAAmqsBwIAAAABMAEIAAAABQAAAAExAQAAAAoxODUyOTk0MTc2AwAAAAMxNjACAAAABDQxNzMEAAAAATAHAAAACTkvMTUvMjAxNwgAAAAJNi8zMC8yMDE3CQAAAAEwxP8bETUJ1ggS/mQSNQnWCDhDSVEuTkFTREFRR006QUZNRC5JUV9HUk9TU19NQVJHSU4uLjcvMTYvMjAxOC5MRlIuRi5VU0QuSAEAAADb9wwAAgAAAAMxMDABCAAAAAUAAAABMQEAAAAKMTg4OTg2NjA0OQMAAAACNTACAAAABDQwNzQEAAAAATAHAAAACTcvMTYvMjAxOAgAAAAJMy8zMS8yMDE4CQAAAAEwKRyUEDUJ1ggw110SNQnWCDdDSVEuWFRSQTpNT1IuSVFfRUJJVERBX0VTVC5DWTIwMTkuNy8zMS8yMDE4LkNPTi5GLlVTRC5IAQAAAN8RAgACAAAAES05MS4wNDQ1NjQxMDE0NjM3AQ4AAAAFAAAAAjExAQAAAAEwAgAAAAoxMDAwODAyMDE1AwAAAAYxMDAxODcEAAAAATMGAAAAATAHAAAAAzE2MAgAAAABMAkAAAABMQoAAAABMAsAAAALMTEwMDEzMTUyNTQMAAAAATcNAAAACDgvMS8yMDE4EAAAAAk3LzMxLzIwMTicC9U4CAnWCNRfmG80CdYIO0NJUS5OQVNEQVFDTTpNVEVNLklRX0VCSVRfTUFSR0lOLjIwMDAuNy8zMS8yMDE4LkxGUi5GLlVTRC5IAQAAAJmbqQEDAAAAAk5NAQgAAAAFAAAAATEBAAAACjE4ODg3MzMwMDQDAAAAAzE2MAIAAAAENDA1MwQAAAABMAcAAAAJNy8zMS8yMDE4CAAAAAkzLzMxLzIwMTgJAAAAATDI</t>
  </si>
  <si>
    <t>MLI3CAnWCBnpoW80CdYIN0NJUS5OQVNEQVFHUzpOSy5JUV9UT1RBTF9ERUJULjIwMDAuNS81LzIwMTcuTEZSLkYuVVNELkgBAAAADX2hDwIAAAAEOC4yMQEIAAAABQAAAAExAQAAAAoxODMxOTg3OTM3AwAAAAMxNjACAAAABDQxNzMEAAAAATAHAAAACDUvNS8yMDE3CAAAAAoxMi8zMS8yMDE2CQAAAAEw1owROAgJ1ggZ6aFvNAnWCCJDSVEuSVFUUjU1MTE2NjI5Mi5JUV9UUl9QQ1RfU09VR0hUAQAAAFQh2iACAAAAAzEwMAEGAAAABQAAAAI1NAEAAAAGMTAxMDI0AgAAAAk1NTExNjYyOTIDAAAACTU1MTE3MzM3NQQAAAADMTYwBgAAAARUcnVlDG0QDjUJ1gjA24IONQnWCD1DSVEuTkFTREFRR1M6R1RIWC5JUV9FQklUREFfTUFSR0lOLjIwMDAuNy8zMS8yMDE4LkxGUi5GLlVTRC5IAQAAAGU0aQgDAAAAAACcC9U4CAnWCCTCmm80CdYIJUNJUS5JUVRSNDExODcxMDgyLklRX1BSSU1BUllfSU5EVVNUUlkBAAAAVKOvAwMAAAAPUGhhcm1hY2V1dGljYWxzALKzSW80CdYINZuTbzQJ1ggnQ0lRLk5BU0RBUUdTOk1SU04uSVFfQkVUQV8yWVIuNy8xNi8yMDE4AQAAAObFGAACAAAAETAuNjE2MDY5NzcwNjEzMjExACkclBA1CdYIczlgEjUJ1ggyQ0lRLi5JUV9ORVRfV09SS0lOR19DQVAuMTk5Mi43LzMxLzIwMTguTEZSLkYuVVNELkgFAAAAAQAAAAgAAAAUKEludmFsaWQgSWRlbnRpZmllcin1hDJHNAnWCPWEMkc0</t>
  </si>
  <si>
    <t>CdYIOkNJUS5OQVNEQVFHTTpOTE5LLklRX0NBU0hfU1RfSU5WRVNULi45LzE1LzIwMTcuTEZSLkYuVVNELkgBAAAAlXuMAAIAAAAHMTA3Ljc3NwEIAAAABQAAAAExAQAAAAoxODUxODk2OTUzAwAAAAMxNjACAAAABDEwMDIEAAAAATAHAAAACTkvMTUvMjAxNwgAAAAJNi8zMC8yMDE3CQAAAAEwKRyUEDUJ1gjkdFsSNQnWCDRDSVEuTkFTREFRR1M6U0dFTi5JUV9SRVZFTlVFX0VTVC5DWTIwMTkuLkNPTi5GLlVTRC5IAQAAAGGFAAACAAAACTg0My42NDE0NQEOAAAABQAAAAIxMQEAAAABMAIAAAAKMTAwMDEyNDcyNwMAAAAGMTAwMTgwBAAAAAEyBgAAAAEwBwAAAAMxNjAIAAAAATAJAAAAATEKAAAAATALAAAACzExMDUyMTUwNjM1DAAAAAE3DQAAAAk4LzI0LzIwMTgQAAAACTgvMjMvMjAxOMT/GxE1CdYIxP8bETUJ1gg+Q0lRLk5BU0RBUUdTOlRTUk8uSVFfVE9UQUxfRVFVSVRZLkNZMjAxNi43LzMxLzIwMTguTEZSLkYuVVNELkgBAAAAaNZYBgIAAAAHNjI4LjExOAEIAAAABQAAAAExAQAAAAoxODc3MjI2Mjg0AwAAAAMxNjACAAAABDEyNzUEAAAAATAHAAAACTcvMzEvMjAxOAgAAAAKMTIvMzEvMjAxNgkAAAABMJwL1TgICdYIJMKabzQJ1ggiQ0lRLklRVFI0MzE4NDE1ODEuSVFfVFJfVEFSR0VUTkFNRQEAAAAtYb0ZAwAAAB1UcnVlIE5vcnRoIFRoZXJhcGV1dGljcywgSW5jLgAMbRAONQnWCAw+hQ41CdYI</t>
  </si>
  <si>
    <t>J0NJUS5OQVNEQVFHTTpGQVRFLklRX0JFVEFfNVlSLjcvMzEvMjAxOAEAAABoMVcCAgAAAA8xLjU2NDMxMTIzNjI3ODUA1owROAgJ1gjDhp9vNAnWCC9DSVEuTkFTREFRR1M6U0dFTi5JUV9FQklUREEuQ1kyMDE2Li5MRlIuRi5VU0QuSAEAAABhhQAAAgAAAAgtMTI0LjY5MQEIAAAABQAAAAExAQAAAAoxODc0Njk2MTk2AwAAAAMxNjACAAAABDQwNTEEAAAAATAHAAAACTgvMjMvMjAxOAgAAAAKMTIvMzEvMjAxNgkAAAABMEadGRE1CdYIRp0ZETUJ1ggcQ0lRLi5JUV9UUl9JTVBMSUVEX0VRX05JX0xUTQUAAAAAAAAACAAAABQoSW52YWxpZCBJZGVudGlmaWVyKZwL1TgICdYId3mADjUJ1gg1Q0lRLk5BU0RBUUdTOkJHTkUuSVFfVE9UQUxfUkVWLi43LzE2LzIwMTguTEZSLkYuVVNELkgBAAAA4OTdBgIAAAAHMjcwLjkzMQEIAAAABQAAAAExAQAAAAoxODg3Njg4NTg4AwAAAAMxNjACAAAAAjI4BAAAAAEwBwAAAAk3LzE2LzIwMTgIAAAACTMvMzEvMjAxOAkAAAABMMT/GxE1CdYIaGBnEjUJ1gg3Q0lRLk5BU0RBUUNNOkFWRU8uSVFfUFJFRl9FUVVJVFkuLjcvMTYvMjAxOC5MRlIuRi5VU0QuSAEAAAD0Fh0AAwAAAAAAxP8bETUJ1gjCm2ISNQnWCDBDSVEuQVNYOklNVS5JUV9UT1RBTF9ERUJULi45LzE1LzIwMTcuTEZSLkYuVVNELkgBAAAAmJOpAAIAAAABMAEIAAAABQAAAAExAQAAAAoxODU2ODUxMjM4AwAA</t>
  </si>
  <si>
    <t>AAMxNjACAAAABDQxNzMEAAAAATAHAAAACTkvMTUvMjAxNwgAAAAJNi8zMC8yMDE3CQAAAAEwKRyUEDUJ1ggw110SNQnWCCBDSVEuT1RDUEs6TUJWWC5JUV9QRVJJT0REQVRFX0lTLgEAAADYRIsCBQAAAAoxMi8zMS8yMDE3AN6nfhA1CdYImBJZEjUJ1gg+Q0lRLk5BU0RBUUdTOkVQWk0uSVFfVE9UQUxfRVFVSVRZLkNZMjAxNy43LzMxLzIwMTguTEZSLkYuVVNELkgBAAAAAyY9AwIAAAAHMjM1LjM3MQEIAAAABQAAAAExAQAAAAoxODc4MDgxMDY0AwAAAAMxNjACAAAABDEyNzUEAAAAATAHAAAACTcvMzEvMjAxOAgAAAAKMTIvMzEvMjAxNwkAAAABMNaMETgICdYIcySdbzQJ1ghGQ0lRLk5BU0RBUUdNOkNSSVMuSVFfVE9UQUxfUkVWXzJZUl9BTk5fQ0FHUi4yMDAwLjcvMzEvMjAxOC5MRlIuRi5VU0QuSAEAAAAXagAAAgAAAAcxMy40OTU1AQgAAAAFAAAAATEBAAAACjE4ODYyNDc0MjADAAAAAzE2MAIAAAAENDIwNwQAAAABMAcAAAAJNy8zMS8yMDE4CAAAAAkzLzMxLzIwMTgJAAAAATDIMLI3CAnWCN1LpG80CdYIIkNJUS5JUVRSMzEyMTIyNTA0LklRX1RSX1BDVF9TT1VHSFQBAAAAiJyaEgIAAAADMTAwAFjPEg41CdYIwNuCDjUJ1ggoQ0lRLk5BU0RBUUdNOkFSUUwuSVFfVEVWLjcvMzEvMjAxOC5VU0QuSAEAAAD2YQAAAgAAAAo0ODEuMTM5MTI4AQYAAAAFAAAAATEBAAAACjE4ODg3ODc0NTIDAAAAAzE2</t>
  </si>
  <si>
    <t>MAIAAAAGMTAwMDYwBAAAAAEwBwAAAAk3LzMxLzIwMTjWjBE4CAnWCHMknW80CdYIPENJUS5OQVNEQVFHUzpDQUxBLklRX0VBUk5JTkdfQ08uQ1kyMDE2LjcvMTYvMjAxOC5MRlIuRi5VU0QuSAEAAAClJ4EGAgAAAActMzguMDA0AQgAAAAFAAAAATEBAAAACjE4Nzc5NTU2MDEDAAAAAzE2MAIAAAABNwQAAAABMAcAAAAJNy8xNi8yMDE4CAAAAAoxMi8zMS8yMDE2CQAAAAEwKRyUEDUJ1gjkdFsSNQnWCDVDSVEuQVNYOklNVS5JUV9UT1RBTF9SRVYuQ1kyMDE2LjcvMTYvMjAxOC5MRlIuRi5VU0QuSAEAAACYk6kAAgAAAAgxLjIyNzEzOQEIAAAABQAAAAExAQAAAAoxODc3MzA1ODczAwAAAAMxNjACAAAAAjI4BAAAAAEwBwAAAAk3LzE2LzIwMTgIAAAACjEyLzMxLzIwMTYJAAAAATApHJQQNQnWCDDXXRI1CdYIOkNJUS5OQVNEQVFHUzpOSy5JUV9UT1RBTF9FUVVJVFkuMTk5Mi43LzMxLzIwMTguTEZSLkYuVVNELkgBAAAADX2hDwIAAAAFMzQ0LjUBCAAAAAUAAAABMQEAAAAKMTg0MDc0MTg1NwMAAAADMTYwAgAAAAQxMjc1BAAAAAEwBwAAAAk3LzMxLzIwMTgIAAAACTMvMzEvMjAxNgkAAAABMNaMETgICdYIGemhbzQJ1gghQ0lRLk5BU0RBUUdNOkFSUlkuSVFfQ09NUEFOWV9OQU1FAQAAAPhhAAADAAAAFEFycmF5IEJpb1BoYXJtYSBJbmMuAJwL1TgICdYI1F+YbzQJ1ggWQ0lRLi5JUV9DT01QQU5ZX1RJQ0tF</t>
  </si>
  <si>
    <t>UgUAAAAAAAAACAAAABQoSW52YWxpZCBJZGVudGlmaWVyKQxtEA41CdYId3mADjUJ1ggnQ0lRLk5BU0RBUUdTOkFUTlguSVFfQkVUQV8xWVIuNy8zMS8yMDE4AQAAANyZawECAAAAETAuODkxMTY1MTQ4MTAzNjQ3ANaMETgICdYIJMKabzQJ1ggpQ0lRLklRVFI0MzE4NDE1ODEuSVFfVFJfSU1QTElFRF9FUV9OSV9MVE0BAAAALWG9GQIAAAAAAAxtEA41CdYIDD6FDjUJ1ggqQ0lRLklRVFI0MjI4ODc3MDEuSVFfVFJfVEFSR0VUX0VCSVQuLlVTRC5IAQAAABXBNBkCAAAACDAuNjg3MDM3AAxtEA41CdYIwNuCDjUJ1gg7Q0lRLk5BU0RBUUdNOkxQVFguSVFfVE9UQUxfUkVWLkNZMjAxNi43LzE2LzIwMTguTEZSLkYuVVNELkgBAAAADDYJBwMAAAAAACkclBA1CdYIMNddEjUJ1gglQ0lRLk5BU0RBUUdNOk5MTksuSVFfRklSU1RQUklDSU5HREFURQEAAACVe4wABQAAAAoxMS8xNC8yMDExACkclBA1CdYI5HRbEjUJ1ggpQ0lRLklRVFI1NDgzMzgwMjAuSVFfVFJfSU1QTElFRF9FUV9OSV9MVE0BAAAAZPmuIAIAAAAAAAxtEA41CdYIwNuCDjUJ1gg5Q0lRLk5BU0RBUUdTOkFUTlguSVFfVE9UQUxfREVCVC4yMDAwLjUvNS8yMDE3LkxGUi5GLlVTRC5IAQAAANyZawECAAAABjMzLjAxMgEIAAAABQAAAAExAQAAAAoxODQyNDkwMjgxAwAAAAMxNjACAAAABDQxNzMEAAAAATAHAAAACDUvNS8yMDE3CAAAAAoxMi8zMS8y</t>
  </si>
  <si>
    <t>MDE2CQAAAAEw1owROAgJ1ggkwppvNAnWCD5DSVEuTkFTREFRR1M6TUdOWC5JUV9UT1RBTF9FUVVJVFkuQ1kyMDE3LjcvMTYvMjAxOC5MRlIuRi5VU0QuSAEAAABPKwkAAgAAAAcyOTkuMjM4AQgAAAAFAAAAATEBAAAACjE4NzYxMzUxNzIDAAAAAzE2MAIAAAAEMTI3NQQAAAABMAcAAAAJNy8xNi8yMDE4CAAAAAoxMi8zMS8yMDE3CQAAAAEwxP8bETUJ1gjCm2ISNQnWCDpDSVEuTkFTREFRR1M6R1RIWC5JUV9QUkVGX0VRVUlUWS4yMDAwLjUvNS8yMDE3LkxGUi5GLlVTRC5IAQAAAGU0aQgCAAAACjExMi4wNDgxODEBCAAAAAUAAAABMQEAAAAKMTgzODE3NzQwMAMAAAADMTYwAgAAAAQxMDA1BAAAAAEwBwAAAAg1LzUvMjAxNwgAAAAJMy8zMS8yMDE3CQAAAAEw1owROAgJ1ggkwppvNAnWCDlDSVEuTkFTREFRR1M6QkdORS5JUV9OSV9NQVJHSU4uMjAwMC43LzMxLzIwMTguTEZSLkYuVVNELkgBAAAA4OTdBgIAAAAILTU0LjI4NjEBCAAAAAUAAAABMQEAAAAKMTg4NzY4ODU4OAMAAAADMTYwAgAAAAQ0MDk0BAAAAAEwBwAAAAk3LzMxLzIwMTgIAAAACTMvMzEvMjAxOAkAAAABMJwL1TgICdYIgf2VbzQJ1gg8Q0lRLkFTWDpJTVUuSVFfVE9UQUxfUkVWXzNZUl9BTk5fQ0FHUi4uNy8xNi8yMDE4LkxGUi5GLlVTRC5IAQAAAJiTqQACAAAABjMuNjU1NAEIAAAABQAAAAExAQAAAAoxODc3MzA1MzIwAwAAAAE5AgAA</t>
  </si>
  <si>
    <t>AAQ0MjIwBAAAAAEwBwAAAAk3LzE2LzIwMTgIAAAACjEyLzMxLzIwMTcJAAAAATApHJQQNQnWCDDXXRI1CdYIKUNJUS5JUVRSMzIxODY1Mjk3LklRX1RSX0lNUExJRURfRVFfTklfTFRNAQAAAFFGLxMCAAAAAABYzxIONQnWCAw+hQ41CdYINkNJUS5OQVNEQVFHTTpBUlFMLklRX0VCSVREQS4xOTkyLjcvMzEvMjAxOC5MRlIuRi5VU0QuSAEAAAD2YQAAAgAAAActMTQuMjExAQgAAAAFAAAAATEBAAAACjE4NDE5OTI1NjkDAAAAAzE2MAIAAAAENDA1MQQAAAABMAcAAAAJNy8zMS8yMDE4CAAAAAkzLzMxLzIwMTYJAAAAATDWjBE4CAnWCHMknW80CdYIP0NJUS5OQVNEQVFHUzpDQUxBLklRX0VCSVREQV8yWVJfQU5OX0NBR1IuLjcvMTYvMjAxOC5MRlIuRi5VU0QuSAEAAAClJ4EGAwAAAAJOTQEIAAAABQAAAAExAQAAAAoxODg3OTgwMzA1AwAAAAMxNjACAAAABDQyMDkEAAAAATAHAAAACTcvMTYvMjAxOAgAAAAJMy8zMS8yMDE4CQAAAAEwKRyUEDUJ1gjkdFsSNQnWCC5DSVEuSVFUUjI1Mzk1NDQ3My5JUV9UUl9UQVJHRVRfU1RPQ0tQUkVNSVVNXzFXAQAAAKkJIw8CAAAAAACys0lvNAnWCDWbk280CdYILENJUS5OQVNEQVFHUzpUU1JPLklRX0xBU1RTQUxFUFJJQ0UuOS8xNS8yMDE3AQAAAGjWWAYCAAAABjExNy4xNgBGnRkRNQnWCBL+ZBI1CdYIIkNJUS5JUVRSNDAzNzkxNzY3LklRX1RSX1RBUkdFVE5BTUUB</t>
  </si>
  <si>
    <t>AAAAl18RGAMAAAAJRW5nTWFiIEFHAFjPEg41CdYIwNuCDjUJ1gg2Q0lRLkFTWDpJTVUuSVFfRUJJVERBX0VTVC5DWTIwMTkuNy8xNi8yMDE4LkNPTi5GLlVTRC5IAQAAAJiTqQADAAAAAAApHJQQNQnWCDDXXRI1CdYIPUNJUS5OQVNEQVFHUzpGUFJYLklRX1JFVkVOVUVfRVNULkNZMjAxOS43LzE2LzIwMTguQ09OLkYuVVNELkgBAAAAN10zAAIAAAAINjAuNTAxNzgBDgAAAAUAAAACMTEBAAAAATACAAAACjEwMDE5NTYzNDkDAAAABjEwMDE4MAQAAAABMgYAAAABMAcAAAADMTYwCAAAAAEwCQAAAAExCgAAAAEwCwAAAAsxMDk0NTU3NTA1NAwAAAABNw0AAAAJNy8xNy8yMDE4EAAAAAk3LzE2LzIwMTgpHJQQNQnWCHM5YBI1CdYIPkNJUS5OQVNEQVFHUzpDQUxBLklRX1RPVEFMX0VRVUlUWS5DWTIwMTcuNy8xNi8yMDE4LkxGUi5GLlVTRC5IAQAAAKUngQYCAAAABzE1MC4zMDcBCAAAAAUAAAABMQEAAAAKMTg3Nzk1NTcwNwMAAAADMTYwAgAAAAQxMjc1BAAAAAEwBwAAAAk3LzE2LzIwMTgIAAAACjEyLzMxLzIwMTcJAAAAATApHJQQNQnWCOR0WxI1CdYINUNJUS5OQVNEQVFDTTpBVkVPLklRX05JX01BUkdJTi4uNy8xNi8yMDE4LkxGUi5GLlVTRC5IAQAAAPQWHQADAAAAAk5NAQgAAAAFAAAAATEBAAAACjE4ODcyMzQyOTUDAAAAAzE2MAIAAAAENDA5NAQAAAABMAcAAAAJNy8xNi8yMDE4CAAAAAkzLzMxLzIw</t>
  </si>
  <si>
    <t>MTgJAAAAATDE/xsRNQnWCMKbYhI1CdYIK0NJUS5JUVRSNTYxNjA2MzY1LklRX1RSX0lNUExJRURfRVZfRUJJVF9GV0QBAAAA3W55IQIAAAAAALKzSW80CdYINZuTbzQJ1gg6Q0lRLk5BU0RBUUdTOkZQUlguSVFfUFJFRl9FUVVJVFkuMjAwMC41LzUvMjAxNy5MRlIuRi5VU0QuSAEAAAA3XTMAAwAAAAAAyDCyNwgJ1ggZ6aFvNAnWCC5DSVEuTkFTREFRR006SU1NVS5JUV9NQVJLRVRDQVAuOS8xNS8yMDE3LlVTRC5IAQAAACBDBAACAAAACzEyNTYuMzQwOTI2AQYAAAAFAAAAATEBAAAACjE4NTQzODI1NTEDAAAAAzE2MAIAAAAGMTAwMDU0BAAAAAEwBwAAAAk5LzE1LzIwMTdGnRkRNQnWCBL+ZBI1CdYII0NJUS5JUVRSMjUzOTU0NDczLklRX1RSX0NMT1NFRF9EQVRFAQAAAKkJIw8FAAAACDEvOS8yMDE0ALKzSW80CdYINZuTbzQJ1gg2Q0lRLk5BU0RBUUdTOkNUTVguSVFfVE9UQUxfREVCVC4uOS8xNS8yMDE3LkxGUi5GLlVTRC5IAQAAANw4mwMCAAAAATABCAAAAAUAAAABMQEAAAAKMTg1MjM1OTcyMgMAAAADMTYwAgAAAAQ0MTczBAAAAAEwBwAAAAk5LzE1LzIwMTcIAAAACTYvMzAvMjAxNwkAAAABMMT/GxE1CdYIwptiEjUJ1ggyQ0lRLk5BU0RBUUdNOkxQVFguSVFfRUJJVERBLi43LzE2LzIwMTguTEZSLkYuVVNELkgBAAAADDYJBwIAAAAHLTI2LjQ4OQEIAAAABQAAAAExAQAAAAoxODkwMTYzOTM2AwAA</t>
  </si>
  <si>
    <t>AAMxNjACAAAABDQwNTEEAAAAATAHAAAACTcvMTYvMjAxOAgAAAAJMy8zMS8yMDE4CQAAAAEwKRyUEDUJ1ggw110SNQnWCDhDSVEuTkFTREFRR1M6Q1RNWC5JUV9FQklUREEuQ1kyMDE3LjcvMTYvMjAxOC5MRlIuRi5VU0QuSAEAAADcOJsDAgAAAActNDQuNzE0AQgAAAAFAAAAATEBAAAACjE4NzczMTY3NjkDAAAAAzE2MAIAAAAENDA1MQQAAAABMAcAAAAJNy8xNi8yMDE4CAAAAAoxMi8zMS8yMDE3CQAAAAEwxP8bETUJ1gjCm2ISNQnWCCVDSVEuSVFUUjQyNDM0MjA0Ni5JUV9UUl9JTVBMSUVEX0VRX0JWAQAAAB7yShkCAAAAAAAMbRAONQnWCMDbgg41CdYIH0NJUS5JUTE5MDY0MjAuSVFfQ09NUEFOWV9USUNLRVIBAAAA9BYdAAMAAAANTmFzZGFxQ006QVZFTwAMbRAONQnWCKEpkQ41CdYIPkNJUS5OQVNEQVFHTTpBUlFMLklRX0NBU0hfU1RfSU5WRVNULjIwMDAuNy8zMS8yMDE4LkxGUi5GLlVTRC5IAQAAAPZhAAACAAAABjQyLjg4NAEIAAAABQAAAAExAQAAAAoxODg4Nzg4NzcwAwAAAAMxNjACAAAABDEwMDIEAAAAATAHAAAACTcvMzEvMjAxOAgAAAAJMy8zMS8yMDE4CQAAAAEw1owROAgJ1ghzJJ1vNAnWCDpDSVEuTkFTREFRR1M6QkdORS5JUV9FQVJOSU5HX0NPLjIwMDAuNy8zMS8yMDE4LkxGUi5GLlVTRC5IAQAAAODk3QYCAAAACC0xNDcuNzkyAQgAAAAFAAAAATEBAAAACjE4ODc2ODg1ODgDAAAA</t>
  </si>
  <si>
    <t>AzE2MAIAAAABNwQAAAABMAcAAAAJNy8zMS8yMDE4CAAAAAkzLzMxLzIwMTgJAAAAATCcC9U4CAnWCIH9lW80CdYIHUNJUS5OQVNEQVFHUzpFUFpNLklRX0VYQ0hBTkdFAQAAAAMmPQMDAAAACE5hc2RhcUdTANaMETgICdYIJMKabzQJ1ghCQ0lRLk5BU0RBUUdTOkFEWFMuSVFfVE9UQUxfUkVWXzNZUl9BTk5fQ0FHUi4uNy8xNi8yMDE4LkxGUi5GLlVTRC5IAQAAAJ7seAADAAAAAAApHJQQNQnWCOR0WxI1CdYIQkNJUS5OQVNEQVFHTTpJTU1VLklRX1RPVEFMX1JFVl81WVJfQU5OX0NBR1IuLjcvMTYvMjAxOC5MRlIuRi5VU0QuSAEAAAAgQwQAAgAAAAgtMTEuOTcyNgEIAAAABQAAAAExAQAAAAoxODg4NTIzMzg0AwAAAAMxNjACAAAABDQyMzMEAAAAATAHAAAACTcvMTYvMjAxOAgAAAAJMy8zMS8yMDE4CQAAAAEwxP8bETUJ1ggS/mQSNQnWCD5DSVEuTkFTREFRR1M6Q0FMQS5JUV9UT1RBTF9FUVVJVFkuQ1kyMDE2LjcvMTYvMjAxOC5MRlIuRi5VU0QuSAEAAAClJ4EGAgAAAAY0OS45MDYBCAAAAAUAAAABMQEAAAAKMTg3Nzk1NTYwMQMAAAADMTYwAgAAAAQxMjc1BAAAAAEwBwAAAAk3LzE2LzIwMTgIAAAACjEyLzMxLzIwMTYJAAAAATApHJQQNQnWCOR0WxI1CdYIQ0NJUS5OQVNEQVFHUzpBVE5YLklRX0VCSVREQV8zWVJfQU5OX0NBR1IuMjAwMC43LzMxLzIwMTguTEZSLkYuVVNELkgBAAAA3JlrAQMAAAAA</t>
  </si>
  <si>
    <t>ANaMETgICdYIJMKabzQJ1gg/Q0lRLk5BU0RBUUNNOk1URU0uSVFfTkVUX1dPUktJTkdfQ0FQLjE5OTYuNy8zMS8yMDE4LkxGUi5GLlVTRC5IAQAAAJmbqQECAAAACS0yLjY4ODQ2OQEIAAAABQAAAAExAQAAAAoxODg4NzMzMDAyAwAAAAMxNjACAAAABDEzMTEEAAAAATAHAAAACTcvMzEvMjAxOAgAAAAJMy8zMS8yMDE3CQAAAAEwyDCyNwgJ1ggZ6aFvNAnWCDdDSVEuTkFTREFRR1M6Sk5DRS5JUV9FQklUX01BUkdJTi4uNy8xNi8yMDE4LkxGUi5GLlVTRC5IAQAAAOJ5ng0CAAAACC01Mi4zMzczAQgAAAAFAAAAATEBAAAACjE4ODgxODYzNzQDAAAAAzE2MAIAAAAENDA1MwQAAAABMAcAAAAJNy8xNi8yMDE4CAAAAAkzLzMxLzIwMTgJAAAAATApHJQQNQnWCJgSWRI1CdYIMENJUS5JUVRSNTMzNjM5NTAxLklRX1RSX1RBUkdFVF9FQklUREFfRVNULi5VU0QuSAEAAABNsc4fAgAAAAAADG0QDjUJ1gjA24IONQnWCDNDSVEuTkFTREFRR1M6QkdORS5JUV9UT1RBTF9FUVVJVFkuMTk5Mi4uTEZSLkYuVVNELkgBAAAA4OTdBgIAAAAHMjIwLjA0NwEIAAAABQAAAAExAQAAAAoxODUyNzAwNTIxAwAAAAMxNjACAAAABDEyNzUEAAAAATAHAAAACTgvMjMvMjAxOAgAAAAJNi8zMC8yMDE2CQAAAAEwnAvVOAgJ1gicC9U4CAnWCDZDSVEuTkFTREFRR1M6Q0FMQS5JUV9FQklUREEuMTk5Ni43LzMxLzIwMTguTEZSLkYuVVNE</t>
  </si>
  <si>
    <t>LkgBAAAApSeBBgIAAAAHLTMzLjg0MQEIAAAABQAAAAExAQAAAAoxODg3OTgwMjc3AwAAAAMxNjACAAAABDQwNTEEAAAAATAHAAAACTcvMzEvMjAxOAgAAAAJMy8zMS8yMDE3CQAAAAEwyDCyNwgJ1gjdS6RvNAnWCC5DSVEuSVFUUjU0ODMzODAyMC5JUV9UUl9UQVJHRVRfU1RPQ0tQUkVNSVVNXzFXAQAAAGT5riACAAAAAAAMbRAONQnWCMDbgg41CdYIH0NJUS5JUTEzNDIxMTUuSVFfQ09NUEFOWV9USUNLRVIBAAAAo3oUAAMAAAAKT1RDUEs6TldCTwAMbRAONQnWCDbulQ41CdYIO0NJUS5OQVNEQVFDTTpTUk5FLklRX1BSRUZfRVFVSVRZLjIwMDAuNy8zMS8yMDE4LkxGUi5GLlVTRC5IAQAAAElDlAMDAAAAAADWjBE4CAnWCHMknW80CdYIH0NJUS5YVFJBOk1PUi5JUV9FRkZFQ1RfVEFYX1JBVEUBAAAA3xECAAMAAAACTk0BCAAAAAUAAAABMQEAAAAKMTg5ODA4MDYzMAMAAAACNTACAAAABDQzNzYEAAAAATAHAAAACTgvMjMvMjAxOAgAAAAJNi8zMC8yMDE4CQAAAAEwnAvVOAgJ1gjUX5hvNAnWCDFDSVEuSVFUUjQyNDM0MjA0Ni5JUV9UUl9UQVJHRVRfUkVWRU5VRV9FU1QuLlVTRC5IAQAAAB7yShkCAAAAAAAMbRAONQnWCMDbgg41CdYIN0NJUS5OQVNEQVFHTTpBRk1ELklRX1BSRUZfRVFVSVRZLi45LzE1LzIwMTcuTEZSLkYuVVNELkgBAAAA2/cMAAMAAAAAACkclBA1CdYIMNddEjUJ1gg7Q0lRLk5BU0RB</t>
  </si>
  <si>
    <t>UUdNOkFSUlkuSVFfVE9UQUxfUkVWLkNZMjAxNy43LzMxLzIwMTguTEZSLkYuVVNELkgBAAAA+GEAAAIAAAAGNTAuNTA3AQgAAAAFAAAAATEBAAAACjE4NzMyMDM3OTgDAAAAAzE2MAIAAAACMjgEAAAAATAHAAAACTcvMzEvMjAxOAgAAAAKMTIvMzEvMjAxNwkAAAABMJwL1TgICdYI1F+YbzQJ1ggvQ0lRLklRVFI0MzE4NDE1ODEuSVFfVFJfSU1QTElFRF9FVl9GSU5BTC4uVVNELkgBAAAALWG9GQIAAAADODI1AQYAAAAFAAAAAjU0AQAAAAYxMDIwNDUCAAAACTQzMTg0MTU4MQMAAAAJNDMxODQyMzg2BAAAAAMxNjAGAAAABUZhbHNlDG0QDjUJ1ggMPoUONQnWCDhDSVEuQVNYOklNVS5JUV9UT1RBTF9FUVVJVFkuQ1kyMDE3LjcvMTYvMjAxOC5MRlIuRi5VU0QuSAEAAACYk6kAAgAAAAkxMy45MzUwNjgBCAAAAAUAAAABMQEAAAAKMTg3NzMwNTMyMAMAAAADMTYwAgAAAAQxMjc1BAAAAAEwBwAAAAk3LzE2LzIwMTgIAAAACjEyLzMxLzIwMTcJAAAAATApHJQQNQnWCDDXXRI1CdYIIUNJUS5OQVNEQVFDTTpNVEVNLklRX0NPTVBBTllfTkFNRQEAAACZm6kBAwAAABlNb2xlY3VsYXIgVGVtcGxhdGVzLCBJbmMuAMgwsjcICdYIGemhbzQJ1ggdQ0lRLklRMjcxNTkuSVFfQ09NUEFOWV9USUNLRVIBAAAAF2oAAAMAAAANTmFzZGFxR006Q1JJUwCys0lvNAnWCN1LpG80CdYIJUNJUS5JUVRSMzcxNzE1MTE5LklRX1RS</t>
  </si>
  <si>
    <t>X0lNUExJRURfRVFfQlYBAAAAL+wnFgIAAAAAAFjPEg41CdYIwNuCDjUJ1gg7Q0lRLk5BU0RBUUNNOlpJT1AuSVFfRUJJVF9NQVJHSU4uMjAwMC43LzMxLzIwMTguTEZSLkYuVVNELkgBAAAAs1GyAAMAAAACTk0BCAAAAAUAAAABMQEAAAAKMTg4Nzk3MjM1OQMAAAADMTYwAgAAAAQ0MDUzBAAAAAEwBwAAAAk3LzMxLzIwMTgIAAAACTMvMzEvMjAxOAkAAAABMNaMETgICdYIw4afbzQJ1gg1Q0lRLk5BU0RBUUdTOktVUkEuSVFfQ0FQRVguMTk5Ni43LzMxLzIwMTguTEZSLkYuVVNELkgBAAAAuMvaEAMAAAAAANaMETgICdYIcySdbzQJ1gg7Q0lRLk5BU0RBUUdTOk5LLklRX1JFVkVOVUVfRVNULkNZMjAyMC43LzMxLzIwMTguQ09OLkYuVVNELkgBAAAADX2hDwIAAAADMC4xAQ4AAAAFAAAAAjExAQAAAAEwAgAAAAoxMDAzMTY0ODExAwAAAAYxMDAxODAEAAAAATIGAAAAATAHAAAAAzE2MAgAAAABMAkAAAABMQoAAAABMAsAAAALMTA3ODc5MDc2MjEMAAAAATcNAAAACDgvMS8yMDE4EAAAAAk3LzMxLzIwMTjWjBE4CAnWCMOGn280CdYIPUNJUS5OQVNEQVFHUzpGUFJYLklRX1JFVkVOVUVfRVNULkNZMjAyMC43LzMxLzIwMTguQ09OLkYuVVNELkgBAAAAN10zAAIAAAAINzUuNTEwMjkBDgAAAAUAAAACMTEBAAAAATACAAAACjEwMDE5NTYzNTQDAAAABjEwMDE4MAQAAAABMgYAAAABMAcAAAADMTYwCAAAAAEwCQAA</t>
  </si>
  <si>
    <t>AAExCgAAAAEwCwAAAAsxMDk0NTU3NTAwNgwAAAABNw0AAAAIOC8xLzIwMTgQAAAACTcvMzEvMjAxONaMETgICdYIGemhbzQJ1ggxQ0lRLk5BU0RBUUdTOk1SU04uSVFfQ0FQRVguLjcvMTYvMjAxOC5MRlIuRi5VU0QuSAEAAADmxRgAAgAAAAYtMC45MzkBCAAAAAUAAAABMQEAAAAKMTg4OTA5NjY1MwMAAAADMTYwAgAAAAQyMDIxBAAAAAEwBwAAAAk3LzE2LzIwMTgIAAAACTMvMzEvMjAxOAkAAAABMCkclBA1CdYIczlgEjUJ1gg4Q0lRLk5BU0RBUUdNOkZBVEUuSVFfRUJJVERBLkNZMjAxNi43LzMxLzIwMTguTEZSLkYuVVNELkgBAAAAaDFXAgIAAAAHLTMxLjA4MgEIAAAABQAAAAExAQAAAAoxODc3MDY5MDY3AwAAAAMxNjACAAAABDQwNTEEAAAAATAHAAAACTcvMzEvMjAxOAgAAAAKMTIvMzEvMjAxNgkAAAABMNaMETgICdYIw4afbzQJ1ggkQ0lRLk5BU0RBUUdNOkNSVlMuSVFfRUZGRUNUX1RBWF9SQVRFAQAAAPSwphADAAAAAADWjBE4CAnWCBnpoW80CdYIOUNJUS5OQVNEQVFHUzpFUFpNLklRX1RPVEFMX0RFQlQuMjAwMC41LzUvMjAxNy5MRlIuRi5VU0QuSAEAAAADJj0DAgAAAAQwLjczAQgAAAAFAAAAATEBAAAACjE4MzE3Mjg3NjADAAAAAzE2MAIAAAAENDE3MwQAAAABMAcAAAAINS81LzIwMTcIAAAACjEyLzMxLzIwMTYJAAAAATDWjBE4CAnWCHMknW80CdYINkNJUS5OQVNEQVFHUzpLVVJBLklR</t>
  </si>
  <si>
    <t>X0VCSVREQS4yMDAwLjcvMzEvMjAxOC5MRlIuRi5VU0QuSAEAAAC4y9oQAgAAAActNDMuMzg4AQgAAAAFAAAAATEBAAAACjE4ODczODI5MzcDAAAAAzE2MAIAAAAENDA1MQQAAAABMAcAAAAJNy8zMS8yMDE4CAAAAAkzLzMxLzIwMTgJAAAAATDWjBE4CAnWCHMknW80CdYIIENJUS5PVENQSzpOV0JPLklRX1BFUklPRERBVEVfSVMuAQAAAKN6FAAFAAAACTYvMzAvMjAxOAApHJQQNQnWCHM5YBI1CdYIKkNJUS4oSU5WQUxJRCBJREVOVElGSUVSKS5JUV9QRVJJT0REQVRFX0lTLgUAAAAAAAAACAAAABQoSW52YWxpZCBJZGVudGlmaWVyKd6nfhA1CdYImBJZEjUJ1ggpQ0lRLk5BU0RBUUdTOkFEWFMuSVFfQlVTSU5FU1NfREVTQ1JJUFRJT04BAAAAnux4AAMAAACxC0FkdmF4aXMsIEluYy4sIGEgY2xpbmljYWwgc3RhZ2UgYmlvdGVjaG5vbG9neSBjb21wYW55LCBmb2N1c2VzIG9uIHRoZSBkaXNjb3ZlcnksIGRldmVsb3BtZW50LCBhbmQgY29tbWVyY2lhbGl6YXRpb24gb2YgTGlzdGVyaWEgbW9ub2N5dG9nZW5lcyAoTG0pIHRlY2hub2xvZ3kgYmFzZWQgaW1tdW5vdGhlcmFwaWVzIGluIHRoZSBVbml0ZWQgU3RhdGVzLiBJdCBpcyBkZXZlbG9waW5nIEF4YWxpbW9nZW5lIGZpbG9saXNiYWMgYW5kIEFEWFMtRHVhbCB0aGF0IGFyZSBMbS1MTE8gaW1tdW5vdGhlcmFweSBwcm9kdWN0IGNhbmRpZGF0ZXMgZm9y</t>
  </si>
  <si>
    <t>IHRoZSB0cmVhdG1lbnQgb2YgaHVtYW4gcGFwaWxsb21hIHZpcnVzIGFzc29jaWF0ZWQgY2FuY2VycywgaW5jbHVkaW5nIGNlcnZpY2FsLCBhbmQgaGVhZCBhbmQgbmVjayBjYW5jZXJzLiBUaGUgY29tcGFueSBpcyBhbHNvIGRldmVsb3BpbmcgQXhhbGltb2dlbmUgZmlsb2xpc2JhYyBmb3IgdGhlIHRyZWF0bWVudCBvZiBhbmFsIGNhbmNlcjsgQURYUy1QU0EsIGFuIExtLUxMTyBpbW11bm90aGVyYXB5IHByb2R1Y3QgY2FuZGlkYXRlLCB3aGljaCBpcyBkZXNpZ25lZCB0byB0YXJnZXQgdGhlIHByb3N0YXRlIHNwZWNpZmljIGFudGlnZW4gYXNzb2NpYXRlZCB3aXRoIHByb3N0YXRlIGNhbmNlcjsgYW5kIEFEWFMtTkVPLCBhbiBpbmRpdmlkdWFsaXplZCBMbSB0ZWNobm9sb2d5IGFudGlnZW4gZGVsaXZlcnkgcHJvZHVjdCBjYW5kaWRhdGUgdGhhdCBpcyBkZXNpZ25lZCB0byBjcmVhdGUgaW5kaXZpZHVhbGl6ZWQgdGhlcmFwaWVzIGJ5IGFjdGl2YXRpbmcgdGhlIHBhdGllbnTigJlzIGltbXVuZSBzeXN0ZW0gdG8gcmVzcG9uZCBhZ2FpbnN0IG11bHRpcGxlIG11dGF0aW9ucyBvciBuZW9hbnRpZ2Vucy4gSW4gYWRkaXRpb24sIGl0IGlzIGRldmVsb3BpbmcgQURYUy1IT1QgZm9yIGdlbmVyYXRpbmcgcG90ZW50IGFudGktY2FuY2VyIGltbXVuaXR5OyBhbmQgQURYUy1IRVIyLCBhbiBMbSB0ZWNobm9s</t>
  </si>
  <si>
    <t>b2d5IGFudGlnZW4gZGVsaXZlcnkgcHJvZHVjdCBjYW5kaWRhdGUgdGhhdCBpcyBkZXNpZ25lZCB0byB0YXJnZXQgSEVSMiBleHByZXNzaW5nIHNvbGlkIHR1bW9ycywgaW5jbHVkaW5nIGh1bWFuIGFuZCBjYW5pbmUgb3N0ZW9zYXJjb21hLiBUaGUgY29tcGFueSBoYXMgY29sbGFib3JhdGlvbiBhbmQgbGljZW5zaW5nIGFncmVlbWVudHMgd2l0aCBCcmlzdG9sLU15ZXJzIFNxdWliYiBDb21wYW55OyBBbWdlbiBJbmMuOyBTZWxsYXMgTGlmZSBTY2llbmNlIEdyb3VwOyBNZXJjayAmIENvLiwgSW5jLjsgTWVkSW1tdW5lL0FzdHJhWmVuZWNhIFBMQzsgRXNwZWNpZmljb3MgU3RlbmRoYWwgU0EgZGUgQ1Y7IEFyYXRhbmEgVGhlcmFwZXV0aWNzIEluYy47IGFuZCBHbG9iYWwgQmlvUGhhcm1hIEluYy4gQWR2YXhpcywgSW5jLiB3YXMgZm91bmRlZCBpbiAyMDAyIGFuZCBpcyBiYXNlZCBpbiBQcmluY2V0b24sIE5ldyBKZXJzZXkuACkclBA1CdYI5HRbEjUJ1ggnQ0lRLk5BU0RBUUdNOkFSUUwuSVFfQkVUQV81WVIuNy8zMS8yMDE4AQAAAPZhAAACAAAAETAuODE2ODU2MjE4OTMzNzM5ANaMETgICdYIcySdbzQJ1gg5Q0lRLkFTWDpJTVUuSVFfRUJJVERBXzVZUl9BTk5fQ0FHUi4uNy8xNi8yMDE4LkxGUi5GLlVTRC5IAQAAAJiTqQADAAAAAk5NAQgAAAAFAAAAATEBAAAACjE4NzczMDUzMjADAAAAATkCAAAA</t>
  </si>
  <si>
    <t>BDQyMzUEAAAAATAHAAAACTcvMTYvMjAxOAgAAAAKMTIvMzEvMjAxNwkAAAABMCkclBA1CdYIMNddEjUJ1gg6Q0lRLk5BU0RBUUdTOkdUSFguSVFfVE9UQUxfREVCVC4yMDAwLjcvMzEvMjAxOC5MRlIuRi5VU0QuSAEAAABlNGkIAgAAAAEwAQgAAAAFAAAAATEBAAAACjE4ODYzNjc2NjcDAAAAAzE2MAIAAAAENDE3MwQAAAABMAcAAAAJNy8zMS8yMDE4CAAAAAkzLzMxLzIwMTgJAAAAATCcC9U4CAnWCCTCmm80CdYIPUNJUS5OQVNEQVFHUzpUU1JPLklRX0NBU0hfU1RfSU5WRVNULjIwMDAuNS81LzIwMTcuTEZSLkYuVVNELkgBAAAAaNZYBgIAAAAHNzg1Ljg3NwEIAAAABQAAAAExAQAAAAoxODI5OTg4NTQzAwAAAAMxNjACAAAABDEwMDIEAAAAATAHAAAACDUvNS8yMDE3CAAAAAoxMi8zMS8yMDE2CQAAAAEwnAvVOAgJ1ggkwppvNAnWCDVDSVEuTkFTREFRQ006U1JORS5JUV9DQVBFWC4xOTkyLjcvMzEvMjAxOC5MRlIuRi5VU0QuSAEAAABJQ5QDAgAAAAUtMy45NgEIAAAABQAAAAExAQAAAAoxODQyMjUxMTIzAwAAAAMxNjACAAAABDIwMjEEAAAAATAHAAAACTcvMzEvMjAxOAgAAAAJMy8zMS8yMDE2CQAAAAEw1owROAgJ1ghzJJ1vNAnWCCVDSVEuSVFUUjQxMzk1MzY2MS5JUV9UUl9NQUpfTUlOX1NUQUtFAQAAAH1urBgDAAAACE1ham9yaXR5ALKzSW80CdYIgf2VbzQJ1ggkQ0lRLkVOWFRQQTpJUEguSVFf</t>
  </si>
  <si>
    <t>QkVUQV81WVIuNy8xNi8yMDE4AQAAAJmABgACAAAADzEuNjQzNzMwNTU5ODYyMgApHJQQNQnWCHM5YBI1CdYIJ0NJUS5OQVNEQVFDTTpDS1BULklRX0JFVEFfMllSLjcvMTYvMjAxOAEAAAC4URYRAgAAABEwLjg0MzQ5NDU3OTM1NDk1MwApHJQQNQnWCOR0WxI1CdYIIkNJUS5JUVRSMjQ1ODMxMDA3LklRX1RSX1RBUkdFVE5BTUUBAAAAXxWnDgMAAAAbQXN0ZXggUGhhcm1hY2V1dGljYWxzLCBJbmMuALKzSW80CdYIgf2VbzQJ1ghDQ0lRLk5BU0RBUUdNOkFSUlkuSVFfRUJJVERBXzJZUl9BTk5fQ0FHUi4yMDAwLjcvMzEvMjAxOC5MRlIuRi5VU0QuSAEAAAD4YQAAAwAAAAJOTQEIAAAABQAAAAExAQAAAAoxODg4NDcwNjc2AwAAAAMxNjACAAAABDQyMDkEAAAAATAHAAAACTcvMzEvMjAxOAgAAAAJMy8zMS8yMDE4CQAAAAEwnAvVOAgJ1ggkwppvNAnWCDxDSVEuTkFTREFRR1M6VFNSTy5JUV9FQklUREFfRVNULkNZMjAyMC43LzMxLzIwMTguQ09OLkYuVVNELkgBAAAAaNZYBgIAAAAELTMwMAEOAAAABQAAAAIxMQEAAAABMAIAAAAKMTAwMTU4MDM1MAMAAAAGMTAwMTg3BAAAAAEyBgAAAAEwBwAAAAMxNjAIAAAAATAJAAAAATEKAAAAATALAAAACzEwODY5NTI1NDU0DAAAAAE3DQAAAAg4LzEvMjAxOBAAAAAJNy8zMS8yMDE4nAvVOAgJ1ggkwppvNAnWCCNDSVEuSVFUUjQwODI5MTM5NS5JUV9UUl9UT1RBTF9T</t>
  </si>
  <si>
    <t>VE9DSwEAAABDCFYYAgAAAAk2MC41Mzk2OTIBBgAAAAUAAAACNTQBAAAABjEwMTA1NwIAAAAJNDA4MjkxMzk1AwAAAAk0MDgzMDQwMTMEAAAAAzE2MAYAAAAFRmFsc2VYzxIONQnWCMDbgg41CdYILkNJUS5OQVNEQVFHUzpCR05FLklRX01BUktFVENBUC45LzE1LzIwMTcuVVNELkgBAAAA4OTdBgIAAAALMzQyMS45MDQwNzQBBgAAAAUAAAABMQEAAAAKMTg1MjY5OTYzOAMAAAADMTYwAgAAAAYxMDAwNTQEAAAAATAHAAAACTkvMTUvMjAxN0adGRE1CdYIaGBnEjUJ1gg1Q0lRLk5BU0RBUUdNOklNTVUuSVFfREFfQ0YuMjAwMC43LzMxLzIwMTguTEZSLkYuVVNELkgBAAAAIEMEAAIAAAAIMS4yMzA1NDEBCAAAAAUAAAABMQEAAAAKMTg4ODUyMzM4NAMAAAADMTYwAgAAAAQyMTYwBAAAAAEwBwAAAAk3LzMxLzIwMTgIAAAACTMvMzEvMjAxOAkAAAABMJwL1TgICdYI1F+YbzQJ1gg9Q0lRLk5BU0RBUUdNOklNTVUuSVFfUkVWRU5VRV9FU1QuQ1kyMDE4LjcvMTYvMjAxOC5DT04uRi5VU0QuSAEAAAAgQwQAAgAAAAcxMS4zNDg5AQ4AAAAFAAAAAjExAQAAAAEwAgAAAAkyODQ0MzQwMjQDAAAABjEwMDE4MAQAAAABMgYAAAABMAcAAAADMTYwCAAAAAEwCQAAAAExCgAAAAEwCwAAAAsxMDk1ODY3NjAyMwwAAAABNw0AAAAJNy8xNy8yMDE4EAAAAAk3LzE2LzIwMTjE/xsRNQnWCGhgZxI1CdYIPENJUS5OQVNEQVFHUzpN</t>
  </si>
  <si>
    <t>UlNOLklRX0dST1NTX01BUkdJTi4yMDAwLjcvMzEvMjAxOC5MRlIuRi5VU0QuSAEAAADmxRgAAgAAAAktMTk5LjM0NDMBCAAAAAUAAAABMQEAAAAKMTg4OTA5NjY1MwMAAAADMTYwAgAAAAQ0MDc0BAAAAAEwBwAAAAk3LzMxLzIwMTgIAAAACTMvMzEvMjAxOAkAAAABMNaMETgICdYIw4afbzQJ1gg1Q0lRLlhUUkE6TU9SLklRX1BSRUZfRVFVSVRZLjIwMDAuNS81LzIwMTcuTEZSLkYuVVNELkgBAAAA3xECAAMAAAAAAJwL1TgICdYI1F+YbzQJ1ggiQ0lRLklRVFIzMDc4NjM5ODQuSVFfVFJfUENUX1NPVUdIVAEAAACwoVkSAgAAAAMxMDAAWM8SDjUJ1gjA24IONQnWCBVDSVEuMC5JUV9UUl9CVVlFUk5BTUUFAAAAAAAAAAgAAAAYKEludmFsaWQgVHJhbnNhY3Rpb24gSWQpSVNHbzQJ1ggH4vCBNAnWCDtDSVEuTkFTREFRR006QVJRTC5JUV9FQklUX01BUkdJTi4yMDAwLjcvMzEvMjAxOC5MRlIuRi5VU0QuSAEAAAD2YQAAAwAAAAJOTQEIAAAABQAAAAExAQAAAAoxODg4Nzg4NzcwAwAAAAMxNjACAAAABDQwNTMEAAAAATAHAAAACTcvMzEvMjAxOAgAAAAJMy8zMS8yMDE4CQAAAAEw1owROAgJ1ghzJJ1vNAnWCDhDSVEuTkFTREFRR1M6TUdOWC5JUV9FQklUREEuQ1kyMDE3LjcvMTYvMjAxOC5MRlIuRi5VU0QuSAEAAABPKwkAAgAAAActMTQuOTE1AQgAAAAFAAAAATEBAAAACjE4NzYxMzUxNzIDAAAAAzE2MAIA</t>
  </si>
  <si>
    <t>AAAENDA1MQQAAAABMAcAAAAJNy8xNi8yMDE4CAAAAAoxMi8zMS8yMDE3CQAAAAEwxP8bETUJ1gjCm2ISNQnWCDpDSVEuTkFTREFRR1M6QVROWC5JUV9FQVJOSU5HX0NPLjE5OTYuNy8zMS8yMDE4LkxGUi5GLlVTRC5IAQAAANyZawECAAAACC0xMTguMjgxAQgAAAAFAAAAATEBAAAACjE4ODg3MDI5NzYDAAAAAzE2MAIAAAABNwQAAAABMAcAAAAJNy8zMS8yMDE4CAAAAAkzLzMxLzIwMTcJAAAAATDWjBE4CAnWCCTCmm80CdYIK0NJUS5JUVRSNTQ3NDIzNjgwLklRX1RSX1RPVEFMX0dST1NTX1RWLi5VU0QBAAAAwAWhIAIAAAALMTk2OC41ODk0MTUBBgAAAAUAAAACNTQBAAAABjEwMjA4OAIAAAAJNTQ3NDIzNjgwAwAAAAk1NDc0MzMwNjUEAAAAAzE2MAYAAAAFRmFsc2UMbRAONQnWCMDbgg41CdYIL0NJUS4oSU5WQUxJRCBJREVOVElGSUVSKS5JUV9URVYuNy8zMS8yMDE4LlVTRC5IBQAAAAAAAAAIAAAAFChJbnZhbGlkIElkZW50aWZpZXIpyDCyNwgJ1gjtNrBvNAnWCDxDSVEuTkFTREFRR1M6RlBSWC5JUV9UT1RBTF9FUVVJVFkuMTk5Ni43LzMxLzIwMTguTEZSLkYuVVNELkgBAAAAN10zAAIAAAAHMzU3LjA0OQEIAAAABQAAAAExAQAAAAoxODg3NDAyMjI0AwAAAAMxNjACAAAABDEyNzUEAAAAATAHAAAACTcvMzEvMjAxOAgAAAAJMy8zMS8yMDE3CQAAAAEwyDCyNwgJ1ggZ6aFvNAnWCC9DSVEuSVFUUjU1</t>
  </si>
  <si>
    <t>MDI1OTM5Ny5JUV9UUl9UQVJHRVRfVE9UQUxfUkVWLi5VU0QuSAEAAADFSswgAgAAAAcxMTEuODcxAQYAAAAFAAAAAjM3AQAAAAoxODc2NTY1NTI4AgAAAAIyOAMAAAADMTYwBAAAAAEwBwAAAAgxLzEvMTkwMAxtEA41CdYId3mADjUJ1gg1Q0lRLk5BU0RBUUdNOkFSUUwuSVFfQ0FQRVguMjAwMC43LzMxLzIwMTguTEZSLkYuVVNELkgBAAAA9mEAAAMAAAAAANaMETgICdYIcySdbzQJ1ggvQ0lRLklRVFI1NDc0MjM2ODAuSVFfVFJfSU1QTElFRF9FVl9GSU5BTC4uVVNELkgBAAAAwAWhIAIAAAALMTgyMy43ODA0MTUBBgAAAAUAAAACNTQBAAAABjEwMjA0NQIAAAAJNTQ3NDIzNjgwAwAAAAk1NDc0MzMwNjUEAAAAAzE2MAYAAAAFRmFsc2UMbRAONQnWCMDbgg41CdYIK0NJUS5JUVRSNTMzMzg1NzQ0LklRX1RSX0lNUExJRURfRVZfRUJJVF9GV0QBAAAAENLKHwIAAAAAAAxtEA41CdYIwNuCDjUJ1gg8Q0lRLk5BU0RBUUdNOkFSUlkuSVFfRUFSTklOR19DTy5DWTIwMTcuNy8zMS8yMDE4LkxGUi5GLlVTRC5IAQAAAPhhAAACAAAACC0xMzYuOTU2AQgAAAAFAAAAATEBAAAACjE4NzMyMDM3OTgDAAAAAzE2MAIAAAABNwQAAAABMAcAAAAJNy8zMS8yMDE4CAAAAAoxMi8zMS8yMDE3CQAAAAEwnAvVOAgJ1ggkwppvNAnWCDFDSVEuSVFUUjUzNTcxOTk5OC5JUV9UUl9UQVJHRVRfUkVWRU5VRV9FU1QuLlVTRC5IAQAA</t>
  </si>
  <si>
    <t>AD5w7h8CAAAABzg3LjgxMjQAsrNJbzQJ1giB/ZVvNAnWCDJDSVEuTkFTREFRR1M6QkdORS5JUV9FQklUREEuLjcvMTYvMjAxOC5MRlIuRi5VU0QuSAEAAADg5N0GAgAAAAgtMTUxLjU4NgEIAAAABQAAAAExAQAAAAoxODg3Njg4NTg4AwAAAAMxNjACAAAABDQwNTEEAAAAATAHAAAACTcvMTYvMjAxOAgAAAAJMy8zMS8yMDE4CQAAAAEwxP8bETUJ1ghoYGcSNQnWCDhDSVEuTkFTREFRR1M6TVJTTi5JUV9HUk9TU19NQVJHSU4uLjcvMTYvMjAxOC5MRlIuRi5VU0QuSAEAAADmxRgAAgAAAAktMTk5LjM0NDMBCAAAAAUAAAABMQEAAAAKMTg4OTA5NjY1MwMAAAADMTYwAgAAAAQ0MDc0BAAAAAEwBwAAAAk3LzE2LzIwMTgIAAAACTMvMzEvMjAxOAkAAAABMMT/GxE1CdYIczlgEjUJ1gg/Q0lRLk5BU0RBUUdTOkFEWFMuSVFfRUJJVERBXzNZUl9BTk5fQ0FHUi4uNy8xNi8yMDE4LkxGUi5GLlVTRC5IAQAAAJ7seAADAAAAAk5NAQgAAAAFAAAAATEBAAAACjE4OTI3ODg1NDgDAAAAAzE2MAIAAAAENDIyMgQAAAABMAcAAAAJNy8xNi8yMDE4CAAAAAk0LzMwLzIwMTgJAAAAATApHJQQNQnWCOR0WxI1CdYIPENJUS5OQVNEQVFDTTpaSU9QLklRX0VBUk5JTkdfQ08uQ1kyMDE3LjcvMzEvMjAxOC5MRlIuRi5VU0QuSAEAAACzUbIAAgAAAActNTQuMzIzAQgAAAAFAAAAATEBAAAACjE4NzcyMDQ0NjYDAAAAAzE2MAIAAAAB</t>
  </si>
  <si>
    <t>NwQAAAABMAcAAAAJNy8zMS8yMDE4CAAAAAoxMi8zMS8yMDE3CQAAAAEw1owROAgJ1gjDhp9vNAnWCDBDSVEuTkFTREFRR1M6RlBSWC5JUV9MQVNUU0FMRVBSSUNFLjcvMzEvMjAxOC5VU0QBAAAAN10zAAIAAAAEMTQuOQDWjBE4CAnWCBnpoW80CdYILkNJUS5JUVRSNDEzOTUzNjYxLklRX1RSX1RBUkdFVF9TVE9DS1BSRU1JVU1fMU0BAAAAfW6sGAIAAAAAALKzSW80CdYIgf2VbzQJ1gg1Q0lRLlhUUkE6TU9SLklRX0VBUk5JTkdfQ08uMjAwMC43LzMxLzIwMTguTEZSLkYuVVNELkgBAAAA3xECAAIAAAAKLTkxLjUwMjc5NAEIAAAABQAAAAExAQAAAAoxODg2MTUxNjQ4AwAAAAMxNjACAAAAATcEAAAAATAHAAAACTcvMzEvMjAxOAgAAAAJMy8zMS8yMDE4CQAAAAEwnAvVOAgJ1gjUX5hvNAnWCDZDSVEuTkFTREFRR1M6U0dFTi5JUV9FQVJOSU5HX0NPLi43LzE2LzIwMTguTEZSLkYuVVNELkgBAAAAYYUAAAIAAAAILTE3Ny4yNTUBCAAAAAUAAAABMQEAAAAKMTg4NDg5Mjg1MgMAAAADMTYwAgAAAAE3BAAAAAEwBwAAAAk3LzE2LzIwMTgIAAAACTMvMzEvMjAxOAkAAAABMMT/GxE1CdYIaGBnEjUJ1ggjQ0lRLk5BU0RBUUdTOkNUTVguSVFfUEVSSU9EREFURV9JUy4BAAAA3DibAwUAAAAJNi8zMC8yMDE4AMT/GxE1CdYIwptiEjUJ1ghDQ0lRLk5BU0RBUUdTOlRTUk8uSVFfTUlOT1JJVFlfSU5URVJFU1RfVE9U</t>
  </si>
  <si>
    <t>QUwuLjcvMTYvMjAxOC5MRlIuRi5VU0QuSAEAAABo1lgGAwAAAAAAxP8bETUJ1ggS/mQSNQnWCC1DSVEuTkFTREFRR1M6U0dFTi5JUV9UT1RBTF9ERUJULi4uTEZSLkYuVVNELkgBAAAAYYUAAAIAAAABMAEIAAAABQAAAAExAQAAAAoxODk3MjMzNTE4AwAAAAMxNjACAAAABDQxNzMEAAAAATAHAAAACTgvMjMvMjAxOAgAAAAJNi8zMC8yMDE4CQAAAAEwRp0ZETUJ1ghGnRkRNQnWCDJDSVEuTkFTREFRR1M6TVJTTi5JUV9FQklUREEuLjcvMTYvMjAxOC5MRlIuRi5VU0QuSAEAAADmxRgAAgAAAActNDMuMjkxAQgAAAAFAAAAATEBAAAACjE4ODkwOTY2NTMDAAAAAzE2MAIAAAAENDA1MQQAAAABMAcAAAAJNy8xNi8yMDE4CAAAAAkzLzMxLzIwMTgJAAAAATDE/xsRNQnWCHM5YBI1CdYIPkNJUS5OQVNEQVFDTTpTUk5FLklRX1RPVEFMX0VRVUlUWS5DWTIwMTcuNy8zMS8yMDE4LkxGUi5GLlVTRC5IAQAAAElDlAMCAAAABjIwNi42MQEIAAAABQAAAAExAQAAAAoxODc4Njc3NDU2AwAAAAMxNjACAAAABDEyNzUEAAAAATAHAAAACTcvMzEvMjAxOAgAAAAKMTIvMzEvMjAxNwkAAAABMNaMETgICdYIcySdbzQJ1gg/Q0lRLk5BU0RBUUdTOkpOQ0UuSVFfRUJJVERBXzVZUl9BTk5fQ0FHUi4uNy8xNi8yMDE4LkxGUi5GLlVTRC5IAQAAAOJ5ng0DAAAAAADep34QNQnWCJgSWRI1CdYIKUNJUS5JUVRSNTQ4MzM4MDIwLklR</t>
  </si>
  <si>
    <t>X0JVU0lORVNTX0RFU0NSSVBUSU9OAQAAANz4riADAAAAjANBcyBvZiBKYW51YXJ5IDMsIDIwMTgsIEdsb2JhbCBDb21tZXJjaWFsIFJpZ2h0cyBmb3IgVmFybGl0aW5pYiBvZiBBcnJheSBCaW9QaGFybWEgd2FzIGFjcXVpcmVkIGJ5IEFTTEFOIFBoYXJtYWNldXRpY2FscyBMaW1pdGVkLiBHbG9iYWwgQ29tbWVyY2lhbCBSaWdodHMgZm9yIFZhcmxpdGluaWIgb2YgQXJyYXkgQmlvUGhhcm1hIGNvbXByaXNlcyByaWdodHMgdG8gZGV2ZWxvcCwgbWFudWZhY3R1cmUgYW5kIGNvbW1lcmNpYWxpc2UgdmFybGl0aW5pYiB3aGljaCBpcyBhIG1vbGVjdWxlIHBhbi1IRVIgaW5oaWJpdG9yIHRoYXQgdGFyZ2V0cyB0aGUgaHVtYW4gZXBpZGVybWFsIGdyb3d0aCBmYWN0b3IgcmVjZXB0b3JzLiBUaGUgYXNzZXQgaXMgbG9jYXRlZCBpbiB0aGUgVW5pdGVkIFN0YXRlcy4ADG0QDjUJ1gjA24IONQnWCD1DSVEuTkFTREFRR1M6RVBaTS5JUV9SRVZFTlVFX0VTVC5DWTIwMjEuNy8zMS8yMDE4LkNPTi5GLlVTRC5IAQAAAAMmPQMCAAAABzI2Ny4zMDEBDgAAAAUAAAACMTEBAAAAATACAAAACjEwMDE4NjQ2MDADAAAABjEwMDE4MAQAAAABMgYAAAABMAcAAAADMTYwCAAAAAEwCQAAAAExCgAAAAEwCwAAAAsxMDk4NzE0NzY5MAwAAAABNw0AAAAIOC8xLzIwMTgQAAAACTcvMzEvMjAxONaMETgICdYIcySdbzQJ1ghGQ0lR</t>
  </si>
  <si>
    <t>Lk5BU0RBUUNNOk1URU0uSVFfVE9UQUxfUkVWXzVZUl9BTk5fQ0FHUi4yMDAwLjcvMzEvMjAxOC5MRlIuRi5VU0QuSAEAAACZm6kBAwAAAAAAyDCyNwgJ1gjdS6RvNAnWCDxDSVEuKElOVkFMSUQgSURFTlRJRklFUikuSVFfVE9UQUxfUkVWLi43LzE2LzIwMTguTEZSLkYuVVNELkgFAAAAAAAAAAgAAAAUKEludmFsaWQgSWRlbnRpZmllcinep34QNQnWCJgSWRI1CdYIPENJUS4oSU5WQUxJRCBJREVOVElGSUVSKS5JUV9OSV9NQVJHSU4uLjcvMTYvMjAxOC5MRlIuRi5VU0QuSAUAAAAAAAAACAAAABQoSW52YWxpZCBJZGVudGlmaWVyKd6nfhA1CdYImBJZEjUJ1gg9Q0lRLk5BU0RBUUdTOk5LLklRX05FVF9XT1JLSU5HX0NBUC4xOTkyLjcvMzEvMjAxOC5MRlIuRi5VU0QuSAEAAAANfaEPAgAAAAYtNC4wODIBCAAAAAUAAAABMQEAAAAKMTg0MDc0MTg1NwMAAAADMTYwAgAAAAQxMzExBAAAAAEwBwAAAAk3LzMxLzIwMTgIAAAACTMvMzEvMjAxNgkAAAABMNaMETgICdYIw4afbzQJ1ggnQ0lRLk5BU0RBUUNNOlpJT1AuSVFfQkVUQV8xWVIuNy8zMS8yMDE4AQAAALNRsgACAAAADzEuMTM3Njk3NjIxNjE5MwDWjBE4CAnWCMOGn280CdYIJ0NJUS5OQVNEQVFHTTpDUlZTLklRX0JFVEFfNVlSLjcvMzEvMjAxOAEAAAD0sKYQAgAAABEtMi4yODIwMDYyOTU3MzM0OADWjBE4CAnWCBnpoW80CdYIPENJUS5OQVNEQVFH</t>
  </si>
  <si>
    <t>UzpDVE1YLklRX0VCSVREQV9FU1QuQ1kyMDE5LjcvMTYvMjAxOC5DT04uRi5VU0QuSAEAAADcOJsDAgAAAAktNzcuNjk1MDkBDgAAAAUAAAACMTEBAAAAATACAAAACjEwMDMyMTU5NzMDAAAABjEwMDE4NwQAAAABMgYAAAABMAcAAAADMTYwCAAAAAEwCQAAAAExCgAAAAEwCwAAAAsxMDg3NDU0MDA0NQwAAAABNw0AAAAJNy8xNy8yMDE4EAAAAAk3LzE2LzIwMTjE/xsRNQnWCMKbYhI1CdYINENJUS5YVFJBOk1PUi5JUV9UT1RBTF9SRVYuMTk5Mi43LzMxLzIwMTguTEZSLkYuVVNELkgBAAAA3xECAAIAAAAJNTQuNTU3MTAyAQgAAAAFAAAAATEBAAAACjE4Mzk5NDA2OTADAAAAAzE2MAIAAAACMjgEAAAAATAHAAAACTcvMzEvMjAxOAgAAAAJMy8zMS8yMDE2CQAAAAEwnAvVOAgJ1gjUX5hvNAnWCDpDSVEuTkFTREFRR1M6QVROWC5JUV9QUkVGX0VRVUlUWS4yMDAwLjUvNS8yMDE3LkxGUi5GLlVTRC5IAQAAANyZawEDAAAAAADWjBE4CAnWCCTCmm80CdYIK0NJUS5JUVRSMzE0ODI5MjM2LklRX1RSX0lNUExJRURfRVZfRUJJVF9GV0QBAAAAtOnDEgIAAAAAAFjPEg41CdYIwNuCDjUJ1ghCQ0lRLk5BU0RBUUdNOklNTVUuSVFfVE9UQUxfUkVWXzNZUl9BTk5fQ0FHUi4uNy8xNi8yMDE4LkxGUi5GLlVTRC5IAQAAACBDBAACAAAACC0xOC40MzQxAQgAAAAFAAAAATEBAAAACjE4ODg1MjMzODQDAAAAAzE2MAIAAAAE</t>
  </si>
  <si>
    <t>NDIyMAQAAAABMAcAAAAJNy8xNi8yMDE4CAAAAAkzLzMxLzIwMTgJAAAAATDE/xsRNQnWCBL+ZBI1CdYIIkNJUS5JUVRSNTUwMjU5Mzk3LklRX1RSX1BDVF9TT1VHSFQBAAAAxUrMIAIAAAAJOTAuMjkyNzY3AAxtEA41CdYId3mADjUJ1ggdQ0lRLk5BU0RBUUdTOkFUTlguSVFfRVhDSEFOR0UBAAAA3JlrAQMAAAAITmFzZGFxR1MA1owROAgJ1ggkwppvNAnWCCxDSVEuTkFTREFRR1M6QU5BQi5JUV9MQVNUU0FMRVBSSUNFLjkvMTUvMjAxNwEAAAAhTLIBAgAAAAUzMi4wNwBGnRkRNQnWCMKbYhI1CdYINUNJUS5OQVNEQVFHUzpQQllJLklRX05JX01BUkdJTi4uNy8xNi8yMDE4LkxGUi5GLlVTRC5IAQAAAAJqrAcCAAAACS0yNTguNDIwOAEIAAAABQAAAAExAQAAAAoxODg4NjY3NzQzAwAAAAMxNjACAAAABDQwOTQEAAAAATAHAAAACTcvMTYvMjAxOAgAAAAJMy8zMS8yMDE4CQAAAAEwxP8bETUJ1ggS/mQSNQnWCB1DSVEuTkFTREFRQ006WklPUC5JUV9FWENIQU5HRQEAAACzUbIAAwAAAAhOYXNkYXFDTQDWjBE4CAnWCMOGn280CdYIJENJUS5OQVNEQVFHUzpBRFhTLklRX0VGRkVDVF9UQVhfUkFURQEAAACe7HgAAwAAAAJOTQEIAAAABQAAAAExAQAAAAoxODkyNzg4NTQ4AwAAAAMxNjACAAAABDQzNzYEAAAAATAHAAAACTgvMjMvMjAxOAgAAAAJNC8zMC8yMDE4CQAAAAEwKRyUEDUJ1gjkdFsSNQnWCC9DSVEu</t>
  </si>
  <si>
    <t>SVFUUjQyNDM0MjA0Ni5JUV9UUl9JTVBMSUVEX0VWX0ZJTkFMLi5VU0QuSAEAAAAe8koZAgAAAAg1Ljg0NDI5MwEGAAAABQAAAAI1NAEAAAAGMTAyMDQ1AgAAAAk0MjQzNDIwNDYDAAAACTQyNDM0MjY1OAQAAAADMTYwBgAAAAVGYWxzZQxtEA41CdYIwNuCDjUJ1gg4Q0lRLk5BU0RBUUdTOkFUTlguSVFfRUJJVERBLkNZMjAxNi43LzMxLzIwMTguTEZSLkYuVVNELkgBAAAA3JlrAQIAAAAHLTgzLjI3NAEIAAAABQAAAAExAQAAAAoxODc5OTA3NjE5AwAAAAMxNjACAAAABDQwNTEEAAAAATAHAAAACTcvMzEvMjAxOAgAAAAKMTIvMzEvMjAxNgkAAAABMNaMETgICdYIJMKabzQJ1gg1Q0lRLk5BU0RBUUdTOk1SU04uSVFfREFfQ0YuMjAwMC43LzMxLzIwMTguTEZSLkYuVVNELkgBAAAA5sUYAAIAAAAFMC45NzcBCAAAAAUAAAABMQEAAAAKMTg4OTA5NjY1MwMAAAADMTYwAgAAAAQyMTYwBAAAAAEwBwAAAAk3LzMxLzIwMTgIAAAACTMvMzEvMjAxOAkAAAABMNaMETgICdYIw4afbzQJ1ggoQ0lRLkFTWDpJTVUuSVFfTUFSS0VUQ0FQLjkvMTUvMjAxNy5VU0QuSAEAAACYk6kAAgAAAAgzMC4zMzEyOQEGAAAABQAAAAExAQAAAAoxODU2ODUxMjE1AwAAAAMxNjACAAAABjEwMDA1NAQAAAABMAcAAAAJOS8xNS8yMDE3KRyUEDUJ1ggw110SNQnWCCJDSVEuSVFUUjQxMTg3MTA4Mi5JUV9UUl9UQVJHRVROQU1FAQAAAGqn</t>
  </si>
  <si>
    <t>jBgDAAAAHkFjZXR5bG9uIFBoYXJtYWNldXRpY2FscywgSW5jLgCys0lvNAnWCDWbk280CdYIIENJUS5JUVRSMzE0ODI5MjM2LklRX1RSX0VBUk5PVVRTAQAAALTpwxICAAAAAzExOABYzxIONQnWCMDbgg41CdYIJUNJUS5JUVRSMzE0ODI5MjM2LklRX1RSX01BSl9NSU5fU1RBS0UBAAAAtOnDEgMAAAAITWFqb3JpdHkAWM8SDjUJ1gjA24IONQnWCClDSVEuSVFUUjMxNDgyOTIzNi5JUV9CVVNJTkVTU19ERVNDUklQVElPTgEAAABE5sMSAwAAAIoDQWRtdW5lIFRoZXJhcGV1dGljcyBMTEMsIGEgY2xpbmljYWwtc3RhZ2UgYmlvdGVjaCBjb21wYW55LCBkZXZlbG9wcyBhbmQgZGVsaXZlcnMgY3l0b2tpbmUgdGhlcmFweSBkcnVncyBmb3IgdGhlIHRyZWF0bWVudCBvZiB2YXJpb3VzIGNhbmNlcnMuIEl0IGZvY3VzZXMgb24gaGV0ZXJvZGltZXJpYyBJTC0xNSwgYW4gSUwtMTUgYWdvbmlzdCBmb3IgdmFyaW91cyBhcHBsaWNhdGlvbnMgaW4gY2FuY2VyIGltbXVub3RoZXJhcHkuIFRoZSBjb21wYW55IGlzIGJhc2VkIGluIERhbnZlcnMsIE1hc3NhY2h1c2V0dHMuIEFzIG9mIE9jdG9iZXIgMTYsIDIwMTUsIEFkbXVuZSBUaGVyYXBldXRpY3MgTExDIG9wZXJhdGVzIGFzIGEgc3Vic2lkaWFyeSBvZiBOb3ZhcnRpcyBJbnRlcm5hdGlvbmFsIEFHLgAMbRAONQnWCMDbgg41CdYIJUNJUS5JUVRSMjczNTA3MTg1</t>
  </si>
  <si>
    <t>LklRX1RSX01BSl9NSU5fU1RBS0UBAAAAcWNNEAMAAAAITWFqb3JpdHkAsrNJbzQJ1giB/ZVvNAnWCDdDSVEuTkFTREFRR1M6TksuSVFfVE9UQUxfUkVWLjE5OTIuNy8zMS8yMDE4LkxGUi5GLlVTRC5IAQAAAA19oQ8CAAAABTAuMTIyAQgAAAAFAAAAATEBAAAACjE4NDA3NDE4NTcDAAAAAzE2MAIAAAACMjgEAAAAATAHAAAACTcvMzEvMjAxOAgAAAAJMy8zMS8yMDE2CQAAAAEw1owROAgJ1gjDhp9vNAnWCDtDSVEuTkFTREFRR1M6Sk5DRS5JUV9UT1RBTF9SRVYuQ1kyMDE2LjcvMTYvMjAxOC5MRlIuRi5VU0QuSAEAAADieZ4NAgAAAAYzNy4xOTcBCAAAAAUAAAABMQEAAAAKMTg3NzcxNjQ5MgMAAAADMTYwAgAAAAIyOAQAAAABMAcAAAAJNy8xNi8yMDE4CAAAAAoxMi8zMS8yMDE2CQAAAAEwKRyUEDUJ1gjkdFsSNQnWCBZDSVEuLklRX1RSX0NMT1NFRF9EQVRFBQAAAAAAAAAIAAAAFChJbnZhbGlkIElkZW50aWZpZXIpDG0QDjUJ1gh3eYAONQnWCDdDSVEuTkFTREFRR1M6UEJZSS5JUV9QUkVGX0VRVUlUWS4uNy8xNi8yMDE4LkxGUi5GLlVTRC5IAQAAAAJqrAcDAAAAAADE/xsRNQnWCBL+ZBI1CdYIK0NJUS5JUVRSNDA4MjkxMzk1LklRX1RSX0lNUExJRURfRVZfRUJJVF9GV0QBAAAAQwhWGAIAAAAAAFjPEg41CdYIwNuCDjUJ1gg8Q0lRLk5BU0RBUUNNOkNLUFQuSVFfRUJJVERBX0VTVC5DWTIwMjAuNy8x</t>
  </si>
  <si>
    <t>Ni8yMDE4LkNPTi5GLlVTRC5IAQAAALhRFhECAAAABS00OS41AQ4AAAAFAAAAAjExAQAAAAEwAgAAAAoxMDAzNjY1NjA3AwAAAAYxMDAxODcEAAAAATIGAAAAATAHAAAAAzE2MAgAAAABMAkAAAABMQoAAAABMAsAAAALMTA4Nzg3MDQzNDYMAAAAATcNAAAACTcvMTcvMjAxOBAAAAAJNy8xNi8yMDE4KRyUEDUJ1gjkdFsSNQnWCCpDSVEuSVFUUjU1MzU0ODAyNS5JUV9UUl9UQVJHRVRfRUJJVC4uVVNELkgBAAAA+Xj+IAIAAAAJLTkuNDA0Mjk0AQcAAAAFAAAAAjM3AQAAAAoxODc3MDA1MjU3AgAAAAUyMTY3NQMAAAADMTYwBAAAAAEwBwAAAAgxLzEvMTkwMAYAAAAJMi8yMS8yMDE4srNJbzQJ1giB/ZVvNAnWCDRDSVEuT1RDUEs6TldCTy5JUV9QUkVGX0VRVUlUWS4uOS8xNS8yMDE3LkxGUi5GLlVTRC5IAQAAAKN6FAADAAAAAAApHJQQNQnWCDDXXRI1CdYIOkNJUS5OQVNEQVFHTTpDUklTLklRX0VBUk5JTkdfQ08uMTk5Ni43LzMxLzIwMTguTEZSLkYuVVNELkgBAAAAF2oAAAIAAAAHLTY2LjcxMQEIAAAABQAAAAExAQAAAAoxODg2MjQ3Mzk1AwAAAAMxNjACAAAAATcEAAAAATAHAAAACTcvMzEvMjAxOAgAAAAJMy8zMS8yMDE3CQAAAAEwyDCyNwgJ1gjdS6RvNAnWCChDSVEuLklRX0NBUEVYLjIwMDAuNy8zMS8yMDE4LkxGUi5GLlVTRC5IBQAAAAEAAAAIAAAAFChJbnZhbGlkIElkZW50aWZpZXIp9YQyRzQJ</t>
  </si>
  <si>
    <t>1gj1hDJHNAnWCBlDSVEuMC5JUV9UUl9JTVBMSUVEX0VRX0JWBQAAAAAAAAAIAAAAGChJbnZhbGlkIFRyYW5zYWN0aW9uIElkKUlTR280CdYIB+LwgTQJ1gg7Q0lRLk5BU0RBUUdTOlRTUk8uSVFfVE9UQUxfUkVWLkNZMjAxNy43LzE2LzIwMTguTEZSLkYuVVNELkgBAAAAaNZYBgIAAAAHMjIzLjMyNgEIAAAABQAAAAExAQAAAAoxODc3MjI2MzAxAwAAAAMxNjACAAAAAjI4BAAAAAEwBwAAAAk3LzE2LzIwMTgIAAAACjEyLzMxLzIwMTcJAAAAATDE/xsRNQnWCBL+ZBI1CdYIPkNJUS5OQVNEQVFHUzpDQUxBLklRX1RPVEFMX0VRVUlUWS5DWTIwMTYuNy8zMS8yMDE4LkxGUi5GLlVTRC5IAQAAAKUngQYCAAAABjQ5LjkwNgEIAAAABQAAAAExAQAAAAoxODc3OTU1NjAxAwAAAAMxNjACAAAABDEyNzUEAAAAATAHAAAACTcvMzEvMjAxOAgAAAAKMTIvMzEvMjAxNgkAAAABMMgwsjcICdYI3UukbzQJ1gg3Q0lRLk5BU0RBUUdNOkNSVlMuSVFfUEVSSU9EREFURV9JUy4yMDAwLjcvMzEvMjAxOC5MRlIuRgEAAAD0sKYQBQAAAAkzLzMxLzIwMTgA1owROAgJ1ggZ6aFvNAnWCCVDSVEuSVFUUjQwOTk1MTg4Ni5JUV9UUl9NQUpfTUlOX1NUQUtFAQAAAI5ebxgDAAAACE1ham9yaXR5AAxtEA41CdYIwNuCDjUJ1gg8Q0lRLk5BU0RBUUNNOk1URU0uSVFfRUFSTklOR19DTy5DWTIwMTYuNy8zMS8yMDE4LkxGUi5GLlVTRC5I</t>
  </si>
  <si>
    <t>AQAAAJmbqQECAAAABy0xMS4wMjgBCAAAAAUAAAABMQEAAAAKMTg4MTExODc0NAMAAAADMTYwAgAAAAE3BAAAAAEwBwAAAAk3LzMxLzIwMTgIAAAACjEyLzMxLzIwMTYJAAAAATDIMLI3CAnWCBnpoW80CdYIJUNJUS5JUVRSMjczNTA3MTg1LklRX1RSX0lNUExJRURfRVFfQlYBAAAAcWNNEAIAAAAINi42MjUzNDEBBgAAAAUAAAACNTQBAAAABjEwMjA5NwIAAAAJMjczNTA3MTg1AwAAAAkyNzM1MDc3ODcEAAAAAzE2MAYAAAAFRmFsc2Wys0lvNAnWCIH9lW80CdYIPkNJUS5OQVNEQVFHTTpJTU1VLklRX1RPVEFMX0VRVUlUWS5DWTIwMTYuNy8xNi8yMDE4LkxGUi5GLlVTRC5IAQAAACBDBAACAAAACi03NS4xODIyMzYBCAAAAAUAAAABMQEAAAAKMTg3MzQ5MzQ5MQMAAAADMTYwAgAAAAQxMjc1BAAAAAEwBwAAAAk3LzE2LzIwMTgIAAAACjEyLzMxLzIwMTYJAAAAATDE/xsRNQnWCBL+ZBI1CdYIOENJUS5OQVNEQVFHUzpDQUxBLklRX0dST1NTX01BUkdJTi4uNy8xNi8yMDE4LkxGUi5GLlVTRC5IAQAAAKUngQYCAAAABy05Mi44MDIBCAAAAAUAAAABMQEAAAAKMTg4Nzk4MDMwNQMAAAADMTYwAgAAAAQ0MDc0BAAAAAEwBwAAAAk3LzE2LzIwMTgIAAAACTMvMzEvMjAxOAkAAAABMCkclBA1CdYI5HRbEjUJ1gg+Q0lRLk5BU0RBUUNNOkNLUFQuSVFfVE9UQUxfRVFVSVRZLkNZMjAxNi43LzE2LzIwMTguTEZSLkYu</t>
  </si>
  <si>
    <t>VVNELkgBAAAAuFEWEQIAAAAGMzIuMzA1AQgAAAAFAAAAATEBAAAACjE4Nzg3ODQ1NzUDAAAAAzE2MAIAAAAEMTI3NQQAAAABMAcAAAAJNy8xNi8yMDE4CAAAAAoxMi8zMS8yMDE2CQAAAAEwKRyUEDUJ1gjkdFsSNQnWCD1DSVEuTkFTREFRR1M6QkdORS5JUV9SRVZFTlVFX0VTVC5DWTIwMjAuNy8xNi8yMDE4LkNPTi5GLlVTRC5IAQAAAODk3QYCAAAACTIzMy42NjY2NwEOAAAABQAAAAIxMQEAAAABMAIAAAAKMTAwMzMyNjI3NwMAAAAGMTAwMTgwBAAAAAEyBgAAAAEwBwAAAAMxNjAIAAAAATAJAAAAATEKAAAAATALAAAACzExMDMyMzY1OTIyDAAAAAE3DQAAAAk3LzE3LzIwMTgQAAAACTcvMTYvMjAxOMT/GxE1CdYIaGBnEjUJ1ghKQ0lRLihJTlZBTElEIElERU5USUZJRVIpLklRX0VCSVREQV8zWVJfQU5OX0NBR1IuMjAwMC43LzMxLzIwMTguTEZSLkYuVVNELkgFAAAAAAAAAAgAAAAUKEludmFsaWQgSWRlbnRpZmllcinIMLI3CAnWCO02sG80CdYIO0NJUS5OQVNEQVFHUzpNUlNOLklRX0VCSVRfTUFSR0lOLjIwMDAuNy8zMS8yMDE4LkxGUi5GLlVTRC5IAQAAAObFGAACAAAACS0yNzEuMjY2NgEIAAAABQAAAAExAQAAAAoxODg5MDk2NjUzAwAAAAMxNjACAAAABDQwNTMEAAAAATAHAAAACTcvMzEvMjAxOAgAAAAJMy8zMS8yMDE4CQAAAAEw1owROAgJ1gjDhp9vNAnWCB9DSVEuLklRX1RSX1RPVEFMX0dS</t>
  </si>
  <si>
    <t>T1NTX1RWLlVTRC5IBQAAAAAAAAAIAAAAFChJbnZhbGlkIElkZW50aWZpZXIpnAvVOAgJ1gh3eYAONQnWCCdDSVEuTkFTREFRR1M6QURYUy5JUV9CRVRBXzFZUi43LzE2LzIwMTgBAAAAnux4AAIAAAARMC44OTM2NDM2OTUyMTE1MjIAKRyUEDUJ1gjkdFsSNQnWCDlDSVEuTkFTREFRR1M6TVJTTi5JUV9OSV9NQVJHSU4uMjAwMC43LzMxLzIwMTguTEZSLkYuVVNELkgBAAAA5sUYAAIAAAAJLTI2My43OTY4AQgAAAAFAAAAATEBAAAACjE4ODkwOTY2NTMDAAAAAzE2MAIAAAAENDA5NAQAAAABMAcAAAAJNy8zMS8yMDE4CAAAAAkzLzMxLzIwMTgJAAAAATDWjBE4CAnWCMOGn280CdYIIUNJUS5JUTE0MTExMjQyMS5JUV9DT01QQU5ZX1RJQ0tFUgEAAABlNGkIAwAAAA1OYXNkYXFHUzpHVEhYALKzSW80CdYIJMKabzQJ1gguQ0lRLklRVFIzMDI4NjY2MjcuSVFfVFJfVEFSR0VUX1NUT0NLUFJFTUlVTV8xVwEAAADDYA0SAgAAAAAAWM8SDjUJ1ggMPoUONQnWCC5DSVEuTkFTREFRR1M6TVJTTi5JUV9NQVJLRVRDQVAuOS8xNS8yMDE3LlVTRC5IAQAAAObFGAACAAAACTM2Ny45NDQ1OQEGAAAABQAAAAExAQAAAAoxODUzMzUyMTI0AwAAAAMxNjACAAAABjEwMDA1NAQAAAABMAcAAAAJOS8xNS8yMDE3KRyUEDUJ1ghzOWASNQnWCC9DSVEuTkFTREFRR1M6T1ZJRC5JUV9DQVNIX0VRVUlWLi41LzQvMjAxNy4uLlVTRAEA</t>
  </si>
  <si>
    <t>AAAg0DcRAgAAAAk1MS45Mzk2NjEBCAAAAAUAAAABMQEAAAAKMTgzNTk1MzcxNgMAAAADMTYwAgAAAAQxMDk2BAAAAAEwBwAAAAg1LzQvMjAxNwgAAAAKMTIvMzEvMjAxNgkAAAABMLKzSW80CdYIr6jWgTQJ1gg7Q0lRLk5BU0RBUUdNOkFGTUQuSVFfTkVUX1dPUktJTkdfQ0FQLi43LzE2LzIwMTguTEZSLkYuVVNELkgBAAAA2/cMAAIAAAAJLTMuNTQxOTQ5AQgAAAAFAAAAATEBAAAACjE4ODk4NjYwNDkDAAAAAzE2MAIAAAAEMTMxMQQAAAABMAcAAAAJNy8xNi8yMDE4CAAAAAkzLzMxLzIwMTgJAAAAATApHJQQNQnWCDDXXRI1CdYIRkNJUS5OQVNEQVFHUzpUU1JPLklRX01JTk9SSVRZX0lOVEVSRVNUX1RPVEFMLjIwMDAuNS81LzIwMTcuTEZSLkYuVVNELkgBAAAAaNZYBgMAAAAAAJwL1TgICdYIJMKabzQJ1ggnQ0lRLk5BU0RBUUdNOkxQVFguSVFfQkVUQV8yWVIuNy8xNi8yMDE4AQAAAAw2CQcCAAAAETAuMjYxMDY5OTA5OTE3OTM4ACkclBA1CdYIMNddEjUJ1gg8Q0lRLk5BU0RBUUdNOk5MTksuSVFfRUFSTklOR19DTy5DWTIwMTcuNy8xNi8yMDE4LkxGUi5GLlVTRC5IAQAAAJV7jAACAAAABy03MS45NTEBCAAAAAUAAAABMQEAAAAKMTg3NzI5ODgxMwMAAAADMTYwAgAAAAE3BAAAAAEwBwAAAAk3LzE2LzIwMTgIAAAACjEyLzMxLzIwMTcJAAAAATApHJQQNQnWCOR0WxI1CdYIJ0NJUS5OQVNEQVFHUzpB</t>
  </si>
  <si>
    <t>RFhTLklRX0JFVEFfMllSLjcvMTYvMjAxOAEAAACe7HgAAgAAABAxLjcyMzkwOTA4OTk0MjI2ACkclBA1CdYI5HRbEjUJ1ghDQ0lRLk5BU0RBUUdTOk1SU04uSVFfRUJJVERBXzVZUl9BTk5fQ0FHUi4yMDAwLjcvMzEvMjAxOC5MRlIuRi5VU0QuSAEAAADmxRgAAwAAAAAA1owROAgJ1gjDhp9vNAnWCDtDSVEuTkFTREFRR1M6TVJTTi5JUV9UT1RBTF9SRVYuQ1kyMDE2LjcvMTYvMjAxOC5MRlIuRi5VU0QuSAEAAADmxRgAAgAAAAYyNS4xNzEBCAAAAAUAAAABMQEAAAAKMTg4MDU0NzM4MwMAAAADMTYwAgAAAAIyOAQAAAABMAcAAAAJNy8xNi8yMDE4CAAAAAoxMi8zMS8yMDE2CQAAAAEwxP8bETUJ1ghzOWASNQnWCDdDSVEuTkFTREFRR1M6QU5BQi5JUV9QUkVGX0VRVUlUWS4uNy8xNi8yMDE4LkxGUi5GLlVTRC5IAQAAACFMsgEDAAAAAADE/xsRNQnWCMKbYhI1CdYIJUNJUS5JUVRSNTM1NzE5OTk4LklRX1BSSU1BUllfSU5EVVNUUlkBAAAAP8ykBwMAAAANQmlvdGVjaG5vbG9neQCys0lvNAnWCIH9lW80CdYIOUNJUS5OQVNEQVFHTTpBUlFMLklRX1RPVEFMX1JFVi4xOTkyLjcvMzEvMjAxOC5MRlIuRi5VU0QuSAEAAAD2YQAAAgAAAAU5LjY4MQEIAAAABQAAAAExAQAAAAoxODQxOTkyNTY5AwAAAAMxNjACAAAAAjI4BAAAAAEwBwAAAAk3LzMxLzIwMTgIAAAACTMvMzEvMjAxNgkAAAABMNaMETgICdYIcySd</t>
  </si>
  <si>
    <t>bzQJ1ggpQ0lRLklRVFIzNzE3MTUxMTkuSVFfQlVTSU5FU1NfREVTQ1JJUFRJT04BAAAAv/prDAMAAACwAkNvcm1vcmFudCBQaGFybWFjZXV0aWNhbHMgQUIgZGV2ZWxvcHMgdGhlcmFwZXV0aWNzIGluY2x1ZGluZyBIdU1heC1JTDggYW50aWJvZHkgcHJvZ3JhbSBmb3IgdGhlIHRyZWF0bWVudCBvZiBjYW5jZXIgYW5kIHJhcmUgZGlzZWFzZXMuIFRoZSBjb21wYW55IHdhcyBmb3VuZGVkIGluIDIwMTAgYW5kIGlzIGJhc2VkIGluIFNvbG5hLCBTd2VkZW4uIEFzIG9mIEp1bHkgNSwgMjAxNiwgQ29ybW9yYW50IFBoYXJtYWNldXRpY2FscyBBQiBvcGVyYXRlcyBhcyBhIHN1YnNpZGlhcnkgb2YgQnJpc3RvbC1NeWVycyBTcXVpYmIgQ29tcGFueS4ADG0QDjUJ1gjA24IONQnWCC5DSVEuSVFUUjQxMTg3MTA4Mi5JUV9UUl9UQVJHRVRfU1RPQ0tQUkVNSVVNXzFNAQAAAGqnjBgCAAAAAACys0lvNAnWCDWbk280CdYIK0NJUS5JUVRSNTQyODA2Njg2LklRX1RSX0lNUExJRURfRVZfRUJJVF9GV0QBAAAAnpJaIAIAAAAAALKzSW80CdYIgf2VbzQJ1ggiQ0lRLklRVFI1NDI4MDY2ODYuSVFfVFJfVEFSR0VUTkFNRQEAAACeklogAwAAABxHbHljb3RvcGUgQmlvdGVjaG5vbG9neSBHbWJIALKzSW80CdYIgf2VbzQJ1gg9Q0lRLihJTlZBTElEIElERU5USUZJRVIpLklRX0VCSVREQS4xOTk2LjcvMzEvMjAxOC5MRlIu</t>
  </si>
  <si>
    <t>Ri5VU0QuSAUAAAAAAAAACAAAABQoSW52YWxpZCBJZGVudGlmaWVyKcgwsjcICdYI7TawbzQJ1gghQ0lRLk5BU0RBUUdTOk1HTlguSVFfQ09NUEFOWV9OQU1FAQAAAE8rCQADAAAAEU1hY3JvR2VuaWNzLCBJbmMuAEadGRE1CdYIwptiEjUJ1ggrQ0lRLklRVFIzMjE4NjUyOTcuSVFfVFJfSU1QTElFRF9FVl9FQklUX0ZXRAEAAABRRi8TAgAAAAAAWM8SDjUJ1ggMPoUONQnWCC5DSVEuTkFTREFRR1M6VFNSTy5JUV9NQVJLRVRDQVAuOS8xNS8yMDE3LlVTRC5IAQAAAGjWWAYCAAAACzYzNDcuODQyOTE0AQYAAAAFAAAAATEBAAAACjE4NTI2NjA1ODMDAAAAAzE2MAIAAAAGMTAwMDU0BAAAAAEwBwAAAAk5LzE1LzIwMTdGnRkRNQnWCBL+ZBI1CdYIQ0NJUS5OQVNEQVFHUzpDQUxBLklRX0VCSVREQV81WVJfQU5OX0NBR1IuMjAwMC43LzMxLzIwMTguTEZSLkYuVVNELkgBAAAApSeBBgMAAAAAAMgwsjcICdYI3UukbzQJ1gg8Q0lRLk5BU0RBUUdNOk5MTksuSVFfRUFSTklOR19DTy5DWTIwMTYuNy8xNi8yMDE4LkxGUi5GLlVTRC5IAQAAAJV7jAACAAAABy04NS4xNTUBCAAAAAUAAAABMQEAAAAKMTg3NzI5ODcwNQMAAAADMTYwAgAAAAE3BAAAAAEwBwAAAAk3LzE2LzIwMTgIAAAACjEyLzMxLzIwMTYJAAAAATApHJQQNQnWCOR0WxI1CdYINkNJUS5OQVNEQVFHTTpBUlFMLklRX0VCSVREQS4xOTk2LjcvMzEvMjAx</t>
  </si>
  <si>
    <t>OC5MRlIuRi5VU0QuSAEAAAD2YQAAAgAAAActMjUuMDUxAQgAAAAFAAAAATEBAAAACjE4ODg3ODg3MzcDAAAAAzE2MAIAAAAENDA1MQQAAAABMAcAAAAJNy8zMS8yMDE4CAAAAAkzLzMxLzIwMTcJAAAAATDWjBE4CAnWCHMknW80CdYIIkNJUS5JUVRSNTYzOTE5MDQ5LklRX1RSX1RBUkdFVE5BTUUBAAAAybicIQMAAAAWQVJNTyBCaW9TY2llbmNlcywgSW5jLgAMbRAONQnWCMDbgg41CdYIJ0NJUS5OQVNEQVFHUzpNR05YLklRX0JFVEFfMVlSLjcvMTYvMjAxOAEAAABPKwkAAgAAABEwLjUwMjgxOTU0MjM5Njk3NADE/xsRNQnWCMKbYhI1CdYIPENJUS5OQVNEQVFHTTpBUlFMLklRX0VCSVREQV9FU1QuQ1kyMDIwLjcvMzEvMjAxOC5DT04uRi5VU0QuSAEAAAD2YQAAAwAAAAAA1owROAgJ1ghzJJ1vNAnWCClDSVEuSVFUUjQxMzk1MzY2MS5JUV9UUl9JTVBMSUVEX0VRX05JX0xUTQEAAAB9bqwYAwAAAAJOTQCys0lvNAnWCIH9lW80CdYIP0NJUS4oSU5WQUxJRCBJREVOVElGSUVSKS5JUV9FQklUREEuQ1kyMDE3LjcvMzEvMjAxOC5MRlIuRi5VU0QuSAUAAAAAAAAACAAAABQoSW52YWxpZCBJZGVudGlmaWVyKcgwsjcICdYI7TawbzQJ1ggiQ0lRLklRVFIzMDc4NjM5ODQuSVFfVFJfVE9UQUxfQ0FTSAEAAACwoVkSAgAAAAI5NQEGAAAABQAAAAI1NAEAAAAGMTAxMDU2AgAAAAkzMDc4NjM5ODQDAAAACTMwNzg2</t>
  </si>
  <si>
    <t>NDI4MAQAAAADMTYwBgAAAAVGYWxzZVjPEg41CdYIwNuCDjUJ1gg3Q0lRLk5BU0RBUUdTOkNBTEEuSVFfRUJJVF9NQVJHSU4uLjcvMTYvMjAxOC5MRlIuRi5VU0QuSAEAAAClJ4EGAgAAAAktMTQwLjAzNDEBCAAAAAUAAAABMQEAAAAKMTg4Nzk4MDMwNQMAAAADMTYwAgAAAAQ0MDUzBAAAAAEwBwAAAAk3LzE2LzIwMTgIAAAACTMvMzEvMjAxOAkAAAABMCkclBA1CdYI5HRbEjUJ1ggrQ0lRLklRVFI0MDc3NjA2OTIuSVFfVFJfVE9UQUxfR1JPU1NfVFYuLlVTRAEAAAA0700YAgAAAAsxNDAxLjU1MjQyMgEGAAAABQAAAAI1NAEAAAAGMTAyMDg4AgAAAAk0MDc3NjA2OTIDAAAACTQwNzc4NTMyMAQAAAADMTYwBgAAAAVGYWxzZQxtEA41CdYIDD6FDjUJ1gg0Q0lRLk5BU0RBUUdTOk5LLklRX0VCSVREQS4yMDAwLjcvMzEvMjAxOC5MRlIuRi5VU0QuSAEAAAANfaEPAgAAAActOTUuOTEzAQgAAAAFAAAAATEBAAAACjE4ODcxMTg3OTEDAAAAAzE2MAIAAAAENDA1MQQAAAABMAcAAAAJNy8zMS8yMDE4CAAAAAkzLzMxLzIwMTgJAAAAATDWjBE4CAnWCMOGn280CdYINUNJUS5OQVNEQVFHTTpJTU1VLklRX0NBUEVYLjE5OTYuNy8zMS8yMDE4LkxGUi5GLlVTRC5IAQAAACBDBAACAAAACS0xLjYyNDgyMgEIAAAABQAAAAExAQAAAAoxODg4NTIzMzkyAwAAAAMxNjACAAAABDIwMjEEAAAAATAHAAAACTcvMzEvMjAxOAgA</t>
  </si>
  <si>
    <t>AAAJMy8zMS8yMDE3CQAAAAEwnAvVOAgJ1gjUX5hvNAnWCCFDSVEuSVFUUjU1MTE2NjI5Mi5JUV9UUl9CVVlFUk5BTUUBAAAAVCHaIAMAAAAWU2VhdHRsZSBHZW5ldGljcywgSW5jLgAMbRAONQnWCMDbgg41CdYIRkNJUS5OQVNEQVFHUzpFUFpNLklRX1RPVEFMX1JFVl8yWVJfQU5OX0NBR1IuMjAwMC43LzMxLzIwMTguTEZSLkYuVVNELkgBAAAAAyY9AwIAAAAIMTE3LjEzNDkBCAAAAAUAAAABMQEAAAAKMTg4NzI0NjA3NwMAAAADMTYwAgAAAAQ0MjA3BAAAAAEwBwAAAAk3LzMxLzIwMTgIAAAACTMvMzEvMjAxOAkAAAABMNaMETgICdYIcySdbzQJ1gggQ0lRLklRVFI1MzMzODU3NDQuSVFfVFJfRUFSTk9VVFMBAAAAENLKHwIAAAAEMjAyMAEGAAAABQAAAAI1NAEAAAAGMTAxNDAzAgAAAAk1MzMzODU3NDQDAAAACTUzMzM4NTgyNAQAAAADMTYwBgAAAAVGYWxzZQxtEA41CdYIwNuCDjUJ1gguQ0lRLihJTlZBTElEIElERU5USUZJRVIpLklRX0JFVEFfNVlSLjcvMzEvMjAxOAUAAAAAAAAACAAAABQoSW52YWxpZCBJZGVudGlmaWVyKcgwsjcICdYI7TawbzQJ1ggyQ0lRLihJTlZBTElEIElERU5USUZJRVIpLklRX0xBU1RTQUxFUFJJQ0UuNS81LzIwMTcFAAAAAAAAAAgAAAAUKEludmFsaWQgSWRlbnRpZmllcinIMLI3CAnWCO02sG80CdYIPUNJUS5OQVNEQVFHTTpBUlJZLklRX1JFVkVOVUVfRVNULkNZMjAx</t>
  </si>
  <si>
    <t>OC43LzMxLzIwMTguQ09OLkYuVVNELkgBAAAA+GEAAAIAAAAIMTg4LjYzMzgBDgAAAAUAAAACMTEBAAAAATACAAAACTI1ODM4MDg5MwMAAAAGMTAwMTgwBAAAAAEyBgAAAAEwBwAAAAMxNjAIAAAAATAJAAAAATEKAAAAATALAAAACzEwOTk0NjE3OTIxDAAAAAE3DQAAAAg4LzEvMjAxOBAAAAAJNy8zMS8yMDE4nAvVOAgJ1gjUX5hvNAnWCDFDSVEuSVFUUjQwOTk1MTg4Ni5JUV9UUl9UQVJHRVRfUkVWRU5VRV9FU1QuLlVTRC5IAQAAAI5ebxgCAAAAAAAMbRAONQnWCMDbgg41CdYIKUNJUS5OQVNEQVFDTTpNVEVNLklRX0JVU0lORVNTX0RFU0NSSVBUSU9OAQAAAJmbqQEDAAAAmQVNb2xlY3VsYXIgVGVtcGxhdGVzLCBJbmMuLCBhIGNsaW5pY2FsIHN0YWdlIGJpb3BoYXJtYWNldXRpY2FsIGNvbXBhbnksIGZvY3VzZXMgb24gdGhlIGRpc2NvdmVyeSBhbmQgZGV2ZWxvcG1lbnQgb2YgYmlvbG9naWMgdGhlcmFwZXV0aWNzIGZvciB0aGUgdHJlYXRtZW50IG9mIGNhbmNlciBhbmQgb3RoZXIgZGlzZWFzZXMuIFRoZSBjb21wYW55IHByaW1hcmlseSBkZXZlbG9wcyBhIHBpcGVsaW5lIG9mIGVuZ2luZWVyZWQgdG94aW4gYm9kaWVzLiBJdHMgbGVhZCBkcnVnIGNhbmRpZGF0ZSBpcyBNVC0zNzI0IHRoYXQgaXMgaW4gYSBQaGFzZSBJIGNsaW5pY2FsIHRyaWFsIGZvciB0aGUgdHJlYXRtZW50IG9mIHJlbGFwc2Vk</t>
  </si>
  <si>
    <t>L3JlZnJhY3Rvcnkgbm9uLUhvZGdraW7igJlzIGx5bXBob21hIGFuZCBCLWNlbGwgbHltcGhvbWEuIFRoZSBjb21wYW55IGFsc28gZGV2ZWxvcHMgTVQtNDAxOSwgYSBwcmVjbGluaWNhbCBkcnVnIGNhbmRpZGF0ZSB0YXJnZXRpbmcgQ0QzODsgYW5kIG90aGVyIGNhbmRpZGF0ZXMgdGhhdCBhcmUgaW4gcHJlLWNsaW5pY2FsIGRldmVsb3BtZW50IGZvciB0aGUgdHJlYXRtZW50IG9mIHNvbGlkIGFuZCBoZW1hdG9sb2dpY2FsIGNhbmNlcnMuIE1vbGVjdWxhciBUZW1wbGF0ZXMsIEluYy4gaXMgaGVhZHF1YXJ0ZXJlZCBpbiBBdXN0aW4sIFRleGFzLgDIMLI3CAnWCBnpoW80CdYIK0NJUS5JUVRSMjQ1ODMxMDA3LklRX1RSX1RPVEFMX0dST1NTX1RWLi5VU0QBAAAAXxWnDgIAAAAKODgyLjA5NjYxNwCys0lvNAnWCIH9lW80CdYIOUNJUS4uSVFfVE9UQUxfUkVWXzNZUl9BTk5fQ0FHUi4yMDAwLjcvMzEvMjAxOC5MRlIuRi5VU0QuSAUAAAABAAAACAAAABQoSW52YWxpZCBJZGVudGlmaWVyKfWEMkc0CdYI9YQyRzQJ1ggjQ0lRLk5BU0RBUUdTOkpOQ0UuSVFfUEVSSU9EREFURV9JUy4BAAAA4nmeDQUAAAAJNi8zMC8yMDE4ACkclBA1CdYI5HRbEjUJ1ggnQ0lRLk5BU0RBUUNNOkNLUFQuSVFfQkVUQV81WVIuNy8xNi8yMDE4AQAAALhRFhEDAAAAAAApHJQQNQnWCOR0WxI1CdYIQ0NJUS4oSU5WQUxJRCBJREVO</t>
  </si>
  <si>
    <t>VElGSUVSKS5JUV9FQVJOSU5HX0NPLkNZMjAxNi43LzMxLzIwMTguTEZSLkYuVVNELkgFAAAAAAAAAAgAAAAUKEludmFsaWQgSWRlbnRpZmllcinIMLI3CAnWCO02sG80CdYIPUNJUS5OQVNEQVFHUzpBTkFCLklRX1JFVkVOVUVfRVNULkNZMjAyMS43LzE2LzIwMTguQ09OLkYuVVNELkgBAAAAIUyyAQIAAAAGMjIuMTc0AQ4AAAAFAAAAAjExAQAAAAEwAgAAAAoxMDAzNjI5NDQ0AwAAAAYxMDAxODAEAAAAATIGAAAAATAHAAAAAzE2MAgAAAABMAkAAAABMQoAAAABMAsAAAALMTA4ODc1MTMzNDEMAAAAATcNAAAACTcvMTcvMjAxOBAAAAAJNy8xNi8yMDE4xP8bETUJ1gjCm2ISNQnWCENDSVEuTkFTREFRR1M6TVJTTi5JUV9FQklUREFfM1lSX0FOTl9DQUdSLjIwMDAuNy8zMS8yMDE4LkxGUi5GLlVTRC5IAQAAAObFGAADAAAAAADWjBE4CAnWCMOGn280CdYIIkNJUS4uSVFfVFJfVEFSR0VUX1RPVEFMX1JFVi4uVVNELkgFAAAAAAAAAAgAAAAUKEludmFsaWQgSWRlbnRpZmllcimcC9U4CAnWCHd5gA41CdYIOkNJUS5OQVNEQVFDTTpNVEVNLklRX0VBUk5JTkdfQ08uMTk5Ni43LzMxLzIwMTguTEZSLkYuVVNELkgBAAAAmZupAQIAAAAJLTkuODg3Mjg4AQgAAAAFAAAAATEBAAAACjE4ODg3MzMwMDIDAAAAAzE2MAIAAAABNwQAAAABMAcAAAAJNy8zMS8yMDE4CAAAAAkzLzMxLzIwMTcJAAAAATDIMLI3CAnWCBnp</t>
  </si>
  <si>
    <t>oW80CdYIJUNJUS5JUVRSNTYzOTE5MDQ5LklRX1RSX01BSl9NSU5fU1RBS0UBAAAAybicIQMAAAAITWFqb3JpdHkADG0QDjUJ1gjA24IONQnWCC5DSVEuKElOVkFMSUQgSURFTlRJRklFUikuSVFfQkVUQV8xWVIuNy8xNi8yMDE4BQAAAAAAAAAIAAAAFChJbnZhbGlkIElkZW50aWZpZXIpIAqBEDUJ1giYElkSNQnWCD1DSVEuTkFTREFRR1M6TksuSVFfTkVUX1dPUktJTkdfQ0FQLjIwMDAuNy8zMS8yMDE4LkxGUi5GLlVTRC5IAQAAAA19oQ8CAAAABy0xMy44MjIBCAAAAAUAAAABMQEAAAAKMTg4NzExODc5MQMAAAADMTYwAgAAAAQxMzExBAAAAAEwBwAAAAk3LzMxLzIwMTgIAAAACTMvMzEvMjAxOAkAAAABMNaMETgICdYIw4afbzQJ1ggxQ0lRLk5BU0RBUUdTOkNUTVguSVFfREFfQ0YuLjcvMTYvMjAxOC5MRlIuRi5VU0QuSAEAAADcOJsDAgAAAAUxLjU2MgEIAAAABQAAAAExAQAAAAoxODg3Njc1MzE2AwAAAAMxNjACAAAABDIxNjAEAAAAATAHAAAACTcvMTYvMjAxOAgAAAAJMy8zMS8yMDE4CQAAAAEwxP8bETUJ1gjCm2ISNQnWCD9DSVEuTkFTREFRR1M6Q1RNWC5JUV9FQklUREFfM1lSX0FOTl9DQUdSLi43LzE2LzIwMTguTEZSLkYuVVNELkgBAAAA3DibAwMAAAACTk0BCAAAAAUAAAABMQEAAAAKMTg4NzY3NTMxNgMAAAADMTYwAgAAAAQ0MjIyBAAAAAEwBwAAAAk3LzE2LzIwMTgIAAAACTMvMzEvMjAx</t>
  </si>
  <si>
    <t>OAkAAAABMMT/GxE1CdYIwptiEjUJ1ggpQ0lRLklRVFI0MDc3NjA2OTIuSVFfQlVTSU5FU1NfREVTQ1JJUFRJT04BAAAAt+4qAAMAAAC6CUdhbnltZWQgUGhhcm1hY2V1dGljYWxzIEFHIG9wZXJhdGVzIGFzIGEgYmlvcGhhcm1hY2V1dGljYWwgY29tcGFueSB0aGF0IGZvY3VzZXMgb24gdGhlIGRldmVsb3BtZW50IG9mIHRoZXJhcGV1dGljIGRydWdzIGZvciB0aGUgdHJlYXRtZW50IG9mIHNvbGlkIGNhbmNlcnMuIEl0IGZvY3VzZXMgb24gZGV2ZWxvcGluZyBpZGVhbCBtb25vY2xvbmFsIGFudGlib2RpZXMgKElNQUJzKSB0aGF0IGluY2x1ZGUgY2FuY2VyLXNlbGVjdGl2ZSB0YXJnZXRzIGZvciBtYXhpbWFsIGhpZ2gtcHJlY2lzaW9uIGFudGljYW5jZXIgcG90ZW5jeSwgYXMgd2VsbCBhcyBtaXRpZ2F0ZXMgdGhlIHRocmVhdCBvZiB0b3hpY2l0eS4gVGhlIGNvbXBhbnnigJlzIHBpcGVsaW5lIGluY2x1ZGVzIElNQUIzNjIsIGFuIGFudGlib2R5IGRydWcgY2FuZGlkYXRlIGZvciB0aGUgdHJlYXRtZW50IG9mIGdhc3Ryb2Vzb3BoYWdlYWwgY2FuY2VyOyBJTUFCMDI3LCBhIG1vbm9jbG9uYWwgYW50aWJvZHkgc2VsZWN0aXZlbHkgYmluZGluZyB0byB0aGUgY2VsbCBzdXJmYWNlIHByb3RlaW4gY2xhdWRpbi02IHRoYXQgaXMgcHJlc2VudCBpbiBhIHJhbmdlIG9mIGNhbmNlcnMsIGluY2x1ZGluZyB0</t>
  </si>
  <si>
    <t>ZXN0aWN1bGFyLCBvdmFyaWFuLCB1dGVyaW5lLCBhbmQgbHVuZyBjYW5jZXJzOyBzZWNvbmQgZ2VuZXJhdGlvbiBvZiBhbnRpYm9kaWVzIHNlbGVjdGl2ZSBhZ2FpbnN0IENMRE4xOC4yIGFuZCBDTERONiBiYXNlZCBvbiBhbnRpYm9keSBkcnVnIGNvbmp1Z2F0ZXMgYW5kIGJpc3BlY2lmaWMgYW50aWJvZHkgdGVjaG5vbG9naWVzOyBHVDQ2OCwgYSBjZWxsIHN1cmZhY2UgcHJvdGVpbjsgYW5kIEdUMzUyIGFuZCBHVDM1MyBjZWxsLXN1cmZhY2UgbW9sZWN1bGVzLiBJdCBhbHNvIGRldmVsb3BzIENsYXVkZXRlY3QxOC4yLCBhIENFIG1hcmtlZCBpbiB2aXRybyBkaWFnbm9zdGljIHRlc3QgdG8gYXNzZXNzIHRoZSBleHByZXNzaW9uIGxldmVscyBvZiBjbGF1ZGluLTE4LjIgaW4gZ2FzdHJvZXNvcGhhZ2VhbCwgcGFuY3JlYXRpYywgbHVuZywgYW5kIG90aGVyIHNvbGlkIHR1bW9ycy4gVGhlIGNvbXBhbnkgd2FzIGZvdW5kZWQgaW4gMjAwMSBhbmQgaXMgYmFzZWQgaW4gTWFpbnosIEdlcm1hbnkuIEFzIG9mIERlY2VtYmVyIDIwLCAyMDE2LCBHYW55bWVkIFBoYXJtYWNldXRpY2FscyBBRyBvcGVyYXRlcyBhcyBhIHN1YnNpZGlhcnkgb2YgQXN0ZWxsYXMgUGhhcm1hIEluYy4ADG0QDjUJ1ggMPoUONQnWCCtDSVEuQVNYOklNVS5JUV9EQV9DRi4uNy8xNi8yMDE4LkxGUi5GLlVTRC5IAQAAAJiTqQACAAAA</t>
  </si>
  <si>
    <t>CDAuMDAxNzA1AQgAAAAFAAAAATEBAAAACjE4NzczMDUzMjADAAAAAzE2MAIAAAAEMjE2MAQAAAABMAcAAAAJNy8xNi8yMDE4CAAAAAoxMi8zMS8yMDE3CQAAAAEwKRyUEDUJ1ggw110SNQnWCDVDSVEuTkFTREFRR1M6U0dFTi5JUV9UT1RBTF9SRVYuLjcvMTYvMjAxOC5MRlIuRi5VU0QuSAEAAABhhQAAAgAAAAc1MTMuNzA5AQgAAAAFAAAAATEBAAAACjE4ODQ4OTI4NTIDAAAAAzE2MAIAAAACMjgEAAAAATAHAAAACTcvMTYvMjAxOAgAAAAJMy8zMS8yMDE4CQAAAAEwxP8bETUJ1ghoYGcSNQnWCBtDSVEuLklRX0dQLi43LzE2LzIwMTguLi5VU0QFAAAAAQAAAAgAAAAUKEludmFsaWQgSWRlbnRpZmllcilGnRkRNQnWCEadGRE1CdYIL0NJUS5JUVRSNTMzMzg1NzQ0LklRX1RSX0lNUExJRURfRVZfRklOQUwuLlVTRC5IAQAAABDSyh8CAAAABDIzMjABBgAAAAUAAAACNTQBAAAABjEwMjA0NQIAAAAJNTMzMzg1NzQ0AwAAAAk1MzMzODU4MjQEAAAAAzE2MAYAAAAFRmFsc2UMbRAONQnWCHd5gA41CdYILUNJUS5OQVNEQVFHUzpTR0VOLklRX0VBUk5JTkdfQ08uLi5MRlIuRi5VU0QuSAEAAABhhQAAAgAAAActNDQuNjIyAQgAAAAFAAAAATEBAAAACjE4OTcyMzM1MTgDAAAAAzE2MAIAAAABNwQAAAABMAcAAAAJOC8yMy8yMDE4CAAAAAk2LzMwLzIwMTgJAAAAATBGnRkRNQnWCEadGRE1CdYIPENJUS4oSU5WQUxJ</t>
  </si>
  <si>
    <t>RCBJREVOVElGSUVSKS5JUV9DQVBFWC4xOTkyLjcvMzEvMjAxOC5MRlIuRi5VU0QuSAUAAAAAAAAACAAAABQoSW52YWxpZCBJZGVudGlmaWVyKcgwsjcICdYI7TawbzQJ1gg4Q0lRLk5BU0RBUUdNOk5MTksuSVFfR1JPU1NfTUFSR0lOLi43LzE2LzIwMTguTEZSLkYuVVNELkgBAAAAlXuMAAIAAAAJLTEwNi4wMTExAQgAAAAFAAAAATEBAAAACjE4ODgzNTQyMDcDAAAAAzE2MAIAAAAENDA3NAQAAAABMAcAAAAJNy8xNi8yMDE4CAAAAAkzLzMxLzIwMTgJAAAAATApHJQQNQnWCOR0WxI1CdYIPUNJUS5OQVNEQVFHUzpLVVJBLklRX1JFVkVOVUVfRVNULkNZMjAxOC43LzMxLzIwMTguQ09OLkYuVVNELkgBAAAAuMvaEAIAAAABMAEOAAAABQAAAAIxMQEAAAABMAIAAAAKMTAwMzE4NDk4OQMAAAAGMTAwMTgwBAAAAAEyBgAAAAEwBwAAAAMxNjAIAAAAATAJAAAAATEKAAAAATALAAAACzExMDIzMTA0NjY1DAAAAAE3DQAAAAg4LzEvMjAxOBAAAAAJNy8zMS8yMDE41owROAgJ1ghzJJ1vNAnWCCVDSVEuSVFUUjQwODI5MTM5NS5JUV9UUl9NQUpfTUlOX1NUQUtFAQAAAEMIVhgDAAAACE1ham9yaXR5AFjPEg41CdYIwNuCDjUJ1gg8Q0lRLk5BU0RBUUdTOlRTUk8uSVFfRUJJVERBX0VTVC5DWTIwMTguNy8xNi8yMDE4LkNPTi5GLlVTRC5IAQAAAGjWWAYCAAAACi01MTUuNzAyMjIBDgAAAAUAAAACMTEBAAAAATACAAAA</t>
  </si>
  <si>
    <t>CjEwMDE1ODAzNDADAAAABjEwMDE4NwQAAAABMgYAAAABMAcAAAADMTYwCAAAAAEwCQAAAAExCgAAAAEwCwAAAAsxMDk0MDUwNjk2MwwAAAABNw0AAAAJNy8xNy8yMDE4EAAAAAk3LzE2LzIwMTjE/xsRNQnWCBL+ZBI1CdYIIkNJUS4wLklRX1RSX1RBUkdFVF9TVE9DS1BSRU1JVU1fMU0FAAAAAAAAAAgAAAAYKEludmFsaWQgVHJhbnNhY3Rpb24gSWQpSVNHbzQJ1ggH4vCBNAnWCDlDSVEuTkFTREFRR006QVJSWS5JUV9OSV9NQVJHSU4uMjAwMC43LzMxLzIwMTguTEZSLkYuVVNELkgBAAAA+GEAAAIAAAAJLTE0Ni41ODI5AQgAAAAFAAAAATEBAAAACjE4ODg0NzA2NzYDAAAAAzE2MAIAAAAENDA5NAQAAAABMAcAAAAJNy8zMS8yMDE4CAAAAAkzLzMxLzIwMTgJAAAAATCcC9U4CAnWCNRfmG80CdYIP0NJUS5OQVNEQVFHTTpDUlZTLklRX05FVF9XT1JLSU5HX0NBUC4xOTkyLjcvMzEvMjAxOC5MRlIuRi5VU0QuSAEAAAD0sKYQAgAAAAYtMS42MTEBCAAAAAUAAAABMQEAAAAKMTg0MDExNjE1NAMAAAADMTYwAgAAAAQxMzExBAAAAAEwBwAAAAk3LzMxLzIwMTgIAAAACTMvMzEvMjAxNgkAAAABMNaMETgICdYIGemhbzQJ1gg3Q0lRLk5BU0RBUUdTOkFOQUIuSVFfRUJJVF9NQVJHSU4uLjcvMTYvMjAxOC5MRlIuRi5VU0QuSAEAAAAhTLIBAwAAAAJOTQEIAAAABQAAAAExAQAAAAoxODg3NDAwMDQzAwAAAAMxNjAC</t>
  </si>
  <si>
    <t>AAAABDQwNTMEAAAAATAHAAAACTcvMTYvMjAxOAgAAAAJMy8zMS8yMDE4CQAAAAEwxP8bETUJ1gjCm2ISNQnWCCRDSVEuTkFTREFRR006QUZNRC5JUV9FRkZFQ1RfVEFYX1JBVEUBAAAA2/cMAAMAAAACTk0BCAAAAAUAAAABMQEAAAAKMTg5OTE5NzU4MgMAAAACNTACAAAABDQzNzYEAAAAATAHAAAACTgvMjMvMjAxOAgAAAAJNi8zMC8yMDE4CQAAAAEwKRyUEDUJ1ggw110SNQnWCD9DSVEuTkFTREFRR1M6QkdORS5JUV9ORVRfV09SS0lOR19DQVAuMjAwMC43LzMxLzIwMTguTEZSLkYuVVNELkgBAAAA4OTdBgIAAAAHLTEwLjY0NAEIAAAABQAAAAExAQAAAAoxODg3Njg4NTg4AwAAAAMxNjACAAAABDEzMTEEAAAAATAHAAAACTcvMzEvMjAxOAgAAAAJMy8zMS8yMDE4CQAAAAEwnAvVOAgJ1giB/ZVvNAnWCDBDSVEuTkFTREFRQ006U1JORS5JUV9MQVNUU0FMRVBSSUNFLjcvMzEvMjAxOC5VU0QBAAAASUOUAwIAAAADNS42ANaMETgICdYIcySdbzQJ1gg8Q0lRLk5BU0RBUUdTOkJHTkUuSVFfRUJJVERBX0VTVC5DWTIwMTkuNy8xNi8yMDE4LkNPTi5GLlVTRC5IAQAAAODk3QYCAAAACS0zMDQuMjAyNQEOAAAABQAAAAIxMQEAAAABMAIAAAAKMTAwMzMyNjI3MgMAAAAGMTAwMTg3BAAAAAEyBgAAAAEwBwAAAAMxNjAIAAAAATAJAAAAATEKAAAAATALAAAACzEwOTY3MTM5MDk2DAAAAAE3DQAAAAk3LzE3LzIwMTgQ</t>
  </si>
  <si>
    <t>AAAACTcvMTYvMjAxOMT/GxE1CdYIaGBnEjUJ1ggrQ0lRLklRVFIyNDU4MzEwMDcuSVFfVFJfSU1QTElFRF9FVl9FQklUX0ZXRAEAAABfFacOAwAAAAJOTQCys0lvNAnWCIH9lW80CdYIO0NJUS5OQVNEQVFHTTpJTU1VLklRX1BSRUZfRVFVSVRZLjIwMDAuNy8zMS8yMDE4LkxGUi5GLlVTRC5IAQAAACBDBAADAAAAAACcC9U4CAnWCNRfmG80CdYIOkNJUS5OQVNEQVFHTTpDUlZTLklRX0VBUk5JTkdfQ08uMjAwMC43LzMxLzIwMTguTEZSLkYuVVNELkgBAAAA9LCmEAIAAAAHLTUzLjkyOAEIAAAABQAAAAExAQAAAAoxODg2MzY3NTkxAwAAAAMxNjACAAAAATcEAAAAATAHAAAACTcvMzEvMjAxOAgAAAAJMy8zMS8yMDE4CQAAAAEw1owROAgJ1ggZ6aFvNAnWCCVDSVEuSVFUUjI2MzcxODY0Ny5JUV9UUl9NQUpfTUlOX1NUQUtFAQAAAPcGuA8DAAAACE1ham9yaXR5ALKzSW80CdYINZuTbzQJ1ghGQ0lRLk5BU0RBUUdNOkFSUlkuSVFfTUlOT1JJVFlfSU5URVJFU1RfVE9UQUwuMjAwMC41LzUvMjAxNy5MRlIuRi5VU0QuSAEAAAD4YQAAAwAAAAAAnAvVOAgJ1ggkwppvNAnWCD9DSVEuT1RDUEs6TldCTy5JUV9UT1RBTF9SRVZfM1lSX0FOTl9DQUdSLi43LzE2LzIwMTguTEZSLkYuVVNELkgBAAAAo3oUAAIAAAAILTM3LjYyMTYBCAAAAAUAAAABMQEAAAAKMTg4OTMwMjgyNAMAAAADMTYwAgAAAAQ0MjIwBAAAAAEw</t>
  </si>
  <si>
    <t>BwAAAAk3LzE2LzIwMTgIAAAACTMvMzEvMjAxOAkAAAABMCkclBA1CdYIMNddEjUJ1ggwQ0lRLlhUUkE6TU9SLklRX0NBUEVYLjE5OTIuNy8zMS8yMDE4LkxGUi5GLlVTRC5IAQAAAN8RAgACAAAACS0xLjU0OTcwOQEIAAAABQAAAAExAQAAAAoxODM5OTQwNjkwAwAAAAMxNjACAAAABDIwMjEEAAAAATAHAAAACTcvMzEvMjAxOAgAAAAJMy8zMS8yMDE2CQAAAAEwnAvVOAgJ1gjUX5hvNAnWCC5DSVEuSVFUUjU1MTE2NjI5Mi5JUV9UUl9UQVJHRVRfU1RPQ0tQUkVNSVVNXzFXAQAAAFQh2iACAAAACDExNS45ODI3AQYAAAAFAAAAAjU0AQAAAAYxMDEwNTQCAAAACTU1MTE2NjI5MgMAAAAJNTUxMTczMzc1BAAAAAMxNjAGAAAABUZhbHNlDG0QDjUJ1gjA24IONQnWCD9DSVEuTkFTREFRQ006U1JORS5JUV9ORVRfV09SS0lOR19DQVAuMTk5Mi43LzMxLzIwMTguTEZSLkYuVVNELkgBAAAASUOUAwIAAAAHLTE4Ljc0MgEIAAAABQAAAAExAQAAAAoxODQyMjUxMTIzAwAAAAMxNjACAAAABDEzMTEEAAAAATAHAAAACTcvMzEvMjAxOAgAAAAJMy8zMS8yMDE2CQAAAAEw1owROAgJ1ghzJJ1vNAnWCDZDSVEuTkFTREFRR1M6R1RIWC5JUV9FQklUREEuMTk5Ni43LzMxLzIwMTguTEZSLkYuVVNELkgBAAAAZTRpCAIAAAAKLTM2Ljc1NjA2NQEIAAAABQAAAAExAQAAAAoxODg2MzY3NjQ4AwAAAAMxNjACAAAABDQwNTEEAAAA</t>
  </si>
  <si>
    <t>ATAHAAAACTcvMzEvMjAxOAgAAAAJMy8zMS8yMDE3CQAAAAEwnAvVOAgJ1ggkwppvNAnWCC5DSVEuTkFTREFRR1M6U0dFTi5JUV9NQVJLRVRDQVAuOS8xNS8yMDE3LlVTRC5IAQAAAGGFAAACAAAACzc2OTMuNDMzNjI2AQYAAAAFAAAAATEBAAAACjE4NTEyODEyMDgDAAAAAzE2MAIAAAAGMTAwMDU0BAAAAAEwBwAAAAk5LzE1LzIwMTdGnRkRNQnWCGhgZxI1CdYIOENJUS5OQVNEQVFDTTpaSU9QLklRX0VCSVREQS5DWTIwMTcuNy8zMS8yMDE4LkxGUi5GLlVTRC5IAQAAALNRsgACAAAABy01My4xMjQBCAAAAAUAAAABMQEAAAAKMTg3NzIwNDQ2NgMAAAADMTYwAgAAAAQ0MDUxBAAAAAEwBwAAAAk3LzMxLzIwMTgIAAAACjEyLzMxLzIwMTcJAAAAATDWjBE4CAnWCMOGn280CdYIRkNJUS5OQVNEQVFHUzpFUFpNLklRX1RPVEFMX1JFVl81WVJfQU5OX0NBR1IuMjAwMC43LzMxLzIwMTguTEZSLkYuVVNELkgBAAAAAyY9AwIAAAAILTI3LjA2NDEBCAAAAAUAAAABMQEAAAAKMTg4NzI0NjA3NwMAAAADMTYwAgAAAAQ0MjMzBAAAAAEwBwAAAAk3LzMxLzIwMTgIAAAACTMvMzEvMjAxOAkAAAABMNaMETgICdYIcySdbzQJ1ggZQ0lRLjAuSVFfUFJJTUFSWV9JTkRVU1RSWQEAAABVhHcDAwAAAAAAsrNJbzQJ1ggH4vCBNAnWCCJDSVEuSVFUUjM3MTcxNTExOS5JUV9UUl9UQVJHRVROQU1FAQAAAC/sJxYDAAAAHENvcm1v</t>
  </si>
  <si>
    <t>cmFudCBQaGFybWFjZXV0aWNhbHMgQUIAWM8SDjUJ1gjA24IONQnWCCtDSVEuT1RDUEs6TldCTy5JUV9NQVJLRVRDQVAuNy8xNi8yMDE4LlVTRC5IAQAAAKN6FAACAAAACTk3LjkwOTA4OQEGAAAABQAAAAExAQAAAAoxODg5Mjk5NTQxAwAAAAMxNjACAAAABjEwMDA1NAQAAAABMAcAAAAJNy8xNi8yMDE4KRyUEDUJ1ghzOWASNQnWCCNDSVEuSVFUUjU2MzkxOTA0OS5JUV9UUl9DTE9TRURfREFURQEAAADJuJwhBQAAAAk2LzIxLzIwMTgADG0QDjUJ1gjA24IONQnWCClDSVEuSVEzNjE4MzgxNi5JUV9MQVNUU0FMRVBSSUNFLjcvMTYvMjAxOAEAAAAIHygCAgAAAAQyLjAxAAxtEA41CdYIDD6FDjUJ1gg8Q0lRLk5BU0RBUUdNOkFGTUQuSVFfRUFSTklOR19DTy5DWTIwMTYuNy8xNi8yMDE4LkxGUi5GLlVTRC5IAQAAANv3DAACAAAACi0zNC4wMDgyMzQBCAAAAAUAAAABMQEAAAAKMTg3OTE0NzY2MgMAAAADMTYwAgAAAAE3BAAAAAEwBwAAAAk3LzE2LzIwMTgIAAAACjEyLzMxLzIwMTYJAAAAATApHJQQNQnWCDDXXRI1CdYINkNJUS5OQVNEQVFHUzpKTkNFLklRX1RPVEFMX0RFQlQuLjkvMTUvMjAxNy5MRlIuRi5VU0QuSAEAAADieZ4NAgAAAAEwAQgAAAAFAAAAATEBAAAACjE4NTI3OTYyMDcDAAAAAzE2MAIAAAAENDE3MwQAAAABMAcAAAAJOS8xNS8yMDE3CAAAAAk2LzMwLzIwMTcJAAAAATDep34QNQnWCJgS</t>
  </si>
  <si>
    <t>WRI1CdYILkNJUS5JUVRSNTM1NzE5OTk4LklRX1RSX1RBUkdFVF9TVE9DS1BSRU1JVU1fMVcBAAAAPnDuHwIAAAAHMzQuNDE4NgEGAAAABQAAAAI1NAEAAAAGMTAxMDU0AgAAAAk1MzU3MTk5OTgDAAAACTUzNTcyNDgxMwQAAAADMTYwBgAAAAVGYWxzZbKzSW80CdYIgf2VbzQJ1ggoQ0lRLk5BU0RBUUdTOkdUSFguSVFfVEVWLjcvMzEvMjAxOC5VU0QuSAEAAABlNGkIAgAAAAsxNDkwLjU3MTAyNQEGAAAABQAAAAExAQAAAAoxODg2MzY3NDEwAwAAAAMxNjACAAAABjEwMDA2MAQAAAABMAcAAAAJNy8zMS8yMDE4nAvVOAgJ1ggkwppvNAnWCCNDSVEuSVFUUjM3MTcxNTExOS5JUV9UUl9DTE9TRURfREFURQEAAAAv7CcWBQAAAAg3LzUvMjAxNgBYzxIONQnWCMDbgg41CdYIKkNJUS5JUVRSNDAzNzkxNzY3LklRX1RSX1RBUkdFVF9FQklULi5VU0QuSAEAAACXXxEYAgAAAAAAWM8SDjUJ1gjA24IONQnWCDhDSVEuTkFTREFRR1M6TUdOWC5JUV9FQklUREEuQ1kyMDE2LjcvMTYvMjAxOC5MRlIuRi5VU0QuSAEAAABPKwkAAgAAAActNTIuNDM0AQgAAAAFAAAAATEBAAAACjE4NzYxMzUxNTcDAAAAAzE2MAIAAAAENDA1MQQAAAABMAcAAAAJNy8xNi8yMDE4CAAAAAoxMi8zMS8yMDE2CQAAAAEwxP8bETUJ1gjCm2ISNQnWCDNDSVEuTkFTREFRR1M6TVJTTi5JUV9QRVJJT0REQVRFX0lTLi43LzE2LzIwMTguTEZSLkYB</t>
  </si>
  <si>
    <t>AAAA5sUYAAUAAAAJMy8zMS8yMDE4AMT/GxE1CdYIczlgEjUJ1ggnQ0lRLk5BU0RBUUdTOktVUkEuSVFfQkVUQV8yWVIuNy8zMS8yMDE4AQAAALjL2hACAAAAEDEuODk5NTkyNzQ5ODYzNjEA1owROAgJ1ghzJJ1vNAnWCClDSVEuSVFUUjQwODI5MTM5NS5JUV9CVVNJTkVTU19ERVNDUklQVElPTgEAAACyTxoDAwAAAJkGS29sbHRhbiBQaGFybWFjZXV0aWNhbHMsIEluYy4gZGlzY292ZXJzIGFuZCBkZXZlbG9wcyBub3ZlbCBhbnRpYm9keS1iYXNlZCBkcnVncyB0YXJnZXRpbmcgcmVjZXB0b3IgdHlyb3NpbmUga2luYXNlcyAoUlRLKSBmb3IgdGhlIHRyZWF0bWVudCBvZiBjYW5jZXIgYW5kIG90aGVyIGRpc2Vhc2VzLiBJdHMgbGVhZCBwcm9kdWN0IGNhbmRpZGF0ZSBpbmNsdWRlcyBLVE4zMzc5LCBhbiBhbnRpYm9keSB0YXJnZXRpbmcgdGhlIEVyYkIzIFJUSywgd2hpY2ggaXMgaW4gUGhhc2UgSSBjbGluaWNhbCB0cmlhbHMgZm9yIGFkdWx0IHBhdGllbnRzIHdpdGggYWR2YW5jZWQgc29saWQgdHVtb3JzLiBUaGUgY29tcGFueSBpcyBhbHNvIGRldmVsb3BpbmcgS1ROMDE1OCwgYSBLSVQgUlRLIGluaGliaXRvciBmb3IgdGhlIHRyZWF0bWVudCBvZiBuZXVyb2ZpYnJvbWF0b3NpcyB0eXBlIDEgYW5kIG90aGVyIGluZmxhbW1hdG9yeSBkaXNlYXNlczsgYW5kIEtJVC1BREMsIGFuIGFudGlib2R5IGRy</t>
  </si>
  <si>
    <t>dWcgY29uanVnYXRlIGZvciBvbmNvbG9neSB0cmVhdG1lbnQsIGFzIHdlbGwgYXMgYSByYW5nZSBvZiByZXNlYXJjaCBwcm9ncmFtcyB0YXJnZXRpbmcgUlRLcy4gS29sbHRhbiBQaGFybWFjZXV0aWNhbHMsIEluYy4gd2FzIGZvdW5kZWQgaW4gMjAwNyBhbmQgaXMgYmFzZWQgaW4gTmV3IEhhdmVuLCBDb25uZWN0aWN1dC4gQXMgb2YgTm92ZW1iZXIgMjksIDIwMTYsIEtvbGx0YW4gUGhhcm1hY2V1dGljYWxzLCBJbmMuIG9wZXJhdGVzIGFzIGEgc3Vic2lkaWFyeSBvZiBDZWxsZGV4IFRoZXJhcGV1dGljcywgSW5jLgAMbRAONQnWCMDbgg41CdYILUNJUS5OQVNEQVFHUzpKTkNFLklRX0RJVklERU5EX1lJRUxELjcvMTYvMjAxOAEAAADieZ4NAwAAAAAA3qd+EDUJ1giYElkSNQnWCDpDSVEuTkFTREFRR1M6TksuSVFfRUJJVERBX0VTVC5DWTIwMTkuNy8zMS8yMDE4LkNPTi5GLlVTRC5IAQAAAA19oQ8DAAAAAADWjBE4CAnWCMOGn280CdYIN0NJUS5YVFJBOk1PUi5JUV9UT1RBTF9FUVVJVFkuMjAwMC43LzMxLzIwMTguTEZSLkYuVVNELkgBAAAA3xECAAIAAAAKNDE5LjYyNzU0MQEIAAAABQAAAAExAQAAAAoxODg2MTUxNjQ4AwAAAAMxNjACAAAABDEyNzUEAAAAATAHAAAACTcvMzEvMjAxOAgAAAAJMy8zMS8yMDE4CQAAAAEwnAvVOAgJ1gjUX5hvNAnWCDxDSVEuTkFTREFRR006SU1NVS5JUV9UT1RBTF9F</t>
  </si>
  <si>
    <t>UVVJVFkuMjAwMC43LzMxLzIwMTguTEZSLkYuVVNELkgBAAAAIEMEAAIAAAAJNzEuODE5NDM2AQgAAAAFAAAAATEBAAAACjE4ODg1MjMzODQDAAAAAzE2MAIAAAAEMTI3NQQAAAABMAcAAAAJNy8zMS8yMDE4CAAAAAkzLzMxLzIwMTgJAAAAATCcC9U4CAnWCNRfmG80CdYIK0NJUS5JUVRSNDA4MjkxMzk1LklRX1RSX1RPVEFMX0dST1NTX1RWLi5VU0QBAAAAQwhWGAIAAAAKMzczLjI5MTg0MgEGAAAABQAAAAI1NAEAAAAGMTAyMDg4AgAAAAk0MDgyOTEzOTUDAAAACTQwODMwNDAxMwQAAAADMTYwBgAAAAVGYWxzZVjPEg41CdYIwNuCDjUJ1gg5Q0lRLk5BU0RBUUdNOkFSUlkuSVFfVE9UQUxfREVCVC4yMDAwLjUvNS8yMDE3LkxGUi5GLlVTRC5IAQAAAPhhAAACAAAABzEyOC4zNDQBCAAAAAUAAAABMQEAAAAKMTgyNjgzODI1NgMAAAADMTYwAgAAAAQ0MTczBAAAAAEwBwAAAAg1LzUvMjAxNwgAAAAKMTIvMzEvMjAxNgkAAAABMJwL1TgICdYIJMKabzQJ1gg6Q0lRLk5BU0RBUUdTOlNHRU4uSVFfQ0FTSF9TVF9JTlZFU1QuLjkvMTUvMjAxNy5MRlIuRi5VU0QuSAEAAABhhQAAAgAAAAc0NTIuNDExAQgAAAAFAAAAATEBAAAACjE4NTEyODE1ODcDAAAAAzE2MAIAAAAEMTAwMgQAAAABMAcAAAAJOS8xNS8yMDE3CAAAAAk2LzMwLzIwMTcJAAAAATDE/xsRNQnWCGhgZxI1CdYILENJUS4uSVFfVE9UQUxfUkVWLjIw</t>
  </si>
  <si>
    <t>MDAuNy8zMS8yMDE4LkxGUi5GLlVTRC5IBQAAAAEAAAAIAAAAFChJbnZhbGlkIElkZW50aWZpZXIp9YQyRzQJ1gj1hDJHNAnWCCJDSVEuSVFUUjI2MzcxODY0Ny5JUV9UUl9UT1RBTF9DQVNIAQAAAPcGuA8CAAAAAACys0lvNAnWCDWbk280CdYIIkNJUS5JUVRSNTYxNjA2MzY1LklRX1RSX1RPVEFMX0NBU0gBAAAA3W55IQIAAAAAALKzSW80CdYINZuTbzQJ1gg5Q0lRLk5BU0RBUUdTOlRTUk8uSVFfVE9UQUxfUkVWLjE5OTIuNy8zMS8yMDE4LkxGUi5GLlVTRC5IAQAAAGjWWAYCAAAABTAuNjE3AQgAAAAFAAAAATEBAAAACjE4NDA5MzQ2NjMDAAAAAzE2MAIAAAACMjgEAAAAATAHAAAACTcvMzEvMjAxOAgAAAAJMy8zMS8yMDE2CQAAAAEwnAvVOAgJ1ggkwppvNAnWCDxDSVEuTkFTREFRR006Q1JWUy5JUV9FQklUREFfRVNULkNZMjAxOC43LzMxLzIwMTguQ09OLkYuVVNELkgBAAAA9LCmEAIAAAAHLTc2LjA1NAEOAAAABQAAAAIxMQEAAAABMAIAAAAKMTAwMzM3MDM1NAMAAAAGMTAwMTg3BAAAAAEyBgAAAAEwBwAAAAMxNjAIAAAAATAJAAAAATEKAAAAATALAAAACzEwOTU1NDYxODgzDAAAAAE3DQAAAAg4LzEvMjAxOBAAAAAJNy8zMS8yMDE41owROAgJ1ggZ6aFvNAnWCDpDSVEuTkFTREFRQ006TVRFTS5JUV9UT1RBTF9ERUJULjIwMDAuNy8zMS8yMDE4LkxGUi5GLlVTRC5IAQAAAJmbqQECAAAABTIuOTk5</t>
  </si>
  <si>
    <t>AQgAAAAFAAAAATEBAAAACjE4ODg3MzMwMDQDAAAAAzE2MAIAAAAENDE3MwQAAAABMAcAAAAJNy8zMS8yMDE4CAAAAAkzLzMxLzIwMTgJAAAAATDIMLI3CAnWCBnpoW80CdYIPUNJUS5OQVNEQVFHUzpDQUxBLklRX1JFVkVOVUVfRVNULkNZMjAyMC43LzE2LzIwMTguQ09OLkYuVVNELkgBAAAApSeBBgIAAAAFODUuMTUBDgAAAAUAAAACMTEBAAAAATACAAAACjEwMDI4OTY0MjgDAAAABjEwMDE4MAQAAAABMgYAAAABMAcAAAADMTYwCAAAAAEwCQAAAAExCgAAAAEwCwAAAAsxMDkxMzI3ODQ1NQwAAAABNw0AAAAJNy8xNy8yMDE4EAAAAAk3LzE2LzIwMTgpHJQQNQnWCOR0WxI1CdYIPENJUS5OQVNEQVFHTTpBUlFMLklRX0VBUk5JTkdfQ08uQ1kyMDE3LjcvMzEvMjAxOC5MRlIuRi5VU0QuSAEAAAD2YQAAAgAAAActMjkuMjAzAQgAAAAFAAAAATEBAAAACjE4Nzg1MDg2OTgDAAAAAzE2MAIAAAABNwQAAAABMAcAAAAJNy8zMS8yMDE4CAAAAAoxMi8zMS8yMDE3CQAAAAEw1owROAgJ1ghzJJ1vNAnWCD1DSVEuTkFTREFRR1M6Q0FMQS5JUV9SRVZFTlVFX0VTVC5DWTIwMTkuNy8zMS8yMDE4LkNPTi5GLlVTRC5IAQAAAKUngQYCAAAABzIwLjIwMjUBDgAAAAUAAAACMTEBAAAAATACAAAACjEwMDI4OTY0MjMDAAAABjEwMDE4MAQAAAABMgYAAAABMAcAAAADMTYwCAAAAAEwCQAAAAExCgAAAAEwCwAAAAsxMDkxMzI3</t>
  </si>
  <si>
    <t>ODQ3MwwAAAABNw0AAAAIOC8xLzIwMTgQAAAACTcvMzEvMjAxOMgwsjcICdYI3UukbzQJ1gg5Q0lRLi5JUV9UT1RBTF9SRVZfNVlSX0FOTl9DQUdSLjIwMDAuNy8zMS8yMDE4LkxGUi5GLlVTRC5IBQAAAAEAAAAIAAAAFChJbnZhbGlkIElkZW50aWZpZXIp9YQyRzQJ1gj1hDJHNAnWCCxDSVEuSVFUUjQyMjg4NzcwMS5JUV9UUl9UQVJHRVRfRUJJVERBLi5VU0QuSAEAAAAVwTQZAgAAAAAADG0QDjUJ1gjA24IONQnWCDxDSVEuTkFTREFRR1M6VFNSTy5JUV9UT1RBTF9FUVVJVFkuMTk5Ni43LzMxLzIwMTguTEZSLkYuVVNELkgBAAAAaNZYBgIAAAAHNTEzLjIwOAEIAAAABQAAAAExAQAAAAoxODg2MzM3NDUxAwAAAAMxNjACAAAABDEyNzUEAAAAATAHAAAACTcvMzEvMjAxOAgAAAAJMy8zMS8yMDE3CQAAAAEwnAvVOAgJ1ggkwppvNAnWCDhDSVEuTkFTREFRQ006QVZFTy5JUV9UT1RBTF9FUVVJVFkuLjcvMTYvMjAxOC5MRlIuRi5VU0QuSAEAAAD0Fh0AAgAAAActNTAuMjQ1AQgAAAAFAAAAATEBAAAACjE4ODcyMzQyOTUDAAAAAzE2MAIAAAAEMTI3NQQAAAABMAcAAAAJNy8xNi8yMDE4CAAAAAkzLzMxLzIwMTgJAAAAATDE/xsRNQnWCMKbYhI1CdYIIkNJUS5JUVRSMjQ1ODMxMDA3LklRX1RSX1RPVEFMX0NBU0gBAAAAXxWnDgIAAAAKODA3LjU1ODc5NQCys0lvNAnWCIH9lW80CdYIPENJUS5OQVNEQVFHTTpB</t>
  </si>
  <si>
    <t>Rk1ELklRX0VCSVREQV9FU1QuQ1kyMDIwLjcvMTYvMjAxOC5DT04uRi5VU0QuSAEAAADb9wwAAwAAAAAAKRyUEDUJ1ggw110SNQnWCDtDSVEuTkFTREFRR006Q1JJUy5JUV9UT1RBTF9SRVYuQ1kyMDE2LjcvMzEvMjAxOC5MRlIuRi5VU0QuSAEAAAAXagAAAgAAAAU3LjUyNwEIAAAABQAAAAExAQAAAAoxODc4MDExNjU0AwAAAAMxNjACAAAAAjI4BAAAAAEwBwAAAAk3LzMxLzIwMTgIAAAACjEyLzMxLzIwMTYJAAAAATDIMLI3CAnWCN1LpG80CdYIQ0NJUS5OQVNEQVFHTTpOTE5LLklRX01JTk9SSVRZX0lOVEVSRVNUX1RPVEFMLi45LzE1LzIwMTcuTEZSLkYuVVNELkgBAAAAlXuMAAMAAAAAACkclBA1CdYI5HRbEjUJ1ggvQ0lRLklRVFI1NTAyNTkzOTcuSVFfVFJfSU1QTElFRF9FVl9GSU5BTC4uVVNELkgBAAAAxUrMIAIAAAALOTU1Ni4zNTAzNjYBBgAAAAUAAAACNTQBAAAABjEwMjA0NQIAAAAJNTUwMjU5Mzk3AwAAAAk1NTAyNjQ1NjQEAAAAAzE2MAYAAAAFRmFsc2UMbRAONQnWCHd5gA41CdYINUNJUS5FTlhUUEE6SVBILklRX0dST1NTX01BUkdJTi4uNy8xNi8yMDE4LkxGUi5GLlVTRC5IAQAAAJmABgACAAAACC01Mi4xNTg2AQgAAAAFAAAAATEBAAAACjE4ODk1NTIxNjQDAAAAAjUwAgAAAAQ0MDc0BAAAAAEwBwAAAAk3LzE2LzIwMTgIAAAACjEyLzMxLzIwMTcJAAAAATApHJQQNQnWCHM5YBI1CdYI</t>
  </si>
  <si>
    <t>LkNJUS5PVENQSzpOV0JPLklRX0NBUEVYLi43LzE2LzIwMTguTEZSLkYuVVNELkgBAAAAo3oUAAIAAAAGLTAuMDA4AQgAAAAFAAAAATEBAAAACjE4ODkzMDI4MjQDAAAAAzE2MAIAAAAEMjAyMQQAAAABMAcAAAAJNy8xNi8yMDE4CAAAAAkzLzMxLzIwMTgJAAAAATApHJQQNQnWCDDXXRI1CdYIIkNJUS5JUVRSNTUwMjU5Mzk3LklRX1RSX1RBUkdFVE5BTUUBAAAAxUrMIAMAAAAXSnVubyBUaGVyYXBldXRpY3MsIEluYy4ADG0QDjUJ1gh3eYAONQnWCCFDSVEuQVNYOklNVS5JUV9CRVRBXzVZUi43LzE2LzIwMTgBAAAAmJOpAAIAAAARMC44ODI3ODgxMTg5NTQ2NTcAKRyUEDUJ1ggw110SNQnWCDhDSVEuWFRSQTpNT1IuSVFfUkVWRU5VRV9FU1QuQ1kyMDE5LjcvMzEvMjAxOC5DT04uRi5VU0QuSAEAAADfEQIAAgAAABA2NC40MDM0NTIzMzE3NDEyAQ4AAAAFAAAAAjExAQAAAAEwAgAAAAoxMDAwODAyMDE1AwAAAAYxMDAxODAEAAAAATMGAAAAATAHAAAAAzE2MAgAAAABMAkAAAABMQoAAAABMAsAAAALMTEwMDEzMTUyNjAMAAAAATcNAAAACDgvMS8yMDE4EAAAAAk3LzMxLzIwMTicC9U4CAnWCNRfmG80CdYIOUNJUS5OQVNEQVFHUzpNUlNOLklRX1RPVEFMX1JFVi4xOTkyLjcvMzEvMjAxOC5MRlIuRi5VU0QuSAEAAADmxRgAAwAAAAAA1owROAgJ1gjDhp9vNAnWCEJDSVEuTkFTREFRR1M6Sk5DRS5JUV9UT1RB</t>
  </si>
  <si>
    <t>TF9SRVZfNVlSX0FOTl9DQUdSLi43LzE2LzIwMTguTEZSLkYuVVNELkgBAAAA4nmeDQMAAAAAAN6nfhA1CdYImBJZEjUJ1ggeQ0lRLklRMzYxODM4MzEuSVFfQ09NUEFOWV9OQU1FAQAAABcfKAIDAAAAMVVuaXRlZCBTdGF0ZXMgVHJlYXN1cnkgQ29uc3RhbnQgTWF0dXJpdHkgLSA1IFllYXIADG0QDjUJ1gh3eYAONQnWCDhDSVEuTkFTREFRR1M6RVBaTS5JUV9FQklUREEuQ1kyMDE2LjcvMzEvMjAxOC5MRlIuRi5VU0QuSAEAAAADJj0DAgAAAAgtMTEwLjIzNwEIAAAABQAAAAExAQAAAAoxODc4MDgxMDYxAwAAAAMxNjACAAAABDQwNTEEAAAAATAHAAAACTcvMzEvMjAxOAgAAAAKMTIvMzEvMjAxNgkAAAABMNaMETgICdYIcySdbzQJ1gguQ0lRLk5BU0RBUUdTOkNBTEEuSVFfTUFSS0VUQ0FQLjcvMTYvMjAxOC5VU0QuSAEAAAClJ4EGAgAAAAoxNjguNDcwMDI0AQYAAAAFAAAAATEBAAAACjE4ODc5Nzk3MDcDAAAAAzE2MAIAAAAGMTAwMDU0BAAAAAEwBwAAAAk3LzE2LzIwMTgpHJQQNQnWCOR0WxI1CdYINUNJUS5OQVNEQVFHUzpUU1JPLklRX1RPVEFMX1JFVi4uNy8xNi8yMDE4LkxGUi5GLlVTRC5IAQAAAGjWWAYCAAAABzI2OS45OTUBCAAAAAUAAAABMQEAAAAKMTg4NjMzNzQ2NgMAAAADMTYwAgAAAAIyOAQAAAABMAcAAAAJNy8xNi8yMDE4CAAAAAkzLzMxLzIwMTgJAAAAATDE/xsRNQnWCBL+ZBI1CdYI</t>
  </si>
  <si>
    <t>KUNJUS5JUVRSMzA3ODYzOTg0LklRX0JVU0lORVNTX0RFU0NSSVBUSU9OAQAAAL+j8AwDAAAAugRjQ0FNIEJpb3RoZXJhcGV1dGljcyBMdGQuLCBhIGNsaW5pY2FsIHN0YWdlIGNvbXBhbnksIGVuZ2FnZXMgaW4gdGhlIGRpc2NvdmVyeSBhbmQgZGV2ZWxvcG1lbnQgb2Ygbm92ZWwgaW1tdW5vdGhlcmFwaWVzIHRvIHRyZWF0IGNhbmNlci4gSXQgb2ZmZXJzIENNLTI0LCBhIGh1bWFuaXplZCBhbnRpIENFQUNBTTEgbW9ub2Nsb25hbCBhbnRpYm9keSB0aGF0IGluaGliaXRzIHRoZSBpbW11bm9zdXBwcmVzc2l2ZSBlZmZlY3Qgb2YgQ0VBQyBBTTEgZm9yIHRoZSB0cmVhdG1lbnQgb2YgYWR2YW5jZWQgb3IgcmVjdXJyZW50IG1hbGlnbmFuY2llcywgaW5jbHVkaW5nIG1lbGFub21hLCBub24tc21hbGwtY2VsbCBsdW5nLCBibGFkZGVyLCBnYXN0cmljLCBjb2xvcmVjdGFsLCBhbmQgb3ZhcmlhbiBjYW5jZXJzLiBjQ0FNIEJpb3RoZXJhcGV1dGljcyBMdGQuIHdhcyBmb3VuZGVkIGluIDIwMTAgYW5kIGlzIGJhc2VkIGluIE1pc2dhdiwgSXNyYWVsLiBBcyBvZiBKdWx5IDMxLCAyMDE1LCBjQ0FNIEJpb3RoZXJhcGV1dGljcyBMdGQgb3BlcmF0ZXMgYXMgYSBzdWJzaWRpYXJ5IG9mIE1lcmNrICYgQ28uIEluYy4ADG0QDjUJ1gjA24IONQnWCD1DSVEuTkFTREFRR1M6S1VSQS5JUV9FQklUREFfTUFSR0lOLjIw</t>
  </si>
  <si>
    <t>MDAuNy8zMS8yMDE4LkxGUi5GLlVTRC5IAQAAALjL2hADAAAAAADWjBE4CAnWCHMknW80CdYIKUNJUS5JUTM2MTgzODM0LklRX0xBU1RTQUxFUFJJQ0UuNy8zMS8yMDE4AQAAABofKAICAAAABDIuOTIASVNHbzQJ1giB/ZVvNAnWCClDSVEuSVFUUjU0MjgwNjY4Ni5JUV9CVVNJTkVTU19ERVNDUklQVElPTgEAAACZUdECAwAAAOwFR2x5Y290b3BlIEJpb3RlY2hub2xvZ3kgR21iSCBkZXZlbG9wcyBhbmQgbWFudWZhY3R1cmVzIGltbXVuZS1vbmNvbG9naWNhbCBwcm9kdWN0cyBmb3IgdGhlIHRyZWF0bWVudCBvZiB2YXJpb3VzIGNhbmNlciB0eXBlcy4gSXQgb2ZmZXJzIFBhbmtvTWFiLUdFWCwgYW4gYW50aWJvZHkgYWdhaW5zdCB0aGUgdHVtb3Itc3BlY2lmaWMgY2FyYm9oeWRyYXRlLXByb3RlaW4gZXBpdG9wZSBUQS1NVUMxIGVwaXRvcGUgZXhwcmVzc2VkIG9uIHR1bW9yIGNlbGxzIGluIHZhcmlvdXMgY2FuY2VyczsgQ2V0dUdFWCwgYSBub3ZlbCBnbHljby1vcHRpbWl6ZWQgYW50aS1lcGlkZXJtYWwgZ3Jvd3RoIGZhY3RvciByZWNlcHRvciBtb25vY2xvbmFsIGFudGlib2R5IHRoYXQgc2hvd2VkIHRoZXJhcGV1dGljIGFjdGl2aXR5IHRvIHZhcmlvdXMgc29saWQgdHVtb3JzOyBhbmQgVHJhc0dFWCwgYSBub3ZlbCBnbHljby1vcHRpbWl6ZWQgYW50aS1IZXIyIHJlY2VwdG9yIG1BYiB0aGF0IGhh</t>
  </si>
  <si>
    <t>cyBiZWVuIHRlc3RlZCBpbiBhIHR1bW9ycyB3aG9zZSBkaXNlYXNlIHByb2dyZXNzZWQgZm9sbG93aW5nIHRyZWF0bWVudCB3aXRoIHN0YW5kYXJkIHRoZXJhcGllcy4gVGhlIGNvbXBhbnkgd2FzIGZvdW5kZWQgaW4gMjAwMSBpcyBiYXNlZCBpbiBIZWlkZWxiZXJnLCBHZXJtYW55LiBBcyBvZiBOb3ZlbWJlciAzLCAyMDE3LCBHbHljb3RvcGUgQmlvdGVjaG5vbG9neSBHbWJIIG9wZXJhdGVzIGFzIGEgc3Vic2lkaWFyeSBvZiBDZWxvbmljIEFHLgCys0lvNAnWCIH9lW80CdYIO0NJUS5OQVNEQVFHTTpDUklTLklRX0VCSVRfTUFSR0lOLjIwMDAuNy8zMS8yMDE4LkxGUi5GLlVTRC5IAQAAABdqAAADAAAAAk5NAQgAAAAFAAAAATEBAAAACjE4ODYyNDc0MjADAAAAAzE2MAIAAAAENDA1MwQAAAABMAcAAAAJNy8zMS8yMDE4CAAAAAkzLzMxLzIwMTgJAAAAATDIMLI3CAnWCN1LpG80CdYILENJUS5OQVNEQVFDTTpDS1BULklRX0xBU1RTQUxFUFJJQ0UuOS8xNS8yMDE3AQAAALhRFhECAAAABDguODUAKRyUEDUJ1gjkdFsSNQnWCD1DSVEuTkFTREFRR1M6RlBSWC5JUV9SRVZFTlVFX0VTVC5DWTIwMTguNy8xNi8yMDE4LkNPTi5GLlVTRC5IAQAAADddMwACAAAACDc1LjI0NDc1AQ4AAAAFAAAAAjExAQAAAAEwAgAAAAoxMDAxOTU2MzQ0AwAAAAYxMDAxODAEAAAAATIGAAAAATAHAAAAAzE2MAgAAAABMAkAAAAB</t>
  </si>
  <si>
    <t>MQoAAAABMAsAAAALMTA5NDU1NzUyNzAMAAAAATcNAAAACTcvMTcvMjAxOBAAAAAJNy8xNi8yMDE4KRyUEDUJ1ghzOWASNQnWCDxDSVEuTkFTREFRR006WE5DUi5JUV9FQVJOSU5HX0NPLkNZMjAxNy43LzE2LzIwMTguTEZSLkYuVVNELkgBAAAAploLAAIAAAAHLTQ4LjkyNQEIAAAABQAAAAExAQAAAAoxODc2OTg0NTUyAwAAAAMxNjACAAAAATcEAAAAATAHAAAACTcvMTYvMjAxOAgAAAAKMTIvMzEvMjAxNwkAAAABMMT/GxE1CdYIEv5kEjUJ1ggwQ0lRLk5BU0RBUUdNOkNSSVMuSVFfTEFTVFNBTEVQUklDRS43LzMxLzIwMTguVVNEAQAAABdqAAACAAAABDEuNTcAyDCyNwgJ1gjdS6RvNAnWCD9DSVEuRU5YVFBBOklQSC5JUV9UT1RBTF9SRVZfNVlSX0FOTl9DQUdSLi43LzE2LzIwMTguTEZSLkYuVVNELkgBAAAAmYAGAAIAAAAHMjUuMjU1OAEIAAAABQAAAAExAQAAAAoxODg5NTUyMTY0AwAAAAI1MAIAAAAENDIzMwQAAAABMAcAAAAJNy8xNi8yMDE4CAAAAAoxMi8zMS8yMDE3CQAAAAEwKRyUEDUJ1ghzOWASNQnWCEVDSVEuKElOVkFMSUQgSURFTlRJRklFUikuSVFfVE9UQUxfRVFVSVRZLkNZMjAxNi43LzMxLzIwMTguTEZSLkYuVVNELkgFAAAAAAAAAAgAAAAUKEludmFsaWQgSWRlbnRpZmllcinIMLI3CAnWCO02sG80CdYIL0NJUS5JUVRSMzAyODY2NjI3LklRX1RSX0lNUExJRURfRVZfRklOQUwuLlVT</t>
  </si>
  <si>
    <t>RC5IAQAAAMNgDRICAAAACTQyLjYyMjg0MwEGAAAABQAAAAI1NAEAAAAGMTAyMDQ1AgAAAAkzMDI4NjY2MjcDAAAACTMwMjg2NzE1MQQAAAADMTYwBgAAAAVGYWxzZVjPEg41CdYIDD6FDjUJ1ghGQ0lRLk5BU0RBUUdNOkNSVlMuSVFfVE9UQUxfUkVWXzVZUl9BTk5fQ0FHUi4yMDAwLjcvMzEvMjAxOC5MRlIuRi5VU0QuSAEAAAD0sKYQAwAAAAAA1owROAgJ1ggZ6aFvNAnWCCBDSVEuSVFUUjU2MTYwNjM2NS5JUV9UUl9FQVJOT1VUUwEAAADdbnkhAgAAAAAAsrNJbzQJ1gg1m5NvNAnWCD9DSVEuTkFTREFRR1M6RVBaTS5JUV9ORVRfV09SS0lOR19DQVAuMjAwMC43LzMxLzIwMTguTEZSLkYuVVNELkgBAAAAAyY9AwIAAAAHLTE1LjY5NAEIAAAABQAAAAExAQAAAAoxODg3MjQ2MDc3AwAAAAMxNjACAAAABDEzMTEEAAAAATAHAAAACTcvMzEvMjAxOAgAAAAJMy8zMS8yMDE4CQAAAAEw1owROAgJ1ghzJJ1vNAnWCDVDSVEuT1RDUEs6TUJWWC5JUV9FQklUREEuQ1kyMDE2LjcvMTYvMjAxOC5MRlIuRi5VU0QuSAEAAADYRIsCAgAAAAotMTYuNTY2NTY2AQgAAAAFAAAAATEBAAAACjE4ODEyMTMyMjADAAAAAzE2MAIAAAAENDA1MQQAAAABMAcAAAAJNy8xNi8yMDE4CAAAAAoxMi8zMS8yMDE2CQAAAAEw3qd+EDUJ1giYElkSNQnWCDdDSVEuTkFTREFRR1M6Q0FMQS5JUV9QUkVGX0VRVUlUWS4uOS8xNS8yMDE3LkxG</t>
  </si>
  <si>
    <t>Ui5GLlVTRC5IAQAAAKUngQYDAAAAAAApHJQQNQnWCOR0WxI1CdYIIkNJUS5JUVRSNDEzOTUzNjYxLklRX1RSX1RBUkdFVE5BTUUBAAAAfW6sGAMAAAAcVG9sZXJvIFBoYXJtYWNldXRpY2FscywgSW5jLgCys0lvNAnWCIH9lW80CdYIP0NJUS5OQVNEQVFDTTpaSU9QLklRX05FVF9XT1JLSU5HX0NBUC4xOTkyLjcvMzEvMjAxOC5MRlIuRi5VU0QuSAEAAACzUbIAAgAAAAYtMS43MzEBCAAAAAUAAAABMQEAAAAKMTgzOTM0MTA2NwMAAAADMTYwAgAAAAQxMzExBAAAAAEwBwAAAAk3LzMxLzIwMTgIAAAACTMvMzEvMjAxNgkAAAABMNaMETgICdYIw4afbzQJ1ggdQ0lRLk5BU0RBUUdNOlhOQ1IuSVFfRVhDSEFOR0UBAAAAploLAAMAAAAITmFzZGFxR00ARp0ZETUJ1ggS/mQSNQnWCENDSVEuTkFTREFRR006TkxOSy5JUV9NSU5PUklUWV9JTlRFUkVTVF9UT1RBTC4uNy8xNi8yMDE4LkxGUi5GLlVTRC5IAQAAAJV7jAADAAAAAAApHJQQNQnWCOR0WxI1CdYIIkNJUS5JUVRSNDIyODg3NzAxLklRX1RSX1RBUkdFVE5BTUUBAAAAFcE0GQMAAAAaUGVsaWNhbiBUaGVyYXBldXRpY3MsIEluYy4ADG0QDjUJ1gjA24IONQnWCCFDSVEuTkFTREFRQ006WklPUC5JUV9DT01QQU5ZX05BTUUBAAAAs1GyAAMAAAAXWklPUEhBUk0gT25jb2xvZ3ksIEluYy4A1owROAgJ1gjDhp9vNAnWCDFDSVEuWFRSQTpNT1IuSVFfRUJJVERB</t>
  </si>
  <si>
    <t>LjE5OTYuNy8zMS8yMDE4LkxGUi5GLlVTRC5IAQAAAN8RAgACAAAACi01NS43Mjk1MTkBCAAAAAUAAAABMQEAAAAKMTg4NjE1MTY0NwMAAAADMTYwAgAAAAQ0MDUxBAAAAAEwBwAAAAk3LzMxLzIwMTgIAAAACTMvMzEvMjAxNwkAAAABMJwL1TgICdYI1F+YbzQJ1ghCQ0lRLk5BU0RBUUNNOkFWRU8uSVFfVE9UQUxfUkVWXzJZUl9BTk5fQ0FHUi4uNy8xNi8yMDE4LkxGUi5GLlVTRC5IAQAAAPQWHQACAAAACC00NS4wMjMzAQgAAAAFAAAAATEBAAAACjE4ODcyMzQyOTUDAAAAAzE2MAIAAAAENDIwNwQAAAABMAcAAAAJNy8xNi8yMDE4CAAAAAkzLzMxLzIwMTgJAAAAATDE/xsRNQnWCHM5YBI1CdYIP0NJUS5OQVNEQVFHUzpNR05YLklRX0VCSVREQV81WVJfQU5OX0NBR1IuLjcvMTYvMjAxOC5MRlIuRi5VU0QuSAEAAABPKwkAAwAAAAJOTQEIAAAABQAAAAExAQAAAAoxODg3MTE0OTQ1AwAAAAMxNjACAAAABDQyMzUEAAAAATAHAAAACTcvMTYvMjAxOAgAAAAJMy8zMS8yMDE4CQAAAAEwxP8bETUJ1gjCm2ISNQnWCC5DSVEuSVFUUjUzMzM4NTc0NC5JUV9UUl9UQVJHRVRfU1RPQ0tQUkVNSVVNXzFNAQAAABDSyh8CAAAAAAAMbRAONQnWCMDbgg41CdYIIUNJUS5JUTI3OTM1OTczMi5JUV9DT01QQU5ZX1RJQ0tFUgEAAAD0sKYQAwAAAA1OYXNkYXFHTTpDUlZTALKzSW80CdYIGemhbzQJ1ggwQ0lRLk5BU0RBUUdT</t>
  </si>
  <si>
    <t>OkZQUlguSVFfTEFTVFNBTEVQUklDRS43LzE2LzIwMTguVVNEAQAAADddMwACAAAABTE3LjI2ACkclBA1CdYIczlgEjUJ1ggdQ0lRLk5BU0RBUUdNOkNSSVMuSVFfRVhDSEFOR0UBAAAAF2oAAAMAAAAITmFzZGFxR00AyDCyNwgJ1gjdS6RvNAnWCDBDSVEuT1RDUEs6TUJWWC5JUV9QRVJJT0REQVRFX0lTLi43LzE2LzIwMTguTEZSLkYBAAAA2ESLAgUAAAAKMTIvMzEvMjAxNwDep34QNQnWCJgSWRI1CdYIOENJUS5OQVNEQVFHUzpKTkNFLklRX1RPVEFMX0VRVUlUWS4uNy8xNi8yMDE4LkxGUi5GLlVTRC5IAQAAAOJ5ng0CAAAABzExMC4yODYBCAAAAAUAAAABMQEAAAAKMTg4ODE4NjM3NAMAAAADMTYwAgAAAAQxMjc1BAAAAAEwBwAAAAk3LzE2LzIwMTgIAAAACTMvMzEvMjAxOAkAAAABMN6nfhA1CdYImBJZEjUJ1ggjQ0lRLklRVFIzMTQ4MjkyMzYuSVFfVFJfVE9UQUxfU1RPQ0sBAAAAtOnDEgIAAAAAAFjPEg41CdYIwNuCDjUJ1ggrQ0lRLklRVFI1NjE2MDYzNjUuSVFfVFJfVE9UQUxfR1JPU1NfVFYuLlVTRAEAAADdbnkhAgAAAAQxMDQwAQYAAAAFAAAAAjU0AQAAAAYxMDIwODgCAAAACTU2MTYwNjM2NQMAAAAJNTYxNjA5MTk3BAAAAAMxNjAGAAAABUZhbHNlsrNJbzQJ1gg1m5NvNAnWCDBDSVEuTkFTREFRR006QVJRTC5JUV9MQVNUU0FMRVBSSUNFLjcvMzEvMjAxOC5VU0QBAAAA9mEAAAIAAAAENC45</t>
  </si>
  <si>
    <t>OADWjBE4CAnWCHMknW80CdYIOUNJUS5PVENQSzpNQlZYLklRX0VCSVREQV9FU1QuQ1kyMDE5LjcvMTYvMjAxOC5DT04uRi5VU0QuSAEAAADYRIsCAwAAAAAA3qd+EDUJ1giYElkSNQnWCDVDSVEuKElOVkFMSUQgSURFTlRJRklFUikuSVFfTUFSS0VUQ0FQLjcvMzEvMjAxOC5VU0QuSAUAAAAAAAAACAAAABQoSW52YWxpZCBJZGVudGlmaWVyKcgwsjcICdYITnKrbzQJ1gglQ0lRLk5BU0RBUUdNOkxQVFguSVFfRklSU1RQUklDSU5HREFURQEAAAAMNgkHBQAAAAkxLzI1LzIwMTcAKRyUEDUJ1ggw110SNQnWCDNDSVEuTkFTREFRR1M6Sk5DRS5JUV9QRVJJT0REQVRFX0lTLi43LzE2LzIwMTguTEZSLkYBAAAA4nmeDQUAAAAJMy8zMS8yMDE4ACkclBA1CdYI5HRbEjUJ1ghCQ0lRLk5BU0RBUUNNOkNLUFQuSVFfVE9UQUxfUkVWXzJZUl9BTk5fQ0FHUi4uNy8xNi8yMDE4LkxGUi5GLlVTRC5IAQAAALhRFhECAAAABzkzLjU2MTIBCAAAAAUAAAABMQEAAAAKMTg4ODAwNzIyMwMAAAADMTYwAgAAAAQ0MjA3BAAAAAEwBwAAAAk3LzE2LzIwMTgIAAAACTMvMzEvMjAxOAkAAAABMCkclBA1CdYI5HRbEjUJ1gg4Q0lRLk5BU0RBUUdNOkNSSVMuSVFfRUJJVERBLkNZMjAxNi43LzMxLzIwMTguTEZSLkYuVVNELkgBAAAAF2oAAAIAAAAHLTM5Ljg1NwEIAAAABQAAAAExAQAAAAoxODc4MDExNjU0AwAAAAMxNjACAAAABDQw</t>
  </si>
  <si>
    <t>NTEEAAAAATAHAAAACTcvMzEvMjAxOAgAAAAKMTIvMzEvMjAxNgkAAAABMMgwsjcICdYI3UukbzQJ1ggzQ0lRLk5BU0RBUUdTOkJHTkUuSVFfRUJJVERBX0VTVC5DWTIwMTguLkNPTi5GLlVTRC5IAQAAAODk3QYCAAAACi01MTEuNjY3NjUBDgAAAAUAAAACMTEBAAAAATACAAAACjEwMDMzMjYyNjMDAAAABjEwMDE4NwQAAAABMgYAAAABMAcAAAADMTYwCAAAAAEwCQAAAAExCgAAAAEwCwAAAAsxMTA1MTEyMDM2NgwAAAABNw0AAAAJOC8yNC8yMDE4EAAAAAk4LzIzLzIwMTicC9U4CAnWCJwL1TgICdYIPENJUS5OQVNEQVFHUzpGUFJYLklRX0VBUk5JTkdfQ08uQ1kyMDE2LjcvMTYvMjAxOC5MRlIuRi5VU0QuSAEAAAA3XTMAAgAAAActNjUuNjk3AQgAAAAFAAAAATEBAAAACjE4NzYxMzU5ODgDAAAAAzE2MAIAAAABNwQAAAABMAcAAAAJNy8xNi8yMDE4CAAAAAoxMi8zMS8yMDE2CQAAAAEwKRyUEDUJ1ghzOWASNQnWCClDSVEuSVFUUjU2MzkxOTA0OS5JUV9UUl9JTVBMSUVEX0VRX05JX0xUTQEAAADJuJwhAwAAAAJOTQAMbRAONQnWCMDbgg41CdYIPENJUS5OQVNEQVFHUzpBTkFCLklRX0VBUk5JTkdfQ08uQ1kyMDE3LjcvMTYvMjAxOC5MRlIuRi5VU0QuSAEAAAAhTLIBAgAAAAYtMzAuMDcBCAAAAAUAAAABMQEAAAAKMTg3NzA2NTIzMQMAAAADMTYwAgAAAAE3BAAAAAEwBwAAAAk3LzE2LzIwMTgIAAAACjEy</t>
  </si>
  <si>
    <t>LzMxLzIwMTcJAAAAATDE/xsRNQnWCMKbYhI1CdYIK0NJUS5OQVNEQVFHTTpGQVRFLklRX0xBU1RTQUxFUFJJQ0UuNS81LzIwMTcBAAAAaDFXAgIAAAAENC4zNADWjBE4CAnWCMOGn280CdYIPUNJUS5OQVNEQVFDTTpDS1BULklRX1JFVkVOVUVfRVNULkNZMjAxOC43LzE2LzIwMTguQ09OLkYuVVNELkgBAAAAuFEWEQIAAAAFMS41ODYBDgAAAAUAAAACMTEBAAAAATACAAAACjEwMDM2NjU1OTcDAAAABjEwMDE4MAQAAAABMgYAAAABMAcAAAADMTYwCAAAAAEwCQAAAAExCgAAAAEwCwAAAAsxMDg3ODI1NDk5NgwAAAABNw0AAAAJNy8xNy8yMDE4EAAAAAk3LzE2LzIwMTgpHJQQNQnWCDDXXRI1CdYIJ0NJUS5OQVNEQVFHTTpJTU1VLklRX0JFVEFfMVlSLjcvMzEvMjAxOAEAAAAgQwQAAgAAABAxLjQ1OTg3NTM3MjUxMjkxAJwL1TgICdYI1F+YbzQJ1gg+Q0lRLk5BU0RBUUdNOkFSUlkuSVFfVE9UQUxfRVFVSVRZLkNZMjAxNy43LzMxLzIwMTguTEZSLkYuVVNELkgBAAAA+GEAAAIAAAAHMjQyLjE4MgEIAAAABQAAAAExAQAAAAoxODczMjAzNzk4AwAAAAMxNjACAAAABDEyNzUEAAAAATAHAAAACTcvMzEvMjAxOAgAAAAKMTIvMzEvMjAxNwkAAAABMJwL1TgICdYIJMKabzQJ1ggjQ0lRLklRVFI1NTM1NDgwMjUuSVFfVFJfQ0xPU0VEX0RBVEUBAAAA+Xj+IAUAAAAJNi8yMC8yMDE4ALKzSW80CdYIgf2VbzQJ1gg/</t>
  </si>
  <si>
    <t>Q0lRLk5BU0RBUUdNOkFSUUwuSVFfTkVUX1dPUktJTkdfQ0FQLjE5OTYuNy8zMS8yMDE4LkxGUi5GLlVTRC5IAQAAAPZhAAACAAAABi02LjUzNAEIAAAABQAAAAExAQAAAAoxODg4Nzg4NzM3AwAAAAMxNjACAAAABDEzMTEEAAAAATAHAAAACTcvMzEvMjAxOAgAAAAJMy8zMS8yMDE3CQAAAAEw1owROAgJ1ghzJJ1vNAnWCDpDSVEuTkFTREFRR1M6R1RIWC5JUV9FQVJOSU5HX0NPLjE5OTYuNy8zMS8yMDE4LkxGUi5GLlVTRC5IAQAAAGU0aQgCAAAACi0zNi42ODE5MTQBCAAAAAUAAAABMQEAAAAKMTg4NjM2NzY0OAMAAAADMTYwAgAAAAE3BAAAAAEwBwAAAAk3LzMxLzIwMTgIAAAACTMvMzEvMjAxNwkAAAABMNaMETgICdYIJMKabzQJ1gglQ0lRLklRVFI1NjM5MTkwNDkuSVFfUFJJTUFSWV9JTkRVU1RSWQEAAAD2Q2wNAwAAAA1CaW90ZWNobm9sb2d5AAxtEA41CdYIwNuCDjUJ1ggyQ0lRLk5BU0RBUUdTOkJHTkUuSVFfVE9UQUxfUkVWLkNZMjAxNy4uTEZSLkYuVVNELkgBAAAA4OTdBgIAAAAHMjU0LjY5NAEIAAAABQAAAAExAQAAAAoxODk5ODgxMTk0AwAAAAMxNjACAAAAAjI4BAAAAAEwBwAAAAk4LzIzLzIwMTgIAAAACjEyLzMxLzIwMTcJAAAAATCcC9U4CAnWCJwL1TgICdYILkNJUS5JUVRSMjQ1ODMxMDA3LklRX1RSX1RBUkdFVF9TVE9DS1BSRU1JVU1fMVcBAAAAXxWnDgIAAAAHMjMuNzI2MwCys0lv</t>
  </si>
  <si>
    <t>NAnWCIH9lW80CdYIIUNJUS5JUVRSNTMzNjM5NTAxLklRX1RSX0JVWUVSTkFNRQEAAABNsc4fAwAAAERTRUxMQVMgTGlmZSBTY2llbmNlcyBHcm91cCBBRyAobmthOlNFTExBUyBMaWZlIFNjaWVuY2VzIEdyb3VwLCBJbmMuKQAMbRAONQnWCMDbgg41CdYIKkNJUS5JUVRSNTQyODA2Njg2LklRX1RSX1RBUkdFVF9FQklULi5VU0QuSAEAAACeklogAgAAAAAAsrNJbzQJ1giB/ZVvNAnWCCxDSVEuSVFUUjM3MTcxNTExOS5JUV9UUl9UQVJHRVRfRUJJVERBLi5VU0QuSAEAAAAv7CcWAgAAAAAAWM8SDjUJ1gjA24IONQnWCCBDSVEuSVFUUjQwODQwNzgyMi5JUV9UUl9FQVJOT1VUUwEAAAAOz1cYAgAAAAMxNTMBBgAAAAUAAAACNTQBAAAABjEwMTQwMwIAAAAJNDA4NDA3ODIyAwAAAAk0MDg0MTA1NDEEAAAAAzE2MAYAAAAFRmFsc2Wys0lvNAnWCIH9lW80CdYIOUNJUS5OQVNEQVFHTTpBUlFMLklRX1RPVEFMX0RFQlQuMjAwMC41LzUvMjAxNy5MRlIuRi5VU0QuSAEAAAD2YQAAAgAAAAYxNC4zMzcBCAAAAAUAAAABMQEAAAAKMTg0MTk5MjUxMgMAAAADMTYwAgAAAAQ0MTczBAAAAAEwBwAAAAg1LzUvMjAxNwgAAAAJMy8zMS8yMDE3CQAAAAEw1owROAgJ1ghzJJ1vNAnWCCVDSVEuSVFUUjU1MzU0ODAyNS5JUV9UUl9NQUpfTUlOX1NUQUtFAQAAAPl4/iADAAAACE1ham9yaXR5ALKzSW80CdYIgf2VbzQJ1gg9Q0lR</t>
  </si>
  <si>
    <t>Lk5BU0RBUUdNOkZBVEUuSVFfQ0FTSF9TVF9JTlZFU1QuMjAwMC41LzUvMjAxNy5MRlIuRi5VU0QuSAEAAABoMVcCAgAAAAY5Mi4xMTIBCAAAAAUAAAABMQEAAAAKMTgzMjE2Nzg5NgMAAAADMTYwAgAAAAQxMDAyBAAAAAEwBwAAAAg1LzUvMjAxNwgAAAAKMTIvMzEvMjAxNgkAAAABMNaMETgICdYIw4afbzQJ1ggwQ0lRLk5BU0RBUUdTOk1SU04uSVFfTEFTVFNBTEVQUklDRS43LzMxLzIwMTguVVNEAQAAAObFGAACAAAABDExLjgA1owROAgJ1gjDhp9vNAnWCCNDSVEuMC5JUV9UUl9JTVBMSUVEX0VWX0ZJTkFMLi5VU0QuSAUAAAAAAAAACAAAABgoSW52YWxpZCBUcmFuc2FjdGlvbiBJZClJU0dvNAnWCAfi8IE0CdYIOENJUS5OQVNEQVFHUzpKTkNFLklRX0VCSVREQS5DWTIwMTYuNy8xNi8yMDE4LkxGUi5GLlVTRC5IAQAAAOJ5ng0CAAAABy0xMi41MjIBCAAAAAUAAAABMQEAAAAKMTg3NzcxNjQ5MgMAAAADMTYwAgAAAAQ0MDUxBAAAAAEwBwAAAAk3LzE2LzIwMTgIAAAACjEyLzMxLzIwMTYJAAAAATApHJQQNQnWCJgSWRI1CdYILkNJUS5JUVRSNTMzMzg1NzQ0LklRX1RSX1RBUkdFVF9TVE9DS1BSRU1JVU1fMVcBAAAAENLKHwIAAAAAAAxtEA41CdYIwNuCDjUJ1gg4Q0lRLk5BU0RBUUdTOkFEWFMuSVFfVE9UQUxfRVFVSVRZLi43LzE2LzIwMTguTEZSLkYuVVNELkgBAAAAnux4AAIAAAAJNDUuNDU1MzE4</t>
  </si>
  <si>
    <t>AQgAAAAFAAAAATEBAAAACjE4OTI3ODg1NDgDAAAAAzE2MAIAAAAEMTI3NQQAAAABMAcAAAAJNy8xNi8yMDE4CAAAAAk0LzMwLzIwMTgJAAAAATApHJQQNQnWCOR0WxI1CdYIIkNJUS5JUVRSNDA3NzYwNjkyLklRX1RSX1BDVF9TT1VHSFQBAAAANO9NGAIAAAADMTAwAQYAAAAFAAAAAjU0AQAAAAYxMDEwMjQCAAAACTQwNzc2MDY5MgMAAAAJNDA3Nzg1MzIwBAAAAAMxNjAGAAAABFRydWUMbRAONQnWCAw+hQ41CdYILkNJUS5JUVRSNTYxNjA2MzY1LklRX1RSX1RBUkdFVF9TVE9DS1BSRU1JVU1fMU0BAAAA3W55IQIAAAAAALKzSW80CdYINZuTbzQJ1ggsQ0lRLk5BU0RBUUdNOkxQVFguSVFfTEFTVFNBTEVQUklDRS45LzE1LzIwMTcBAAAADDYJBwIAAAAENS43NAApHJQQNQnWCDDXXRI1CdYIO0NJUS5OQVNEQVFHUzpFUFpNLklRX1RPVEFMX1JFVi5DWTIwMTYuNy8zMS8yMDE4LkxGUi5GLlVTRC5IAQAAAAMmPQMCAAAABTguMDA3AQgAAAAFAAAAATEBAAAACjE4NzgwODEwNjEDAAAAAzE2MAIAAAACMjgEAAAAATAHAAAACTcvMzEvMjAxOAgAAAAKMTIvMzEvMjAxNgkAAAABMNaMETgICdYIJMKabzQJ1gguQ0lRLklRVFIyNTM5NTQ0NzMuSVFfVFJfVEFSR0VUX1NUT0NLUFJFTUlVTV8xTQEAAACpCSMPAgAAAAAAsrNJbzQJ1gg1m5NvNAnWCChDSVEuTkFTREFRR1M6Sk5DRS5JUV9URVYuNy8xNi8yMDE4LlVT</t>
  </si>
  <si>
    <t>RC5IAQAAAOJ5ng0CAAAACDE3LjE3MDM1AQYAAAAFAAAAATEBAAAACjE4ODgxODYwMzUDAAAAAzE2MAIAAAAGMTAwMDYwBAAAAAEwBwAAAAk3LzE2LzIwMTgpHJQQNQnWCOR0WxI1CdYIJUNJUS5OQVNEQVFDTTpNVEVNLklRX0ZJUlNUUFJJQ0lOR0RBVEUBAAAAmZupAQUAAAAIOC8zLzIwMTcAyDCyNwgJ1ggZ6aFvNAnWCEZDSVEuTkFTREFRR1M6R1RIWC5JUV9UT1RBTF9SRVZfNVlSX0FOTl9DQUdSLjIwMDAuNy8zMS8yMDE4LkxGUi5GLlVTRC5IAQAAAGU0aQgDAAAAAADWjBE4CAnWCCTCmm80CdYIM0NJUS5FTlhUUEE6SVBILklRX1RPVEFMX0RFQlQuLjkvMTUvMjAxNy5MRlIuRi5VU0QuSAEAAACZgAYAAgAAAAg1LjYyMzM1MQEIAAAABQAAAAExAQAAAAoxODM3OTYyMjQyAwAAAAMxNjACAAAABDQxNzMEAAAAATAHAAAACTkvMTUvMjAxNwgAAAAKMTIvMzEvMjAxNgkAAAABMCkclBA1CdYIczlgEjUJ1gg1Q0lRLk5BU0RBUUdTOktVUkEuSVFfQ0FQRVguMjAwMC43LzMxLzIwMTguTEZSLkYuVVNELkgBAAAAuMvaEAMAAAAAANaMETgICdYIcySdbzQJ1gg3Q0lRLk5BU0RBUUdNOkFGTUQuSVFfUFJFRl9FUVVJVFkuLjcvMTYvMjAxOC5MRlIuRi5VU0QuSAEAAADb9wwAAwAAAAAAKRyUEDUJ1ggw110SNQnWCDhDSVEuTkFTREFRR1M6Sk5DRS5JUV9FQklUREEuQ1kyMDE3LjcvMTYvMjAxOC5MRlIuRi5VU0Qu</t>
  </si>
  <si>
    <t>SAEAAADieZ4NAgAAAActMTQuNzkzAQgAAAAFAAAAATEBAAAACjE4Nzc3MTY2MTMDAAAAAzE2MAIAAAAENDA1MQQAAAABMAcAAAAJNy8xNi8yMDE4CAAAAAoxMi8zMS8yMDE3CQAAAAEwKRyUEDUJ1giYElkSNQnWCD1DSVEuTkFTREFRR1M6TVJTTi5JUV9FQklUREFfTUFSR0lOLjIwMDAuNy8zMS8yMDE4LkxGUi5GLlVTRC5IAQAAAObFGAACAAAACS0yNjUuMjc5NwEIAAAABQAAAAExAQAAAAoxODg5MDk2NjUzAwAAAAMxNjACAAAABDQwNDcEAAAAATAHAAAACTcvMzEvMjAxOAgAAAAJMy8zMS8yMDE4CQAAAAEw1owROAgJ1gjDhp9vNAnWCCdDSVEuTkFTREFRR1M6QkdORS5JUV9CRVRBXzVZUi43LzMxLzIwMTgBAAAA4OTdBgIAAAARMC44NDgxNzA1NzQ2MTgyNDQAnAvVOAgJ1giB/ZVvNAnWCEZDSVEuTkFTREFRR1M6Q0FMQS5JUV9UT1RBTF9SRVZfMllSX0FOTl9DQUdSLjIwMDAuNy8zMS8yMDE4LkxGUi5GLlVTRC5IAQAAAKUngQYDAAAAAADIMLI3CAnWCN1LpG80CdYILkNJUS5OQVNEQVFHUzpGUFJYLklRX01BUktFVENBUC43LzMxLzIwMTguVVNELkgBAAAAN10zAAIAAAAKNTI0LjYxODQwNgEGAAAABQAAAAExAQAAAAoxODg3NDAyMTYwAwAAAAMxNjACAAAABjEwMDA1NAQAAAABMAcAAAAJNy8zMS8yMDE41owROAgJ1ggZ6aFvNAnWCDVDSVEuTkFTREFRR006Q1JWUy5JUV9DQVBFWC4yMDAwLjcvMzEv</t>
  </si>
  <si>
    <t>MjAxOC5MRlIuRi5VU0QuSAEAAAD0sKYQAgAAAAYtMC4xNjEBCAAAAAUAAAABMQEAAAAKMTg4NjM2NzU5MQMAAAADMTYwAgAAAAQyMDIxBAAAAAEwBwAAAAk3LzMxLzIwMTgIAAAACTMvMzEvMjAxOAkAAAABMNaMETgICdYIGemhbzQJ1gg3Q0lRLk5BU0RBUUdTOlBCWUkuSVFfRUJJVF9NQVJHSU4uLjcvMTYvMjAxOC5MRlIuRi5VU0QuSAEAAAACaqwHAgAAAAktMjU3LjUxNTMBCAAAAAUAAAABMQEAAAAKMTg4ODY2Nzc0MwMAAAADMTYwAgAAAAQ0MDUzBAAAAAEwBwAAAAk3LzE2LzIwMTgIAAAACTMvMzEvMjAxOAkAAAABMMT/GxE1CdYIEv5kEjUJ1gg9Q0lRLk5BU0RBUUdTOkdUSFguSVFfUkVWRU5VRV9FU1QuQ1kyMDIwLjcvMzEvMjAxOC5DT04uRi5VU0QuSAEAAABlNGkIAgAAAAcwLjU4MDgyAQ4AAAAFAAAAAjExAQAAAAEwAgAAAAoxMDAzNzUyODI5AwAAAAYxMDAxODAEAAAAATIGAAAAATAHAAAAAzE2MAgAAAABMAkAAAABMQoAAAABMAsAAAALMTEwMjk4NTU3NDIMAAAAATcNAAAACDgvMS8yMDE4EAAAAAk3LzMxLzIwMTicC9U4CAnWCCTCmm80CdYII0NJUS5JUVRSNTQ3NDIzNjgwLklRX1RSX0NMT1NFRF9EQVRFAQAAAMAFoSAFAAAACDIvNy8yMDE4AAxtEA41CdYIwNuCDjUJ1gglQ0lRLklRVFI1NDgzMzgwMjAuSVFfUFJJTUFSWV9JTkRVU1RSWQEAAADc+K4gAwAAAA1CaW90ZWNobm9sb2d5AAxt</t>
  </si>
  <si>
    <t>EA41CdYIwNuCDjUJ1gguQ0lRLklRVFI1NTM1NDgwMjUuSVFfVFJfVEFSR0VUX1NUT0NLUFJFTUlVTV8xTQEAAAD5eP4gAgAAAAgxNTEuNzk4NgEGAAAABQAAAAI1NAEAAAAGMTAxMDU1AgAAAAk1NTM1NDgwMjUDAAAACTU1MzU2NDk3MQQAAAADMTYwBgAAAAVGYWxzZbKzSW80CdYIgf2VbzQJ1ggxQ0lRLklRVFIyNjM3MTg2NDcuSVFfVFJfVEFSR0VUX1JFVkVOVUVfRVNULi5VU0QuSAEAAAD3BrgPAgAAAAAAsrNJbzQJ1giB/ZVvNAnWCD9DSVEuTkFTREFRR006SU1NVS5JUV9FQklUREFfMllSX0FOTl9DQUdSLi43LzE2LzIwMTguTEZSLkYuVVNELkgBAAAAIEMEAAMAAAACTk0BCAAAAAUAAAABMQEAAAAKMTg4ODUyMzM4NAMAAAADMTYwAgAAAAQ0MjA5BAAAAAEwBwAAAAk3LzE2LzIwMTgIAAAACTMvMzEvMjAxOAkAAAABMMT/GxE1CdYIEv5kEjUJ1gg+Q0lRLk5BU0RBUUdNOklNTVUuSVFfVE9UQUxfRVFVSVRZLkNZMjAxNy43LzMxLzIwMTguTEZSLkYuVVNELkgBAAAAIEMEAAIAAAAJMTYuNDQ5MTg3AQgAAAAFAAAAATEBAAAACjE4NzM0OTM1MjgDAAAAAzE2MAIAAAAEMTI3NQQAAAABMAcAAAAJNy8zMS8yMDE4CAAAAAoxMi8zMS8yMDE3CQAAAAEwnAvVOAgJ1gjUX5hvNAnWCD5DSVEuTkFTREFRR1M6TVJTTi5JUV9UT1RBTF9FUVVJVFkuQ1kyMDE2LjcvMzEvMjAxOC5MRlIuRi5VU0QuSAEAAADmxRgA</t>
  </si>
  <si>
    <t>AgAAAAYzOC44MzEBCAAAAAUAAAABMQEAAAAKMTg4MDU0NzM4MwMAAAADMTYwAgAAAAQxMjc1BAAAAAEwBwAAAAk3LzMxLzIwMTgIAAAACjEyLzMxLzIwMTYJAAAAATDWjBE4CAnWCMOGn280CdYIL0NJUS5JUVRSNDIyODg3NzAxLklRX1RSX0lNUExJRURfRVZfRklOQUwuLlVTRC5IAQAAABXBNBkCAAAACTQ4LjkwNjE0MQEGAAAABQAAAAI1NAEAAAAGMTAyMDQ1AgAAAAk0MjI4ODc3MDEDAAAACTQzMDQwNjM0MwQAAAADMTYwBgAAAAVGYWxzZQxtEA41CdYIwNuCDjUJ1ggvQ0lRLi5JUV9HUk9TU19NQVJHSU4uMjAwMC43LzMxLzIwMTguTEZSLkYuVVNELkgFAAAAAQAAAAgAAAAUKEludmFsaWQgSWRlbnRpZmllcin1hDJHNAnWCPWEMkc0CdYIP0NJUS5OQVNEQVFHUzpGUFJYLklRX0VCSVREQV8zWVJfQU5OX0NBR1IuLjcvMTYvMjAxOC5MRlIuRi5VU0QuSAEAAAA3XTMAAwAAAAJOTQEIAAAABQAAAAExAQAAAAoxODg3NDAyMjI3AwAAAAMxNjACAAAABDQyMjIEAAAAATAHAAAACTcvMTYvMjAxOAgAAAAJMy8zMS8yMDE4CQAAAAEwKRyUEDUJ1ghzOWASNQnWCDdDSVEuTkFTREFRR1M6VFNSTy5JUV9QRVJJT0REQVRFX0lTLjIwMDAuNy8zMS8yMDE4LkxGUi5GAQAAAGjWWAYFAAAACTMvMzEvMjAxOACcC9U4CAnWCCTCmm80CdYIHkNJUS5JUTM2MTgzODQzLklRX0NPTVBBTllfTkFNRQEAAAAjHygCAwAAADJV</t>
  </si>
  <si>
    <t>bml0ZWQgU3RhdGVzIFRyZWFzdXJ5IENvbnN0YW50IE1hdHVyaXR5IC0gMzAgWWVhcgAMbRAONQnWCHd5gA41CdYINkNJUS5OQVNEQVFHTTpOTE5LLklRX1RPVEFMX0RFQlQuLjcvMTYvMjAxOC5MRlIuRi5VU0QuSAEAAACVe4wAAgAAAAUwLjIwMgEIAAAABQAAAAExAQAAAAoxODg4MzU0MjA3AwAAAAMxNjACAAAABDQxNzMEAAAAATAHAAAACTcvMTYvMjAxOAgAAAAJMy8zMS8yMDE4CQAAAAEwKRyUEDUJ1gjkdFsSNQnWCD1DSVEuTkFTREFRR1M6QkdORS5JUV9SRVZFTlVFX0VTVC5DWTIwMjAuNy8zMS8yMDE4LkNPTi5GLlVTRC5IAQAAAODk3QYCAAAACTI1MC44MDc3NQEOAAAABQAAAAIxMQEAAAABMAIAAAAKMTAwMzMyNjI3NwMAAAAGMTAwMTgwBAAAAAEyBgAAAAEwBwAAAAMxNjAIAAAAATAJAAAAATEKAAAAATALAAAACzEwOTc3NzIzODA1DAAAAAE3DQAAAAg4LzEvMjAxOBAAAAAJNy8zMS8yMDE4nAvVOAgJ1giB/ZVvNAnWCClDSVEuSVFUUjUzNTcxOTk5OC5JUV9CVVNJTkVTU19ERVNDUklQVElPTgEAAAA/zKQHAwAAAJIPS2l0ZSBQaGFybWEsIEluYy4sIGEgY2xpbmljYWwtc3RhZ2UgYmlvcGhhcm1hY2V1dGljYWwgY29tcGFueSwgZm9jdXNlcyBvbiB0aGUgZGV2ZWxvcG1lbnQgYW5kIGNvbW1lcmNpYWxpemF0aW9uIG9mIG5vdmVsIGNhbmNlciBpbW11bm90aGVyYXB5IHByb2R1Y3RzLiBUaGUg</t>
  </si>
  <si>
    <t>Y29tcGFueSBpcyBkZXZlbG9waW5nIGEgcGlwZWxpbmUgb2YgZW5naW5lZXJlZCBhdXRvbG9nb3VzIGNlbGwgdGhlcmFweS1iYXNlZCBwcm9kdWN0IGNhbmRpZGF0ZXMgZm9yIHRoZSB0cmVhdG1lbnQgb2Ygc29saWQgYW5kIGhlbWF0b2xvZ2ljYWwgbWFsaWduYW5jaWVzLiBJdHMgbGVhZCBwcm9kdWN0IGNhbmRpZGF0ZSBpcyBLVEUtQzE5LCBhIGNoaW1lcmljIGFudGlnZW4gcmVjZXB0b3IgKENBUiktYmFzZWQgdGhlcmFweSB0aGF0IGlzIGluIFBoYXNlIDIgY2xpbmljYWwgdHJpYWxzIGZvciBwYXRpZW50cyB3aXRoIHJlbGFwc2VkIG9yIHJlZnJhY3RvcnkgYWdncmVzc2l2ZSBkaWZmdXNlIGxhcmdlIEIgY2VsbCBseW1waG9tYSwgcHJpbWFyeSBtZWRpYXN0aW5hbCBCIGNlbGwgbHltcGhvbWEsIGFuZCB0cmFuc2Zvcm1lZCBmb2xsaWN1bGFyIGx5bXBob21hLiBUaGUgY29tcGFueSBpcyBhbHNvIGNvbmR1Y3RpbmcgYSBQaGFzZSAyIGNsaW5pY2FsIHRyaWFsIG9mIEtURS1DMTkgb24gcGF0aWVudHMgd2l0aCByZWxhcHNlZC9yZWZyYWN0b3J5IG1hbnRsZSBjZWxsIGx5bXBob21hOyBhIFBoYXNlIDEtMiBjbGluaWNhbCB0cmlhbCBvZiBLVEUtQzE5IG9uIGFkdWx0IHBhdGllbnRzIHdpdGggcmVsYXBzZWQvcmVmcmFjdG9yeSBhY3V0ZSBseW1waG9ibGFzdGljIGxldWtlbWlhOyBhbmQgYSBQaGFz</t>
  </si>
  <si>
    <t>ZSAxLTIgY2xpbmljYWwgdHJpYWwgb2YgS1RFLUMxOSBpbiBwZWRpYXRyaWMgcGF0aWVudHMgd2l0aCByZWxhcHNlZC9yZWZyYWN0b3J5LCBhcyB3ZWxsIGFzIFBoYXNlIDFiLzIgY2xpbmljYWwgdHJpYWwgb2YgS1RFLUMxOSBpbiBjb21iaW5hdGlvbiB3aXRoIEdlbmVudGVjaOKAmXMgYXRlem9saXp1bWFiIGluIHBhdGllbnRzIHdpdGggcmVmcmFjdG9yeSBETEJDTC4gSW4gYWRkaXRpb24sIGl0IGVuZ2FnZXMgaW4gZGV2ZWxvcGluZyBUIGNlbGwgcmVjZXB0b3JzLWJhc2VkIHRoZXJhcGllcywgd2hpY2ggdGFyZ2V0cyBzZWxmLWFudGlnZW5zLCB2aXJhbCBhbnRpZ2VucywgYW5kIG5lby1hbnRpZ2Vucy4gVGhlIGNvbXBhbnkgaGFzIGEgcmVzZWFyY2ggY29sbGFib3JhdGlvbiBhbmQgbGljZW5zZSBhZ3JlZW1lbnQgd2l0aCBBbWdlbiBJbmMuIHRvIGRldmVsb3AgYW5kIGNvbW1lcmNpYWxpemUgdmFyaW91cyBDQVItYmFzZWQgcHJvZHVjdCBjYW5kaWRhdGVzOyBjb29wZXJhdGl2ZSByZXNlYXJjaCBhbmQgZGV2ZWxvcG1lbnQgYWdyZWVtZW50cyB3aXRoIHRoZSBVLlMuIERlcGFydG1lbnQgb2YgSGVhbHRoIGFuZCBIdW1hbiBTZXJ2aWNlczsgYSBsaWNlbnNlIGFncmVlbWVudCB3aXRoIENhYmFyZXQgQmlvdGVjaCBMdGQuIGFuZCBOYXRpb25hbCBJbnN0aXR1dGVzIG9mIEhlYWx0aDsgYSBsaWNl</t>
  </si>
  <si>
    <t>bnNlIGFuZCByZXNlYXJjaCBhZ3JlZW1lbnQgd2l0aCBBbHBpbmUgSW1tdW5lIFNjaWVuY2VzLCBJbmMuOyBhIHJlc2VhcmNoIGNvbGxhYm9yYXRpb24gYW5kIGxpY2Vuc2UgYWdyZWVtZW50IHdpdGggQ2VsbCBEZXNpZ24gTGFicywgSW5jLjsgYW5kIGEgc3RyYXRlZ2ljIGNvbGxhYm9yYXRpb24gd2l0aCBHYWRldGEgQi5WLiB0byBkZXZlbG9wIGdhbW1hIGRlbHRhIFRDUiB0aGVyYXBpZXMgaW4gdmFyaW91cyBjYW5jZXJzLiBLaXRlIFBoYXJtYSwgSW5jLiB3YXMgZm91bmRlZCBpbiAyMDA5IGFuZCBpcyBoZWFkcXVhcnRlcmVkIGluIFNhbnRhIE1vbmljYSwgQ2FsaWZvcm5pYS4gQXMgb2YgT2N0b2JlciAyLCAyMDE3LCBLaXRlIFBoYXJtYSwgSW5jLiBvcGVyYXRlcyBhcyBhIHN1YnNpZGlhcnkgb2YgR2lsZWFkIFNjaWVuY2VzLCBJbmMuALKzSW80CdYIgf2VbzQJ1ggsQ0lRLklRVFIzNzE3MTUxMTkuSVFfVFJfVE9UQUxfR1JPU1NfVFYuVVNELkgFAAAAAAAAAAgAAAAaKEludmFsaWQgQ3VycmVuY3kgUmVxdWVzdCkMbRAONQnWCMDbgg41CdYIPkNJUS5OQVNEQVFHTTpGQVRFLklRX0NBU0hfU1RfSU5WRVNULjIwMDAuNy8zMS8yMDE4LkxGUi5GLlVTRC5IAQAAAGgxVwICAAAABjg4LjYzNAEIAAAABQAAAAExAQAAAAoxODg4NTAwNTI3AwAAAAMxNjACAAAABDEwMDIEAAAAATAHAAAACTcvMzEvMjAx</t>
  </si>
  <si>
    <t>OAgAAAAJMy8zMS8yMDE4CQAAAAEw1owROAgJ1gjDhp9vNAnWCD1DSVEuTkFTREFRQ006WklPUC5JUV9SRVZFTlVFX0VTVC5DWTIwMjEuNy8zMS8yMDE4LkNPTi5GLlVTRC5IAQAAALNRsgACAAAABTYuMzkyAQ4AAAAFAAAAAjExAQAAAAEwAgAAAAoxMDAwODk4MDc3AwAAAAYxMDAxODAEAAAAATIGAAAAATAHAAAAAzE2MAgAAAABMAkAAAABMQoAAAABMAsAAAALMTA5MzEzMDUwMjUMAAAAATcNAAAACDgvMS8yMDE4EAAAAAk3LzMxLzIwMTjWjBE4CAnWCMOGn280CdYIJUNJUS5JUVRSNTUwMjU5Mzk3LklRX1BSSU1BUllfSU5EVVNUUlkBAAAATgoMDwMAAAANQmlvdGVjaG5vbG9neQAMbRAONQnWCHd5gA41CdYIHUNJUS5OQVNEQVFHUzpKTkNFLklRX0VYQ0hBTkdFAQAAAOJ5ng0DAAAACE5hc2RhcUdTACkclBA1CdYI5HRbEjUJ1ghDQ0lRLk5BU0RBUUdNOkNSVlMuSVFfRUJJVERBXzVZUl9BTk5fQ0FHUi4yMDAwLjcvMzEvMjAxOC5MRlIuRi5VU0QuSAEAAAD0sKYQAwAAAAAA1owROAgJ1ggZ6aFvNAnWCCBDSVEuMC5JUV9UUl9UT1RBTF9HUk9TU19UVi5VU0QuSAUAAAAAAAAACAAAABgoSW52YWxpZCBUcmFuc2FjdGlvbiBJZClJU0dvNAnWCAfi8IE0CdYIO0NJUS5OQVNEQVFHUzpCR05FLklRX1RPVEFMX1JFVi5DWTIwMTcuNy8zMS8yMDE4LkxGUi5GLlVTRC5IAQAAAODk3QYCAAAABzI1NC42OTQBCAAA</t>
  </si>
  <si>
    <t>AAUAAAABMQEAAAAKMTg5OTg4MTE5NAMAAAADMTYwAgAAAAIyOAQAAAABMAcAAAAJNy8zMS8yMDE4CAAAAAoxMi8zMS8yMDE3CQAAAAEwnAvVOAgJ1giB/ZVvNAnWCChDSVEuTkFTREFRR1M6QURYUy5JUV9URVYuNy8xNi8yMDE4LlVTRC5IAQAAAJ7seAACAAAACTE3LjkwOTQ1NQEGAAAABQAAAAExAQAAAAoxODkyNzg4NDU0AwAAAAMxNjACAAAABjEwMDA2MAQAAAABMAcAAAAJNy8xNi8yMDE4KRyUEDUJ1gjkdFsSNQnWCD1DSVEuTkFTREFRR1M6Q0FMQS5JUV9SRVZFTlVFX0VTVC5DWTIwMjAuNy8zMS8yMDE4LkNPTi5GLlVTRC5IAQAAAKUngQYCAAAABTg1LjE1AQ4AAAAFAAAAAjExAQAAAAEwAgAAAAoxMDAyODk2NDI4AwAAAAYxMDAxODAEAAAAATIGAAAAATAHAAAAAzE2MAgAAAABMAkAAAABMQoAAAABMAsAAAALMTA5MTMyNzg0NTUMAAAAATcNAAAACDgvMS8yMDE4EAAAAAk3LzMxLzIwMTjIMLI3CAnWCN1LpG80CdYIPUNJUS5OQVNEQVFHUzpUU1JPLklRX1JFVkVOVUVfRVNULkNZMjAyMC43LzE2LzIwMTguQ09OLkYuVVNELkgBAAAAaNZYBgIAAAAJNjcwLjM4ODkyAQ4AAAAFAAAAAjExAQAAAAEwAgAAAAoxMDAxNTgwMzUwAwAAAAYxMDAxODAEAAAAATIGAAAAATAHAAAAAzE2MAgAAAABMAkAAAABMQoAAAABMAsAAAALMTA5NjcyMTU4MjYMAAAAATcNAAAACTcvMTcvMjAxOBAAAAAJNy8xNi8yMDE4</t>
  </si>
  <si>
    <t>xP8bETUJ1ggS/mQSNQnWCDhDSVEuTkFTREFRR1M6QkdORS5JUV9FQklUREEuQ1kyMDE3LjcvMzEvMjAxOC5MRlIuRi5VU0QuSAEAAADg5N0GAgAAAActNzcuMzkyAQgAAAAFAAAAATEBAAAACjE4OTk4ODExOTQDAAAAAzE2MAIAAAAENDA1MQQAAAABMAcAAAAJNy8zMS8yMDE4CAAAAAoxMi8zMS8yMDE3CQAAAAEwnAvVOAgJ1giB/ZVvNAnWCDpDSVEuTkFTREFRR006QVJSWS5JUV9UT1RBTF9ERUJULjIwMDAuNy8zMS8yMDE4LkxGUi5GLlVTRC5IAQAAAPhhAAACAAAABzEwNy4zNTUBCAAAAAUAAAABMQEAAAAKMTg4ODQ3MDY3NgMAAAADMTYwAgAAAAQ0MTczBAAAAAEwBwAAAAk3LzMxLzIwMTgIAAAACTMvMzEvMjAxOAkAAAABMJwL1TgICdYI1F+YbzQJ1gg2Q0lRLk5BU0RBUUdTOlRTUk8uSVFfVE9UQUxfREVCVC4uNy8xNi8yMDE4LkxGUi5GLlVTRC5IAQAAAGjWWAYCAAAABzQ0MC40MTcBCAAAAAUAAAABMQEAAAAKMTg4NjMzNzQ2NgMAAAADMTYwAgAAAAQ0MTczBAAAAAEwBwAAAAk3LzE2LzIwMTgIAAAACTMvMzEvMjAxOAkAAAABMMT/GxE1CdYIEv5kEjUJ1gg3Q0lRLk9UQ1BLOk1CVlguSVFfQ0FTSF9TVF9JTlZFU1QuLjkvMTUvMjAxNy5MRlIuRi5VU0QuSAEAAADYRIsCAgAAAAgxLjg0NjkwNgEIAAAABQAAAAExAQAAAAoxODU0MjY1NzYzAwAAAAMxNjACAAAABDEwMDIEAAAAATAHAAAACTkvMTUv</t>
  </si>
  <si>
    <t>MjAxNwgAAAAJNi8zMC8yMDE3CQAAAAEw3qd+EDUJ1giYElkSNQnWCDpDSVEuTkFTREFRR1M6TVJTTi5JUV9FQVJOSU5HX0NPLjIwMDAuNy8zMS8yMDE4LkxGUi5GLlVTRC5IAQAAAObFGAACAAAABy00My4wNDkBCAAAAAUAAAABMQEAAAAKMTg4OTA5NjY1MwMAAAADMTYwAgAAAAE3BAAAAAEwBwAAAAk3LzMxLzIwMTgIAAAACTMvMzEvMjAxOAkAAAABMNaMETgICdYIw4afbzQJ1ggvQ0lRLklRVFI1NjM5MTkwNDkuSVFfVFJfVEFSR0VUX1RPVEFMX1JFVi4uVVNELkgBAAAAybicIQIAAAAAAAxtEA41CdYIwNuCDjUJ1gguQ0lRLk5BU0RBUUdTOk1SU04uSVFfTUFSS0VUQ0FQLjcvMzEvMjAxOC5VU0QuSAEAAADmxRgAAgAAAAoyNzAuMjQxODY1AQYAAAAFAAAAATEBAAAACjE4ODkwOTQxMDADAAAAAzE2MAIAAAAGMTAwMDU0BAAAAAEwBwAAAAk3LzMxLzIwMTjWjBE4CAnWCMOGn280CdYINkNJUS5OQVNEQVFHTTpOTE5LLklRX1RPVEFMX0RFQlQuLjkvMTUvMjAxNy5MRlIuRi5VU0QuSAEAAACVe4wAAgAAAAUwLjM5NQEIAAAABQAAAAExAQAAAAoxODUxODk2OTUzAwAAAAMxNjACAAAABDQxNzMEAAAAATAHAAAACTkvMTUvMjAxNwgAAAAJNi8zMC8yMDE3CQAAAAEwKRyUEDUJ1gjkdFsSNQnWCCJDSVEuSVFUUjM3MTcxNTExOS5JUV9UUl9UT1RBTF9DQVNIAQAAAC/sJxYCAAAAAABYzxIONQnWCMDbgg41CdYI</t>
  </si>
  <si>
    <t>OkNJUS5OQVNEQVFHTTpBUlFMLklRX0VBUk5JTkdfQ08uMjAwMC43LzMxLzIwMTguTEZSLkYuVVNELkgBAAAA9mEAAAIAAAAHLTI4LjE1OQEIAAAABQAAAAExAQAAAAoxODg4Nzg4NzcwAwAAAAMxNjACAAAAATcEAAAAATAHAAAACTcvMzEvMjAxOAgAAAAJMy8zMS8yMDE4CQAAAAEw1owROAgJ1ghzJJ1vNAnWCCFDSVEuLklRX1RSX1RBUkdFVF9TVE9DS1BSRU1JVU1fMVcFAAAAAAAAAAgAAAAUKEludmFsaWQgSWRlbnRpZmllcimcC9U4CAnWCHd5gA41CdYILkNJUS5OQVNEQVFHUzpTR0VOLklRX01BUktFVENBUC43LzE2LzIwMTguVVNELkgBAAAAYYUAAAIAAAAMMTA5MTUuOTAzMjg4AQYAAAAFAAAAATEBAAAACjE4ODQ4OTExNTcDAAAAAzE2MAIAAAAGMTAwMDU0BAAAAAEwBwAAAAk3LzE2LzIwMThGnRkRNQnWCGhgZxI1CdYIJUNJUS5OQVNEQVFHTTpBRk1ELklRX0ZJUlNUUFJJQ0lOR0RBVEUBAAAA2/cMAAUAAAAJOS8xMi8yMDE0ACkclBA1CdYIMNddEjUJ1ggdQ0lRLk5BU0RBUUdTOkdUSFguSVFfRVhDSEFOR0UBAAAAZTRpCAMAAAAITmFzZGFxR1MAnAvVOAgJ1ggkwppvNAnWCDhDSVEuWFRSQTpNT1IuSVFfRUJJVERBX01BUkdJTi4yMDAwLjcvMzEvMjAxOC5MRlIuRi5VU0QuSAEAAADfEQIAAgAAAAktMTAwLjI3ODMBCAAAAAUAAAABMQEAAAAKMTg4NjE1MTY0OAMAAAACNTACAAAABDQwNDcEAAAA</t>
  </si>
  <si>
    <t>ATAHAAAACTcvMzEvMjAxOAgAAAAJMy8zMS8yMDE4CQAAAAEwnAvVOAgJ1gjUX5hvNAnWCDlDSVEuTkFTREFRR1M6TksuSVFfUFJFRl9FUVVJVFkuMjAwMC43LzMxLzIwMTguTEZSLkYuVVNELkgBAAAADX2hDwMAAAAAANaMETgICdYIw4afbzQJ1gg5Q0lRLlhUUkE6TU9SLklRX0NBU0hfU1RfSU5WRVNULjIwMDAuNy8zMS8yMDE4LkxGUi5GLlVTRC5IAQAAAN8RAgACAAAACjM1Mi4wNTExNzYBCAAAAAUAAAABMQEAAAAKMTg4NjE1MTY0OAMAAAADMTYwAgAAAAQxMDAyBAAAAAEwBwAAAAk3LzMxLzIwMTgIAAAACTMvMzEvMjAxOAkAAAABMJwL1TgICdYI1F+YbzQJ1ggvQ0lRLklRVFI1NDI4MDY2ODYuSVFfVFJfSU1QTElFRF9FVl9GSU5BTC4uVVNELkgBAAAAnpJaIAIAAAAAALKzSW80CdYIgf2VbzQJ1gggQ0lRLklRVFI1NTAyNTkzOTcuSVFfVFJfRUFSTk9VVFMBAAAAxUrMIAIAAAAAAAxtEA41CdYId3mADjUJ1gg1Q0lRLk5BU0RBUUdTOlBCWUkuSVFfVE9UQUxfUkVWLi43LzE2LzIwMTguTEZSLkYuVVNELkgBAAAAAmqsBwIAAAAGOTQuMjAxAQgAAAAFAAAAATEBAAAACjE4ODg2Njc3NDMDAAAAAzE2MAIAAAACMjgEAAAAATAHAAAACTcvMTYvMjAxOAgAAAAJMy8zMS8yMDE4CQAAAAEwxP8bETUJ1ggS/mQSNQnWCDVDSVEuTkFTREFRR1M6Q0FMQS5JUV9DQVBFWC4xOTkyLjcvMzEvMjAxOC5MRlIuRi5V</t>
  </si>
  <si>
    <t>U0QuSAEAAAClJ4EGAgAAAAYtMC41NDIBCAAAAAUAAAABMQEAAAAKMTg0MDk4MjY0NgMAAAADMTYwAgAAAAQyMDIxBAAAAAEwBwAAAAk3LzMxLzIwMTgIAAAACTMvMzEvMjAxNgkAAAABMMgwsjcICdYI3UukbzQJ1gg7Q0lRLk5BU0RBUUdNOk5MTksuSVFfTkVUX1dPUktJTkdfQ0FQLi43LzE2LzIwMTguTEZSLkYuVVNELkgBAAAAlXuMAAIAAAAGLTMuNTk4AQgAAAAFAAAAATEBAAAACjE4ODgzNTQyMDcDAAAAAzE2MAIAAAAEMTMxMQQAAAABMAcAAAAJNy8xNi8yMDE4CAAAAAkzLzMxLzIwMTgJAAAAATApHJQQNQnWCOR0WxI1CdYIPUNJUS5OQVNEQVFHUzpBVE5YLklRX1JFVkVOVUVfRVNULkNZMjAxOS43LzMxLzIwMTguQ09OLkYuVVNELkgBAAAA3JlrAQIAAAAIOTUuNTc4MjMBDgAAAAUAAAACMTEBAAAAATACAAAACjEwMDM3NzgzNjkDAAAABjEwMDE4MAQAAAABMgYAAAABMAcAAAADMTYwCAAAAAEwCQAAAAExCgAAAAEwCwAAAAsxMDk5NTQyMzM5MwwAAAABNw0AAAAIOC8xLzIwMTgQAAAACTcvMzEvMjAxONaMETgICdYIJMKabzQJ1gg+Q0lRLk5BU0RBUUdNOkZBVEUuSVFfVE9UQUxfRVFVSVRZLkNZMjAxNy43LzMxLzIwMTguTEZSLkYuVVNELkgBAAAAaDFXAgIAAAAGNzcuMTg5AQgAAAAFAAAAATEBAAAACjE4NzcwNjkwOTADAAAAAzE2MAIAAAAEMTI3NQQAAAABMAcAAAAJNy8zMS8yMDE4CAAAAAox</t>
  </si>
  <si>
    <t>Mi8zMS8yMDE3CQAAAAEw1owROAgJ1gjDhp9vNAnWCDZDSVEuTkFTREFRQ006U1JORS5JUV9FQklUREEuMjAwMC43LzMxLzIwMTguTEZSLkYuVVNELkgBAAAASUOUAwIAAAAGNjMuMDcxAQgAAAAFAAAAATEBAAAACjE4ODc5ODk4MzEDAAAAAzE2MAIAAAAENDA1MQQAAAABMAcAAAAJNy8zMS8yMDE4CAAAAAkzLzMxLzIwMTgJAAAAATDWjBE4CAnWCHMknW80CdYIIUNJUS5OQVNEQVFHUzpLVVJBLklRX0NPTVBBTllfTkFNRQEAAAC4y9oQAwAAABNLdXJhIE9uY29sb2d5LCBJbmMuANaMETgICdYIcySdbzQJ1gghQ0lRLk5BU0RBUUdTOkFEWFMuSVFfQ09NUEFOWV9OQU1FAQAAAJ7seAADAAAADUFkdmF4aXMsIEluYy4AKRyUEDUJ1gjkdFsSNQnWCDhDSVEuTkFTREFRR006TkxOSy5JUV9FQklUREEuQ1kyMDE2LjcvMTYvMjAxOC5MRlIuRi5VU0QuSAEAAACVe4wAAgAAAActNzcuMDc0AQgAAAAFAAAAATEBAAAACjE4NzcyOTg3MDUDAAAAAzE2MAIAAAAENDA1MQQAAAABMAcAAAAJNy8xNi8yMDE4CAAAAAoxMi8zMS8yMDE2CQAAAAEwKRyUEDUJ1gjkdFsSNQnWCChDSVEuTkFTREFRR006WE5DUi5JUV9URVYuNy8xNi8yMDE4LlVTRC5IAQAAAKZaCwACAAAACzE3OTAuOTU5NjQxAQYAAAAFAAAAATEBAAAACjE4ODcxMjQ5OTADAAAAAzE2MAIAAAAGMTAwMDYwBAAAAAEwBwAAAAk3LzE2LzIwMThGnRkRNQnWCBL+</t>
  </si>
  <si>
    <t>ZBI1CdYIPENJUS5OQVNEQVFDTTpaSU9QLklRX0VCSVREQV9FU1QuQ1kyMDE5LjcvMzEvMjAxOC5DT04uRi5VU0QuSAEAAACzUbIAAgAAAAMtNjUBDgAAAAUAAAACMTEBAAAAATACAAAACjEwMDA4OTgwNzUDAAAABjEwMDE4NwQAAAABMgYAAAABMAcAAAADMTYwCAAAAAEwCQAAAAExCgAAAAEwCwAAAAsxMDkzMTUzMzY0NwwAAAABNw0AAAAIOC8xLzIwMTgQAAAACTcvMzEvMjAxONaMETgICdYIw4afbzQJ1gg9Q0lRLk5BU0RBUUdNOklNTVUuSVFfUkVWRU5VRV9FU1QuQ1kyMDIwLjcvMTYvMjAxOC5DT04uRi5VU0QuSAEAAAAgQwQAAgAAAAgyNTQuNDMzMwEOAAAABQAAAAIxMQEAAAABMAIAAAAJMzcwMDgxMzk2AwAAAAYxMDAxODAEAAAAATIGAAAAATAHAAAAAzE2MAgAAAABMAkAAAABMQoAAAABMAsAAAALMTA5NTg2NzYxNDMMAAAAATcNAAAACTcvMTcvMjAxOBAAAAAJNy8xNi8yMDE4xP8bETUJ1ggS/mQSNQnWCDBDSVEuSVFUUjI3MzUwNzE4NS5JUV9UUl9UQVJHRVRfRUJJVERBX0VTVC4uVVNELkgBAAAAcWNNEAIAAAAAALKzSW80CdYIgf2VbzQJ1gg2Q0lRLkVOWFRQQTpJUEguSVFfRUJJVERBX01BUkdJTi4uNy8xNi8yMDE4LkxGUi5GLlVTRC5IAQAAAJmABgACAAAACC04MC44MjM0AQgAAAAFAAAAATEBAAAACjE4ODk1NTIxNjQDAAAAAjUwAgAAAAQ0MDQ3BAAAAAEwBwAAAAk3LzE2LzIwMTgIAAAA</t>
  </si>
  <si>
    <t>CjEyLzMxLzIwMTcJAAAAATApHJQQNQnWCHM5YBI1CdYIO0NJUS5OQVNEQVFHUzpHVEhYLklRX0VCSVRfTUFSR0lOLjIwMDAuNy8zMS8yMDE4LkxGUi5GLlVTRC5IAQAAAGU0aQgDAAAAAACcC9U4CAnWCCTCmm80CdYIIENJUS5JUTM2MTgzODE2LklRX0xBU1RTQUxFUFJJQ0UuAQAAAAgfKAICAAAABDIuMDkAnAvVOAgJ1gh3eYAONQnWCCVDSVEuTkFTREFRR006WE5DUi5JUV9GSVJTVFBSSUNJTkdEQVRFAQAAAKZaCwAFAAAACTEyLzMvMjAxMwBGnRkRNQnWCBL+ZBI1CdYIKUNJUS5JUVRSNTQyODA2Njg2LklRX1RSX0lNUExJRURfRVFfTklfTFRNAQAAAJ6SWiACAAAAAACys0lvNAnWCIH9lW80CdYIMUNJUS5JUVRSNTQ3NDIzNjgwLklRX1RSX1RBUkdFVF9SRVZFTlVFX0VTVC4uVVNELkgBAAAAwAWhIAIAAAAAAAxtEA41CdYIwNuCDjUJ1gg4Q0lRLk5BU0RBUUdTOktVUkEuSVFfRUJJVERBLkNZMjAxNy43LzMxLzIwMTguTEZSLkYuVVNELkgBAAAAuMvaEAIAAAAHLTM2LjA0NwEIAAAABQAAAAExAQAAAAoxODc4MDEyNDc4AwAAAAMxNjACAAAABDQwNTEEAAAAATAHAAAACTcvMzEvMjAxOAgAAAAKMTIvMzEvMjAxNwkAAAABMNaMETgICdYIcySdbzQJ1gg9Q0lRLk5BU0RBUUNNOlNSTkUuSVFfRUJJVERBX01BUkdJTi4yMDAwLjcvMzEvMjAxOC5MRlIuRi5VU0QuSAEAAABJQ5QDAgAAAAc0MS4xNjE1AQgA</t>
  </si>
  <si>
    <t>AAAFAAAAATEBAAAACjE4ODc5ODk4MzEDAAAAAzE2MAIAAAAENDA0NwQAAAABMAcAAAAJNy8zMS8yMDE4CAAAAAkzLzMxLzIwMTgJAAAAATDWjBE4CAnWCHMknW80CdYIOENJUS5OQVNEQVFHTTpBUlJZLklRX0VCSVREQS5DWTIwMTcuNy8zMS8yMDE4LkxGUi5GLlVTRC5IAQAAAPhhAAACAAAACC0xMTcuMjYyAQgAAAAFAAAAATEBAAAACjE4NzMyMDM3OTgDAAAAAzE2MAIAAAAENDA1MQQAAAABMAcAAAAJNy8zMS8yMDE4CAAAAAoxMi8zMS8yMDE3CQAAAAEwnAvVOAgJ1gjUX5hvNAnWCDxDSVEuTkFTREFRR1M6TVJTTi5JUV9FQklUREFfRVNULkNZMjAxOS43LzE2LzIwMTguQ09OLkYuVVNELkgBAAAA5sUYAAIAAAAHLTY5LjU2OAEOAAAABQAAAAIxMQEAAAABMAIAAAAKMTAwMzgwMzI4MAMAAAAGMTAwMTg3BAAAAAEyBgAAAAEwBwAAAAMxNjAIAAAAATAJAAAAATEKAAAAATALAAAACzEwODgzODMxMzk0DAAAAAE3DQAAAAk3LzE3LzIwMTgQAAAACTcvMTYvMjAxOMT/GxE1CdYIczlgEjUJ1gg5Q0lRLk5BU0RBUUdNOkNSVlMuSVFfVE9UQUxfUkVWLjE5OTYuNy8zMS8yMDE4LkxGUi5GLlVTRC5IAQAAAPSwphADAAAAAADWjBE4CAnWCBnpoW80CdYIQkNJUS5OQVNEQVFHTTpYTkNSLklRX1RPVEFMX1JFVl8yWVJfQU5OX0NBR1IuLjcvMTYvMjAxOC5MRlIuRi5VU0QuSAEAAACmWgsAAgAAAActMS45NzY0AQgA</t>
  </si>
  <si>
    <t>AAAFAAAAATEBAAAACjE4ODcxMjU4NTUDAAAAAzE2MAIAAAAENDIwNwQAAAABMAcAAAAJNy8xNi8yMDE4CAAAAAkzLzMxLzIwMTgJAAAAATDE/xsRNQnWCBL+ZBI1CdYIP0NJUS5OQVNEQVFHTTpGQVRFLklRX05FVF9XT1JLSU5HX0NBUC4xOTk2LjcvMzEvMjAxOC5MRlIuRi5VU0QuSAEAAABoMVcCAgAAAAUtOC4xNAEIAAAABQAAAAExAQAAAAoxODg4NTAwMzMzAwAAAAMxNjACAAAABDEzMTEEAAAAATAHAAAACTcvMzEvMjAxOAgAAAAJMy8zMS8yMDE3CQAAAAEw1owROAgJ1gjDhp9vNAnWCDtDSVEuTkFTREFRR006Q1JWUy5JUV9UT1RBTF9SRVYuQ1kyMDE2LjcvMzEvMjAxOC5MRlIuRi5VU0QuSAEAAAD0sKYQAwAAAAAA1owROAgJ1ggZ6aFvNAnWCDtDSVEuTkFTREFRR006TFBUWC5JUV9ORVRfV09SS0lOR19DQVAuLjcvMTYvMjAxOC5MRlIuRi5VU0QuSAEAAAAMNgkHAgAAAAYtNC41NTgBCAAAAAUAAAABMQEAAAAKMTg5MDE2MzkzNgMAAAADMTYwAgAAAAQxMzExBAAAAAEwBwAAAAk3LzE2LzIwMTgIAAAACTMvMzEvMjAxOAkAAAABMCkclBA1CdYIMNddEjUJ1gg5Q0lRLk9UQ1BLOk1CVlguSVFfRUFSTklOR19DTy5DWTIwMTYuNy8xNi8yMDE4LkxGUi5GLlVTRC5IAQAAANhEiwICAAAACi0xNy42NjA0ODMBCAAAAAUAAAABMQEAAAAKMTg4MTIxMzIyMAMAAAADMTYwAgAAAAE3BAAAAAEwBwAAAAk3LzE2</t>
  </si>
  <si>
    <t>LzIwMTgIAAAACjEyLzMxLzIwMTYJAAAAATDep34QNQnWCJgSWRI1CdYINENJUS5PVENQSzpNQlZYLklRX1BSRUZfRVFVSVRZLi45LzE1LzIwMTcuTEZSLkYuVVNELkgBAAAA2ESLAgIAAAAIMC4wMzc2NjMBCAAAAAUAAAABMQEAAAAKMTg1NDI2NTc2MwMAAAADMTYwAgAAAAQxMDA1BAAAAAEwBwAAAAk5LzE1LzIwMTcIAAAACTYvMzAvMjAxNwkAAAABMN6nfhA1CdYImBJZEjUJ1gg6Q0lRLk5BU0RBUUdTOktVUkEuSVFfRUFSTklOR19DTy4xOTkyLjcvMzEvMjAxOC5MRlIuRi5VU0QuSAEAAAC4y9oQAgAAAActMjQuNzc1AQgAAAAFAAAAATEBAAAACjE4NDIyODA3MTcDAAAAAzE2MAIAAAABNwQAAAABMAcAAAAJNy8zMS8yMDE4CAAAAAkzLzMxLzIwMTYJAAAAATDWjBE4CAnWCHMknW80CdYIJUNJUS5JUVRSNDA4MjkxMzk1LklRX1RSX0lNUExJRURfRVFfQlYBAAAAQwhWGAMAAAACTk0AWM8SDjUJ1gjA24IONQnWCC9DSVEuSVFUUjQxMTg3MTA4Mi5JUV9UUl9JTVBMSUVEX0VWX0ZJTkFMLi5VU0QuSAEAAABqp4wYAgAAAAsxNzI4LjI1NTgxNAEGAAAABQAAAAI1NAEAAAAGMTAyMDQ1AgAAAAk0MTE4NzEwODIDAAAACTQxMTg3MTI5MQQAAAADMTYwBgAAAAVGYWxzZbKzSW80CdYINZuTbzQJ1ggrQ0lRLkFTWDpJTVUuSVFfQ0FQRVguLjcvMTYvMjAxOC5MRlIuRi5VU0QuSAEAAACYk6kAAgAAAAktMC4wMDI2</t>
  </si>
  <si>
    <t>MDEBCAAAAAUAAAABMQEAAAAKMTg3NzMwNTMyMAMAAAADMTYwAgAAAAQyMDIxBAAAAAEwBwAAAAk3LzE2LzIwMTgIAAAACjEyLzMxLzIwMTcJAAAAATApHJQQNQnWCDDXXRI1CdYIPENJUS5OQVNEQVFHUzpOSy5JUV9UT1RBTF9FUVVJVFkuQ1kyMDE3LjcvMzEvMjAxOC5MRlIuRi5VU0QuSAEAAAANfaEPAgAAAAcyMTguODQ0AQgAAAAFAAAAATEBAAAACjE4NzgwMTI1OTcDAAAAAzE2MAIAAAAEMTI3NQQAAAABMAcAAAAJNy8zMS8yMDE4CAAAAAoxMi8zMS8yMDE3CQAAAAEw1owROAgJ1ggZ6aFvNAnWCDFDSVEuTkFTREFRR1M6UEJZSS5JUV9DQVBFWC4uNy8xNi8yMDE4LkxGUi5GLlVTRC5IAQAAAAJqrAcCAAAABi0wLjM0NwEIAAAABQAAAAExAQAAAAoxODg4NjY3NzQzAwAAAAMxNjACAAAABDIwMjEEAAAAATAHAAAACTcvMTYvMjAxOAgAAAAJMy8zMS8yMDE4CQAAAAEwxP8bETUJ1ggS/mQSNQnWCDZDSVEuTkFTREFRR1M6QkdORS5JUV9FQklUREEuMjAwMC43LzMxLzIwMTguTEZSLkYuVVNELkgBAAAA4OTdBgIAAAAILTE1MS41ODYBCAAAAAUAAAABMQEAAAAKMTg4NzY4ODU4OAMAAAADMTYwAgAAAAQ0MDUxBAAAAAEwBwAAAAk3LzMxLzIwMTgIAAAACTMvMzEvMjAxOAkAAAABMJwL1TgICdYIgf2VbzQJ1ggiQ0lRLklRVFI1NTExNjYyOTIuSVFfVFJfVE9UQUxfQ0FTSAEAAABUIdogAgAAAAk1NTIuNTQ4</t>
  </si>
  <si>
    <t>OTYBBgAAAAUAAAACNTQBAAAABjEwMTA1NgIAAAAJNTUxMTY2MjkyAwAAAAk1NTExNzMzNzUEAAAAAzE2MAYAAAAFRmFsc2UMbRAONQnWCMDbgg41CdYIPENJUS5OQVNEQVFHUzpCR05FLklRX0VCSVREQV9FU1QuQ1kyMDE5LjcvMzEvMjAxOC5DT04uRi5VU0QuSAEAAADg5N0GAgAAAAotMzQxLjUzOTY3AQ4AAAAFAAAAAjExAQAAAAEwAgAAAAoxMDAzMzI2MjcyAwAAAAYxMDAxODcEAAAAATIGAAAAATAHAAAAAzE2MAgAAAABMAkAAAABMQoAAAABMAsAAAALMTA5ODY2NjQ5NDkMAAAAATcNAAAACDgvMS8yMDE4EAAAAAk3LzMxLzIwMTicC9U4CAnWCIH9lW80CdYIJ0NJUS5OQVNEQVFHUzpBTkFCLklRX0JFVEFfMllSLjcvMTYvMjAxOAEAAAAhTLIBAgAAABEwLjc5MDM1NjgyMDE5NTA0NADE/xsRNQnWCMKbYhI1CdYIOUNJUS5PVENQSzpNQlZYLklRX0VBUk5JTkdfQ08uQ1kyMDE3LjcvMTYvMjAxOC5MRlIuRi5VU0QuSAEAAADYRIsCAgAAAAotMTkuMDIwNjc5AQgAAAAFAAAAATEBAAAACjE4ODEyMTMyNDUDAAAAAzE2MAIAAAABNwQAAAABMAcAAAAJNy8xNi8yMDE4CAAAAAoxMi8zMS8yMDE3CQAAAAEw3qd+EDUJ1giYElkSNQnWCDBDSVEuSVFUUjU1MTE2NjI5Mi5JUV9UUl9UQVJHRVRfRUJJVERBX0VTVC4uVVNELkgBAAAAVCHaIAIAAAAAAAxtEA41CdYIwNuCDjUJ1gghQ0lRLklRMjg2Njc1Mzg0LklR</t>
  </si>
  <si>
    <t>X0NPTVBBTllfVElDS0VSAQAAALhRFhEDAAAADU5hc2RhcUNNOkNLUFQADG0QDjUJ1gh/UJgONQnWCBhDSVEuLklRX1RSX01BSl9NSU5fU1RBS0UFAAAAAAAAAAgAAAAUKEludmFsaWQgSWRlbnRpZmllcimcC9U4CAnWCHd5gA41CdYIK0NJUS5JUVRSMzAyODY2NjI3LklRX1RSX1RPVEFMX0dST1NTX1RWLi5VU0QBAAAAw2ANEgIAAAAJNDIuODExNzI4AQYAAAAFAAAAAjU0AQAAAAYxMDIwODgCAAAACTMwMjg2NjYyNwMAAAAJMzAyODY3MTUxBAAAAAMxNjAGAAAABUZhbHNlWM8SDjUJ1ggMPoUONQnWCDdDSVEuTkFTREFRR006TkxOSy5JUV9QUkVGX0VRVUlUWS4uOS8xNS8yMDE3LkxGUi5GLlVTRC5IAQAAAJV7jAADAAAAAAApHJQQNQnWCOR0WxI1CdYIQ0NJUS5OQVNEQVFHUzpDQUxBLklRX0VCSVREQV8yWVJfQU5OX0NBR1IuMjAwMC43LzMxLzIwMTguTEZSLkYuVVNELkgBAAAApSeBBgMAAAACTk0BCAAAAAUAAAABMQEAAAAKMTg4Nzk4MDMwNQMAAAADMTYwAgAAAAQ0MjA5BAAAAAEwBwAAAAk3LzMxLzIwMTgIAAAACTMvMzEvMjAxOAkAAAABMMgwsjcICdYI3UukbzQJ1ggeQ0lRLklRODQ5ODgzLklRX0NPTVBBTllfVElDS0VSAQAAANv3DAADAAAADU5hc2RhcUdNOkFGTUQADG0QDjUJ1gh/UJgONQnWCDVDSVEuTkFTREFRR1M6QURYUy5JUV9OSV9NQVJHSU4uLjcvMTYvMjAxOC5MRlIuRi5VU0QuSAEA</t>
  </si>
  <si>
    <t>AACe7HgAAwAAAAJOTQEIAAAABQAAAAExAQAAAAoxODkyNzg4NTQ4AwAAAAMxNjACAAAABDQwOTQEAAAAATAHAAAACTcvMTYvMjAxOAgAAAAJNC8zMC8yMDE4CQAAAAEwKRyUEDUJ1gjkdFsSNQnWCD9DSVEuT1RDUEs6TldCTy5JUV9UT1RBTF9SRVZfNVlSX0FOTl9DQUdSLi43LzE2LzIwMTguTEZSLkYuVVNELkgBAAAAo3oUAAIAAAAILTE1LjE0MDcBCAAAAAUAAAABMQEAAAAKMTg4OTMwMjgyNAMAAAADMTYwAgAAAAQ0MjMzBAAAAAEwBwAAAAk3LzE2LzIwMTgIAAAACTMvMzEvMjAxOAkAAAABMCkclBA1CdYIMNddEjUJ1gg9Q0lRLk5BU0RBUUdTOk1SU04uSVFfUkVWRU5VRV9FU1QuQ1kyMDE5LjcvMzEvMjAxOC5DT04uRi5VU0QuSAEAAADmxRgAAgAAAAYyMC41MjQBDgAAAAUAAAACMTEBAAAAATACAAAACjEwMDM4MDMyODADAAAABjEwMDE4MAQAAAABMgYAAAABMAcAAAADMTYwCAAAAAEwCQAAAAExCgAAAAEwCwAAAAsxMTA0MzU4MTUzOAwAAAABNw0AAAAIOC8xLzIwMTgQAAAACTcvMzEvMjAxONaMETgICdYIw4afbzQJ1ghDQ0lRLk5BU0RBUUdTOkpOQ0UuSVFfTUlOT1JJVFlfSU5URVJFU1RfVE9UQUwuLjcvMTYvMjAxOC5MRlIuRi5VU0QuSAEAAADieZ4NAwAAAAAAKRyUEDUJ1gjkdFsSNQnWCDZDSVEuTkFTREFRR1M6TUdOWC5JUV9UT1RBTF9ERUJULi43LzE2LzIwMTguTEZSLkYuVVNELkgBAAAA</t>
  </si>
  <si>
    <t>TysJAAIAAAABMAEIAAAABQAAAAExAQAAAAoxODg3MTE0OTQ1AwAAAAMxNjACAAAABDQxNzMEAAAAATAHAAAACTcvMTYvMjAxOAgAAAAJMy8zMS8yMDE4CQAAAAEwxP8bETUJ1gjCm2ISNQnWCDlDSVEuTkFTREFRR006RkFURS5JUV9UT1RBTF9ERUJULjIwMDAuNS81LzIwMTcuTEZSLkYuVVNELkgBAAAAaDFXAgIAAAAGMTAuNjg4AQgAAAAFAAAAATEBAAAACjE4MzIxNjc4OTYDAAAAAzE2MAIAAAAENDE3MwQAAAABMAcAAAAINS81LzIwMTcIAAAACjEyLzMxLzIwMTYJAAAAATDWjBE4CAnWCMOGn280CdYIM0NJUS5OQVNEQVFHUzpOSy5JUV9DQVBFWC4xOTkyLjcvMzEvMjAxOC5MRlIuRi5VU0QuSAEAAAANfaEPAgAAAAUtMy4yNwEIAAAABQAAAAExAQAAAAoxODQwNzQxODU3AwAAAAMxNjACAAAABDIwMjEEAAAAATAHAAAACTcvMzEvMjAxOAgAAAAJMy8zMS8yMDE2CQAAAAEw1owROAgJ1ggZ6aFvNAnWCD1DSVEuTkFTREFRR1M6Q0FMQS5JUV9SRVZFTlVFX0VTVC5DWTIwMTkuNy8xNi8yMDE4LkNPTi5GLlVTRC5IAQAAAKUngQYCAAAABzIwLjIwMjUBDgAAAAUAAAACMTEBAAAAATACAAAACjEwMDI4OTY0MjMDAAAABjEwMDE4MAQAAAABMgYAAAABMAcAAAADMTYwCAAAAAEwCQAAAAExCgAAAAEwCwAAAAsxMDkxMzI3ODQ3MwwAAAABNw0AAAAJNy8xNy8yMDE4EAAAAAk3LzE2LzIwMTgpHJQQNQnWCOR0WxI1</t>
  </si>
  <si>
    <t>CdYIPUNJUS5OQVNEQVFHUzpCR05FLklRX1JFVkVOVUVfRVNULkNZMjAyMS43LzE2LzIwMTguQ09OLkYuVVNELkgBAAAA4OTdBgIAAAAJODAwLjI4MzY3AQ4AAAAFAAAAAjExAQAAAAEwAgAAAAoxMDAzMzI2MjgyAwAAAAYxMDAxODAEAAAAATIGAAAAATAHAAAAAzE2MAgAAAABMAkAAAABMQoAAAABMAsAAAALMTA5NTEyNDA1NDEMAAAAATcNAAAACTcvMTcvMjAxOBAAAAAJNy8xNi8yMDE4xP8bETUJ1ghoYGcSNQnWCDpDSVEuTkFTREFRQ006TVRFTS5JUV9FQVJOSU5HX0NPLjIwMDAuNy8zMS8yMDE4LkxGUi5GLlVTRC5IAQAAAJmbqQECAAAABy0zMC42NTkBCAAAAAUAAAABMQEAAAAKMTg4ODczMzAwNAMAAAADMTYwAgAAAAE3BAAAAAEwBwAAAAk3LzMxLzIwMTgIAAAACTMvMzEvMjAxOAkAAAABMMgwsjcICdYIGemhbzQJ1ggwQ0lRLk5BU0RBUUdTOk1SU04uSVFfTEFTVFNBTEVQUklDRS43LzE2LzIwMTguVVNEAQAAAObFGAACAAAABTE1LjQyAEadGRE1CdYIczlgEjUJ1gg4Q0lRLk5BU0RBUUdTOlNHRU4uSVFfRUJJVERBLkNZMjAxNy43LzE2LzIwMTguTEZSLkYuVVNELkgBAAAAYYUAAAIAAAAILTE3MS41MzIBCAAAAAUAAAABMQEAAAAKMTg3NDY5NjIyMAMAAAADMTYwAgAAAAQ0MDUxBAAAAAEwBwAAAAk3LzE2LzIwMTgIAAAACjEyLzMxLzIwMTcJAAAAATDE/xsRNQnWCGhgZxI1CdYIK0NJUS5OWVNF</t>
  </si>
  <si>
    <t>OkJIVk4uSVFfQ0FTSF9FUVVJVi4uNS8zLzIwMTcuLi5VU0QBAAAA3GcgDwIAAAAGMjMuNTY1AQgAAAAFAAAAATEBAAAACjE4MzU3ODk3MTADAAAAAzE2MAIAAAAEMTA5NgQAAAABMAcAAAAINS8zLzIwMTcIAAAACjEyLzMxLzIwMTYJAAAAATCys0lvNAnWCK+o1oE0CdYIKENJUS5OQVNEQVFHUzpGUFJYLklRX1RFVi43LzMxLzIwMTguVVNELkgBAAAAN10zAAIAAAAKMTM1LjE5MjQwNgEGAAAABQAAAAExAQAAAAoxODg3NDAyMTYwAwAAAAMxNjACAAAABjEwMDA2MAQAAAABMAcAAAAJNy8zMS8yMDE41owROAgJ1ggZ6aFvNAnWCDxDSVEuTkFTREFRR1M6QU5BQi5JUV9FQVJOSU5HX0NPLkNZMjAxNi43LzE2LzIwMTguTEZSLkYuVVNELkgBAAAAIUyyAQIAAAAGLTQuMjU5AQgAAAAFAAAAATEBAAAACjE4NzcwNjUxOTYDAAAAAzE2MAIAAAABNwQAAAABMAcAAAAJNy8xNi8yMDE4CAAAAAoxMi8zMS8yMDE2CQAAAAEwxP8bETUJ1gjCm2ISNQnWCCRDSVEuTkFTREFRR1M6RVBaTS5JUV9FRkZFQ1RfVEFYX1JBVEUBAAAAAyY9AwMAAAACTk0BCAAAAAUAAAABMQEAAAAKMTg5ODE3MzI1NAMAAAADMTYwAgAAAAQ0Mzc2BAAAAAEwBwAAAAk4LzIzLzIwMTgIAAAACTYvMzAvMjAxOAkAAAABMNaMETgICdYIcySdbzQJ1gg8Q0lRLk5BU0RBUUdNOklNTVUuSVFfRUFSTklOR19DTy5DWTIwMTYuNy8zMS8yMDE4LkxGUi5G</t>
  </si>
  <si>
    <t>LlVTRC5IAQAAACBDBAACAAAACi03MC42MjQxMTEBCAAAAAUAAAABMQEAAAAKMTg3MzQ5MzQ5MQMAAAADMTYwAgAAAAE3BAAAAAEwBwAAAAk3LzMxLzIwMTgIAAAACjEyLzMxLzIwMTYJAAAAATCcC9U4CAnWCNRfmG80CdYIJUNJUS5JUVRSMzA3ODYzOTg0LklRX1RSX0lNUExJRURfRVFfQlYBAAAAsKFZEgIAAAAAAFjPEg41CdYIwNuCDjUJ1gg8Q0lRLk5BU0RBUUdTOlRTUk8uSVFfRUJJVERBX0VTVC5DWTIwMTkuNy8xNi8yMDE4LkNPTi5GLlVTRC5IAQAAAGjWWAYCAAAACi0zOTkuMTQ1NDMBDgAAAAUAAAACMTEBAAAAATACAAAACjEwMDE1ODAzNDUDAAAABjEwMDE4NwQAAAABMgYAAAABMAcAAAADMTYwCAAAAAEwCQAAAAExCgAAAAEwCwAAAAsxMDk0MDUwNzEyNgwAAAABNw0AAAAJNy8xNy8yMDE4EAAAAAk3LzE2LzIwMTjE/xsRNQnWCBL+ZBI1CdYIJ0NJUS5OQVNEQVFHUzpUU1JPLklRX0JFVEFfNVlSLjcvMzEvMjAxOAEAAABo1lgGAgAAAA8xLjA2NTQzNTQxNDY1MDcAnAvVOAgJ1ggkwppvNAnWCDlDSVEuTkFTREFRR1M6RVBaTS5JUV9UT1RBTF9SRVYuMTk5Ni43LzMxLzIwMTguTEZSLkYuVVNELkgBAAAAAyY9AwIAAAAFNy41MzUBCAAAAAUAAAABMQEAAAAKMTg4NzI0NjA0OQMAAAADMTYwAgAAAAIyOAQAAAABMAcAAAAJNy8zMS8yMDE4CAAAAAkzLzMxLzIwMTcJAAAAATDWjBE4CAnWCCTCmm80</t>
  </si>
  <si>
    <t>CdYIQkNJUS5OQVNEQVFHUzpDQUxBLklRX1RPVEFMX1JFVl8yWVJfQU5OX0NBR1IuLjcvMTYvMjAxOC5MRlIuRi5VU0QuSAEAAAClJ4EGAwAAAAAAKRyUEDUJ1gjkdFsSNQnWCCdDSVEuTkFTREFRQ006WklPUC5JUV9QRVJJT0REQVRFX0lTLjEwMDABAAAAs1GyAAUAAAAKMTIvMzEvMjAxNwDWjBE4CAnWCMOGn280CdYIJUNJUS5JUVRSMzA3ODYzOTg0LklRX1BSSU1BUllfSU5EVVNUUlkBAAAAv6PwDAMAAAANQmlvdGVjaG5vbG9neQAMbRAONQnWCMDbgg41CdYIN0NJUS5OQVNEQVFDTTpDS1BULklRX1BSRUZfRVFVSVRZLi43LzE2LzIwMTguTEZSLkYuVVNELkgBAAAAuFEWEQMAAAAAACkclBA1CdYIMNddEjUJ1gg1Q0lRLk5BU0RBUUdTOkFUTlguSVFfQ0FQRVguMTk5Ni43LzMxLzIwMTguTEZSLkYuVVNELkgBAAAA3JlrAQIAAAAGLTIuODgzAQgAAAAFAAAAATEBAAAACjE4ODg3MDI5NzYDAAAAAzE2MAIAAAAEMjAyMQQAAAABMAcAAAAJNy8zMS8yMDE4CAAAAAkzLzMxLzIwMTcJAAAAATDWjBE4CAnWCCTCmm80CdYIOENJUS5PVENQSzpOV0JPLklRX05FVF9XT1JLSU5HX0NBUC4uNy8xNi8yMDE4LkxGUi5GLlVTRC5IAQAAAKN6FAACAAAABy04MC4xNDMBCAAAAAUAAAABMQEAAAAKMTg4OTMwMjgyNAMAAAADMTYwAgAAAAQxMzExBAAAAAEwBwAAAAk3LzE2LzIwMTgIAAAACTMvMzEvMjAxOAkAAAABMCkc</t>
  </si>
  <si>
    <t>lBA1CdYIczlgEjUJ1ggxQ0lRLklRVFIzMDI4NjY2MjcuSVFfVFJfVEFSR0VUX1JFVkVOVUVfRVNULi5VU0QuSAEAAADDYA0SAgAAAAAAWM8SDjUJ1ggMPoUONQnWCCtDSVEuSVFUUjQyMjg4NzcwMS5JUV9UUl9JTVBMSUVEX0VWX0VCSVRfRldEAQAAABXBNBkCAAAAAAAMbRAONQnWCMDbgg41CdYIQ0NJUS5OQVNEQVFHTTpBUlJZLklRX0VCSVREQV8zWVJfQU5OX0NBR1IuMjAwMC43LzMxLzIwMTguTEZSLkYuVVNELkgBAAAA+GEAAAMAAAACTk0BCAAAAAUAAAABMQEAAAAKMTg4ODQ3MDY3NgMAAAADMTYwAgAAAAQ0MjIyBAAAAAEwBwAAAAk3LzMxLzIwMTgIAAAACTMvMzEvMjAxOAkAAAABMJwL1TgICdYIJMKabzQJ1ggiQ0lRLkVOWFRQQTpJUEguSVFfRklSU1RQUklDSU5HREFURQEAAACZgAYABQAAAAkxMS8xLzIwMDYAKRyUEDUJ1ghzOWASNQnWCDVDSVEuTkFTREFRR1M6R1RIWC5JUV9DQVBFWC4xOTkyLjcvMzEvMjAxOC5MRlIuRi5VU0QuSAEAAABlNGkIAwAAAAAAnAvVOAgJ1ggkwppvNAnWCDhDSVEuKElOVkFMSUQgSURFTlRJRklFUikuSVFfREFfQ0YuLjcvMTYvMjAxOC5MRlIuRi5VU0QuSAUAAAAAAAAACAAAABQoSW52YWxpZCBJZGVudGlmaWVyKd6nfhA1CdYImBJZEjUJ1gg4Q0lRLk5BU0RBUUdTOk1SU04uSVFfRUJJVERBLkNZMjAxNi43LzMxLzIwMTguTEZSLkYuVVNELkgBAAAA5sUYAAIA</t>
  </si>
  <si>
    <t>AAAHLTEzLjE2NgEIAAAABQAAAAExAQAAAAoxODgwNTQ3MzgzAwAAAAMxNjACAAAABDQwNTEEAAAAATAHAAAACTcvMzEvMjAxOAgAAAAKMTIvMzEvMjAxNgkAAAABMNaMETgICdYIw4afbzQJ1ggnQ0lRLk5BU0RBUUdTOkZQUlguSVFfQkVUQV81WVIuNy8xNi8yMDE4AQAAADddMwACAAAAEDMuNDQ1MDQ2ODc2Mjg4OTIAKRyUEDUJ1ghzOWASNQnWCD9DSVEuTkFTREFRR006TkxOSy5JUV9FQklUREFfNVlSX0FOTl9DQUdSLi43LzE2LzIwMTguTEZSLkYuVVNELkgBAAAAlXuMAAMAAAACTk0BCAAAAAUAAAABMQEAAAAKMTg4ODM1NDIwNwMAAAADMTYwAgAAAAQ0MjM1BAAAAAEwBwAAAAk3LzE2LzIwMTgIAAAACTMvMzEvMjAxOAkAAAABMCkclBA1CdYI5HRbEjUJ1ggYQ0lRLlhUUkE6TU9SLklRX0VYQ0hBTkdFAQAAAN8RAgADAAAABFhUUkEAnAvVOAgJ1gjUX5hvNAnWCCxDSVEuSVFUUjQxMTg3MTA4Mi5JUV9UUl9UQVJHRVRfRUJJVERBLi5VU0QuSAEAAABqp4wYAgAAAAAAsrNJbzQJ1gg1m5NvNAnWCDpDSVEuTkFTREFRR1M6UEJZSS5JUV9DQVNIX1NUX0lOVkVTVC4uOS8xNS8yMDE3LkxGUi5GLlVTRC5IAQAAAAJqrAcCAAAABzE1MS42NDkBCAAAAAUAAAABMQEAAAAKMTg1Mjk5NDE3NgMAAAADMTYwAgAAAAQxMDAyBAAAAAEwBwAAAAk5LzE1LzIwMTcIAAAACTYvMzAvMjAxNwkAAAABMMT/GxE1CdYIEv5k</t>
  </si>
  <si>
    <t>EjUJ1gg7Q0lRLk5BU0RBUUdTOkdUSFguSVFfVE9UQUxfUkVWLkNZMjAxNy43LzMxLzIwMTguTEZSLkYuVVNELkgBAAAAZTRpCAMAAAAAAJwL1TgICdYIJMKabzQJ1gg6Q0lRLk5BU0RBUUNNOlpJT1AuSVFfVE9UQUxfREVCVC4yMDAwLjcvMzEvMjAxOC5MRlIuRi5VU0QuSAEAAACzUbIAAgAAAAEwAQgAAAAFAAAAATEBAAAACjE4ODc5NzIzNTkDAAAAAzE2MAIAAAAENDE3MwQAAAABMAcAAAAJNy8zMS8yMDE4CAAAAAkzLzMxLzIwMTgJAAAAATDWjBE4CAnWCMOGn280CdYIL0NJUS5BU1g6SU1VLklRX05JX01BUkdJTi4uNy8xNi8yMDE4LkxGUi5GLlVTRC5IAQAAAJiTqQACAAAACS0yMzQuNTAyMQEIAAAABQAAAAExAQAAAAoxODc3MzA1MzIwAwAAAAE5AgAAAAQ0MDk0BAAAAAEwBwAAAAk3LzE2LzIwMTgIAAAACjEyLzMxLzIwMTcJAAAAATApHJQQNQnWCDDXXRI1CdYIQENJUS4oSU5WQUxJRCBJREVOVElGSUVSKS5JUV9UT1RBTF9SRVYuMTk5Ni43LzMxLzIwMTguTEZSLkYuVVNELkgFAAAAAAAAAAgAAAAUKEludmFsaWQgSWRlbnRpZmllcinIMLI3CAnWCO02sG80CdYIIkNJUS5JUVRSMzAyODY2NjI3LklRX1RSX1BDVF9TT1VHSFQBAAAAw2ANEgIAAAADMTAwAFjPEg41CdYIDD6FDjUJ1ggnQ0lRLk5BU0RBUUdTOlRTUk8uSVFfQkVUQV8yWVIuNy8zMS8yMDE4AQAAAGjWWAYCAAAAEDEuMDI1MTcyMzEy</t>
  </si>
  <si>
    <t>NjMyMzUAnAvVOAgJ1ggkwppvNAnWCDdDSVEuTkFTREFRQ006QVZFTy5JUV9FQklUX01BUkdJTi4uNy8xNi8yMDE4LkxGUi5GLlVTRC5IAQAAAPQWHQADAAAAAk5NAQgAAAAFAAAAATEBAAAACjE4ODcyMzQyOTUDAAAAAzE2MAIAAAAENDA1MwQAAAABMAcAAAAJNy8xNi8yMDE4CAAAAAkzLzMxLzIwMTgJAAAAATDE/xsRNQnWCMKbYhI1CdYINUNJUS5OQVNEQVFHUzpBTkFCLklRX1RPVEFMX1JFVi4uNy8xNi8yMDE4LkxGUi5GLlVTRC5IAQAAACFMsgECAAAAAjEwAQgAAAAFAAAAATEBAAAACjE4ODc0MDAwNDMDAAAAAzE2MAIAAAACMjgEAAAAATAHAAAACTcvMTYvMjAxOAgAAAAJMy8zMS8yMDE4CQAAAAEwxP8bETUJ1gjCm2ISNQnWCD5DSVEuWFRSQTpNT1IuSVFfRUJJVERBXzVZUl9BTk5fQ0FHUi4yMDAwLjcvMzEvMjAxOC5MRlIuRi5VU0QuSAEAAADfEQIAAwAAAAJOTQEIAAAABQAAAAExAQAAAAoxODg2MTUxNjQ4AwAAAAI1MAIAAAAENDIzNQQAAAABMAcAAAAJNy8zMS8yMDE4CAAAAAkzLzMxLzIwMTgJAAAAATCcC9U4CAnWCNRfmG80CdYINkNJUS5OQVNEQVFHTTpMUFRYLklRX0VBUk5JTkdfQ08uLjcvMTYvMjAxOC5MRlIuRi5VU0QuSAEAAAAMNgkHAgAAAActMzAuOTM1AQgAAAAFAAAAATEBAAAACjE4OTAxNjM5MzYDAAAAAzE2MAIAAAABNwQAAAABMAcAAAAJNy8xNi8yMDE4CAAAAAkzLzMxLzIw</t>
  </si>
  <si>
    <t>MTgJAAAAATApHJQQNQnWCDDXXRI1CdYIIENJUS5JUVRSNTQyODA2Njg2LklRX1RSX0VBUk5PVVRTAQAAAJ6SWiACAAAAAACys0lvNAnWCIH9lW80CdYIPkNJUS5OQVNEQVFHTTpDUklTLklRX0NBU0hfU1RfSU5WRVNULjIwMDAuNy8zMS8yMDE4LkxGUi5GLlVTRC5IAQAAABdqAAACAAAABjQ4LjQ1MwEIAAAABQAAAAExAQAAAAoxODg2MjQ3NDIwAwAAAAMxNjACAAAABDEwMDIEAAAAATAHAAAACTcvMzEvMjAxOAgAAAAJMy8zMS8yMDE4CQAAAAEwyDCyNwgJ1gjdS6RvNAnWCB1DSVEuTkFTREFRR1M6S1VSQS5JUV9FWENIQU5HRQEAAAC4y9oQAwAAAAhOYXNkYXFHUwDWjBE4CAnWCHMknW80CdYIOUNJUS5OQVNEQVFHUzpDQUxBLklRX1RPVEFMX1JFVi4yMDAwLjcvMzEvMjAxOC5MRlIuRi5VU0QuSAEAAAClJ4EGAgAAAAYyNi45NTIBCAAAAAUAAAABMQEAAAAKMTg4Nzk4MDMwNQMAAAADMTYwAgAAAAIyOAQAAAABMAcAAAAJNy8zMS8yMDE4CAAAAAkzLzMxLzIwMTgJAAAAATDIMLI3CAnWCN1LpG80CdYIJ0NJUS5OQVNEQVFHUzpQQllJLklRX0JFVEFfMllSLjcvMTYvMjAxOAEAAAACaqwHAgAAABAxLjk2ODQ2NjM0MDg4Mjk5AMT/GxE1CdYIEv5kEjUJ1gg6Q0lRLk5BU0RBUUdTOktVUkEuSVFfVE9UQUxfREVCVC4yMDAwLjcvMzEvMjAxOC5MRlIuRi5VU0QuSAEAAAC4y9oQAgAAAAU3LjE1NQEIAAAABQAA</t>
  </si>
  <si>
    <t>AAExAQAAAAoxODg3MzgyOTM3AwAAAAMxNjACAAAABDQxNzMEAAAAATAHAAAACTcvMzEvMjAxOAgAAAAJMy8zMS8yMDE4CQAAAAEw1owROAgJ1ghzJJ1vNAnWCENDSVEuTkFTREFRR006SU1NVS5JUV9FQklUREFfMllSX0FOTl9DQUdSLjIwMDAuNy8zMS8yMDE4LkxGUi5GLlVTRC5IAQAAACBDBAADAAAAAk5NAQgAAAAFAAAAATEBAAAACjE4ODg1MjMzODQDAAAAAzE2MAIAAAAENDIwOQQAAAABMAcAAAAJNy8zMS8yMDE4CAAAAAkzLzMxLzIwMTgJAAAAATCcC9U4CAnWCNRfmG80CdYIIENJUS5JUVRSMzA3ODYzOTg0LklRX1RSX0VBUk5PVVRTAQAAALChWRICAAAAAzUxMAEGAAAABQAAAAI1NAEAAAAGMTAxNDAzAgAAAAkzMDc4NjM5ODQDAAAACTMwNzg2NDI4MAQAAAADMTYwBgAAAAVGYWxzZVjPEg41CdYIwNuCDjUJ1ggxQ0lRLk5BU0RBUUdTOkJHTkUuSVFfRUFSTklOR19DTy4xOTkyLi5MRlIuRi5VU0QuSAEAAADg5N0GAgAAAActODcuMzc0AQgAAAAFAAAAATEBAAAACjE4NTI3MDA1MjEDAAAAAzE2MAIAAAABNwQAAAABMAcAAAAJOC8yMy8yMDE4CAAAAAk2LzMwLzIwMTYJAAAAATCcC9U4CAnWCJwL1TgICdYINENJUS5YVFJBOk1PUi5JUV9OSV9NQVJHSU4uMjAwMC43LzMxLzIwMTguTEZSLkYuVVNELkgBAAAA3xECAAIAAAAJLTEyOC42MTE4AQgAAAAFAAAAATEBAAAACjE4ODYxNTE2NDgDAAAAAjUw</t>
  </si>
  <si>
    <t>AgAAAAQ0MDk0BAAAAAEwBwAAAAk3LzMxLzIwMTgIAAAACTMvMzEvMjAxOAkAAAABMJwL1TgICdYI1F+YbzQJ1ggkQ0lRLk5BU0RBUUdTOkdUSFguSVFfRUZGRUNUX1RBWF9SQVRFAQAAAGU0aQgDAAAAAADWjBE4CAnWCCTCmm80CdYIPENJUS5OQVNEQVFHTTpBUlFMLklRX0VCSVREQV9FU1QuQ1kyMDE4LjcvMzEvMjAxOC5DT04uRi5VU0QuSAEAAAD2YQAAAwAAAAAA1owROAgJ1ghzJJ1vNAnWCCtDSVEuTkFTREFRR1M6RlBSWC5JUV9MQVNUU0FMRVBSSUNFLjUvNS8yMDE3AQAAADddMwACAAAABTI5Ljc5AMgwsjcICdYIGemhbzQJ1gg5Q0lRLk5BU0RBUUdNOklNTVUuSVFfVE9UQUxfUkVWLjIwMDAuNy8zMS8yMDE4LkxGUi5GLlVTRC5IAQAAACBDBAACAAAACDIuNDExODM1AQgAAAAFAAAAATEBAAAACjE4ODg1MjMzODQDAAAAAzE2MAIAAAACMjgEAAAAATAHAAAACTcvMzEvMjAxOAgAAAAJMy8zMS8yMDE4CQAAAAEwnAvVOAgJ1gjUX5hvNAnWCEZDSVEuTkFTREFRR1M6QVROWC5JUV9UT1RBTF9SRVZfM1lSX0FOTl9DQUdSLjIwMDAuNy8zMS8yMDE4LkxGUi5GLlVTRC5IAQAAANyZawEDAAAAAADWjBE4CAnWCCTCmm80CdYIJUNJUS5JUVRSMjUzOTU0NDczLklRX1BSSU1BUllfSU5EVVNUUlkBAAAApQgjDwMAAAAPUGhhcm1hY2V1dGljYWxzALKzSW80CdYINZuTbzQJ1gg4Q0lRLk5BU0RBUUdNOkxQVFgu</t>
  </si>
  <si>
    <t>SVFfRUJJVERBLkNZMjAxNy43LzE2LzIwMTguTEZSLkYuVVNELkgBAAAADDYJBwIAAAAHLTMwLjU4OQEIAAAABQAAAAExAQAAAAoxODc1NTU5OTYzAwAAAAMxNjACAAAABDQwNTEEAAAAATAHAAAACTcvMTYvMjAxOAgAAAAKMTIvMzEvMjAxNwkAAAABMCkclBA1CdYIMNddEjUJ1gg6Q0lRLk5BU0RBUUdTOkZQUlguSVFfQ0FTSF9TVF9JTlZFU1QuLjkvMTUvMjAxNy5MRlIuRi5VU0QuSAEAAAA3XTMAAgAAAAczNTAuNzE4AQgAAAAFAAAAATEBAAAACjE4NTI0NzUwNzIDAAAAAzE2MAIAAAAEMTAwMgQAAAABMAcAAAAJOS8xNS8yMDE3CAAAAAk2LzMwLzIwMTcJAAAAATApHJQQNQnWCHM5YBI1CdYINENJUS5OQVNEQVFHUzpCR05FLklRX1JFVkVOVUVfRVNULkNZMjAxOC4uQ09OLkYuVVNELkgBAAAA4OTdBgIAAAAJMTg3LjYzMTI5AQ4AAAAFAAAAAjExAQAAAAEwAgAAAAoxMDAzMzI2MjYzAwAAAAYxMDAxODAEAAAAATIGAAAAATAHAAAAAzE2MAgAAAABMAkAAAABMQoAAAABMAsAAAALMTEwNTExMjAzODQMAAAAATcNAAAACTgvMjQvMjAxOBAAAAAJOC8yMy8yMDE4nAvVOAgJ1gicC9U4CAnWCC5DSVEuSVFUUjQwODQwNzgyMi5JUV9UUl9UQVJHRVRfU1RPQ0tQUkVNSVVNXzFNAQAAAA7PVxgCAAAAAACys0lvNAnWCIH9lW80CdYIKkNJUS5JUVRSNTQ3NDIzNjgwLklRX1RSX1RBUkdFVF9FQklULi5VU0QuSAEA</t>
  </si>
  <si>
    <t>AADABaEgAgAAAAgtMTIyLjg4MQEGAAAABQAAAAIzNwEAAAAKMTg2NDQ2NDE4NAIAAAAFMjE2NzUDAAAAAzE2MAQAAAABMAcAAAAIMS8xLzE5MDAMbRAONQnWCMDbgg41CdYIN0NJUS5OQVNEQVFHTTpGQVRFLklRX1BFUklPRERBVEVfSVMuMjAwMC43LzMxLzIwMTguTEZSLkYBAAAAaDFXAgUAAAAJMy8zMS8yMDE4ANaMETgICdYIw4afbzQJ1gg4Q0lRLk5BU0RBUUdTOkNUTVguSVFfRUJJVERBLkNZMjAxNi43LzE2LzIwMTguTEZSLkYuVVNELkgBAAAA3DibAwIAAAAHLTU3Ljg1MwEIAAAABQAAAAExAQAAAAoxODc3MzE2NzM0AwAAAAMxNjACAAAABDQwNTEEAAAAATAHAAAACTcvMTYvMjAxOAgAAAAKMTIvMzEvMjAxNgkAAAABMMT/GxE1CdYIwptiEjUJ1gg6Q0lRLk5BU0RBUUdTOlNHRU4uSVFfQ0FTSF9TVF9JTlZFU1QuLjcvMTYvMjAxOC5MRlIuRi5VU0QuSAEAAABhhQAAAgAAAAczOTkuOTE2AQgAAAAFAAAAATEBAAAACjE4ODQ4OTI4NTIDAAAAAzE2MAIAAAAEMTAwMgQAAAABMAcAAAAJNy8xNi8yMDE4CAAAAAkzLzMxLzIwMTgJAAAAATDE/xsRNQnWCGhgZxI1CdYIHkNJUS5JUTM2MTgzODEzLklRX0NPTVBBTllfTkFNRQEAAAAFHygCAwAAADJVbml0ZWQgU3RhdGVzIFRyZWFzdXJ5IENvbnN0YW50IE1hdHVyaXR5IC0gMSBNb250aAAMbRAONQnWCHd5gA41CdYIO0NJUS5OQVNEQVFHUzpNUlNOLklR</t>
  </si>
  <si>
    <t>X1BSRUZfRVFVSVRZLjIwMDAuNy8zMS8yMDE4LkxGUi5GLlVTRC5IAQAAAObFGAADAAAAAADWjBE4CAnWCMOGn280CdYIQ0NJUS5OQVNEQVFDTTpaSU9QLklRX0VCSVREQV8zWVJfQU5OX0NBR1IuMjAwMC43LzMxLzIwMTguTEZSLkYuVVNELkgBAAAAs1GyAAMAAAACTk0BCAAAAAUAAAABMQEAAAAKMTg4Nzk3MjM1OQMAAAADMTYwAgAAAAQ0MjIyBAAAAAEwBwAAAAk3LzMxLzIwMTgIAAAACTMvMzEvMjAxOAkAAAABMNaMETgICdYIw4afbzQJ1ghDQ0lRLk5BU0RBUUdNOkFSUUwuSVFfRUJJVERBXzNZUl9BTk5fQ0FHUi4yMDAwLjcvMzEvMjAxOC5MRlIuRi5VU0QuSAEAAAD2YQAAAwAAAAJOTQEIAAAABQAAAAExAQAAAAoxODg4Nzg4NzcwAwAAAAMxNjACAAAABDQyMjIEAAAAATAHAAAACTcvMzEvMjAxOAgAAAAJMy8zMS8yMDE4CQAAAAEw1owROAgJ1gjDhp9vNAnWCDVDSVEuTkFTREFRR1M6QkdORS5JUV9EQV9DRi4yMDAwLjcvMzEvMjAxOC5MRlIuRi5VU0QuSAEAAADg5N0GAgAAAAU2LjEzOAEIAAAABQAAAAExAQAAAAoxODg3Njg4NTg4AwAAAAMxNjACAAAABDIxNjAEAAAAATAHAAAACTcvMzEvMjAxOAgAAAAJMy8zMS8yMDE4CQAAAAEwnAvVOAgJ1gjUX5hvNAnWCDxDSVEuTkFTREFRQ006QVZFTy5JUV9FQklUREFfRVNULkNZMjAyMC43LzE2LzIwMTguQ09OLkYuVVNELkgBAAAA9BYdAAMAAAAAAMT/</t>
  </si>
  <si>
    <t>GxE1CdYIwptiEjUJ1ggpQ0lRLklRVFIzMTIxMjI1MDQuSVFfQlVTSU5FU1NfREVTQ1JJUFRJT04BAAAAtIk4DAMAAACUBkFkdXJvIEJpb3RlY2ggRXVyb3BlLCBhIGNsaW5pY2FsLXN0YWdlIGNhbmNlciBpbW11bm90aGVyYXB5IGNvbXBhbnksIGlzIGVuZ2FnZWQgaW4gdGhlIGRpc2NvdmVyeSwgZGV2ZWxvcG1lbnQsIGFuZCBjb21tZXJjaWFsaXphdGlvbiBvZiBhIHBpcGVsaW5lIG9mIG5vdmVsIGltbXVub3RoZXJhcGllcyBmb3IgdmFyaW91cyBjYW5jZXIgdHlwZXMuIEl0IGRldmVsb3BzIGxpdmUsIGF0dGVudWF0ZWQsIGFuZCBkb3VibGUtZGVsZXRlZCBMaXN0ZXJpYSBtb25vbmN5dG9nZW5lczsgYW5kIFNUSU5HLXRhcmdldGVkIEN5Y2xpYyBkaW51Y2xlb3RpZGVzIHBsYXRmb3JtcywgYW5kIEItc2VsZWN0IG1vbm9jbG9uYWwgYW50aWJvZGllcy4gVGhlIGNvbXBhbnkgYWxzbyBwcm92aWRlcyBHVkFYIFBhbmNyZWFzIGZvciBwYXRpZW50cyB3aXRoIG1ldGFzdGF0aWMgcGFuY3JlYXRpYyBjYW5jZXIuIEFkdXJvIEJpb3RlY2ggRXVyb3BlIHdhcyBmb3JtZXJseSBrbm93biBhcyBCaW9Ob3Zpb24gQi5WLiBhbmQgY2hhbmdlZCBpdHMgbmFtZSB0byBBZHVybyBCaW90ZWNoIEV1cm9wZS4gQXMgYSByZXN1bHQgb2YgdGhlIGFjcXVpc2l0aW9uIEJpb05vdmlvbiBoYXMgYmVlbiByZW5hbWVkIGFz</t>
  </si>
  <si>
    <t>IEFkdXJvIEJpb3RlY2ggRXVyb3BlLiBUaGUgY29tcGFueSBpcyBiYXNlZCBpbiBPc3MsIHRoZSBOZXRoZXJsYW5kcy4gQXMgb2YgT2N0b2JlciAzMCwgMjAxNSwgQWR1cm8gQmlvdGVjaCBFdXJvcGUgb3BlcmF0ZXMgYXMgYSBzdWJzaWRpYXJ5IG9mIEFkdXJvIE5ldGhlcmxhbmRzIENvw7ZwZXJhdGllZiBVLkEuAAxtEA41CdYIwNuCDjUJ1gg3Q0lRLlhUUkE6TU9SLklRX0VCSVREQV9FU1QuQ1kyMDE4LjcvMzEvMjAxOC5DT04uRi5VU0QuSAEAAADfEQIAAgAAABEtMTA4LjYyOTM5NzM0Mjg1NwEOAAAABQAAAAIxMQEAAAABMAIAAAAKMTAwMDgwMjAxMAMAAAAGMTAwMTg3BAAAAAEzBgAAAAEwBwAAAAMxNjAIAAAAATAJAAAAATEKAAAAATALAAAACzExMDAxMzE1MzI2DAAAAAE3DQAAAAg4LzEvMjAxOBAAAAAJNy8zMS8yMDE4nAvVOAgJ1gjUX5hvNAnWCCNDSVEuTkFTREFRR1M6TVJTTi5JUV9QRVJJT0REQVRFX0lTLgEAAADmxRgABQAAAAk2LzMwLzIwMTgAxP8bETUJ1ghzOWASNQnWCDxDSVEuTkFTREFRR1M6S1VSQS5JUV9FQklUREFfRVNULkNZMjAyMC43LzMxLzIwMTguQ09OLkYuVVNELkgBAAAAuMvaEAMAAAAAANaMETgICdYIcySdbzQJ1ghDQ0lRLk5BU0RBUUNNOlNSTkUuSVFfRUJJVERBXzVZUl9BTk5fQ0FHUi4yMDAwLjcvMzEvMjAxOC5MRlIuRi5VU0QuSAEAAABJQ5QDAwAAAAJOTQEIAAAA</t>
  </si>
  <si>
    <t>BQAAAAExAQAAAAoxODg3OTg5ODMxAwAAAAMxNjACAAAABDQyMzUEAAAAATAHAAAACTcvMzEvMjAxOAgAAAAJMy8zMS8yMDE4CQAAAAEw1owROAgJ1ghzJJ1vNAnWCDZDSVEuTkFTREFRR1M6UEJZSS5JUV9FQVJOSU5HX0NPLi43LzE2LzIwMTguTEZSLkYuVVNELkgBAAAAAmqsBwIAAAAILTI0My40MzUBCAAAAAUAAAABMQEAAAAKMTg4ODY2Nzc0MwMAAAADMTYwAgAAAAE3BAAAAAEwBwAAAAk3LzE2LzIwMTgIAAAACTMvMzEvMjAxOAkAAAABMMT/GxE1CdYIEv5kEjUJ1gg+Q0lRLk5BU0RBUUNNOk1URU0uSVFfVE9UQUxfRVFVSVRZLkNZMjAxNy43LzMxLzIwMTguTEZSLkYuVVNELkgBAAAAmZupAQIAAAAGNzcuMjg5AQgAAAAFAAAAATEBAAAACjE4ODExMTg4MTADAAAAAzE2MAIAAAAEMTI3NQQAAAABMAcAAAAJNy8zMS8yMDE4CAAAAAoxMi8zMS8yMDE3CQAAAAEwyDCyNwgJ1ggZ6aFvNAnWCCdDSVEuTkFTREFRR006SU1NVS5JUV9CRVRBXzJZUi43LzMxLzIwMTgBAAAAIEMEAAIAAAAQMS44NTE1ODE2MzI1MDM3NwCcC9U4CAnWCNRfmG80CdYIKUNJUS5JUVRSNDIyODg3NzAxLklRX0JVU0lORVNTX0RFU0NSSVBUSU9OAQAAAP3m1g8DAAAAjQdQZWxpY2FuIFRoZXJhcGV1dGljcywgSW5jLiBkZXZlbG9wcyBiaW9sb2dpYyBhZ2VudHMgdGhhdCByZXByZXNlbnQgdGhlIG5leHQgZ2VuZXJhdGlvbiBvZiBU</t>
  </si>
  <si>
    <t>TkYgYmFzZWQgaW1tdW5vdGhlcmFweS4gSXQgb2ZmZXJzIFBUWC0yNSwgYSBodW1hbml6ZWQgbW9ub2Nsb25hbCBhbnRpYm9keSB0aGF0IGlzIGEgZnVuY3Rpb25hbCBhZ29uaXN0IG9mIGh1bWFuIFRORlJTRjI1LCBhbmQgcHJvdmlkZXMgc2VsZWN0aXZlIGFuZCBwb3RlbnQgc3RpbXVsYXRpb24gb2Yg4oCYbWVtb3J54oCZIENEOCsgY3l0b3RveGljIFQgY2VsbHMsIHdoaWNoIGVsaW1pbmF0ZXMgdHVtb3IgY2VsbHMgaW4gcGF0aWVudHMuIFRoZSBjb21wYW55IGFsc28gcHJvdmlkZXMgUFRYLTE1LCBhIGh1bWFuIFRMMUEtSWcgZnVzaW9uIHByb3RlaW4gdGhhdCBjYW4gYmUgdXNlZCB0byBjYXVzZSBwcm9saWZlcmF0aW9uIG9mIHJlZ3VsYXRvcnkgVCBjZWxscyBpbiBwYXRpZW50cywgd2hpY2ggbGVhZHMgdG8gZXhwYW5zaW9uIGFuZCBsb25nLXRlcm0gdG9sZXJhbmNlIHRvd2FyZCBhbGxvZ2VuZWljIGJvbmUgbWFycm93IHRyYW5zcGxhbnRhdGlvbiwgaGVhcnQgdHJhbnNwbGFudGF0aW9uLCBhbmQgaXNsZXQgdHJhbnNwbGFudGF0aW9uIGluIHRoZSBhYnNlbmNlIG9mIG1haW50ZW5hbmNlIGltbXVub3N1cHByZXNzaW9uLiBQZWxpY2FuIFRoZXJhcGV1dGljcywgSW5jLiB3YXMgZm9ybWVybHkga25vd24gYXMgSGVhdCBCaW9sb2dpY3MgSUksIEluYy4gVGhlIGNvbXBhbnkgd2FzIGZvdW5kZWQg</t>
  </si>
  <si>
    <t>aW4gMjAwOSBhbmQgaXMgYmFzZWQgaW4gQXVzdGluLCBUZXhhcy4gQXMgb2YgQXByaWwgMjgsIDIwMTcsIFBlbGljYW4gVGhlcmFwZXV0aWNzLCBJbmMuIG9wZXJhdGVzIGFzIGEgc3Vic2lkaWFyeSBvZiBIZWF0IEJpb2xvZ2ljcywgSW5jLi4ADG0QDjUJ1gjA24IONQnWCDpDSVEuTkFTREFRQ006U1JORS5JUV9FQVJOSU5HX0NPLjIwMDAuNy8zMS8yMDE4LkxGUi5GLlVTRC5IAQAAAElDlAMCAAAABTEuMzY0AQgAAAAFAAAAATEBAAAACjE4ODc5ODk4MzEDAAAAAzE2MAIAAAABNwQAAAABMAcAAAAJNy8zMS8yMDE4CAAAAAkzLzMxLzIwMTgJAAAAATDWjBE4CAnWCHMknW80CdYIJUNJUS5JUVRSMjczNTA3MTg1LklRX1BSSU1BUllfSU5EVVNUUlkBAAAAfQwUAAMAAAANQmlvdGVjaG5vbG9neQCys0lvNAnWCIH9lW80CdYILUNJUS5OQVNEQVFHUzpCR05FLklRX0VCSVREQS4yMDAwLi5MRlIuRi5VU0QuSAEAAADg5N0GAgAAAAgtMjM4LjUxMQEIAAAABQAAAAExAQAAAAoxODk5OTAwNjMxAwAAAAMxNjACAAAABDQwNTEEAAAAATAHAAAACTgvMjMvMjAxOAgAAAAJNi8zMC8yMDE4CQAAAAEwnAvVOAgJ1gicC9U4CAnWCClDSVEuSVEzNjE4MzgzNy5JUV9MQVNUU0FMRVBSSUNFLjcvMTYvMjAxOAEAAAAdHygCAgAAAAQyLjg1AAxtEA41CdYIDD6FDjUJ1gg5Q0lRLk5BU0RBUUdNOk5MTksuSVFfRUJJVERBX01B</t>
  </si>
  <si>
    <t>UkdJTi4uNy8xNi8yMDE4LkxGUi5GLlVTRC5IAQAAAJV7jAACAAAACS0xODcuNzQ4OQEIAAAABQAAAAExAQAAAAoxODg4MzU0MjA3AwAAAAMxNjACAAAABDQwNDcEAAAAATAHAAAACTcvMTYvMjAxOAgAAAAJMy8zMS8yMDE4CQAAAAEwKRyUEDUJ1gjkdFsSNQnWCD9DSVEuTkFTREFRR1M6Sk5DRS5JUV9FQklUREFfM1lSX0FOTl9DQUdSLi43LzE2LzIwMTguTEZSLkYuVVNELkgBAAAA4nmeDQMAAAACTk0BCAAAAAUAAAABMQEAAAAKMTg4ODE4NjM3NAMAAAADMTYwAgAAAAQ0MjIyBAAAAAEwBwAAAAk3LzE2LzIwMTgIAAAACTMvMzEvMjAxOAkAAAABMN6nfhA1CdYImBJZEjUJ1ggrQ0lRLk5BU0RBUUNNOlNSTkUuSVFfTEFTVFNBTEVQUklDRS41LzUvMjAxNwEAAABJQ5QDAgAAAAMxLjgA1owROAgJ1ghzJJ1vNAnWCDdDSVEuTkFTREFRR1M6TUdOWC5JUV9QUkVGX0VRVUlUWS4uOS8xNS8yMDE3LkxGUi5GLlVTRC5IAQAAAE8rCQADAAAAAADE/xsRNQnWCMKbYhI1CdYIOkNJUS5OQVNEQVFDTTpaSU9QLklRX1BSRUZfRVFVSVRZLjIwMDAuNS81LzIwMTcuTEZSLkYuVVNELkgBAAAAs1GyAAIAAAAHMTI5LjQ0MgEIAAAABQAAAAExAQAAAAoxODM5MzQxMTk0AwAAAAMxNjACAAAABDEwMDUEAAAAATAHAAAACDUvNS8yMDE3CAAAAAkzLzMxLzIwMTcJAAAAATDWjBE4CAnWCMOGn280CdYIJENJUS5OQVNEQVFDTTpN</t>
  </si>
  <si>
    <t>VEVNLklRX0VGRkVDVF9UQVhfUkFURQEAAACZm6kBAwAAAAAAyDCyNwgJ1ggZ6aFvNAnWCEZDSVEuTkFTREFRR1M6RVBaTS5JUV9UT1RBTF9SRVZfM1lSX0FOTl9DQUdSLjIwMDAuNy8zMS8yMDE4LkxGUi5GLlVTRC5IAQAAAAMmPQMCAAAACC0yOS44MjAzAQgAAAAFAAAAATEBAAAACjE4ODcyNDYwNzcDAAAAAzE2MAIAAAAENDIyMAQAAAABMAcAAAAJNy8zMS8yMDE4CAAAAAkzLzMxLzIwMTgJAAAAATDWjBE4CAnWCHMknW80CdYILkNJUS5JUVRSNTUxMTY2MjkyLklRX1RSX1RBUkdFVF9TVE9DS1BSRU1JVU1fMU0BAAAAVCHaIAIAAAAIMTcwLjI3MDMBBgAAAAUAAAACNTQBAAAABjEwMTA1NQIAAAAJNTUxMTY2MjkyAwAAAAk1NTExNzMzNzUEAAAAAzE2MAYAAAAFRmFsc2UMbRAONQnWCMDbgg41CdYIJUNJUS5JUVRSNTYxNjA2MzY1LklRX1RSX01BSl9NSU5fU1RBS0UBAAAA3W55IQMAAAAITWFqb3JpdHkAsrNJbzQJ1gg1m5NvNAnWCD1DSVEuTkFTREFRR1M6QkdORS5JUV9SRVZFTlVFX0VTVC5DWTIwMTguNy8zMS8yMDE4LkNPTi5GLlVTRC5IAQAAAODk3QYCAAAACTEwOC45MDg4MwEOAAAABQAAAAIxMQEAAAABMAIAAAAKMTAwMzMyNjI2MwMAAAAGMTAwMTgwBAAAAAEyBgAAAAEwBwAAAAMxNjAIAAAAATAJAAAAATEKAAAAATALAAAACzEwOTg2NjY0OTkxDAAAAAE3DQAAAAg4LzEvMjAxOBAAAAAJNy8z</t>
  </si>
  <si>
    <t>MS8yMDE4nAvVOAgJ1giB/ZVvNAnWCC5DSVEuTkFTREFRR1M6RlBSWC5JUV9NQVJLRVRDQVAuNy8xNi8yMDE4LlVTRC5IAQAAADddMwACAAAACjYwNy43MTIzMjgBBgAAAAUAAAABMQEAAAAKMTg4NzQwMjE2MAMAAAADMTYwAgAAAAYxMDAwNTQEAAAAATAHAAAACTcvMTYvMjAxOCkclBA1CdYIczlgEjUJ1gg6Q0lRLk5BU0RBUUdNOkFSUlkuSVFfRUFSTklOR19DTy4yMDAwLjcvMzEvMjAxOC5MRlIuRi5VU0QuSAEAAAD4YQAAAgAAAActMTI0LjQ5AQgAAAAFAAAAATEBAAAACjE4ODg0NzA2NzYDAAAAAzE2MAIAAAABNwQAAAABMAcAAAAJNy8zMS8yMDE4CAAAAAkzLzMxLzIwMTgJAAAAATCcC9U4CAnWCCTCmm80CdYIMENJUS5OQVNEQVFDTTpDS1BULklRX0xBU1RTQUxFUFJJQ0UuNy8xNi8yMDE4LlVTRAEAAAC4URYRAgAAAAQyLjU4ACkclBA1CdYIMNddEjUJ1gglQ0lRLk5BU0RBUUdNOkZBVEUuSVFfRklSU1RQUklDSU5HREFURQEAAABoMVcCBQAAAAkxMC8xLzIwMTMA1owROAgJ1ggiu+mBNAnWCDlDSVEuTkFTREFRR006Q1JJUy5JUV9OSV9NQVJHSU4uMjAwMC43LzMxLzIwMTguTEZSLkYuVVNELkgBAAAAF2oAAAMAAAACTk0BCAAAAAUAAAABMQEAAAAKMTg4NjI0NzQyMAMAAAADMTYwAgAAAAQ0MDk0BAAAAAEwBwAAAAk3LzMxLzIwMTgIAAAACTMvMzEvMjAxOAkAAAABMMgwsjcICdYI3UukbzQJ1gg5</t>
  </si>
  <si>
    <t>Q0lRLk5BU0RBUUdTOkZQUlguSVFfRUJJVERBX01BUkdJTi4uNy8xNi8yMDE4LkxGUi5GLlVTRC5IAQAAADddMwACAAAACS0yMTkuMzQ3MgEIAAAABQAAAAExAQAAAAoxODg3NDAyMjI3AwAAAAMxNjACAAAABDQwNDcEAAAAATAHAAAACTcvMTYvMjAxOAgAAAAJMy8zMS8yMDE4CQAAAAEwKRyUEDUJ1ghzOWASNQnWCDdDSVEuTkFTREFRR1M6R1RIWC5JUV9QRVJJT0REQVRFX0lTLjIwMDAuNy8zMS8yMDE4LkxGUi5GAQAAAGU0aQgFAAAACTMvMzEvMjAxOACcC9U4CAnWCCTCmm80CdYIOUNJUS5OQVNEQVFDTTpTUk5FLklRX05JX01BUkdJTi4yMDAwLjcvMzEvMjAxOC5MRlIuRi5VU0QuSAEAAABJQ5QDAgAAAActMC4yNDY2AQgAAAAFAAAAATEBAAAACjE4ODc5ODk4MzEDAAAAAzE2MAIAAAAENDA5NAQAAAABMAcAAAAJNy8zMS8yMDE4CAAAAAkzLzMxLzIwMTgJAAAAATDWjBE4CAnWCHMknW80CdYILkNJUS5JUVRSNTM1NzE5OTk4LklRX1RSX1RBUkdFVF9TVE9DS1BSRU1JVU1fMU0BAAAAPnDuHwIAAAAHNjEuNTM2NAEGAAAABQAAAAI1NAEAAAAGMTAxMDU1AgAAAAk1MzU3MTk5OTgDAAAACTUzNTcyNDgxMwQAAAADMTYwBgAAAAVGYWxzZbKzSW80CdYIgf2VbzQJ1gg3Q0lRLk5BU0RBUUdTOlNHRU4uSVFfUFJFRl9FUVVJVFkuLjkvMTUvMjAxNy5MRlIuRi5VU0QuSAEAAABhhQAAAwAAAAAAxP8bETUJ1gho</t>
  </si>
  <si>
    <t>YGcSNQnWCClDSVEuSVEzNjE4MzgyMi5JUV9MQVNUU0FMRVBSSUNFLjcvMzEvMjAxOAEAAAAOHygCAgAAAAQyLjQ0AElTR280CdYIgf2VbzQJ1gg1Q0lRLihJTlZBTElEIElERU5USUZJRVIpLklRX01BUktFVENBUC45LzE1LzIwMTcuVVNELkgFAAAAAAAAAAgAAAAUKEludmFsaWQgSWRlbnRpZmllcinep34QNQnWCJgSWRI1CdYIK0NJUS5JUVRSNDExODcxMDgyLklRX1RSX0lNUExJRURfRVZfRUJJVF9GV0QBAAAAaqeMGAIAAAAAALKzSW80CdYINZuTbzQJ1ggjQ0lRLklRVFIzNzE3MTUxMTkuSVFfVFJfVE9UQUxfU1RPQ0sBAAAAL+wnFgIAAAAAAFjPEg41CdYIwNuCDjUJ1ggzQ0lRLk5BU0RBUUdNOklNTVUuSVFfUEVSSU9EREFURV9JUy4uNy8xNi8yMDE4LkxGUi5GAQAAACBDBAAFAAAACTMvMzEvMjAxOADE/xsRNQnWCGhgZxI1CdYIKUNJUS5OQVNEQVFHUzpGUFJYLklRX0JVU0lORVNTX0RFU0NSSVBUSU9OAQAAADddMwADAAAA3gxGaXZlIFByaW1lIFRoZXJhcGV1dGljcywgSW5jLiwgYSBjbGluaWNhbC1zdGFnZSBiaW90ZWNobm9sb2d5IGNvbXBhbnksIGZvY3VzZXMgb24gdGhlIGRpc2NvdmVyeSBhbmQgZGV2ZWxvcG1lbnQgb2YgaW1tdW5vLW9uY29sb2d5IHByb3RlaW4gdGhlcmFwZXV0aWNzLiBUaGUgY29tcGFueeKAmXMgcHJvZHVjdCBjYW5kaWRhdGVzIGluY2x1ZGUgQ2FiaXJhbGl6dW1h</t>
  </si>
  <si>
    <t>YiwgYW4gYW50aWJvZHkgdGhhdCBpbmhpYml0cyBjb2xvbnkgc3RpbXVsYXRpbmcgZmFjdG9yLTEgcmVjZXB0b3IgdGhhdCBpcyBpbiBQaGFzZSBJYS9JYiBjbGluaWNhbCB0cmlhbHMgZm9yIHRoZSB0cmVhdG1lbnQgb2YgdmFyaW91cyBjYW5jZXJzIGluIGNvbWJpbmF0aW9uIHdpdGggbml2b2x1bWFiOyBhbmQgaXMgaW4gUGhhc2UgSS9JSSBjbGluaWNhbCB0cmlhbHMgZm9yIHRoZSB0cmVhdG1lbnQgb2YgcGlnbWVudGVkIHZpbGxvbm9kdWxhciBzeW5vdml0aXMgdHVtb3IuIEl0cyBwcm9kdWN0IGNhbmRpZGF0ZXMgYWxzbyBjb21wcmlzZSBCZW1hcml0dXp1bWFiLCBhbiBhbnRpYm9keSB0aGF0IGluaGliaXRzIGZpYnJvYmxhc3QgZ3Jvd3RoIGZhY3RvciByZWNlcHRvciBJSWIsIHdoaWNoIGlzIGluIFBoYXNlIEkgY2xpbmljYWwgdHJpYWxzIHRvIHRyZWF0IHBhdGllbnRzIHdpdGggZ2FzdHJpYyBvciBnYXN0cm9lc29waGFnZWFsIGp1bmN0aW9uIGFuZCBibGFkZGVyIGNhbmNlcjsgYW5kIEZQQTE1MCwgYSBDRDggVCBjZWxsIGNoZWNrcG9pbnQgaW5oaWJpdG9yIGFudGlib2R5IHRoYXQgdGFyZ2V0cyBCNy1INCBhcyBhIG1vbm90aGVyYXB5IGluIHZhcmlvdXMgY2FuY2Vycy4gVGhlIGNvbXBhbnnigJlzIEZQLTEwMzkgaXMgaW4gUGhhc2UgSWIgY2xpbmljYWwgdHJpYWxzIHRvIHRyZWF0IHBh</t>
  </si>
  <si>
    <t>dGllbnRzIHdpdGggbWFsaWduYW50IHBsZXVyYWwgbWVzb3RoZWxpb21hLiBJdHMgcHJlY2xpbmljYWwgcHJvZHVjdCBjYW5kaWRhdGVzIGluY2x1ZGUgRlBBMTUwLCBhIENEOCBUIGNlbGwgY2hlY2twb2ludCBpbmhpYml0b3IgYW50aWJvZHk7IEZQQTE1NCwgYSB0ZXRyYXZhbGVudCBhZ29uaXN0aWMgYW50aWJvZHkgdGhhdCBhY3RpdmF0ZXMgZ2x1Y29jb3J0aWNvaWQtaW5kdWNlZCB0dW1vciBuZWNyb3NpcyBmYWN0b3IgcmVjZXB0b3I7IGFuZCBGUFQxNTUsIGEgQ0Q4MC1GYyBmdXNpb24gcHJvdGVpbiwgd2hpY2ggbW9kdWxhdGVzIHNpZ25hbGluZyBwYXRod2F5cy4gVGhlIGNvbXBhbnkgaGFzIGxpY2Vuc2UgYW5kIGNvbGxhYm9yYXRpb24gYWdyZWVtZW50cyB3aXRoIEJyaXN0b2wtTXllcnMgU3F1aWJiIENvbXBhbnksIEdsYXhvU21pdGhLbGluZSBMTEMsIElOQlJYIDExMCBMUCwgVUNCIFBoYXJtYSBTLkEuLCBhbmQgWmFpIExhYiAoU2hhbmdoYWkpIENvLiwgTHRkLjsgY29sbGFib3JhdGlvbiBhZ3JlZW1lbnQgd2l0aCBSb2NoZTsgYW5kIGxpY2Vuc2UgYWdyZWVtZW50cyB3aXRoIGJsdWViaXJkIGJpbywgSW5jLiwgR2FsYXh5IEJpb3RlY2gsIExMQywgQmlvV2EsIEluYy4gYW5kIExvbnphIFNhbGVzIEFHLiBGaXZlIFByaW1lIFRoZXJhcGV1dGljcywgSW5jLiB3YXMgZm91bmRlZCBpbiAy</t>
  </si>
  <si>
    <t>MDAxIGFuZCBpcyBoZWFkcXVhcnRlcmVkIGluIFNvdXRoIFNhbiBGcmFuY2lzY28sIENhbGlmb3JuaWEuANaMETgICdYINu6VDjUJ1gg6Q0lRLk5BU0RBUUdTOk5LLklRX0VCSVREQV9FU1QuQ1kyMDE4LjcvMzEvMjAxOC5DT04uRi5VU0QuSAEAAAANfaEPAwAAAAAA1owROAgJ1gjDhp9vNAnWCCVDSVEuSVFUUjQyMjg4NzcwMS5JUV9UUl9JTVBMSUVEX0VRX0JWAQAAABXBNBkDAAAAAk5NAAxtEA41CdYIwNuCDjUJ1gg0Q0lRLk9UQ1BLOk5XQk8uSVFfUFJFRl9FUVVJVFkuLjcvMTYvMjAxOC5MRlIuRi5VU0QuSAEAAACjehQAAgAAAAYxNy43OTgBCAAAAAUAAAABMQEAAAAKMTg4OTMwMjgyNAMAAAADMTYwAgAAAAQxMDA1BAAAAAEwBwAAAAk3LzE2LzIwMTgIAAAACTMvMzEvMjAxOAkAAAABMCkclBA1CdYIczlgEjUJ1gg8Q0lRLkVOWFRQQTpJUEguSVFfRUJJVERBXzNZUl9BTk5fQ0FHUi4uNy8xNi8yMDE4LkxGUi5GLlVTRC5IAQAAAJmABgADAAAAAk5NAQgAAAAFAAAAATEBAAAACjE4ODk1NTIxNjQDAAAAAjUwAgAAAAQ0MjIyBAAAAAEwBwAAAAk3LzE2LzIwMTgIAAAACjEyLzMxLzIwMTcJAAAAATApHJQQNQnWCHM5YBI1CdYIOkNJUS5OQVNEQVFHUzpTR0VOLklRX01JTk9SSVRZX0lOVEVSRVNUX1RPVEFMLi4uTEZSLkYuVVNELkgBAAAAYYUAAAMAAAAAAEadGRE1CdYIRp0ZETUJ1gglQ0lRLklRVFIz</t>
  </si>
  <si>
    <t>MTIxMjI1MDQuSVFfVFJfTUFKX01JTl9TVEFLRQEAAACInJoSAwAAAAhNYWpvcml0eQBYzxIONQnWCMDbgg41CdYIPUNJUS5OQVNEQVFDTTpTUk5FLklRX1JFVkVOVUVfRVNULkNZMjAxOS43LzMxLzIwMTguQ09OLkYuVVNELkgBAAAASUOUAwIAAAAINDAuMTkxMzMBDgAAAAUAAAACMTEBAAAAATACAAAACjEwMDI0ODE5MzIDAAAABjEwMDE4MAQAAAABMgYAAAABMAcAAAADMTYwCAAAAAEwCQAAAAExCgAAAAEwCwAAAAsxMDk1NjA1Njc4NgwAAAABNw0AAAAIOC8xLzIwMTgQAAAACTcvMzEvMjAxONaMETgICdYIcySdbzQJ1gggQ0lRLklRVFI1MzM2Mzk1MDEuSVFfVFJfRUFSTk9VVFMBAAAATbHOHwIAAAAAAAxtEA41CdYIwNuCDjUJ1gg+Q0lRLk5BU0RBUUdNOkNSVlMuSVFfVE9UQUxfRVFVSVRZLkNZMjAxNi43LzMxLzIwMTguTEZSLkYuVVNELkgBAAAA9LCmEAIAAAAHMTMyLjgwMQEIAAAABQAAAAExAQAAAAoxODc3MjIwNzkzAwAAAAMxNjACAAAABDEyNzUEAAAAATAHAAAACTcvMzEvMjAxOAgAAAAKMTIvMzEvMjAxNgkAAAABMNaMETgICdYIGemhbzQJ1ggjQ0lRLk5BU0RBUUNNOkNLUFQuSVFfUEVSSU9EREFURV9JUy4BAAAAuFEWEQUAAAAJNi8zMC8yMDE4ACkclBA1CdYIMNddEjUJ1gg+Q0lRLk5BU0RBUUNNOlpJT1AuSVFfVE9UQUxfRVFVSVRZLkNZMjAxNy43LzMxLzIwMTguTEZSLkYuVVNELkgB</t>
  </si>
  <si>
    <t>AAAAs1GyAAIAAAAGNDcuMTg2AQgAAAAFAAAAATEBAAAACjE4NzcyMDQ0NjYDAAAAAzE2MAIAAAAEMTI3NQQAAAABMAcAAAAJNy8zMS8yMDE4CAAAAAoxMi8zMS8yMDE3CQAAAAEw1owROAgJ1gjDhp9vNAnWCDpDSVEuTkFTREFRR1M6VFNSTy5JUV9FQVJOSU5HX0NPLjE5OTIuNy8zMS8yMDE4LkxGUi5GLlVTRC5IAQAAAGjWWAYCAAAACC0yOTMuODgyAQgAAAAFAAAAATEBAAAACjE4NDA5MzQ2NjMDAAAAAzE2MAIAAAABNwQAAAABMAcAAAAJNy8zMS8yMDE4CAAAAAkzLzMxLzIwMTYJAAAAATCcC9U4CAnWCCTCmm80CdYIJ0NJUS5OQVNEQVFDTTpNVEVNLklRX1BFUklPRERBVEVfSVMuMTAwMAEAAACZm6kBBQAAAAoxMi8zMS8yMDE3AMgwsjcICdYIGemhbzQJ1ggvQ0lRLklRVFI0MDc3NjA2OTIuSVFfVFJfSU1QTElFRF9FVl9GSU5BTC4uVVNELkgBAAAANO9NGAIAAAALMTMzMC4wMTM0ODcBBgAAAAUAAAACNTQBAAAABjEwMjA0NQIAAAAJNDA3NzYwNjkyAwAAAAk0MDc3ODUzMjAEAAAAAzE2MAYAAAAFRmFsc2UMbRAONQnWCAw+hQ41CdYIIUNJUS5JUVRSMzA3ODYzOTg0LklRX1RSX0JVWUVSTkFNRQEAAACwoVkSAwAAABFNZXJjayAmIENvLiwgSW5jLgBYzxIONQnWCMDbgg41CdYIJUNJUS5JUVRSMzEyMTIyNTA0LklRX1RSX0lNUExJRURfRVFfQlYBAAAAiJyaEgIAAAAJMjkuMDMzNDc2AFjPEg41CdYI</t>
  </si>
  <si>
    <t>wNuCDjUJ1gg5Q0lRLk5BU0RBUUdNOkNSVlMuSVFfTklfTUFSR0lOLjIwMDAuNy8zMS8yMDE4LkxGUi5GLlVTRC5IAQAAAPSwphADAAAAAADWjBE4CAnWCBnpoW80CdYIIUNJUS5JUVRSNTM1NzE5OTk4LklRX1RSX0JVWUVSTkFNRQEAAAA+cO4fAwAAABVHaWxlYWQgU2NpZW5jZXMsIEluYy4AsrNJbzQJ1giB/ZVvNAnWCC9DSVEuRU5YVFBBOklQSC5JUV9FQklUREEuLjcvMTYvMjAxOC5MRlIuRi5VU0QuSAEAAACZgAYAAgAAAAktNDIuNzM0MTUBCAAAAAUAAAABMQEAAAAKMTg4OTU1MjE2NAMAAAADMTYwAgAAAAQ0MDUxBAAAAAEwBwAAAAk3LzE2LzIwMTgIAAAACjEyLzMxLzIwMTcJAAAAATApHJQQNQnWCHM5YBI1CdYINkNJUS5PVENQSzpNQlZYLklRX0VCSVREQV9NQVJHSU4uLjcvMTYvMjAxOC5MRlIuRi5VU0QuSAEAAADYRIsCAwAAAAAA3qd+EDUJ1giYElkSNQnWCDxDSVEuTkFTREFRR1M6VFNSTy5JUV9FQklUREFfRVNULkNZMjAxOS43LzMxLzIwMTguQ09OLkYuVVNELkgBAAAAaNZYBgIAAAAKLTM5OS4xNDU0MwEOAAAABQAAAAIxMQEAAAABMAIAAAAKMTAwMTU4MDM0NQMAAAAGMTAwMTg3BAAAAAEyBgAAAAEwBwAAAAMxNjAIAAAAATAJAAAAATEKAAAAATALAAAACzEwOTQwNTA3MTI2DAAAAAE3DQAAAAg4LzEvMjAxOBAAAAAJNy8zMS8yMDE4nAvVOAgJ1ggkwppvNAnWCDZDSVEuTkFTREFRR1M6</t>
  </si>
  <si>
    <t>RVBaTS5JUV9FQklUREEuMTk5Ni43LzMxLzIwMTguTEZSLkYuVVNELkgBAAAAAyY9AwIAAAAILTEyMC4wNjUBCAAAAAUAAAABMQEAAAAKMTg4NzI0NjA0OQMAAAADMTYwAgAAAAQ0MDUxBAAAAAEwBwAAAAk3LzMxLzIwMTgIAAAACTMvMzEvMjAxNwkAAAABMNaMETgICdYIcySdbzQJ1gg+Q0lRLlhUUkE6TU9SLklRX0VCSVREQV8yWVJfQU5OX0NBR1IuMjAwMC43LzMxLzIwMTguTEZSLkYuVVNELkgBAAAA3xECAAMAAAACTk0BCAAAAAUAAAABMQEAAAAKMTg4NjE1MTY0OAMAAAACNTACAAAABDQyMDkEAAAAATAHAAAACTcvMzEvMjAxOAgAAAAJMy8zMS8yMDE4CQAAAAEwnAvVOAgJ1gjUX5hvNAnWCEJDSVEuTkFTREFRR1M6Q1RNWC5JUV9UT1RBTF9SRVZfNVlSX0FOTl9DQUdSLi43LzE2LzIwMTguTEZSLkYuVVNELkgBAAAA3DibAwMAAAAAAMT/GxE1CdYIwptiEjUJ1gg7Q0lRLk5BU0RBUUdTOktVUkEuSVFfVE9UQUxfUkVWLkNZMjAxNy43LzMxLzIwMTguTEZSLkYuVVNELkgBAAAAuMvaEAMAAAAAANaMETgICdYIcySdbzQJ1ggsQ0lRLklRVFI1MzU3MTk5OTguSVFfVFJfVEFSR0VUX0VCSVREQS4uVVNELkgBAAAAPnDuHwIAAAAHLTM0Mi4wNQEGAAAABQAAAAIzNwEAAAAKMTg1MjU1ODIyOAIAAAAFMjE2NzcDAAAAAzE2MAQAAAABMAcAAAAIMS8xLzE5MDCys0lvNAnWCIH9lW80CdYILENJUS5JUVRSNDA3</t>
  </si>
  <si>
    <t>NzYwNjkyLklRX1RSX1RBUkdFVF9FQklUREEuLlVTRC5IAQAAADTvTRgCAAAAAAAMbRAONQnWCAw+hQ41CdYIN0NJUS5OQVNEQVFDTTpNVEVNLklRX1BFUklPRERBVEVfSVMuMjAwMC43LzMxLzIwMTguTEZSLkYBAAAAmZupAQUAAAAJMy8zMS8yMDE4AMgwsjcICdYIGemhbzQJ1gg2Q0lRLk5BU0RBUUdNOkFSUlkuSVFfRUJJVERBLjE5OTIuNy8zMS8yMDE4LkxGUi5GLlVTRC5IAQAAAPhhAAACAAAABy03OS4zNDEBCAAAAAUAAAABMQEAAAAKMTg0MTA5NTAyNgMAAAADMTYwAgAAAAQ0MDUxBAAAAAEwBwAAAAk3LzMxLzIwMTgIAAAACTMvMzEvMjAxNgkAAAABMJwL1TgICdYI1F+YbzQJ1gg6Q0lRLk5BU0RBUUdTOlRTUk8uSVFfQ0FTSF9TVF9JTlZFU1QuLjcvMTYvMjAxOC5MRlIuRi5VU0QuSAEAAABo1lgGAgAAAAY0OTguOTgBCAAAAAUAAAABMQEAAAAKMTg4NjMzNzQ2NgMAAAADMTYwAgAAAAQxMDAyBAAAAAEwBwAAAAk3LzE2LzIwMTgIAAAACTMvMzEvMjAxOAkAAAABMMT/GxE1CdYIEv5kEjUJ1gg2Q0lRLk5BU0RBUUdNOkFSUUwuSVFfRUJJVERBLjIwMDAuNy8zMS8yMDE4LkxGUi5GLlVTRC5IAQAAAPZhAAACAAAABy0yMy43MjIBCAAAAAUAAAABMQEAAAAKMTg4ODc4ODc3MAMAAAADMTYwAgAAAAQ0MDUxBAAAAAEwBwAAAAk3LzMxLzIwMTgIAAAACTMvMzEvMjAxOAkAAAABMNaMETgICdYIcySdbzQJ</t>
  </si>
  <si>
    <t>1gg8Q0lRLk5BU0RBUUdNOkFSUlkuSVFfVE9UQUxfRVFVSVRZLjIwMDAuNy8zMS8yMDE4LkxGUi5GLlVTRC5IAQAAAPhhAAACAAAABjI2NS4xNQEIAAAABQAAAAExAQAAAAoxODg4NDcwNjc2AwAAAAMxNjACAAAABDEyNzUEAAAAATAHAAAACTcvMzEvMjAxOAgAAAAJMy8zMS8yMDE4CQAAAAEwnAvVOAgJ1ggkwppvNAnWCDpDSVEuTkFTREFRR1M6VFNSTy5JUV9DQVNIX1NUX0lOVkVTVC4uOS8xNS8yMDE3LkxGUi5GLlVTRC5IAQAAAGjWWAYCAAAABzUwNy45NDEBCAAAAAUAAAABMQEAAAAKMTg1MjY2MjU1MwMAAAADMTYwAgAAAAQxMDAyBAAAAAEwBwAAAAk5LzE1LzIwMTcIAAAACTYvMzAvMjAxNwkAAAABMMT/GxE1CdYIEv5kEjUJ1ggnQ0lRLk5BU0RBUUdTOlNHRU4uSVFfQkVUQV81WVIuNy8xNi8yMDE4AQAAAGGFAAACAAAAEDEuNjg2MDE3NTAyNDE0MTIAxP8bETUJ1ghoYGcSNQnWCDFDSVEuTkFTREFRR006TFBUWC5JUV9DQVBFWC4uNy8xNi8yMDE4LkxGUi5GLlVTRC5IAQAAAAw2CQcCAAAABTAuMDAxAQgAAAAFAAAAATEBAAAACjE4OTAxNjM5MzYDAAAAAzE2MAIAAAAEMjAyMQQAAAABMAcAAAAJNy8xNi8yMDE4CAAAAAkzLzMxLzIwMTgJAAAAATApHJQQNQnWCDDXXRI1CdYII0NJUS5JUVRSMjczNTA3MTg1LklRX1RSX0NMT1NFRF9EQVRFAQAAAHFjTRAFAAAACjExLzEwLzIwMTQAsrNJbzQJ1giB</t>
  </si>
  <si>
    <t>/ZVvNAnWCDZDSVEuTkFTREFRR006RkFURS5JUV9FQklUREEuMjAwMC43LzMxLzIwMTguTEZSLkYuVVNELkgBAAAAaDFXAgIAAAAHLTQ1LjE1NwEIAAAABQAAAAExAQAAAAoxODg4NTAwNTI3AwAAAAMxNjACAAAABDQwNTEEAAAAATAHAAAACTcvMzEvMjAxOAgAAAAJMy8zMS8yMDE4CQAAAAEw1owROAgJ1gjDhp9vNAnWCD1DSVEuTkFTREFRR1M6TksuSVFfTkVUX1dPUktJTkdfQ0FQLjE5OTYuNy8zMS8yMDE4LkxGUi5GLlVTRC5IAQAAAA19oQ8CAAAABi04LjY3MgEIAAAABQAAAAExAQAAAAoxODg3MTE4NzY3AwAAAAMxNjACAAAABDEzMTEEAAAAATAHAAAACTcvMzEvMjAxOAgAAAAJMy8zMS8yMDE3CQAAAAEw1owROAgJ1gjDhp9vNAnWCDVDSVEuTkFTREFRR1M6RlBSWC5JUV9DQVBFWC4xOTkyLjcvMzEvMjAxOC5MRlIuRi5VU0QuSAEAAAA3XTMAAgAAAAYtMi44MTMBCAAAAAUAAAABMQEAAAAKMTg0MDU2NTc5NAMAAAADMTYwAgAAAAQyMDIxBAAAAAEwBwAAAAk3LzMxLzIwMTgIAAAACTMvMzEvMjAxNgkAAAABMNaMETgICdYIGemhbzQJ1ggjQ0lRLklRVFI0MjI4ODc3MDEuSVFfVFJfQ0xPU0VEX0RBVEUBAAAAFcE0GQUAAAAJNC8yOC8yMDE3AAxtEA41CdYIwNuCDjUJ1ggjQ0lRLklRVFI0MjQzNDIwNDYuSVFfVFJfQ0xPU0VEX0RBVEUBAAAAHvJKGQUAAAAJMy8yMy8yMDE3AAxtEA41CdYIwNuCDjUJ</t>
  </si>
  <si>
    <t>1ghDQ0lRLk5BU0RBUUNNOk1URU0uSVFfRUJJVERBXzNZUl9BTk5fQ0FHUi4yMDAwLjcvMzEvMjAxOC5MRlIuRi5VU0QuSAEAAACZm6kBAwAAAAAAyDCyNwgJ1gjdS6RvNAnWCD1DSVEuTkFTREFRR1M6QURYUy5JUV9SRVZFTlVFX0VTVC5DWTIwMjEuNy8xNi8yMDE4LkNPTi5GLlVTRC5IAQAAAJ7seAACAAAABTIxLjk1AQ4AAAAFAAAAAjExAQAAAAEwAgAAAAk2NTA2NTUwNTgDAAAABjEwMDE4MAQAAAABMgYAAAABMAcAAAADMTYwCAAAAAEwCQAAAAExCgAAAAEwCwAAAAsxMDkyNDEwMDkzMwwAAAABNw0AAAAJNy8xNy8yMDE4EAAAAAk3LzE2LzIwMTgpHJQQNQnWCOR0WxI1CdYIJ0NJUS5OQVNEQVFDTTpNVEVNLklRX0JFVEFfMllSLjcvMzEvMjAxOAEAAACZm6kBAgAAABEwLjk4OTM1Mjk4NDIyMTczMwDIMLI3CAnWCBnpoW80CdYIJ0NJUS5OQVNEQVFHUzpCR05FLklRX0JFVEFfMllSLjcvMTYvMjAxOAEAAADg5N0GAgAAABEwLjg2ODkwMTcwMDIzNjUxOQDE/xsRNQnWCGhgZxI1CdYIMENJUS5JUVRSNDI0MzQyMDQ2LklRX1RSX1RBUkdFVF9FQklUREFfRVNULi5VU0QuSAEAAAAe8koZAgAAAAAADG0QDjUJ1gjA24IONQnWCCxDSVEuTkFTREFRR1M6U0dFTi5JUV9OSV9NQVJHSU4uLi5MRlIuRi5VU0QuSAEAAABhhQAAAgAAAActNy43NTE0AQgAAAAFAAAAATEBAAAACjE4OTcyMzM1MTgDAAAAAzE2MAIA</t>
  </si>
  <si>
    <t>AAAENDA5NAQAAAABMAcAAAAJOC8yMy8yMDE4CAAAAAk2LzMwLzIwMTgJAAAAATBGnRkRNQnWCEadGRE1CdYIJUNJUS5OQVNEQVFHUzpUU1JPLklRX0ZJUlNUUFJJQ0lOR0RBVEUBAAAAaNZYBgUAAAAJNi8yOC8yMDEyAJwL1TgICdYID2WMDjUJ1ggiQ0lRLklRVFI1NDc0MjM2ODAuSVFfVFJfUENUX1NPVUdIVAEAAADABaEgAgAAAAMxMDABBgAAAAUAAAACNTQBAAAABjEwMTAyNAIAAAAJNTQ3NDIzNjgwAwAAAAk1NDc0MzMwNjUEAAAAAzE2MAYAAAAEVHJ1ZQxtEA41CdYIwNuCDjUJ1gg1Q0lRLk5BU0RBUUdNOkFSUUwuSVFfQ0FQRVguMTk5Ni43LzMxLzIwMTguTEZSLkYuVVNELkgBAAAA9mEAAAIAAAAGLTAuMDE1AQgAAAAFAAAAATEBAAAACjE4ODg3ODg3MzcDAAAAAzE2MAIAAAAEMjAyMQQAAAABMAcAAAAJNy8zMS8yMDE4CAAAAAkzLzMxLzIwMTcJAAAAATDWjBE4CAnWCHMknW80CdYINkNJUS5OQVNEQVFHUzpBVE5YLklRX0VCSVREQS4xOTk2LjcvMzEvMjAxOC5MRlIuRi5VU0QuSAEAAADcmWsBAgAAAAgtMTA2LjY5NwEIAAAABQAAAAExAQAAAAoxODg4NzAyOTc2AwAAAAMxNjACAAAABDQwNTEEAAAAATAHAAAACTcvMzEvMjAxOAgAAAAJMy8zMS8yMDE3CQAAAAEw1owROAgJ1ggkwppvNAnWCEJDSVEuTkFTREFRR1M6Q0FMQS5JUV9UT1RBTF9SRVZfNVlSX0FOTl9DQUdSLi43LzE2LzIwMTguTEZS</t>
  </si>
  <si>
    <t>LkYuVVNELkgBAAAApSeBBgMAAAAAACkclBA1CdYI5HRbEjUJ1gg6Q0lRLkVOWFRQQTpJUEguSVFfUkVWRU5VRV9FU1QuQ1kyMDIwLjcvMTYvMjAxOC5DT04uRi5VU0QuSAEAAACZgAYAAgAAAA83NC43NDg4NTg0NzEwMjcBDgAAAAUAAAACMTEBAAAAATACAAAACjEwMDE2NDMzOTMDAAAABjEwMDE4MAQAAAABMwYAAAABMAcAAAADMTYwCAAAAAEwCQAAAAExCgAAAAEwCwAAAAsxMDk1Mzg0MjMyOQwAAAABNw0AAAAJNy8xNy8yMDE4EAAAAAk3LzE2LzIwMTgpHJQQNQnWCHM5YBI1CdYIOkNJUS5OQVNEQVFHUzpLVVJBLklRX1BSRUZfRVFVSVRZLjIwMDAuNS81LzIwMTcuTEZSLkYuVVNELkgBAAAAuMvaEAMAAAAAANaMETgICdYIcySdbzQJ1ghHQ0lRLk5BU0RBUUdNOkFSUlkuSVFfTUlOT1JJVFlfSU5URVJFU1RfVE9UQUwuMjAwMC43LzMxLzIwMTguTEZSLkYuVVNELkgBAAAA+GEAAAMAAAAAAJwL1TgICdYI1F+YbzQJ1ggrQ0lRLklRVFI1MzU3MTk5OTguSVFfVFJfVE9UQUxfR1JPU1NfVFYuLlVTRAEAAAA+cO4fAgAAAAsxMTIyNS41ODAxMwEGAAAABQAAAAI1NAEAAAAGMTAyMDg4AgAAAAk1MzU3MTk5OTgDAAAACTUzNTcyNDgxMwQAAAADMTYwBgAAAAVGYWxzZbKzSW80CdYIgf2VbzQJ1gg9Q0lRLk5BU0RBUUdNOkFSUUwuSVFfUkVWRU5VRV9FU1QuQ1kyMDE4LjcvMzEvMjAxOC5DT04uRi5VU0QuSAEA</t>
  </si>
  <si>
    <t>AAD2YQAAAgAAAAYxNy42ODIBDgAAAAUAAAACMTEBAAAAATACAAAACjEwMDE2Njg2NjYDAAAABjEwMDE4MAQAAAABMgYAAAABMAcAAAADMTYwCAAAAAEwCQAAAAExCgAAAAEwCwAAAAsxMTAxMDEwNTM0MQwAAAABNw0AAAAIOC8xLzIwMTgQAAAACTcvMzEvMjAxONaMETgICdYIcySdbzQJ1gglQ0lRLklRVFIyNDU4MzEwMDcuSVFfUFJJTUFSWV9JTkRVU1RSWQEAAAB2iAAAAwAAAA1CaW90ZWNobm9sb2d5ALKzSW80CdYIgf2VbzQJ1gg8Q0lRLk5BU0RBUUdTOkZQUlguSVFfRUFSTklOR19DTy5DWTIwMTYuNy8zMS8yMDE4LkxGUi5GLlVTRC5IAQAAADddMwACAAAABy02NS42OTcBCAAAAAUAAAABMQEAAAAKMTg3NjEzNTk4OAMAAAADMTYwAgAAAAE3BAAAAAEwBwAAAAk3LzMxLzIwMTgIAAAACjEyLzMxLzIwMTYJAAAAATDIMLI3CAnWCBnpoW80CdYIIkNJUS5JUVRSMjczNTA3MTg1LklRX1RSX1BDVF9TT1VHSFQBAAAAcWNNEAIAAAADMTAwALKzSW80CdYIgf2VbzQJ1gguQ0lRLklRVFI1NjM5MTkwNDkuSVFfVFJfVEFSR0VUX1NUT0NLUFJFTUlVTV8xTQEAAADJuJwhAgAAAAc1NS45MDg5AQYAAAAFAAAAAjU0AQAAAAYxMDEwNTUCAAAACTU2MzkxOTA0OQMAAAAJNTYzOTQwMDQyBAAAAAMxNjAGAAAABUZhbHNlDG0QDjUJ1gjA24IONQnWCDVDSVEuTkFTREFRR006RkFURS5JUV9DQVBFWC4xOTk2LjcvMzEv</t>
  </si>
  <si>
    <t>MjAxOC5MRlIuRi5VU0QuSAEAAABoMVcCAgAAAAYtMC40MzQBCAAAAAUAAAABMQEAAAAKMTg4ODUwMDMzMwMAAAADMTYwAgAAAAQyMDIxBAAAAAEwBwAAAAk3LzMxLzIwMTgIAAAACTMvMzEvMjAxNwkAAAABMNaMETgICdYIw4afbzQJ1gg+Q0lRLk5BU0RBUUdTOkFOQUIuSVFfVE9UQUxfRVFVSVRZLkNZMjAxNy43LzE2LzIwMTguTEZSLkYuVVNELkgBAAAAIUyyAQIAAAAHMzA3LjU4MQEIAAAABQAAAAExAQAAAAoxODc3MDY1MjMxAwAAAAMxNjACAAAABDEyNzUEAAAAATAHAAAACTcvMTYvMjAxOAgAAAAKMTIvMzEvMjAxNwkAAAABMMT/GxE1CdYIwptiEjUJ1ggxQ0lRLk5BU0RBUUdTOkFOQUIuSVFfREFfQ0YuLjcvMTYvMjAxOC5MRlIuRi5VU0QuSAEAAAAhTLIBAgAAAAUwLjE5OAEIAAAABQAAAAExAQAAAAoxODg3NDAwMDQzAwAAAAMxNjACAAAABDIxNjAEAAAAATAHAAAACTcvMTYvMjAxOAgAAAAJMy8zMS8yMDE4CQAAAAEwxP8bETUJ1gjCm2ISNQnWCCBDSVEuSVFUUjUzNTcxOTk5OC5JUV9UUl9FQVJOT1VUUwEAAAA+cO4fAgAAAAAAsrNJbzQJ1giB/ZVvNAnWCDtDSVEuTkFTREFRR006QUZNRC5JUV9UT1RBTF9SRVYuQ1kyMDE3LjcvMTYvMjAxOC5MRlIuRi5VU0QuSAEAAADb9wwAAgAAAAgyLjY1OTcwMgEIAAAABQAAAAExAQAAAAoxODc5MTQ3Njk2AwAAAAMxNjACAAAAAjI4BAAAAAEwBwAAAAk3</t>
  </si>
  <si>
    <t>LzE2LzIwMTgIAAAACjEyLzMxLzIwMTcJAAAAATApHJQQNQnWCDDXXRI1CdYIKUNJUS5OQVNEQVFHTTpYTkNSLklRX0JVU0lORVNTX0RFU0NSSVBUSU9OAQAAAKZaCwADAAAAyg9YZW5jb3IsIEluYy4sIGEgY2xpbmljYWwgc3RhZ2UgYmlvcGhhcm1hY2V1dGljYWwgY29tcGFueSwgZm9jdXNlcyBvbiB0aGUgZGlzY292ZXJ5IGFuZCBkZXZlbG9wbWVudCBvZiBlbmdpbmVlcmVkIG1vbm9jbG9uYWwgYW50aWJvZHkgdGhlcmFwZXV0aWNzIHRvIHRyZWF0IHNldmVyZSBhbmQgbGlmZSB0aHJlYXRlbmluZyBkaXNlYXNlcyB3aXRoIHVubWV0IG1lZGljYWwgbmVlZHMuIEl0IGRldmVsb3BzIGl0cyBhbnRpYm9keSBwcm9kdWN0IGNhbmRpZGF0ZXMgdG8gdHJlYXQgYXV0b2ltbXVuZSBhbmQgYWxsZXJnaWMgZGlzZWFzZXMsIGNhbmNlciwgYW5kIG90aGVyIGNvbmRpdGlvbnMuIFRoZSBjb21wYW554oCZcyBwcm9kdWN0IGNhbmRpZGF0ZXMgaW5jbHVkZSBYbUFiNTg3MSwgYW4gaW1tdW5lIGluaGliaXRvciwgd2hpY2ggaXMgaW4gUGhhc2UgSUkgY2xpbmljYWwgdHJpYWwgZm9yIHRoZSB0cmVhdG1lbnQgb2YgYXV0b2ltbXVuZSBkaXNlYXNlczsgYW5kIFhtQWI3MTk1LCBhbiBpbW11bmUgaW5oaWJpdG9yIHRoYXQgaGFzIGJlZW4gY29tcGxldGVkIFBoYXNlIEkgY2xpbmljYWwgdHJpYWwgZm9yIGFzdGhtYSBh</t>
  </si>
  <si>
    <t>bmQgYWxsZXJnaWMgZGlzZWFzZXMuIEl0cyBwcm9kdWN0IGNhbmRpZGF0ZXMgYWxzbyBjb21wcmlzZSBYbUFiMTQwNDUsIGEgYmlzcGVjaWZpYyBvbmNvbG9neSBjYW5kaWRhdGUsIHdoaWNoIGlzIGluIFBoYXNlIEkgY2xpbmljYWwgdHJpYWwgZm9yIHRoZSB0cmVhdG1lbnQgb2YgYWN1dGUgbXllbG9pZCBsZXVrZW1pYTsgWG1BYjEzNjc2IHRoYXQgaXMgaW4gUGhhc2UgSSBjbGluaWNhbCB0cmlhbCB0byB0cmVhdCBCLWNlbGwgbWFsaWduYW5jaWVzOyBhbmQgWG1BYjE4MDg3LCB3aGljaCBpcyBpbiBQaGFzZSBJIGNsaW5pY2FsIHRyaWFsIGZvciBuZXVyb2VuZG9jcmluZSB0dW1vcnMgYW5kIGdhc3Ryb2ludGVzdGluYWwgc3Ryb21hbCB0dW1vcnMuIEluIGFkZGl0aW9uLCB0aGUgY29tcGFueSBvZmZlcnMgTU9SMjA4LCBhbiBhbnRpYm9keSBkcnVnLCB0aGF0IGluIFBoYXNlIElJSSBjbGluaWNhbCB0cmlhbCB0byB0cmVhdCBub24tSG9kZ2tpbiBseW1waG9tYXMsIGFzIHdlbGwgYXMgaW4gUGhhc2UgSUkgY2xpbmljYWwgdHJpYWwgZm9yIGNocm9uaWMgbHltcGhvY3l0aWMgbGV1a2VtaWE7IGFuZCBBTUc0MjQsIGEgYmlzcGVjaWZpYyBDRDM4IHggQ0QzIHByZWNsaW5pY2FsIGNhbmRpZGF0ZSBmb3IgdmFyaW91cyBteWVsb21hLiBGdXJ0aGVyLCBpdCBpcyBkZXZlbG9waW5nIGJpc3BlY2lmaWMg</t>
  </si>
  <si>
    <t>YW50aWJvZGllcyB0byB0cmVhdCB2YXJpb3VzIGNhbmNlcnMsIHN1Y2ggYXMgWG1BYjIwNzE3LCBYbUFiMjI4NDEsIGFuZCBYbUFiMjMxMDQsIHdoaWNoIGFyZSBpbiBwcmVjbGluaWNhbCBQaGFzZS4gVGhlIGNvbXBhbnkgaGFzIGNvbGxhYm9yYXRpb24gYW5kIGxpY2Vuc2UgYWdyZWVtZW50IHdpdGggTm92YXJ0aXMgSW5zdGl0dXRlcyBmb3IgQmlvTWVkaWNhbCBSZXNlYXJjaCwgSW5jLiB0byBkZXZlbG9wIGFuZCBjb21tZXJjaWFsaXplIGJpc3BlY2lmaWMgYW5kIG90aGVyIEZjIGVuZ2luZWVyZWQgYW50aWJvZHkgZHJ1ZyBjYW5kaWRhdGVzIHVzaW5nIGl0cyBwcm9wcmlldGFyeSBYbUFiIHRlY2hub2xvZ2llcyBhbmQgZHJ1ZyBjYW5kaWRhdGVzLCBhcyB3ZWxsIGFzIE1vcnBob1N5cyBBZyB0byBkZXZlbG9wIGFuZCBjb21tZXJjaWFsaXplIGJpc3BlY2lmaWMgYW50aWJvZHkgcHJvZHVjdCBjYW5kaWRhdGVzOyBsaWNlbnNlIGFncmVlbWVudCB3aXRoIEFtZ2VuIEluYy4gdG8gZGV2ZWxvcCBhbmQgY29tbWVyY2lhbGl6ZSBiaXNwZWNpZmljIGFudGlib2R5IHByb2R1Y3QgY2FuZGlkYXRlczsgYW5kIGRldmVsb3BtZW50IGFuZCBtYW51ZmFjdHVyaW5nIHNlcnZpY2VzIGFncmVlbWVudCB3aXRoIENhdGFsZW50IFBoYXJtYSBTb2x1dGlvbnMgTExDLiBYZW5jb3IsIEluYy53YXMgZm91bmRlZCBp</t>
  </si>
  <si>
    <t>biAxOTk3IGFuZCBpcyBoZWFkcXVhcnRlcmVkIGluIE1vbnJvdmlhLCBDYWxpZm9ybmlhLgBGnRkRNQnWCBL+ZBI1CdYIPENJUS5OQVNEQVFHUzpBVE5YLklRX0VCSVREQV9FU1QuQ1kyMDIwLjcvMzEvMjAxOC5DT04uRi5VU0QuSAEAAADcmWsBAgAAAAktMTYuOTA0MTgBDgAAAAUAAAACMTEBAAAAATACAAAACjEwMDM3NzgzNzQDAAAABjEwMDE4NwQAAAABMgYAAAABMAcAAAADMTYwCAAAAAEwCQAAAAExCgAAAAEwCwAAAAsxMDkxMzE4NDc2OAwAAAABNw0AAAAIOC8xLzIwMTgQAAAACTcvMzEvMjAxONaMETgICdYIJMKabzQJ1gg/Q0lRLk5BU0RBUUdTOkNBTEEuSVFfRUJJVERBXzNZUl9BTk5fQ0FHUi4uNy8xNi8yMDE4LkxGUi5GLlVTRC5IAQAAAKUngQYDAAAAAk5NAQgAAAAFAAAAATEBAAAACjE4ODc5ODAzMDUDAAAAAzE2MAIAAAAENDIyMgQAAAABMAcAAAAJNy8xNi8yMDE4CAAAAAkzLzMxLzIwMTgJAAAAATApHJQQNQnWCOR0WxI1CdYILUNJUS5OQVNEQVFHUzpNUlNOLklRX0RJVklERU5EX1lJRUxELjcvMzEvMjAxOAEAAADmxRgAAwAAAAAA1owROAgJ1gjDhp9vNAnWCCNDSVEuSVFUUjI2MzcxODY0Ny5JUV9UUl9UT1RBTF9TVE9DSwEAAAD3BrgPAgAAAAAAsrNJbzQJ1giB/ZVvNAnWCDBDSVEuSVFUUjI0NTgzMTAwNy5JUV9UUl9UQVJHRVRfRUJJVERBX0VTVC4uVVNELkgBAAAAXxWnDgIAAAAI</t>
  </si>
  <si>
    <t>LTM3LjI4MjUAsrNJbzQJ1giB/ZVvNAnWCEJDSVEuTkFTREFRR1M6U0dFTi5JUV9UT1RBTF9SRVZfNVlSX0FOTl9DQUdSLi43LzE2LzIwMTguTEZSLkYuVVNELkgBAAAAYYUAAAIAAAAHMTguNDk1MQEIAAAABQAAAAExAQAAAAoxODg0ODkyODUyAwAAAAMxNjACAAAABDQyMzMEAAAAATAHAAAACTcvMTYvMjAxOAgAAAAJMy8zMS8yMDE4CQAAAAEwxP8bETUJ1ghoYGcSNQnWCCVDSVEuSVFUUjU2MzkxOTA0OS5JUV9UUl9JTVBMSUVEX0VRX0JWAQAAAMm4nCECAAAACDkuNjkxNjc1AQYAAAAFAAAAAjU0AQAAAAYxMDIwOTcCAAAACTU2MzkxOTA0OQMAAAAJNTYzOTQwMDQyBAAAAAMxNjAGAAAABUZhbHNlDG0QDjUJ1gjA24IONQnWCCJDSVEuSVFUUjMyMTg2NTI5Ny5JUV9UUl9UQVJHRVROQU1FAQAAAFFGLxMDAAAAEUlPbWV0IFBoYXJtYSBMdGQuAFjPEg41CdYIDD6FDjUJ1ggvQ0lRLklRVFI1NTExNjYyOTIuSVFfVFJfSU1QTElFRF9FVl9GSU5BTC4uVVNELkgBAAAAVCHaIAIAAAAKNTI5LjgxMTU3MQEGAAAABQAAAAI1NAEAAAAGMTAyMDQ1AgAAAAk1NTExNjYyOTIDAAAACTU1MTE3MzM3NQQAAAADMTYwBgAAAAVGYWxzZQxtEA41CdYIwNuCDjUJ1ggoQ0lRLk5BU0RBUUNNOkFWRU8uSVFfVEVWLjcvMTYvMjAxOC5VU0QuSAEAAAD0Fh0AAgAAAAozMzAuMzY1MjkyAQYAAAAFAAAAATEBAAAACjE4ODcyMzM5</t>
  </si>
  <si>
    <t>MTADAAAAAzE2MAIAAAAGMTAwMDYwBAAAAAEwBwAAAAk3LzE2LzIwMThGnRkRNQnWCMKbYhI1CdYIMUNJUS5OQVNEQVFHUzpBRFhTLklRX0NBUEVYLi43LzE2LzIwMTguTEZSLkYuVVNELkgBAAAAnux4AAIAAAAJLTIuMzgzNDA4AQgAAAAFAAAAATEBAAAACjE4OTI3ODg1NDgDAAAAAzE2MAIAAAAEMjAyMQQAAAABMAcAAAAJNy8xNi8yMDE4CAAAAAk0LzMwLzIwMTgJAAAAATApHJQQNQnWCOR0WxI1CdYIJUNJUS5JUVRSNTMzNjM5NTAxLklRX1RSX01BSl9NSU5fU1RBS0UBAAAATbHOHwMAAAAITWFqb3JpdHkADG0QDjUJ1gjA24IONQnWCB5DSVEuSVEzNjE4MzgyOC5JUV9DT01QQU5ZX05BTUUBAAAAFB8oAgMAAAAxVW5pdGVkIFN0YXRlcyBUcmVhc3VyeSBDb25zdGFudCBNYXR1cml0eSAtIDMgWWVhcgAMbRAONQnWCHd5gA41CdYIR0NJUS5OQVNEQVFHUzpGUFJYLklRX01JTk9SSVRZX0lOVEVSRVNUX1RPVEFMLjIwMDAuNy8zMS8yMDE4LkxGUi5GLlVTRC5IAQAAADddMwADAAAAAADWjBE4CAnWCBnpoW80CdYIOkNJUS5OQVNEQVFHUzpBTkFCLklRX0NBU0hfU1RfSU5WRVNULi45LzE1LzIwMTcuTEZSLkYuVVNELkgBAAAAIUyyAQIAAAAHMTA2LjM1OQEIAAAABQAAAAExAQAAAAoxODUzMDI0OTcyAwAAAAMxNjACAAAABDEwMDIEAAAAATAHAAAACTkvMTUvMjAxNwgAAAAJNi8zMC8yMDE3CQAAAAEwxP8b</t>
  </si>
  <si>
    <t>ETUJ1gjCm2ISNQnWCDxDSVEuTkFTREFRR1M6R1RIWC5JUV9UT1RBTF9FUVVJVFkuMjAwMC43LzMxLzIwMTguTEZSLkYuVVNELkgBAAAAZTRpCAIAAAAHMTgzLjE1NQEIAAAABQAAAAExAQAAAAoxODg2MzY3NjY3AwAAAAMxNjACAAAABDEyNzUEAAAAATAHAAAACTcvMzEvMjAxOAgAAAAJMy8zMS8yMDE4CQAAAAEw1owROAgJ1ggkwppvNAnWCDdDSVEuTkFTREFRR1M6Q0FMQS5JUV9QRVJJT0REQVRFX0lTLjIwMDAuNy8zMS8yMDE4LkxGUi5GAQAAAKUngQYFAAAACTMvMzEvMjAxOADIMLI3CAnWCN1LpG80CdYIN0NJUS5OQVNEQVFHTTpMUFRYLklRX1BSRUZfRVFVSVRZLi45LzE1LzIwMTcuTEZSLkYuVVNELkgBAAAADDYJBwMAAAAAACkclBA1CdYIMNddEjUJ1gg/Q0lRLk5BU0RBUUNNOk1URU0uSVFfTkVUX1dPUktJTkdfQ0FQLjIwMDAuNy8zMS8yMDE4LkxGUi5GLlVTRC5IAQAAAJmbqQECAAAABi02LjQ4NgEIAAAABQAAAAExAQAAAAoxODg4NzMzMDA0AwAAAAMxNjACAAAABDEzMTEEAAAAATAHAAAACTcvMzEvMjAxOAgAAAAJMy8zMS8yMDE4CQAAAAEwyDCyNwgJ1ggZ6aFvNAnWCD9DSVEuTkFTREFRQ006U1JORS5JUV9ORVRfV09SS0lOR19DQVAuMTk5Ni43LzMxLzIwMTguTEZSLkYuVVNELkgBAAAASUOUAwIAAAAHLTY0LjkyNAEIAAAABQAAAAExAQAAAAoxODg3OTg5ODI4AwAAAAMxNjACAAAABDEz</t>
  </si>
  <si>
    <t>MTEEAAAAATAHAAAACTcvMzEvMjAxOAgAAAAJMy8zMS8yMDE3CQAAAAEw1owROAgJ1ghzJJ1vNAnWCD9DSVEuTkFTREFRR1M6QU5BQi5JUV9FQklUREFfMllSX0FOTl9DQUdSLi43LzE2LzIwMTguTEZSLkYuVVNELkgBAAAAIUyyAQMAAAACTk0BCAAAAAUAAAABMQEAAAAKMTg4NzQwMDA0MwMAAAADMTYwAgAAAAQ0MjA5BAAAAAEwBwAAAAk3LzE2LzIwMTgIAAAACTMvMzEvMjAxOAkAAAABMMT/GxE1CdYIwptiEjUJ1ggjQ0lRLk5BU0RBUUdTOkFOQUIuSVFfUEVSSU9EREFURV9JUy4BAAAAIUyyAQUAAAAJNi8zMC8yMDE4AMT/GxE1CdYIEv5kEjUJ1ghCQ0lRLk5BU0RBUUdTOk1SU04uSVFfVE9UQUxfUkVWXzVZUl9BTk5fQ0FHUi4uNy8xNi8yMDE4LkxGUi5GLlVTRC5IAQAAAObFGAADAAAAAAApHJQQNQnWCHM5YBI1CdYIO0NJUS5OQVNEQVFHUzpKTkNFLklRX1RPVEFMX1JFVi5DWTIwMTcuNy8xNi8yMDE4LkxGUi5GLlVTRC5IAQAAAOJ5ng0CAAAABjcxLjY0NAEIAAAABQAAAAExAQAAAAoxODc3NzE2NjEzAwAAAAMxNjACAAAAAjI4BAAAAAEwBwAAAAk3LzE2LzIwMTgIAAAACjEyLzMxLzIwMTcJAAAAATApHJQQNQnWCOR0WxI1CdYIPENJUS5OQVNEQVFHUzpGUFJYLklRX0VCSVREQV9FU1QuQ1kyMDE5LjcvMzEvMjAxOC5DT04uRi5VU0QuSAEAAAA3XTMAAgAAAAgtMTQzLjY0NwEOAAAABQAAAAIxMQEA</t>
  </si>
  <si>
    <t>AAABMAIAAAAKMTAwMTk1NjM0OQMAAAAGMTAwMTg3BAAAAAEyBgAAAAEwBwAAAAMxNjAIAAAAATAJAAAAATEKAAAAATALAAAACzEwOTI3OTgwNTQ3DAAAAAE3DQAAAAg4LzEvMjAxOBAAAAAJNy8zMS8yMDE41owROAgJ1ggZ6aFvNAnWCENDSVEuTkFTREFRR1M6R1RIWC5JUV9FQklUREFfMllSX0FOTl9DQUdSLjIwMDAuNy8zMS8yMDE4LkxGUi5GLlVTRC5IAQAAAGU0aQgDAAAAAADWjBE4CAnWCCTCmm80CdYIN0NJUS5YVFJBOk1PUi5JUV9FQklUREFfRVNULkNZMjAyMC43LzMxLzIwMTguQ09OLkYuVVNELkgBAAAA3xECAAIAAAARLTY2Ljc1MjcwOTIwNzg1MjkBDgAAAAUAAAACMTEBAAAAATACAAAACjEwMDA5ODkwMDcDAAAABjEwMDE4NwQAAAABMwYAAAABMAcAAAADMTYwCAAAAAEwCQAAAAExCgAAAAEwCwAAAAsxMTA1MjI5NTAyNQwAAAABNw0AAAAIOC8xLzIwMTgQAAAACTcvMzEvMjAxOJwL1TgICdYI1F+YbzQJ1gg/Q0lRLk5BU0RBUUdNOkFSUlkuSVFfTkVUX1dPUktJTkdfQ0FQLjIwMDAuNy8zMS8yMDE4LkxGUi5GLlVTRC5IAQAAAPhhAAACAAAABy0yMi45MDkBCAAAAAUAAAABMQEAAAAKMTg4ODQ3MDY3NgMAAAADMTYwAgAAAAQxMzExBAAAAAEwBwAAAAk3LzMxLzIwMTgIAAAACTMvMzEvMjAxOAkAAAABMJwL1TgICdYI1F+YbzQJ1gg5Q0lRLk5BU0RBUUdTOk1SU04uSVFfVE9UQUxfUkVWLjE5</t>
  </si>
  <si>
    <t>OTYuNy8zMS8yMDE4LkxGUi5GLlVTRC5IAQAAAObFGAACAAAABjI1Ljc2NAEIAAAABQAAAAExAQAAAAoxODg5MDk2NTk3AwAAAAMxNjACAAAAAjI4BAAAAAEwBwAAAAk3LzMxLzIwMTgIAAAACTMvMzEvMjAxNwkAAAABMNaMETgICdYIw4afbzQJ1gg6Q0lRLk5BU0RBUUdTOk1SU04uSVFfRUFSTklOR19DTy4xOTkyLjcvMzEvMjAxOC5MRlIuRi5VU0QuSAEAAADmxRgAAwAAAAAA1owROAgJ1gjDhp9vNAnWCCNDSVEuSVFUUjQxMzk1MzY2MS5JUV9UUl9DTE9TRURfREFURQEAAAB9bqwYBQAAAAkxLzI1LzIwMTcAsrNJbzQJ1giB/ZVvNAnWCD1DSVEuTkFTREFRR1M6TUdOWC5JUV9SRVZFTlVFX0VTVC5DWTIwMjAuNy8xNi8yMDE4LkNPTi5GLlVTRC5IAQAAAE8rCQACAAAACDYwLjUxNzgxAQ4AAAAFAAAAAjExAQAAAAEwAgAAAAoxMDAxOTcyOTMxAwAAAAYxMDAxODAEAAAAATIGAAAAATAHAAAAAzE2MAgAAAABMAkAAAABMQoAAAABMAsAAAALMTEwMzM2MzMxNDQMAAAAATcNAAAACTcvMTcvMjAxOBAAAAAJNy8xNi8yMDE4xP8bETUJ1gjCm2ISNQnWCDxDSVEuTkFTREFRR1M6S1VSQS5JUV9FQklUREFfRVNULkNZMjAxOS43LzMxLzIwMTguQ09OLkYuVVNELkgBAAAAuMvaEAMAAAAAANaMETgICdYIcySdbzQJ1gg9Q0lRLk5BU0RBUUdTOk1HTlguSVFfUkVWRU5VRV9FU1QuQ1kyMDIxLjcvMTYvMjAxOC5DT04u</t>
  </si>
  <si>
    <t>Ri5VU0QuSAEAAABPKwkAAgAAAAkyMzAuMzE1NjcBDgAAAAUAAAACMTEBAAAAATACAAAACjEwMDE5NzI5MzIDAAAABjEwMDE4MAQAAAABMgYAAAABMAcAAAADMTYwCAAAAAEwCQAAAAExCgAAAAEwCwAAAAsxMTAzMzYzMzA5NgwAAAABNw0AAAAJNy8xNy8yMDE4EAAAAAk3LzE2LzIwMTjE/xsRNQnWCMKbYhI1CdYIO0NJUS5PVENQSzpOV0JPLklRX1RPVEFMX0VRVUlUWS5DWTIwMTcuNy8xNi8yMDE4LkxGUi5GLlVTRC5IAQAAAKN6FAACAAAABy00Ny4yOTMBCAAAAAUAAAABMQEAAAAKMTg4MzI0OTA4NgMAAAADMTYwAgAAAAQxMjc1BAAAAAEwBwAAAAk3LzE2LzIwMTgIAAAACjEyLzMxLzIwMTcJAAAAATApHJQQNQnWCDDXXRI1CdYIPENJUS5OQVNEQVFHUzpUU1JPLklRX1RPVEFMX0VRVUlUWS4yMDAwLjcvMzEvMjAxOC5MRlIuRi5VU0QuSAEAAABo1lgGAgAAAAcxMTcuNzI4AQgAAAAFAAAAATEBAAAACjE4ODYzMzc0NjYDAAAAAzE2MAIAAAAEMTI3NQQAAAABMAcAAAAJNy8zMS8yMDE4CAAAAAkzLzMxLzIwMTgJAAAAATCcC9U4CAnWCCTCmm80CdYIPkNJUS5OQVNEQVFDTTpDS1BULklRX1RPVEFMX0VRVUlUWS5DWTIwMTcuNy8xNi8yMDE4LkxGUi5GLlVTRC5IAQAAALhRFhECAAAABjE1LjA0MQEIAAAABQAAAAExAQAAAAoxODc4Nzg0NTc4AwAAAAMxNjACAAAABDEyNzUEAAAAATAHAAAACTcvMTYvMjAx</t>
  </si>
  <si>
    <t>OAgAAAAKMTIvMzEvMjAxNwkAAAABMCkclBA1CdYI5HRbEjUJ1gghQ0lRLk5BU0RBUUdNOk5MTksuSVFfQ09NUEFOWV9OQU1FAQAAAJV7jAADAAAAHE5ld0xpbmsgR2VuZXRpY3MgQ29ycG9yYXRpb24AKRyUEDUJ1gjkdFsSNQnWCDhDSVEuTkFTREFRR1M6U0dFTi5JUV9FQklUREEuQ1kyMDE2LjcvMTYvMjAxOC5MRlIuRi5VU0QuSAEAAABhhQAAAgAAAAgtMTI0LjY5MQEIAAAABQAAAAExAQAAAAoxODc0Njk2MTk2AwAAAAMxNjACAAAABDQwNTEEAAAAATAHAAAACTcvMTYvMjAxOAgAAAAKMTIvMzEvMjAxNgkAAAABMMT/GxE1CdYIaGBnEjUJ1ggsQ0lRLklRVFIyNzM1MDcxODUuSVFfVFJfVEFSR0VUX0VCSVREQS4uVVNELkgBAAAAcWNNEAIAAAAHLTI3LjgwNwEGAAAABQAAAAIzNwEAAAAKMTY5MTc2ODI2NAIAAAAFMjE2NzcDAAAAAzE2MAQAAAABMAcAAAAIMS8xLzE5MDCys0lvNAnWCIH9lW80CdYIP0NJUS5OQVNEQVFDTTpDS1BULklRX0VCSVREQV81WVJfQU5OX0NBR1IuLjcvMTYvMjAxOC5MRlIuRi5VU0QuSAEAAAC4URYRAwAAAAAAKRyUEDUJ1gjkdFsSNQnWCD1DSVEuTkFTREFRR006Q1JWUy5JUV9SRVZFTlVFX0VTVC5DWTIwMjAuNy8zMS8yMDE4LkNPTi5GLlVTRC5IAQAAAPSwphACAAAAATABDgAAAAUAAAACMTEBAAAAATACAAAACjEwMDMzNzAzNTcDAAAABjEwMDE4MAQAAAABMgYAAAABMAcA</t>
  </si>
  <si>
    <t>AAADMTYwCAAAAAEwCQAAAAExCgAAAAEwCwAAAAsxMDk1NTQ2MTgxMQwAAAABNw0AAAAIOC8xLzIwMTgQAAAACTcvMzEvMjAxONaMETgICdYIGemhbzQJ1gg8Q0lRLk5BU0RBUUNNOlNSTkUuSVFfRUJJVERBX0VTVC5DWTIwMTkuNy8zMS8yMDE4LkNPTi5GLlVTRC5IAQAAAElDlAMCAAAABy05Ni4yNTQBDgAAAAUAAAACMTEBAAAAATACAAAACjEwMDI0ODE5MzIDAAAABjEwMDE4NwQAAAABMgYAAAABMAcAAAADMTYwCAAAAAEwCQAAAAExCgAAAAEwCwAAAAsxMDk0NTYyNjU4MQwAAAABNw0AAAAIOC8xLzIwMTgQAAAACTcvMzEvMjAxONaMETgICdYIcySdbzQJ1gg1Q0lRLk5BU0RBUUdTOkNBTEEuSVFfREFfQ0YuMjAwMC43LzMxLzIwMTguTEZSLkYuVVNELkgBAAAApSeBBgIAAAAFMC40MDkBCAAAAAUAAAABMQEAAAAKMTg4Nzk4MDMwNQMAAAADMTYwAgAAAAQyMTYwBAAAAAEwBwAAAAk3LzMxLzIwMTgIAAAACTMvMzEvMjAxOAkAAAABMMgwsjcICdYI3UukbzQJ1gg6Q0lRLk5BU0RBUUdTOkNBTEEuSVFfQ0FTSF9TVF9JTlZFU1QuLjkvMTUvMjAxNy5MRlIuRi5VU0QuSAEAAAClJ4EGAgAAAAcxNjYuMjMxAQgAAAAFAAAAATEBAAAACjE4NTI0NzUwNzkDAAAAAzE2MAIAAAAEMTAwMgQAAAABMAcAAAAJOS8xNS8yMDE3CAAAAAk2LzMwLzIwMTcJAAAAATApHJQQNQnWCOR0WxI1CdYILUNJUS5OQVNEQVFHTTpJ</t>
  </si>
  <si>
    <t>TU1VLklRX0RJVklERU5EX1lJRUxELjcvMTYvMjAxOAEAAAAgQwQAAwAAAAAARp0ZETUJ1ggS/mQSNQnWCClDSVEuSVFUUjQxMzk1MzY2MS5JUV9CVVNJTkVTU19ERVNDUklQVElPTgEAAADxrVMMAwAAAKwIVG9sZXJvIFBoYXJtYWNldXRpY2FscywgSW5jLiwgYSBiaW9waGFybWFjZXV0aWNhbCBjb21wYW55LCBkaXNjb3ZlcnMgYW5kIGRldmVsb3BzIG5vdmVsIHRoZXJhcGV1dGljcyB0byB0cmVhdCBjYW5jZXIgYW5kIG90aGVyIGh1bWFuIGRpc2Vhc2VzIGluIHRoZSBVbml0ZWQgU3RhdGVzLiBUaGUgY29tcGFueSBkZXZlbG9wcyBBbHZvY2lkaWIsIGEgY3ljbGluLWRlcGVuZGVudCBraW5hc2Ugc21hbGwgbW9sZWN1bGUgaW5oaWJpdG9yOyBhbmQgVFAtMDQxMyB0aGF0IHRhcmdldHMgYSBzaWduYWxpbmcgcGF0aHdheSBjb21wbGljYXRlZCBpbiB0aGUgcmVndWxhdGlvbiBvZiBzZXJ1bSBpcm9uIGxldmVscyBmb3IgaW5kaXZpZHVhbHMgc3VmZmVyaW5nIHdpdGggY2hyb25pYyBpbmZsYW1tYXRvcnkgZGlzZWFzZXMsIHN1Y2ggYXMgY2FuY2VyIGFuZCByaGV1bWF0b2lkIGFydGhyaXRpcy4gSXQgYWxzbyBkZXZlbG9wcyBUUC0wOTAzLCBhbiBhbnRpLWNhbmNlciBhbmQgZHVhbC10YXJnZXRlZCBhZ2VudCB0aGF0IGluaGliaXRzIHR3byBzaWduYWxpbmcgcGF0aHdheXMgZm9yIHBhbmNyZWF0aWMg</t>
  </si>
  <si>
    <t>Y2FuY2VyIGNlbGwgZ3Jvd3RoIGFuZCBzdXJ2aXZhbCwgYW5kIGZvciB0aGUgbWFpbnRlbmFuY2Ugb2YgdGhlIHR1bW9yIHN0cm9tYWwgY2VsbHM7IGFuZCBUUC0zNjU0IFBJTSBpbmhpYml0b3Igc2lnbmFsaW5nIHBhdGh3YXkgdGhhdCBhbGxvd3MgdHVtb3IgY2VsbHMgdG8gcmVzcG9uZCB0byBub3JtYWwgY2VsbCBkZWF0aCBzaWduYWxzLCBhbmQgc2hvd3MgdG8gaW5kdWNlIGFwb3B0b3NpcyBpbiBleHBlcmltZW50YWwgc3lzdGVtcyBmb3IgcHJvc3RhdGUgY2FuY2VyLCBhY3V0ZSBteWVsb2lkIGxldWtlbWlhLCBhbmQgbHltcGhvbWEgbW9kZWxzLiBUaGUgY29tcGFueSB3YXMgZm91bmRlZCBpbiAyMDExIGFuZCBpcyBiYXNlZCBpbiBMZWhpLCBVdGFoLiBBcyBvZiBKYW51YXJ5IDI1LCAyMDE3LCBUb2xlcm8gUGhhcm1hY2V1dGljYWxzLCBJbmMuIG9wZXJhdGVzIGFzIGEgc3Vic2lkaWFyeSBvZiBEYWluaXBwb24gU3VtaXRvbW8gUGhhcm1hIEFtZXJpY2EgSG9sZGluZ3MsIEluYy4uALKzSW80CdYIgf2VbzQJ1gg9Q0lRLk5BU0RBUUdNOkNSSVMuSVFfQ0FTSF9TVF9JTlZFU1QuMjAwMC41LzUvMjAxNy5MRlIuRi5VU0QuSAEAAAAXagAAAgAAAAY2MC44MDIBCAAAAAUAAAABMQEAAAAKMTg0MDUwMTExOQMAAAADMTYwAgAAAAQxMDAyBAAAAAEwBwAAAAg1LzUvMjAxNwgAAAAJMy8zMS8yMDE3CQAA</t>
  </si>
  <si>
    <t>AAEwyDCyNwgJ1gjdS6RvNAnWCDxDSVEuTkFTREFRR1M6QVROWC5JUV9FQVJOSU5HX0NPLkNZMjAxNy43LzMxLzIwMTguTEZSLkYuVVNELkgBAAAA3JlrAQIAAAAILTEzMS4zOTYBCAAAAAUAAAABMQEAAAAKMTg3OTkwNzYzNQMAAAADMTYwAgAAAAE3BAAAAAEwBwAAAAk3LzMxLzIwMTgIAAAACjEyLzMxLzIwMTcJAAAAATDWjBE4CAnWCCTCmm80CdYIJ0NJUS5OQVNEQVFHTTpMUFRYLklRX0JFVEFfMVlSLjcvMTYvMjAxOAEAAAAMNgkHAgAAABEwLjMxODEzMTIyOTc1MDI2OQApHJQQNQnWCDDXXRI1CdYIP0NJUS5OQVNEQVFHUzpHVEhYLklRX05FVF9XT1JLSU5HX0NBUC4xOTkyLjcvMzEvMjAxOC5MRlIuRi5VU0QuSAEAAABlNGkIAwAAAAAAnAvVOAgJ1ggkwppvNAnWCDtDSVEuTkFTREFRR1M6UEJZSS5JUV9UT1RBTF9SRVYuQ1kyMDE3LjcvMTYvMjAxOC5MRlIuRi5VU0QuSAEAAAACaqwHAgAAAAYyNy42ODUBCAAAAAUAAAABMQEAAAAKMTg3ODA2MzM0NAMAAAADMTYwAgAAAAIyOAQAAAABMAcAAAAJNy8xNi8yMDE4CAAAAAoxMi8zMS8yMDE3CQAAAAEwxP8bETUJ1ggS/mQSNQnWCDlDSVEuRU5YVFBBOklQSC5JUV9FQVJOSU5HX0NPLkNZMjAxNy43LzE2LzIwMTguTEZSLkYuVVNELkgBAAAAmYAGAAIAAAAKLTU4LjA5OTE4MwEIAAAABQAAAAExAQAAAAoxODg5NTUyMTY0AwAAAAMxNjACAAAAATcEAAAA</t>
  </si>
  <si>
    <t>ATAHAAAACTcvMTYvMjAxOAgAAAAKMTIvMzEvMjAxNwkAAAABMCkclBA1CdYIczlgEjUJ1ggxQ0lRLk5BU0RBUUdTOkFEWFMuSVFfREFfQ0YuLjcvMTYvMjAxOC5MRlIuRi5VU0QuSAEAAACe7HgAAgAAAAgxLjM2MzQ3NwEIAAAABQAAAAExAQAAAAoxODkyNzg4NTQ4AwAAAAMxNjACAAAABDIxNjAEAAAAATAHAAAACTcvMTYvMjAxOAgAAAAJNC8zMC8yMDE4CQAAAAEwKRyUEDUJ1gjkdFsSNQnWCC5DSVEuSVFUUjMwNzg2Mzk4NC5JUV9UUl9UQVJHRVRfU1RPQ0tQUkVNSVVNXzFNAQAAALChWRICAAAAAABYzxIONQnWCMDbgg41CdYIIkNJUS5JUVRSNDIyODg3NzAxLklRX1RSX1BDVF9TT1VHSFQBAAAAFcE0GQIAAAACODABBgAAAAUAAAACNTQBAAAABjEwMTAyNAIAAAAJNDIyODg3NzAxAwAAAAk0MzA0MDYzNDMEAAAAAzE2MAYAAAAEVHJ1ZQxtEA41CdYIwNuCDjUJ1gg6Q0lRLk5BU0RBUUdTOlBCWUkuSVFfQ0FTSF9TVF9JTlZFU1QuLjcvMTYvMjAxOC5MRlIuRi5VU0QuSAEAAAACaqwHAgAAAAY3OC41NTIBCAAAAAUAAAABMQEAAAAKMTg4ODY2Nzc0MwMAAAADMTYwAgAAAAQxMDAyBAAAAAEwBwAAAAk3LzE2LzIwMTgIAAAACTMvMzEvMjAxOAkAAAABMMT/GxE1CdYIEv5kEjUJ1ggnQ0lRLk5BU0RBUUNNOk1URU0uSVFfQkVUQV8xWVIuNy8zMS8yMDE4AQAAAJmbqQECAAAAETAuOTg5MzUyOTg0MjIxNzMz</t>
  </si>
  <si>
    <t>AMgwsjcICdYIGemhbzQJ1ggpQ0lRLk5BU0RBUUdNOkFSUlkuSVFfQlVTSU5FU1NfREVTQ1JJUFRJT04BAAAA+GEAAAMAAAC5DkFycmF5IEJpb1BoYXJtYSBJbmMuLCBhIGJpb3BoYXJtYWNldXRpY2FsIGNvbXBhbnksIGZvY3VzZXMgb24gdGhlIGRpc2NvdmVyeSwgZGV2ZWxvcG1lbnQsIGFuZCBjb21tZXJjaWFsaXphdGlvbiBvZiBzbWFsbCBtb2xlY3VsZSBkcnVncyB0byB0cmVhdCBwYXRpZW50cyB3aXRoIGNhbmNlciBhbmQgb3RoZXIgZGlzZWFzZXMgaW4gTm9ydGggQW1lcmljYSwgRXVyb3BlLCBhbmQgdGhlIEFzaWEgUGFjaWZpYy4gSXQgcHJvdmlkZXMgQlJBRlRPVklUTSAoZW5jb3JhZmVuaWIpIGNhcHN1bGVzIGluIGNvbWJpbmF0aW9uIHdpdGggTUVLVE9WSSAoYmluaW1ldGluaWIpIHRhYmxldHMgZm9yIHRoZSB0cmVhdG1lbnQgb2YgcGF0aWVudHMgd2l0aCB1bnJlc2VjdGFibGUgb3IgbWV0YXN0YXRpYyBtZWxhbm9tYSB3aXRoIGEgQlJBRiBtdXRhdGlvbi4gVGhlIGNvbXBhbnnigJlzIGxlYWQgY2xpbmljYWwgcHJvZ3JhbXMgaW5jbHVkZSBlbmNvcmFmZW5pYiBhbmQgYmluaW1ldGluaWIgdGhhdCBhcmUgaW52ZXN0aWdhdGVkIGluIGFwcHJveGltYXRlbHkgMzAgY2xpbmljYWwgdHJpYWxzIGZvciB2YXJpb3VzIHNvbGlkIHR1bW9yIGluZGljYXRpb25zLCBpbmNsdWRpbmcgYSBQaGFz</t>
  </si>
  <si>
    <t>ZSBJSUkgdHJpYWwgaW4gQlJBRi1tdXRhbnQgY29sb3JlY3RhbCBjYW5jZXIuIEl0cyBwcm9kdWN0IHBpcGVsaW5lIGFsc28gaW5jbHVkZXMgaXBhdGFzZXJ0aWIsIGFuIEFLVCBpbmhpYml0b3IgdGhhdCBpcyBpbiBQaGFzZSBJSUkgdHJpYWwgdG8gdHJlYXQgcHJvc3RhdGUgb3IgYnJlYXN0IGNhbmNlcnM7IHNlbHVtZXRpbmliLCBhIE1FSyBpbmhpYml0b3IgZm9yIGNhbmNlcjsgbGFyb3RyZWN0aW5pYiwgYSBQYW5UcmsgaW5oaWJpdG9yIHRoYXQgaXMgaW4gYSBQaGFzZSBJSS9yZWdpc3RyYXRpb24gY2xpbmljYWwgdHJpYWwgZm9yIGNhbmNlcjsgdHVjYXRpbmliLCBhIEhFUjIgaW5oaWJpdG9yIGZvciBicmVhc3QgY2FuY2VyLCB3aGljaCBpcyBpbiBQaGFzZSBJSS9yZWdpc3RyYXRpb24gdHJpYWw7IGFuZCBBUlJZLTc5NyB0aGF0IGlzIGluIFBoYXNlIElJSSBjbGluaWNhbCB0cmlhbCBmb3IgTGFtaW4gQS9DLXJlbGF0ZWQgZGlsYXRlZCBjYXJkaW9teW9wYXRoeS4gSW4gYWRkaXRpb24sIHRoZSBjb21wYW55IGlzIGRldmVsb3BpbmcgdmFybGl0aW5pYi9BU0xBTjAwMSwgYSBQYW4tSEVSMiBpbmhpYml0b3IgZm9yIGdhc3RyaWMgY2FuY2VyOyBBUlJZLTM4MiwgYSBDU0YxUiBpbmhpYml0b3IgdGhhdCBpcyBpbiBQaGFzZSBJSSBjbGluaWNhbCB0cmlhbCB0byB0cmVhdCBjYW5jZXI7IG1vdG9s</t>
  </si>
  <si>
    <t>aW1vZC9WVFgtMjMzNywgYSBUb2xsLWxpa2UgcmVjZXB0b3IgdGhhdCBpcyBpbiBQaGFzZSBJSSBjbGluaWNhbCB0cmlhbCBmb3IgY2FuY2VyOyBhbmQgcHJleGFzZXJ0aWIvTFkyNjA2MzY4LCBhIENISy0xIGluaGliaXRvciwgd2hpY2ggaXMgaW4gbXVsdGlwbGUgUGhhc2UgSSBvciBJSSBjbGluaWNhbCB0cmlhbHMgZm9yIGNhbmNlci4gRnVydGhlciwgaXRzIGRydWcgY2FuZGlkYXRlcyBpbiBQaGFzZSBJIGNsaW5pY2FsIHRyaWFscyBpbmNsdWRlIEdEQy0wNTc1LCBhIENISy0xIGluaGliaXRvciBmb3IgY2FuY2VyOyBMT1hPLTI5MiwgYSBSRVQgaW5oaWJpdG9yIHRvIHRyZWF0IGNhbmNlcjsgYW5kIExPWE8tMTk1LCBhIFRyayBpbmhpYml0b3IgZm9yIGNhbmNlci4gQWRkaXRpb25hbGx5LCBpdHMgZHJ1ZyBjYW5kaWRhdGVzIGluY2x1ZGUgR2Fub3ZvL2Rhbm9wcmV2aXIsIGEgcHJvdGVhc2UgaW5oaWJpdG9yIGZvciBoZXBhdGl0aXMgQyB2aXJ1cy4gVGhlIGNvbXBhbnkgd2FzIGZvdW5kZWQgaW4gMTk5OCBhbmQgaXMgaGVhZHF1YXJ0ZXJlZCBpbiBCb3VsZGVyLCBDb2xvcmFkby4AnAvVOAgJ1gjUX5hvNAnWCDhDSVEuTkFTREFRR006RkFURS5JUV9FQklUREEuQ1kyMDE3LjcvMzEvMjAxOC5MRlIuRi5VU0QuSAEAAABoMVcCAgAAAActNDEuMTU0AQgAAAAFAAAAATEBAAAACjE4NzcwNjkwOTAD</t>
  </si>
  <si>
    <t>AAAAAzE2MAIAAAAENDA1MQQAAAABMAcAAAAJNy8zMS8yMDE4CAAAAAoxMi8zMS8yMDE3CQAAAAEw1owROAgJ1gjDhp9vNAnWCDBDSVEuQVNYOklNVS5JUV9UT1RBTF9ERUJULi43LzE2LzIwMTguTEZSLkYuVVNELkgBAAAAmJOpAAIAAAABMAEIAAAABQAAAAExAQAAAAoxODc3MzA1MzIwAwAAAAMxNjACAAAABDQxNzMEAAAAATAHAAAACTcvMTYvMjAxOAgAAAAKMTIvMzEvMjAxNwkAAAABMCkclBA1CdYIMNddEjUJ1ghCQ0lRLk5BU0RBUUdTOkpOQ0UuSVFfVE9UQUxfUkVWXzJZUl9BTk5fQ0FHUi4uNy8xNi8yMDE4LkxGUi5GLlVTRC5IAQAAAOJ5ng0DAAAAAADep34QNQnWCJgSWRI1CdYILUNJUS5OQVNEQVFHUzpLVVJBLklRX0RJVklERU5EX1lJRUxELjcvMzEvMjAxOAEAAAC4y9oQAwAAAAAA1owROAgJ1ghzJJ1vNAnWCDlDSVEuTkFTREFRR006SU1NVS5JUV9FQklUREFfTUFSR0lOLi43LzE2LzIwMTguTEZSLkYuVVNELkgBAAAAIEMEAAMAAAACTk0BCAAAAAUAAAABMQEAAAAKMTg4ODUyMzM4NAMAAAADMTYwAgAAAAQ0MDQ3BAAAAAEwBwAAAAk3LzE2LzIwMTgIAAAACTMvMzEvMjAxOAkAAAABMMT/GxE1CdYIEv5kEjUJ1gg1Q0lRLk5BU0RBUUdTOkZQUlguSVFfQ0FQRVguMjAwMC43LzMxLzIwMTguTEZSLkYuVVNELkgBAAAAN10zAAIAAAAGLTMuOTU3AQgAAAAFAAAAATEBAAAACjE4ODc0MDIyMjcD</t>
  </si>
  <si>
    <t>AAAAAzE2MAIAAAAEMjAyMQQAAAABMAcAAAAJNy8zMS8yMDE4CAAAAAkzLzMxLzIwMTgJAAAAATDWjBE4CAnWCBnpoW80CdYILkNJUS5OQVNEQVFHUzpOSy5JUV9MQVNUU0FMRVBSSUNFLjcvMzEvMjAxOC5VU0QBAAAADX2hDwIAAAADMy41ANaMETgICdYIw4afbzQJ1gg4Q0lRLk5BU0RBUUNNOk1URU0uSVFfRUJJVERBLkNZMjAxNy43LzMxLzIwMTguTEZSLkYuVVNELkgBAAAAmZupAQIAAAAHLTE1LjY5MgEIAAAABQAAAAExAQAAAAoxODgxMTE4ODEwAwAAAAMxNjACAAAABDQwNTEEAAAAATAHAAAACTcvMzEvMjAxOAgAAAAKMTIvMzEvMjAxNwkAAAABMMgwsjcICdYIGemhbzQJ1gg2Q0lRLk5BU0RBUUdTOlNHRU4uSVFfVE9UQUxfREVCVC4uOS8xNS8yMDE3LkxGUi5GLlVTRC5IAQAAAGGFAAACAAAAATABCAAAAAUAAAABMQEAAAAKMTg1MTI4MTU4NwMAAAADMTYwAgAAAAQ0MTczBAAAAAEwBwAAAAk5LzE1LzIwMTcIAAAACTYvMzAvMjAxNwkAAAABMMT/GxE1CdYIaGBnEjUJ1gg4Q0lRLk5BU0RBUUdNOklNTVUuSVFfRUJJVERBLkNZMjAxNi43LzMxLzIwMTguTEZSLkYuVVNELkgBAAAAIEMEAAIAAAAKLTU4LjY0NzQ0OAEIAAAABQAAAAExAQAAAAoxODczNDkzNDkxAwAAAAMxNjACAAAABDQwNTEEAAAAATAHAAAACTcvMzEvMjAxOAgAAAAKMTIvMzEvMjAxNgkAAAABMJwL1TgICdYI1F+YbzQJ1ggzQ0lR</t>
  </si>
  <si>
    <t>LkVOWFRQQTpJUEguSVFfVE9UQUxfREVCVC4uNy8xNi8yMDE4LkxGUi5GLlVTRC5IAQAAAJmABgACAAAACDcuMDQxMzA2AQgAAAAFAAAAATEBAAAACjE4ODk1NTIxNjQDAAAAAzE2MAIAAAAENDE3MwQAAAABMAcAAAAJNy8xNi8yMDE4CAAAAAoxMi8zMS8yMDE3CQAAAAEwKRyUEDUJ1ghzOWASNQnWCEZDSVEuTkFTREFRR006QVJSWS5JUV9UT1RBTF9SRVZfNVlSX0FOTl9DQUdSLjIwMDAuNy8zMS8yMDE4LkxGUi5GLlVTRC5IAQAAAPhhAAACAAAABjUuNTQ5NQEIAAAABQAAAAExAQAAAAoxODg4NDcwNjc2AwAAAAMxNjACAAAABDQyMzMEAAAAATAHAAAACTcvMzEvMjAxOAgAAAAJMy8zMS8yMDE4CQAAAAEwnAvVOAgJ1ggkwppvNAnWCCFDSVEuSVExMjg3Mzk4NDIuSVFfQ09NUEFOWV9USUNLRVIBAAAAAmqsBwMAAAANTmFzZGFxR1M6UEJZSQAMbRAONQnWCFvHjg41CdYIKkNJUS5JUVRSMjYzNzE4NjQ3LklRX1RSX1RBUkdFVF9FQklULi5VU0QuSAEAAAD3BrgPAgAAAAYtNC4zNjMBBgAAAAUAAAACMzcBAAAACjE2Nzc3OTQ1MDECAAAABTIxNjc1AwAAAAMxNjAEAAAAATAHAAAACDEvMS8xOTAwsrNJbzQJ1giB/ZVvNAnWCC1DSVEuTkFTREFRR006QUZNRC5JUV9ESVZJREVORF9ZSUVMRC43LzE2LzIwMTgBAAAA2/cMAAMAAAAAACkclBA1CdYIMNddEjUJ1ggoQ0lRLklRMjY2ODY0Mi5JUV9MQVNUU0FMRVBS</t>
  </si>
  <si>
    <t>SUNFLjcvMzEvMjAxOAEAAABiuCgAAgAAAAQ0Ljc5AElTR280CdYIgf2VbzQJ1ggxQ0lRLk5BU0RBUUNNOkNLUFQuSVFfQ0FQRVguLjcvMTYvMjAxOC5MRlIuRi5VU0QuSAEAAAC4URYRAwAAAAAAKRyUEDUJ1gjkdFsSNQnWCDpDSVEuTkFTREFRR1M6QkdORS5JUV9QUkVGX0VRVUlUWS4yMDAwLjUvNS8yMDE3LkxGUi5GLlVTRC5IAQAAAODk3QYDAAAAAACcC9U4CAnWCIH9lW80CdYIN0NJUS5OQVNEQVFHTTpBUlJZLklRX1BFUklPRERBVEVfSVMuMjAwMC43LzMxLzIwMTguTEZSLkYBAAAA+GEAAAUAAAAJMy8zMS8yMDE4AJwL1TgICdYI1F+YbzQJ1ggwQ0lRLklRVFIyNjM3MTg2NDcuSVFfVFJfVEFSR0VUX0VCSVREQV9FU1QuLlVTRC5IAQAAAPcGuA8CAAAAAACys0lvNAnWCIH9lW80CdYIQ0NJUS5OQVNEQVFDTTpDS1BULklRX01JTk9SSVRZX0lOVEVSRVNUX1RPVEFMLi43LzE2LzIwMTguTEZSLkYuVVNELkgBAAAAuFEWEQMAAAAAACkclBA1CdYIMNddEjUJ1gg9Q0lRLk5BU0RBUUdTOkZQUlguSVFfRUJJVERBX01BUkdJTi4yMDAwLjcvMzEvMjAxOC5MRlIuRi5VU0QuSAEAAAA3XTMAAgAAAAktMjE5LjM0NzIBCAAAAAUAAAABMQEAAAAKMTg4NzQwMjIyNwMAAAADMTYwAgAAAAQ0MDQ3BAAAAAEwBwAAAAk3LzMxLzIwMTgIAAAACTMvMzEvMjAxOAkAAAABMNaMETgICdYIGemhbzQJ1gg6Q0lRLk5BU0RB</t>
  </si>
  <si>
    <t>UUdTOlRTUk8uSVFfUFJFRl9FUVVJVFkuMjAwMC41LzUvMjAxNy5MRlIuRi5VU0QuSAEAAABo1lgGAwAAAAAAnAvVOAgJ1ggkwppvNAnWCCxDSVEuSVFUUjMyMTg2NTI5Ny5JUV9UUl9UT1RBTF9HUk9TU19UVi5VU0QuSAUAAAAAAAAACAAAABooSW52YWxpZCBDdXJyZW5jeSBSZXF1ZXN0KQxtEA41CdYIDD6FDjUJ1gg8Q0lRLk5BU0RBUUdTOkNBTEEuSVFfRUJJVERBX0VTVC5DWTIwMTguNy8zMS8yMDE4LkNPTi5GLlVTRC5IAQAAAKUngQYDAAAAAADIMLI3CAnWCN1LpG80CdYIP0NJUS5OQVNEQVFHUzpBVE5YLklRX05FVF9XT1JLSU5HX0NBUC4xOTk2LjcvMzEvMjAxOC5MRlIuRi5VU0QuSAEAAADcmWsBAgAAAActMjMuMjE2AQgAAAAFAAAAATEBAAAACjE4ODg3MDI5NzYDAAAAAzE2MAIAAAAEMTMxMQQAAAABMAcAAAAJNy8zMS8yMDE4CAAAAAkzLzMxLzIwMTcJAAAAATDWjBE4CAnWCCTCmm80CdYIMkNJUS5OQVNEQVFHUzpTR0VOLklRX1RPVEFMX1JFVi5DWTIwMTcuLkxGUi5GLlVTRC5IAQAAAGGFAAACAAAABjQ4Mi4yNQEIAAAABQAAAAExAQAAAAoxODc0Njk2MjIwAwAAAAMxNjACAAAAAjI4BAAAAAEwBwAAAAk4LzIzLzIwMTgIAAAACjEyLzMxLzIwMTcJAAAAATBGnRkRNQnWCEadGRE1CdYIPUNJUS5OQVNEQVFHTTpDUlZTLklRX1JFVkVOVUVfRVNULkNZMjAxOS43LzMxLzIwMTguQ09OLkYuVVNE</t>
  </si>
  <si>
    <t>LkgBAAAA9LCmEAIAAAABMAEOAAAABQAAAAIxMQEAAAABMAIAAAAKMTAwMzM3MDM1NgMAAAAGMTAwMTgwBAAAAAEyBgAAAAEwBwAAAAMxNjAIAAAAATAJAAAAATEKAAAAATALAAAACzEwOTU1NDYxODQ3DAAAAAE3DQAAAAg4LzEvMjAxOBAAAAAJNy8zMS8yMDE41owROAgJ1ggZ6aFvNAnWCDxDSVEuTkFTREFRR006Q1JJUy5JUV9FQklUREFfRVNULkNZMjAxOC43LzMxLzIwMTguQ09OLkYuVVNELkgBAAAAF2oAAAMAAAAAAMgwsjcICdYI3UukbzQJ1ggpQ0lRLklRVFI1NTExNjYyOTIuSVFfVFJfSU1QTElFRF9FUV9OSV9MVE0BAAAAVCHaIAMAAAACTk0ADG0QDjUJ1gjA24IONQnWCD5DSVEuTkFTREFRR1M6UEJZSS5JUV9UT1RBTF9FUVVJVFkuQ1kyMDE3LjcvMTYvMjAxOC5MRlIuRi5VU0QuSAEAAAACaqwHAgAAAAY1My4zMDIBCAAAAAUAAAABMQEAAAAKMTg3ODA2MzM0NAMAAAADMTYwAgAAAAQxMjc1BAAAAAEwBwAAAAk3LzE2LzIwMTgIAAAACjEyLzMxLzIwMTcJAAAAATDE/xsRNQnWCBL+ZBI1CdYIPENJUS5OQVNEQVFDTTpTUk5FLklRX1RPVEFMX0VRVUlUWS4yMDAwLjcvMzEvMjAxOC5MRlIuRi5VU0QuSAEAAABJQ5QDAgAAAAcyNDAuODczAQgAAAAFAAAAATEBAAAACjE4ODc5ODk4MzEDAAAAAzE2MAIAAAAEMTI3NQQAAAABMAcAAAAJNy8zMS8yMDE4CAAAAAkzLzMxLzIwMTgJAAAAATDWjBE4CAnW</t>
  </si>
  <si>
    <t>CHMknW80CdYIIENJUS5JUVRSNDA3NzYwNjkyLklRX1RSX0VBUk5PVVRTAQAAADTvTRgCAAAACjk0MC4xOTg5NzIBBgAAAAUAAAACNTQBAAAABjEwMTQwMwIAAAAJNDA3NzYwNjkyAwAAAAk0MDc3ODUzMjAEAAAAAzE2MAYAAAAFRmFsc2UMbRAONQnWCAw+hQ41CdYISkNJUS4oSU5WQUxJRCBJREVOVElGSUVSKS5JUV9NSU5PUklUWV9JTlRFUkVTVF9UT1RBTC4uOS8xNS8yMDE3LkxGUi5GLlVTRC5IBQAAAAAAAAAIAAAAFChJbnZhbGlkIElkZW50aWZpZXIp3qd+EDUJ1giYElkSNQnWCD1DSVEuTkFTREFRR006QVJSWS5JUV9SRVZFTlVFX0VTVC5DWTIwMjEuNy8zMS8yMDE4LkNPTi5GLlVTRC5IAQAAAPhhAAACAAAABzgxMC4zMzMBDgAAAAUAAAACMTEBAAAAATACAAAACTY1NDYxNTIxMAMAAAAGMTAwMTgwBAAAAAEyBgAAAAEwBwAAAAMxNjAIAAAAATAJAAAAATEKAAAAATALAAAACzEwOTg0MDkzMzE3DAAAAAE3DQAAAAg4LzEvMjAxOBAAAAAJNy8zMS8yMDE4nAvVOAgJ1gjUX5hvNAnWCCJDSVEuSVFUUjQwODI5MTM5NS5JUV9UUl9QQ1RfU09VR0hUAQAAAEMIVhgCAAAAAzEwMABYzxIONQnWCMDbgg41CdYIQkNJUS5YVFJBOk1PUi5JUV9NSU5PUklUWV9JTlRFUkVTVF9UT1RBTC4yMDAwLjcvMzEvMjAxOC5MRlIuRi5VU0QuSAEAAADfEQIAAwAAAAAAnAvVOAgJ1gjUX5hvNAnWCENDSVEuKElOVkFMSUQg</t>
  </si>
  <si>
    <t>SURFTlRJRklFUikuSVFfRUFSTklOR19DTy5DWTIwMTcuNy8xNi8yMDE4LkxGUi5GLlVTRC5IBQAAAAAAAAAIAAAAFChJbnZhbGlkIElkZW50aWZpZXIp3qd+EDUJ1giYElkSNQnWCEBDSVEuT1RDUEs6TUJWWC5JUV9NSU5PUklUWV9JTlRFUkVTVF9UT1RBTC4uNy8xNi8yMDE4LkxGUi5GLlVTRC5IAQAAANhEiwIDAAAAAADep34QNQnWCJgSWRI1CdYIJUNJUS5JUVRSNDA4NDA3ODIyLklRX1RSX0lNUExJRURfRVFfQlYBAAAADs9XGAMAAAACTk0AsrNJbzQJ1giB/ZVvNAnWCC9DSVEuSVFUUjU0NzQyMzY4MC5JUV9UUl9UQVJHRVRfVE9UQUxfUkVWLi5VU0QuSAEAAADABaEgAgAAAAAADG0QDjUJ1gjA24IONQnWCDFDSVEuTkFTREFRR1M6Q1RNWC5JUV9DQVBFWC4uNy8xNi8yMDE4LkxGUi5GLlVTRC5IAQAAANw4mwMCAAAABi0xLjM2NgEIAAAABQAAAAExAQAAAAoxODg3Njc1MzE2AwAAAAMxNjACAAAABDIwMjEEAAAAATAHAAAACTcvMTYvMjAxOAgAAAAJMy8zMS8yMDE4CQAAAAEwxP8bETUJ1gjCm2ISNQnWCENDSVEuTkFTREFRR1M6S1VSQS5JUV9FQklUREFfNVlSX0FOTl9DQUdSLjIwMDAuNy8zMS8yMDE4LkxGUi5GLlVTRC5IAQAAALjL2hADAAAAAADWjBE4CAnWCHMknW80CdYIOUNJUS5OQVNEQVFHTTpJTU1VLklRX1RPVEFMX1JFVi4xOTkyLjcvMzEvMjAxOC5MRlIuRi5VU0QuSAEAAAAgQwQAAgAA</t>
  </si>
  <si>
    <t>AAg0LjY5NjY2NQEIAAAABQAAAAExAQAAAAoxODQxMTcxMjI0AwAAAAMxNjACAAAAAjI4BAAAAAEwBwAAAAk3LzMxLzIwMTgIAAAACTMvMzEvMjAxNgkAAAABMJwL1TgICdYI1F+YbzQJ1ghDQ0lRLk5BU0RBUUdTOkZQUlguSVFfRUJJVERBXzJZUl9BTk5fQ0FHUi4yMDAwLjcvMzEvMjAxOC5MRlIuRi5VU0QuSAEAAAA3XTMAAwAAAAJOTQEIAAAABQAAAAExAQAAAAoxODg3NDAyMjI3AwAAAAMxNjACAAAABDQyMDkEAAAAATAHAAAACTcvMzEvMjAxOAgAAAAJMy8zMS8yMDE4CQAAAAEwyDCyNwgJ1ggZ6aFvNAnWCDxDSVEuTkFTREFRQ006U1JORS5JUV9FQklUREFfRVNULkNZMjAxOC43LzMxLzIwMTguQ09OLkYuVVNELkgBAAAASUOUAwIAAAAHLTc4LjY1NgEOAAAABQAAAAIxMQEAAAABMAIAAAAKMTAwMjAzNDI1MAMAAAAGMTAwMTg3BAAAAAEyBgAAAAEwBwAAAAMxNjAIAAAAATAJAAAAATEKAAAAATALAAAACzEwOTQ1NjI2NjIzDAAAAAE3DQAAAAg4LzEvMjAxOBAAAAAJNy8zMS8yMDE41owROAgJ1ghzJJ1vNAnWCC9DSVEuSVFUUjU2MzkxOTA0OS5JUV9UUl9JTVBMSUVEX0VWX0ZJTkFMLi5VU0QuSAEAAADJuJwhAgAAAAsxNDYyLjYyMzI0MgEGAAAABQAAAAI1NAEAAAAGMTAyMDQ1AgAAAAk1NjM5MTkwNDkDAAAACTU2Mzk0MDA0MgQAAAADMTYwBgAAAAVGYWxzZQxtEA41CdYIwNuCDjUJ1gglQ0lRLklR</t>
  </si>
  <si>
    <t>VFI1MzMzODU3NDQuSVFfVFJfTUFKX01JTl9TVEFLRQEAAAAQ0sofAwAAAAhNYWpvcml0eQAMbRAONQnWCMDbgg41CdYIOkNJUS5OQVNEQVFHUzpUU1JPLklRX0VBUk5JTkdfQ08uMTk5Ni43LzMxLzIwMTguTEZSLkYuVVNELkgBAAAAaNZYBgIAAAAILTQxOS45NjkBCAAAAAUAAAABMQEAAAAKMTg4NjMzNzQ1MQMAAAADMTYwAgAAAAE3BAAAAAEwBwAAAAk3LzMxLzIwMTgIAAAACTMvMzEvMjAxNwkAAAABMJwL1TgICdYIJMKabzQJ1ggvQ0lRLklRVFIyNTM5NTQ0NzMuSVFfVFJfVEFSR0VUX1RPVEFMX1JFVi4uVVNELkgBAAAAqQkjDwIAAAAAALKzSW80CdYINZuTbzQJ1gg5Q0lRLk5BU0RBUUdTOkNUTVguSVFfRUJJVERBX01BUkdJTi4uNy8xNi8yMDE4LkxGUi5GLlVTRC5IAQAAANw4mwMCAAAACC02OS43MzczAQgAAAAFAAAAATEBAAAACjE4ODc2NzUzMTYDAAAAAzE2MAIAAAAENDA0NwQAAAABMAcAAAAJNy8xNi8yMDE4CAAAAAkzLzMxLzIwMTgJAAAAATDE/xsRNQnWCMKbYhI1CdYIM0NJUS5OQVNEQVFHUzpUU1JPLklRX1BFUklPRERBVEVfSVMuLjcvMTYvMjAxOC5MRlIuRgEAAABo1lgGBQAAAAkzLzMxLzIwMTgAxP8bETUJ1ggS/mQSNQnWCC5DSVEuTkFTREFRQ006QVZFTy5JUV9NQVJLRVRDQVAuNy8xNi8yMDE4LlVTRC5IAQAAAPQWHQACAAAACjMzOC43NzIyOTIBBgAAAAUAAAABMQEAAAAKMTg4</t>
  </si>
  <si>
    <t>NzIzMzkxMAMAAAADMTYwAgAAAAYxMDAwNTQEAAAAATAHAAAACTcvMTYvMjAxOEadGRE1CdYIwptiEjUJ1gg+Q0lRLk5BU0RBUUdTOkZQUlguSVFfVE9UQUxfRVFVSVRZLkNZMjAxNy43LzMxLzIwMTguTEZSLkYuVVNELkgBAAAAN10zAAIAAAAHMjY1LjIwMgEIAAAABQAAAAExAQAAAAoxODc2MTM1OTkxAwAAAAMxNjACAAAABDEyNzUEAAAAATAHAAAACTcvMzEvMjAxOAgAAAAKMTIvMzEvMjAxNwkAAAABMMgwsjcICdYIGemhbzQJ1gglQ0lRLk5BU0RBUUNNOlpJT1AuSVFfRklSU1RQUklDSU5HREFURQEAAACzUbIABQAAAAk5LzE2LzIwMDUA1owROAgJ1gjDhp9vNAnWCEFDSVEuKElOVkFMSUQgSURFTlRJRklFUikuSVFfUFJFRl9FUVVJVFkuMjAwMC41LzUvMjAxNy5MRlIuRi5VU0QuSAUAAAAAAAAACAAAABQoSW52YWxpZCBJZGVudGlmaWVyKcgwsjcICdYI7TawbzQJ1gg5Q0lRLk5BU0RBUUdNOkFSUUwuSVFfVE9UQUxfUkVWLjIwMDAuNy8zMS8yMDE4LkxGUi5GLlVTRC5IAQAAAPZhAAACAAAABTQuMTM4AQgAAAAFAAAAATEBAAAACjE4ODg3ODg3NzADAAAAAzE2MAIAAAACMjgEAAAAATAHAAAACTcvMzEvMjAxOAgAAAAJMy8zMS8yMDE4CQAAAAEw1owROAgJ1ghzJJ1vNAnWCEJDSVEuTkFTREFRR1M6RlBSWC5JUV9UT1RBTF9SRVZfM1lSX0FOTl9DQUdSLi43LzE2LzIwMTguTEZSLkYuVVNELkgBAAAA</t>
  </si>
  <si>
    <t>N10zAAIAAAAHNDUuNzY3NAEIAAAABQAAAAExAQAAAAoxODg3NDAyMjI3AwAAAAMxNjACAAAABDQyMjAEAAAAATAHAAAACTcvMTYvMjAxOAgAAAAJMy8zMS8yMDE4CQAAAAEwKRyUEDUJ1ghzOWASNQnWCCFDSVEuTkFTREFRR1M6RlBSWC5JUV9DT01QQU5ZX05BTUUBAAAAN10zAAMAAAAdRml2ZSBQcmltZSBUaGVyYXBldXRpY3MsIEluYy4A1owROAgJ1gjji5MONQnWCCFDSVEuSVExMTUyMDUzNDQuSVFfQ09NUEFOWV9USUNLRVIBAAAA4OTdBgMAAAANTmFzZGFxR1M6QkdORQAMbRAONQnWCAw+hQ41CdYIQkNJUS4oSU5WQUxJRCBJREVOVElGSUVSKS5JUV9UT1RBTF9SRVYuQ1kyMDE3LjcvMzEvMjAxOC5MRlIuRi5VU0QuSAUAAAAAAAAACAAAABQoSW52YWxpZCBJZGVudGlmaWVyKcgwsjcICdYI7TawbzQJ1gg2Q0lRLk5BU0RBUUdNOlhOQ1IuSVFfVE9UQUxfREVCVC4uNy8xNi8yMDE4LkxGUi5GLlVTRC5IAQAAAKZaCwACAAAAATABCAAAAAUAAAABMQEAAAAKMTg4NzEyNTg1NQMAAAADMTYwAgAAAAQ0MTczBAAAAAEwBwAAAAk3LzE2LzIwMTgIAAAACTMvMzEvMjAxOAkAAAABMMT/GxE1CdYIEv5kEjUJ1ghHQ0lRLk5BU0RBUUdTOkNBTEEuSVFfTUlOT1JJVFlfSU5URVJFU1RfVE9UQUwuMjAwMC43LzMxLzIwMTguTEZSLkYuVVNELkgBAAAApSeBBgMAAAAAAMgwsjcICdYI3UukbzQJ1gg1Q0lRLk5BU0RB</t>
  </si>
  <si>
    <t>UUdNOkxQVFguSVFfVE9UQUxfUkVWLi43LzE2LzIwMTguTEZSLkYuVVNELkgBAAAADDYJBwMAAAAAACkclBA1CdYIMNddEjUJ1gg8Q0lRLk5BU0RBUUdNOkNSSVMuSVFfVE9UQUxfRVFVSVRZLjE5OTIuNy8zMS8yMDE4LkxGUi5GLlVTRC5IAQAAABdqAAACAAAACTU1Ljk0MjQ2OQEIAAAABQAAAAExAQAAAAoxODQwNTAxMDk5AwAAAAMxNjACAAAABDEyNzUEAAAAATAHAAAACTcvMzEvMjAxOAgAAAAJMy8zMS8yMDE2CQAAAAEwyDCyNwgJ1gjdS6RvNAnWCDlDSVEuTkFTREFRR1M6VFNSTy5JUV9UT1RBTF9SRVYuMjAwMC43LzMxLzIwMTguTEZSLkYuVVNELkgBAAAAaNZYBgIAAAAHMjY5Ljk5NQEIAAAABQAAAAExAQAAAAoxODg2MzM3NDY2AwAAAAMxNjACAAAAAjI4BAAAAAEwBwAAAAk3LzMxLzIwMTgIAAAACTMvMzEvMjAxOAkAAAABMJwL1TgICdYIJMKabzQJ1gguQ0lRLk5BU0RBUUdTOkNUTVguSVFfTUFSS0VUQ0FQLjkvMTUvMjAxNy5VU0QuSAEAAADcOJsDAgAAAAo2MzguMTc0MTIzAQYAAAAFAAAAATEBAAAACjE4NTIzNTc4NTgDAAAAAzE2MAIAAAAGMTAwMDU0BAAAAAEwBwAAAAk5LzE1LzIwMTdGnRkRNQnWCMKbYhI1CdYILUNJUS5OQVNEQVFHUzpBRFhTLklRX0RJVklERU5EX1lJRUxELjcvMTYvMjAxOAEAAACe7HgAAwAAAAAAKRyUEDUJ1gjkdFsSNQnWCC1DSVEuLklRX0VBUk5JTkdfQ08uMjAw</t>
  </si>
  <si>
    <t>MC43LzMxLzIwMTguTEZSLkYuVVNELkgFAAAAAQAAAAgAAAAUKEludmFsaWQgSWRlbnRpZmllcin1hDJHNAnWCPWEMkc0CdYIPkNJUS5OQVNEQVFHUzpNUlNOLklRX1RPVEFMX0VRVUlUWS5DWTIwMTYuNy8xNi8yMDE4LkxGUi5GLlVTRC5IAQAAAObFGAACAAAABjM4LjgzMQEIAAAABQAAAAExAQAAAAoxODgwNTQ3MzgzAwAAAAMxNjACAAAABDEyNzUEAAAAATAHAAAACTcvMTYvMjAxOAgAAAAKMTIvMzEvMjAxNgkAAAABMCkclBA1CdYIczlgEjUJ1ghGQ0lRLk5BU0RBUUdNOkNSSVMuSVFfTUlOT1JJVFlfSU5URVJFU1RfVE9UQUwuMjAwMC41LzUvMjAxNy5MRlIuRi5VU0QuSAEAAAAXagAAAwAAAAAAyDCyNwgJ1gjdS6RvNAnWCD1DSVEuTkFTREFRR1M6Q0FMQS5JUV9SRVZFTlVFX0VTVC5DWTIwMjEuNy8xNi8yMDE4LkNPTi5GLlVTRC5IAQAAAKUngQYCAAAABzIzNS42MzEBDgAAAAUAAAACMTEBAAAAATACAAAACjEwMDI4OTY0MzMDAAAABjEwMDE4MAQAAAABMgYAAAABMAcAAAADMTYwCAAAAAEwCQAAAAExCgAAAAEwCwAAAAsxMDkxMzI3ODQ0OQwAAAABNw0AAAAJNy8xNy8yMDE4EAAAAAk3LzE2LzIwMTgpHJQQNQnWCOR0WxI1CdYIIENJUS5JUVRSNDIyODg3NzAxLklRX1RSX0VBUk5PVVRTAQAAABXBNBkCAAAAAjQ3AQYAAAAFAAAAAjU0AQAAAAYxMDE0MDMCAAAACTQyMjg4NzcwMQMAAAAJNDMwNDA2</t>
  </si>
  <si>
    <t>MzQzBAAAAAMxNjAGAAAABUZhbHNlDG0QDjUJ1gjA24IONQnWCC5DSVEuSVFUUjQwMzc5MTc2Ny5JUV9UUl9UQVJHRVRfU1RPQ0tQUkVNSVVNXzFXAQAAAJdfERgCAAAAAABYzxIONQnWCMDbgg41CdYIJUNJUS5JUVRSNDAzNzkxNzY3LklRX1RSX01BSl9NSU5fU1RBS0UBAAAAl18RGAMAAAAITWFqb3JpdHkAWM8SDjUJ1gjA24IONQnWCDlDSVEuTkFTREFRQ006QVZFTy5JUV9FQklUREFfTUFSR0lOLi43LzE2LzIwMTguTEZSLkYuVVNELkgBAAAA9BYdAAMAAAAAAMT/GxE1CdYIwptiEjUJ1gg8Q0lRLk5BU0RBUUdNOkFSUUwuSVFfVE9UQUxfRVFVSVRZLjE5OTIuNy8zMS8yMDE4LkxGUi5GLlVTRC5IAQAAAPZhAAACAAAABTQwLjEyAQgAAAAFAAAAATEBAAAACjE4NDE5OTI1NjkDAAAAAzE2MAIAAAAEMTI3NQQAAAABMAcAAAAJNy8zMS8yMDE4CAAAAAkzLzMxLzIwMTYJAAAAATDWjBE4CAnWCHMknW80CdYIIkNJUS5JUVRSNDExODcxMDgyLklRX1RSX1BDVF9TT1VHSFQBAAAAaqeMGAIAAAACODYBBgAAAAUAAAACNTQBAAAABjEwMTAyNAIAAAAJNDExODcxMDgyAwAAAAk0MTE4NzEyOTEEAAAAAzE2MAYAAAAEVHJ1ZbKzSW80CdYINZuTbzQJ1ggiQ0lRLklRVFIzMTQ4MjkyMzYuSVFfVFJfUENUX1NPVUdIVAEAAAC06cMSAgAAAAMxMDAAWM8SDjUJ1gjA24IONQnWCD9DSVEuTkFTREFRR1M6RlBSWC5JUV9O</t>
  </si>
  <si>
    <t>RVRfV09SS0lOR19DQVAuMjAwMC43LzMxLzIwMTguTEZSLkYuVVNELkgBAAAAN10zAAIAAAAHLTI3LjU0OQEIAAAABQAAAAExAQAAAAoxODg3NDAyMjI3AwAAAAMxNjACAAAABDEzMTEEAAAAATAHAAAACTcvMzEvMjAxOAgAAAAJMy8zMS8yMDE4CQAAAAEw1owROAgJ1ggZ6aFvNAnWCDBDSVEuTkFTREFRR006TkxOSy5JUV9MQVNUU0FMRVBSSUNFLjcvMTYvMjAxOC5VU0QBAAAAlXuMAAIAAAAENC42OAApHJQQNQnWCOR0WxI1CdYIPENJUS5OQVNEQVFHUzpCR05FLklRX0dST1NTX01BUkdJTi4yMDAwLjcvMzEvMjAxOC5MRlIuRi5VU0QuSAEAAADg5N0GAgAAAAgtMjcuNTExOAEIAAAABQAAAAExAQAAAAoxODg3Njg4NTg4AwAAAAMxNjACAAAABDQwNzQEAAAAATAHAAAACTcvMzEvMjAxOAgAAAAJMy8zMS8yMDE4CQAAAAEwnAvVOAgJ1giB/ZVvNAnWCDdDSVEuTkFTREFRR1M6Sk5DRS5JUV9QUkVGX0VRVUlUWS4uNy8xNi8yMDE4LkxGUi5GLlVTRC5IAQAAAOJ5ng0DAAAAAAApHJQQNQnWCOR0WxI1CdYILkNJUS5JUVRSMzE0ODI5MjM2LklRX1RSX1RBUkdFVF9TVE9DS1BSRU1JVU1fMVcBAAAAtOnDEgIAAAAAAFjPEg41CdYIwNuCDjUJ1gg9Q0lRLk5BU0RBUUdTOk1SU04uSVFfUkVWRU5VRV9FU1QuQ1kyMDIwLjcvMTYvMjAxOC5DT04uRi5VU0QuSAEAAADmxRgAAgAAAAYyNC43MzgBDgAAAAUAAAACMTEB</t>
  </si>
  <si>
    <t>AAAAATACAAAACjEwMDM4MDMyODUDAAAABjEwMDE4MAQAAAABMgYAAAABMAcAAAADMTYwCAAAAAEwCQAAAAExCgAAAAEwCwAAAAsxMTA0Mjc2ODYyOAwAAAABNw0AAAAJNy8xNy8yMDE4EAAAAAk3LzE2LzIwMTjE/xsRNQnWCHM5YBI1CdYIO0NJUS5OQVNEQVFHUzpNUlNOLklRX1RPVEFMX1JFVi5DWTIwMTcuNy8zMS8yMDE4LkxGUi5GLlVTRC5IAQAAAObFGAACAAAABjE3LjU0NQEIAAAABQAAAAExAQAAAAoxODgwNTQ3Mzk1AwAAAAMxNjACAAAAAjI4BAAAAAEwBwAAAAk3LzMxLzIwMTgIAAAACjEyLzMxLzIwMTcJAAAAATDWjBE4CAnWCMOGn280CdYINkNJUS5OQVNEQVFDTTpDS1BULklRX1RPVEFMX0RFQlQuLjkvMTUvMjAxNy5MRlIuRi5VU0QuSAEAAAC4URYRAgAAAAEwAQgAAAAFAAAAATEBAAAACjE4NTI3NTIxNTIDAAAAAzE2MAIAAAAENDE3MwQAAAABMAcAAAAJOS8xNS8yMDE3CAAAAAk2LzMwLzIwMTcJAAAAATApHJQQNQnWCOR0WxI1CdYIJ0NJUS5OQVNEQVFHUzpNUlNOLklRX0JFVEFfMVlSLjcvMTYvMjAxOAEAAADmxRgAAgAAABEwLjU4MTM3MzU5MTYxNjMxOAApHJQQNQnWCHM5YBI1CdYIHUNJUS5OQVNEQVFHUzpTR0VOLklRX0VYQ0hBTkdFAQAAAGGFAAADAAAACE5hc2RhcUdTAEadGRE1CdYIaGBnEjUJ1gglQ0lRLklRVFIzMjE4NjUyOTcuSVFfVFJfTUFKX01JTl9TVEFLRQEAAABRRi8T</t>
  </si>
  <si>
    <t>AwAAAAhNYWpvcml0eQBYzxIONQnWCAw+hQ41CdYILkNJUS5JUVRSNDA4MjkxMzk1LklRX1RSX1RBUkdFVF9TVE9DS1BSRU1JVU1fMU0BAAAAQwhWGAIAAAAAAFjPEg41CdYIwNuCDjUJ1gg4Q0lRLk5BU0RBUUdTOk1HTlguSVFfR1JPU1NfTUFSR0lOLi43LzE2LzIwMTguTEZSLkYuVVNELkgBAAAATysJAAIAAAAGMC4xNzUyAQgAAAAFAAAAATEBAAAACjE4ODcxMTQ5NDUDAAAAAzE2MAIAAAAENDA3NAQAAAABMAcAAAAJNy8xNi8yMDE4CAAAAAkzLzMxLzIwMTgJAAAAATDE/xsRNQnWCMKbYhI1CdYIJUNJUS5OQVNEQVFHTTpBUlJZLklRX0ZJUlNUUFJJQ0lOR0RBVEUBAAAA+GEAAAUAAAAKMTEvMTcvMjAwMACcC9U4CAnWCNRfmG80CdYIIUNJUS5BU1g6SU1VLklRX0JFVEFfMVlSLjcvMTYvMjAxOAEAAACYk6kAAgAAABEwLjE0NTkxNjI0NTUxNTc1MQApHJQQNQnWCDDXXRI1CdYIHUNJUS5JUTI1MDc4LklRX0NPTVBBTllfVElDS0VSAQAAAPZhAAADAAAADU5hc2RhcUdNOkFSUUwAsrNJbzQJ1ghzJJ1vNAnWCD9DSVEuTkFTREFRR1M6U0dFTi5JUV9FQklUREFfMllSX0FOTl9DQUdSLi43LzE2LzIwMTguTEZSLkYuVVNELkgBAAAAYYUAAAMAAAACTk0BCAAAAAUAAAABMQEAAAAKMTg4NDg5Mjg1MgMAAAADMTYwAgAAAAQ0MjA5BAAAAAEwBwAAAAk3LzE2LzIwMTgIAAAACTMvMzEvMjAxOAkAAAABMMT/GxE1</t>
  </si>
  <si>
    <t>CdYIaGBnEjUJ1ggyQ0lRLkVOWFRQQTpJUEguSVFfTklfTUFSR0lOLi43LzE2LzIwMTguTEZSLkYuVVNELkgBAAAAmYAGAAIAAAAJLTEwOS44ODM0AQgAAAAFAAAAATEBAAAACjE4ODk1NTIxNjQDAAAAAjUwAgAAAAQ0MDk0BAAAAAEwBwAAAAk3LzE2LzIwMTgIAAAACjEyLzMxLzIwMTcJAAAAATApHJQQNQnWCHM5YBI1CdYIOUNJUS5OQVNEQVFHUzpHVEhYLklRX1RPVEFMX0RFQlQuMjAwMC41LzUvMjAxNy5MRlIuRi5VU0QuSAEAAABlNGkIAgAAAAEwAQgAAAAFAAAAATEBAAAACjE4MzgxNzc0MDADAAAAAzE2MAIAAAAENDE3MwQAAAABMAcAAAAINS81LzIwMTcIAAAACTMvMzEvMjAxNwkAAAABMNaMETgICdYIJMKabzQJ1ggsQ0lRLklRVFI1NTM1NDgwMjUuSVFfVFJfVE9UQUxfR1JPU1NfVFYuVVNELkgFAAAAAAAAAAgAAAAaKEludmFsaWQgQ3VycmVuY3kgUmVxdWVzdClJU0dvNAnWCIH9lW80CdYIIkNJUS5JUVRSNDA3NzYwNjkyLklRX1RSX1RBUkdFVE5BTUUBAAAANO9NGAMAAAAaR2FueW1lZCBQaGFybWFjZXV0aWNhbHMgQUcADG0QDjUJ1ggMPoUONQnWCCFDSVEuQVNYOklNVS5JUV9CRVRBXzJZUi43LzE2LzIwMTgBAAAAmJOpAAIAAAARMC42NjM1NDkyMDQ0NTY4NjgAKRyUEDUJ1ggw110SNQnWCDhDSVEuTkFTREFRR006Q1JWUy5JUV9FQklUREEuQ1kyMDE2LjcvMzEvMjAxOC5MRlIuRi5VU0Qu</t>
  </si>
  <si>
    <t>SAEAAAD0sKYQAgAAAActMzYuMzgyAQgAAAAFAAAAATEBAAAACjE4NzcyMjA3OTMDAAAAAzE2MAIAAAAENDA1MQQAAAABMAcAAAAJNy8zMS8yMDE4CAAAAAoxMi8zMS8yMDE2CQAAAAEw1owROAgJ1ggZ6aFvNAnWCDtDSVEuTkFTREFRR006SU1NVS5JUV9UT1RBTF9SRVYuQ1kyMDE3LjcvMzEvMjAxOC5MRlIuRi5VU0QuSAEAAAAgQwQAAgAAAAgzLjI1MzA0OAEIAAAABQAAAAExAQAAAAoxODczNDkzNTI4AwAAAAMxNjACAAAAAjI4BAAAAAEwBwAAAAk3LzMxLzIwMTgIAAAACjEyLzMxLzIwMTcJAAAAATCcC9U4CAnWCNRfmG80CdYIP0NJUS5OQVNEQVFHTTpYTkNSLklRX0VCSVREQV81WVJfQU5OX0NBR1IuLjcvMTYvMjAxOC5MRlIuRi5VU0QuSAEAAACmWgsAAwAAAAJOTQEIAAAABQAAAAExAQAAAAoxODg3MTI1ODU1AwAAAAMxNjACAAAABDQyMzUEAAAAATAHAAAACTcvMTYvMjAxOAgAAAAJMy8zMS8yMDE4CQAAAAEwxP8bETUJ1ggS/mQSNQnWCC5DSVEuTkFTREFRR1M6TUdOWC5JUV9NQVJLRVRDQVAuOS8xNS8yMDE3LlVTRC5IAQAAAE8rCQACAAAACjY0Mi4xMzMyMTQBBgAAAAUAAAABMQEAAAAKMTg1MTQzMjAyNwMAAAADMTYwAgAAAAYxMDAwNTQEAAAAATAHAAAACTkvMTUvMjAxN0adGRE1CdYIwptiEjUJ1gg3Q0lRLk5BU0RBUUdNOk5MTksuSVFfRUJJVF9NQVJHSU4uLjcvMTYvMjAxOC5MRlIuRi5V</t>
  </si>
  <si>
    <t>U0QuSAEAAACVe4wAAgAAAAktMTkxLjYwMTEBCAAAAAUAAAABMQEAAAAKMTg4ODM1NDIwNwMAAAADMTYwAgAAAAQ0MDUzBAAAAAEwBwAAAAk3LzE2LzIwMTgIAAAACTMvMzEvMjAxOAkAAAABMCkclBA1CdYI5HRbEjUJ1ggVQ0lRLi5JUV9UUl9QQ1RfU09VR0hUBQAAAAAAAAAIAAAAFChJbnZhbGlkIElkZW50aWZpZXIpnAvVOAgJ1gh3eYAONQnWCDVDSVEuTkFTREFRR1M6VFNSTy5JUV9DQVBFWC4yMDAwLjcvMzEvMjAxOC5MRlIuRi5VU0QuSAEAAABo1lgGAgAAAAYtNS44MDcBCAAAAAUAAAABMQEAAAAKMTg4NjMzNzQ2NgMAAAADMTYwAgAAAAQyMDIxBAAAAAEwBwAAAAk3LzMxLzIwMTgIAAAACTMvMzEvMjAxOAkAAAABMJwL1TgICdYIJMKabzQJ1gg3Q0lRLk5BU0RBUUdTOk1SU04uSVFfRUJJVF9NQVJHSU4uLjcvMTYvMjAxOC5MRlIuRi5VU0QuSAEAAADmxRgAAgAAAAktMjcxLjI2NjYBCAAAAAUAAAABMQEAAAAKMTg4OTA5NjY1MwMAAAADMTYwAgAAAAQ0MDUzBAAAAAEwBwAAAAk3LzE2LzIwMTgIAAAACTMvMzEvMjAxOAkAAAABMMT/GxE1CdYIczlgEjUJ1ggzQ0lRLkVOWFRQQTpJUEguSVFfRUFSTklOR19DTy4uNy8xNi8yMDE4LkxGUi5GLlVTRC5IAQAAAJmABgACAAAACi01OC4wOTkxODMBCAAAAAUAAAABMQEAAAAKMTg4OTU1MjE2NAMAAAADMTYwAgAAAAE3BAAAAAEwBwAAAAk3LzE2LzIwMTgI</t>
  </si>
  <si>
    <t>AAAACjEyLzMxLzIwMTcJAAAAATApHJQQNQnWCHM5YBI1CdYIIkNJUS5JUVRSNDI0MzQyMDQ2LklRX1RSX1RPVEFMX0NBU0gBAAAAHvJKGQIAAAABMwEGAAAABQAAAAI1NAEAAAAGMTAxMDU2AgAAAAk0MjQzNDIwNDYDAAAACTQyNDM0MjY1OAQAAAADMTYwBgAAAAVGYWxzZQxtEA41CdYIwNuCDjUJ1gg2Q0lRLk5BU0RBUUNNOkFWRU8uSVFfVE9UQUxfREVCVC4uNy8xNi8yMDE4LkxGUi5GLlVTRC5IAQAAAPQWHQACAAAABjE4LjU4OAEIAAAABQAAAAExAQAAAAoxODg3MjM0Mjk1AwAAAAMxNjACAAAABDQxNzMEAAAAATAHAAAACTcvMTYvMjAxOAgAAAAJMy8zMS8yMDE4CQAAAAEwxP8bETUJ1gjCm2ISNQnWCClDSVEuTkFTREFRR1M6R1RIWC5JUV9CVVNJTkVTU19ERVNDUklQVElPTgEAAABlNGkIAwAAAK0GRzEgVGhlcmFwZXV0aWNzLCBJbmMuLCBhIGNsaW5pY2FsLXN0YWdlIGJpb3BoYXJtYWNldXRpY2FsIGNvbXBhbnksIGZvY3VzZXMgb24gdGhlIGRpc2NvdmVyeSwgZGV2ZWxvcG1lbnQsIGFuZCBjb21tZXJjaWFsaXphdGlvbiBvZiBub3ZlbCBzbWFsbCBtb2xlY3VsZSB0aGVyYXBldXRpY3MgZm9yIHRoZSB0cmVhdG1lbnQgb2YgcGF0aWVudHMgd2l0aCBjYW5jZXIgaW4gdGhlIFVuaXRlZCBTdGF0ZXMuIEl0IGlzIGRldmVsb3BpbmcgdHJpbGFjaWNsaWIsIGFuIGludHJhdmVub3VzIGN5Y2xpbi1k</t>
  </si>
  <si>
    <t>ZXBlbmRlbnQga2luYXNlcyAoQ0RLKSA0LzYgaW5oaWJpdG9yIHRoYXQgaXMgaW4gUGhhc2UgMWIvMmEgY2xpbmljYWwgdHJpYWxzIGZvciBwYXRpZW50cyB3aXRoIHNtYWxsIGNlbGwgbHVuZyBjYW5jZXIsIGFzIHdlbGwgYXMgUGhhc2UgMiBjbGluaWNhbCB0cmlhbCBmb3IgcGF0aWVudHMgd2l0aCBmaXJzdC0vc2Vjb25kLS90aGlyZC1saW5lIG1ldGFzdGF0aWMgdHJpcGxlLW5lZ2F0aXZlIGJyZWFzdCBjYW5jZXI7IEcxVDM4LCBhbiBvcmFsIENESzQvNiBpbmhpYml0b3IgdGhhdCBpcyBQaGFzZSAxYi8yYSBjbGluaWNhbCB0cmlhbHMgZm9yIHRoZSB0cmVhdG1lbnQgb2YgYnJlYXN0IGNhbmNlcjsgYW5kIEcxVDQ4LCBhbiBvcmFsIHNlbGVjdGl2ZSBlc3Ryb2dlbiByZWNlcHRvciBkZWdyYWRlciwgd2hpY2ggaXMgaW4gcHJlY2xpbmljYWwgZGV2ZWxvcG1lbnQuIFRoZSBjb21wYW55IHdhcyBmb3VuZGVkIGluIDIwMDggYW5kIGlzIGhlYWRxdWFydGVyZWQgaW4gUmVzZWFyY2ggVHJpYW5nbGUgUGFyaywgTm9ydGggQ2Fyb2xpbmEuAJwL1TgICdYIJMKabzQJ1ggnQ0lRLk5BU0RBUUdTOkpOQ0UuSVFfQkVUQV8yWVIuNy8xNi8yMDE4AQAAAOJ5ng0CAAAAEDEuNDI4MTU2MTY1MTUwNjMAKRyUEDUJ1giYElkSNQnWCEJDSVEuTkFTREFRR006TFBUWC5JUV9UT1RBTF9SRVZfMllSX0FOTl9DQUdSLi43</t>
  </si>
  <si>
    <t>LzE2LzIwMTguTEZSLkYuVVNELkgBAAAADDYJBwMAAAAAACkclBA1CdYIMNddEjUJ1ggaQ0lRLkVOWFRQQTpJUEguSVFfRVhDSEFOR0UBAAAAmYAGAAMAAAAGRU5YVFBBACkclBA1CdYIczlgEjUJ1ggfQ0lRLk5BU0RBUUdTOk5LLklRX0NPTVBBTllfTkFNRQEAAAANfaEPAwAAAA9OYW50S3dlc3QsIEluYy4A1owROAgJ1ghFa/qBNAnWCCNDSVEuSVFUUjMyMTg2NTI5Ny5JUV9UUl9UT1RBTF9TVE9DSwEAAABRRi8TAgAAAAAAWM8SDjUJ1ggMPoUONQnWCDlDSVEuTkFTREFRR006RkFURS5JUV9OSV9NQVJHSU4uMjAwMC43LzMxLzIwMTguTEZSLkYuVVNELkgBAAAAaDFXAgMAAAACTk0BCAAAAAUAAAABMQEAAAAKMTg4ODUwMDUyNwMAAAADMTYwAgAAAAQ0MDk0BAAAAAEwBwAAAAk3LzMxLzIwMTgIAAAACTMvMzEvMjAxOAkAAAABMNaMETgICdYIw4afbzQJ1gg2Q0lRLk5BU0RBUUdNOkxQVFguSVFfVE9UQUxfREVCVC4uNy8xNi8yMDE4LkxGUi5GLlVTRC5IAQAAAAw2CQcCAAAAATABCAAAAAUAAAABMQEAAAAKMTg5MDE2MzkzNgMAAAADMTYwAgAAAAQ0MTczBAAAAAEwBwAAAAk3LzE2LzIwMTgIAAAACTMvMzEvMjAxOAkAAAABMCkclBA1CdYIMNddEjUJ1ggtQ0lRLk5BU0RBUUdTOkJHTkUuSVFfRElWSURFTkRfWUlFTEQuNy8zMS8yMDE4AQAAAODk3QYDAAAAAACcC9U4CAnWCIH9lW80CdYIOkNJUS5OQVNE</t>
  </si>
  <si>
    <t>QVFHTTpBUlFMLklRX1RPVEFMX0RFQlQuMjAwMC43LzMxLzIwMTguTEZSLkYuVVNELkgBAAAA9mEAAAIAAAAGMTQuNTE3AQgAAAAFAAAAATEBAAAACjE4ODg3ODg3NzADAAAAAzE2MAIAAAAENDE3MwQAAAABMAcAAAAJNy8zMS8yMDE4CAAAAAkzLzMxLzIwMTgJAAAAATDWjBE4CAnWCHMknW80CdYILENJUS5OQVNEQVFHUzpDQUxBLklRX0xBU1RTQUxFUFJJQ0UuOS8xNS8yMDE3AQAAAKUngQYCAAAABTE1LjA1ACkclBA1CdYI5HRbEjUJ1gguQ0lRLklRVFI0MDM3OTE3NjcuSVFfVFJfVEFSR0VUX1NUT0NLUFJFTUlVTV8xTQEAAACXXxEYAgAAAAAAWM8SDjUJ1gjA24IONQnWCDBDSVEuSVFUUjMyMTg2NTI5Ny5JUV9UUl9UQVJHRVRfRUJJVERBX0VTVC4uVVNELkgBAAAAUUYvEwIAAAAAAFjPEg41CdYIDD6FDjUJ1gg2Q0lRLk5BU0RBUUdTOk1SU04uSVFfRUJJVERBLjE5OTIuNy8zMS8yMDE4LkxGUi5GLlVTRC5IAQAAAObFGAADAAAAAADWjBE4CAnWCMOGn280CdYIJ0NJUS5OQVNEQVFHUzpQQllJLklRX0JFVEFfMVlSLjcvMTYvMjAxOAEAAAACaqwHAgAAABEwLjYxMzU5MzA5OTc3Nzc3NADE/xsRNQnWCBL+ZBI1CdYILENJUS5OQVNEQVFHUzpNUlNOLklRX0xBU1RTQUxFUFJJQ0UuOS8xNS8yMDE3AQAAAObFGAACAAAABDE2LjIAKRyUEDUJ1ghzOWASNQnWCC1DSVEuLklRX0VBUk5JTkdfQ08uMTk5Mi43</t>
  </si>
  <si>
    <t>LzMxLzIwMTguTEZSLkYuVVNELkgFAAAAAQAAAAgAAAAUKEludmFsaWQgSWRlbnRpZmllcin1hDJHNAnWCPWEMkc0CdYIMUNJUS5JUVRSNTQyODA2Njg2LklRX1RSX1RBUkdFVF9SRVZFTlVFX0VTVC4uVVNELkgBAAAAnpJaIAIAAAAAALKzSW80CdYIgf2VbzQJ1ggyQ0lRLk5BU0RBUUdTOk1HTlguSVFfRUJJVERBLi43LzE2LzIwMTguTEZSLkYuVVNELkgBAAAATysJAAIAAAAHLTI3LjU1NwEIAAAABQAAAAExAQAAAAoxODg3MTE0OTQ1AwAAAAMxNjACAAAABDQwNTEEAAAAATAHAAAACTcvMTYvMjAxOAgAAAAJMy8zMS8yMDE4CQAAAAEwxP8bETUJ1gjCm2ISNQnWCB9DSVEuLklRX0dQLjIwMDAuNy8zMS8yMDE4Li4uVVNEBQAAAAAAAAAIAAAAFChJbnZhbGlkIElkZW50aWZpZXIpnAvVOAgJ1giB/ZVvNAnWCDtDSVEuTkFTREFRR1M6QU5BQi5JUV9ORVRfV09SS0lOR19DQVAuLjcvMTYvMjAxOC5MRlIuRi5VU0QuSAEAAAAhTLIBAgAAAAYtMy4wNjMBCAAAAAUAAAABMQEAAAAKMTg4NzQwMDA0MwMAAAADMTYwAgAAAAQxMzExBAAAAAEwBwAAAAk3LzE2LzIwMTgIAAAACTMvMzEvMjAxOAkAAAABMMT/GxE1CdYIwptiEjUJ1gg5Q0lRLk5BU0RBUUNNOk1URU0uSVFfVE9UQUxfREVCVC4yMDAwLjUvNS8yMDE3LkxGUi5GLlVTRC5IAQAAAJmbqQEDAAAAAADIMLI3CAnWCBnpoW80CdYIOUNJUS5OQVNEQVFHUzpN</t>
  </si>
  <si>
    <t>UlNOLklRX1RPVEFMX0RFQlQuMjAwMC41LzUvMjAxNy5MRlIuRi5VU0QuSAEAAADmxRgAAwAAAAAA1owROAgJ1gjDhp9vNAnWCD9DSVEuTkFTREFRR1M6QU5BQi5JUV9FQklUREFfNVlSX0FOTl9DQUdSLi43LzE2LzIwMTguTEZSLkYuVVNELkgBAAAAIUyyAQMAAAAAAMT/GxE1CdYIwptiEjUJ1ghGQ0lRLk5BU0RBUUdTOktVUkEuSVFfVE9UQUxfUkVWXzNZUl9BTk5fQ0FHUi4yMDAwLjcvMzEvMjAxOC5MRlIuRi5VU0QuSAEAAAC4y9oQAwAAAAAA1owROAgJ1ghzJJ1vNAnWCC5DSVEuTkFTREFRR1M6QURYUy5JUV9NQVJLRVRDQVAuNy8xNi8yMDE4LlVTRC5IAQAAAJ7seAACAAAACTc1Ljc3NDk0NgEGAAAABQAAAAExAQAAAAoxODkyNzg4NDU0AwAAAAMxNjACAAAABjEwMDA1NAQAAAABMAcAAAAJNy8xNi8yMDE4KRyUEDUJ1gjkdFsSNQnWCCFDSVEuSVFUUjQyNDM0MjA0Ni5JUV9UUl9CVVlFUk5BTUUBAAAAHvJKGQMAAAAOQmlvTGluZVJ4IEx0ZC4ADG0QDjUJ1gjA24IONQnWCCRDSVEuTkFTREFRR1M6S1VSQS5JUV9FRkZFQ1RfVEFYX1JBVEUBAAAAuMvaEAMAAAAAANaMETgICdYIcySdbzQJ1gg8Q0lRLk5BU0RBUUdNOkFSUUwuSVFfVE9UQUxfRVFVSVRZLjIwMDAuNy8zMS8yMDE4LkxGUi5GLlVTRC5IAQAAAPZhAAACAAAABjIyLjMxNwEIAAAABQAAAAExAQAAAAoxODg4Nzg4NzcwAwAAAAMxNjACAAAA</t>
  </si>
  <si>
    <t>BDEyNzUEAAAAATAHAAAACTcvMzEvMjAxOAgAAAAJMy8zMS8yMDE4CQAAAAEw1owROAgJ1ghzJJ1vNAnWCCdDSVEuTkFTREFRR006SU1NVS5JUV9CRVRBXzJZUi43LzE2LzIwMTgBAAAAIEMEAAIAAAAQMS44OTg1NjIyMzA3MzEwNwDE/xsRNQnWCBL+ZBI1CdYIQkNJUS5OQVNEQVFHUzpNR05YLklRX1RPVEFMX1JFVl8zWVJfQU5OX0NBR1IuLjcvMTYvMjAxOC5MRlIuRi5VU0QuSAEAAABPKwkAAgAAAAcxNS40MDE1AQgAAAAFAAAAATEBAAAACjE4ODcxMTQ5NDUDAAAAAzE2MAIAAAAENDIyMAQAAAABMAcAAAAJNy8xNi8yMDE4CAAAAAkzLzMxLzIwMTgJAAAAATDE/xsRNQnWCMKbYhI1CdYIK0NJUS5JUVRSMzcxNzE1MTE5LklRX1RSX0lNUExJRURfRVZfRUJJVF9GV0QBAAAAL+wnFgIAAAAAAFjPEg41CdYIwNuCDjUJ1ggiQ0lRLklRVFI1NjE2MDYzNjUuSVFfVFJfUENUX1NPVUdIVAEAAADdbnkhAgAAAAMxMDABBgAAAAUAAAACNTQBAAAABjEwMTAyNAIAAAAJNTYxNjA2MzY1AwAAAAk1NjE2MDkxOTcEAAAAAzE2MAYAAAAEVHJ1ZbKzSW80CdYINZuTbzQJ1gg3Q0lRLkFTWDpJTVUuSVFfUkVWRU5VRV9FU1QuQ1kyMDE4LjcvMTYvMjAxOC5DT04uRi5VU0QuSAEAAACYk6kAAwAAAAAAKRyUEDUJ1ggw110SNQnWCCVDSVEuSVFUUjU1MzU0ODAyNS5JUV9UUl9JTVBMSUVEX0VRX0JWAQAAAPl4/iACAAAACTE1</t>
  </si>
  <si>
    <t>LjYzODU4NQEGAAAABQAAAAI1NAEAAAAGMTAyMDk3AgAAAAk1NTM1NDgwMjUDAAAACTU1MzU2NDk3MQQAAAADMTYwBgAAAAVGYWxzZbKzSW80CdYIgf2VbzQJ1gghQ0lRLk5BU0RBUUdTOkpOQ0UuSVFfQ09NUEFOWV9OQU1FAQAAAOJ5ng0DAAAAGUpvdW5jZSBUaGVyYXBldXRpY3MsIEluYy4AKRyUEDUJ1gjkdFsSNQnWCEJDSVEuTkFTREFRR1M6VFNSTy5JUV9UT1RBTF9SRVZfNVlSX0FOTl9DQUdSLi43LzE2LzIwMTguTEZSLkYuVVNELkgBAAAAaNZYBgMAAAAAAMT/GxE1CdYIEv5kEjUJ1ggpQ0lRLklRVFIyNzM1MDcxODUuSVFfQlVTSU5FU1NfREVTQ1JJUFRJT04BAAAAfQwUAAMAAADkCkFtYml0IEJpb3NjaWVuY2VzIENvcnBvcmF0aW9uLCBhIGJpb3BoYXJtYWNldXRpY2FsIGNvbXBhbnksIGZvY3VzZXMgb24gdGhlIGRpc2NvdmVyeSwgZGV2ZWxvcG1lbnQsIGFuZCBjb21tZXJjaWFsaXphdGlvbiBvZiBkcnVncyBmb3IgdGhlIHRyZWF0bWVudCBvZiBvbmNvbG9neSwgYXV0b2ltbXVuZSwgYW5kIGluZmxhbW1hdG9yeSBkaXNlYXNlcyBpbiB0aGUgVW5pdGVkIFN0YXRlcy4gVGhlIGNvbXBhbnnigJlzIHByb2R1Y3RzIGluY2x1ZGUgcXVpemFydGluaWIsIGFuIG9yYWxseSBhZG1pbmlzdGVyZWQgRk1TLWxpa2UgdHlyb3NpbmUga2luYXNlIDMgaW5oaWJpdG9yIHRoYXQgaGFzIGNvbXBsZXRlZCBQ</t>
  </si>
  <si>
    <t>aGFzZSBJSSBjbGluaWNhbCB0cmlhbHMgZm9yIHRoZSB0cmVhdG1lbnQgb2YgcGF0aWVudHMgd2l0aCByZWxhcHNlZC9yZWZyYWN0b3J5IGFjdXRlIG15ZWxvaWQgbGV1a2VtaWEuIEl0cyBkcnVnIGNhbmRpZGF0ZXMgYWxzbyBjb21wcmlzZSBBQzQxMCwgYSBzbWFsbCBtb2xlY3VsZSBpbmhpYml0b3Igb2YgSmFudXMga2luYXNlIDIsIHdoaWNoIGlzIGluIFBoYXNlIDEgY2xpbmljYWwgdHJpYWxzOyBhbmQgQUM3MDgsIGEgcmVjZXB0b3IgdHlyb3NpbmUga2luYXNlIGluaGliaXRvciB0aGF0IGlzIGluIHByZS1jbGluaWNhbCBzdHVkaWVzIGZvciB0aGUgdHJlYXRtZW50IG9mIG9uY29sb2d5LCBhdXRvaW1tdW5lLCBhbmQgaW5mbGFtbWF0b3J5IGRpc2Vhc2VzLiBUaGUgY29tcGFueSBoYXMgY29sbGFib3JhdGlvbiBhZ3JlZW1lbnRzIHdpdGggQXN0ZWxsYXMgUGhhcm1hIEluYy4gdG8gcmVzZWFyY2gsIGRldmVsb3AsIGFuZCBjb21tZXJjaWFsaXplIHZhcmlvdXMgRkxUMyBraW5hc2UgaW5oaWJpdG9yczsgQ2VwaGFsb24sIEluYy4gdG8gaWRlbnRpZnkgYW5kIGRldmVsb3AgY2xpbmljYWwgY2FuZGlkYXRlcyB0aGF0IHRhcmdldCB0aGUgQlJBRiBraW5hc2UgYW5kIGEgc2Vjb25kIGtpbmFzZTsgYW5kIEdlbm9wdGl4LCBJbmMuIHRvIGRldmVsb3AgYSBsYWJvcmF0b3J5IGRpYWdub3N0aWMgdGVz</t>
  </si>
  <si>
    <t>dCB0byBpZGVudGlmeSBwYXRpZW50cyB0aGF0IGhhcmJvciBJVEQgbXV0YXRpb25zIGluIHRoZWlyIEZMVDMgcmVjZXB0b3IgdHlyb3NpbmUga2luYXNlLiBBbWJpdCBCaW9zY2llbmNlcyBDb3Jwb3JhdGlvbiwgZm9ybWVybHkga25vd24gYXMgQXZlbnRhIEJpb3NjaWVuY2VzIENvcnBvcmF0aW9uLCB3YXMgZm91bmRlZCBpbiAyMDAwIGFuZCBpcyBoZWFkcXVhcnRlcmVkIGluIFNhbiBEaWVnbywgQ2FsaWZvcm5pYS4gQXMgb2YgTm92ZW1iZXIgMTAsIDIwMTQsIEFtYml0IEJpb3NjaWVuY2VzIENvcnBvcmF0aW9uIG9wZXJhdGVzIGFzIGEgc3Vic2lkaWFyeSBvZiBEYWlpY2hpIFNhbmt5byBDb21wYW55LCBMaW1pdGVkLgCys0lvNAnWCIH9lW80CdYINUNJUS5YVFJBOk1PUi5JUV9UT1RBTF9ERUJULjIwMDAuNy8zMS8yMDE4LkxGUi5GLlVTRC5IAQAAAN8RAgACAAAABzAuMTA4MTUBCAAAAAUAAAABMQEAAAAKMTg4NjE1MTY0OAMAAAADMTYwAgAAAAQ0MTczBAAAAAEwBwAAAAk3LzMxLzIwMTgIAAAACTMvMzEvMjAxOAkAAAABMJwL1TgICdYI1F+YbzQJ1gg4Q0lRLk5BU0RBUUdNOklNTVUuSVFfR1JPU1NfTUFSR0lOLi43LzE2LzIwMTguTEZSLkYuVVNELkgBAAAAIEMEAAMAAAACTk0BCAAAAAUAAAABMQEAAAAKMTg4ODUyMzM4NAMAAAADMTYwAgAAAAQ0MDc0BAAAAAEwBwAAAAk3LzE2LzIwMTgIAAAA</t>
  </si>
  <si>
    <t>CTMvMzEvMjAxOAkAAAABMMT/GxE1CdYIEv5kEjUJ1ggnQ0lRLk5BU0RBUUdTOkFUTlguSVFfQkVUQV81WVIuNy8zMS8yMDE4AQAAANyZawEDAAAAAADWjBE4CAnWCCTCmm80CdYIL0NJUS5JUVRSMzA3ODYzOTg0LklRX1RSX0lNUExJRURfRVZfRklOQUwuLlVTRC5IAQAAALChWRICAAAAAzYwNQEGAAAABQAAAAI1NAEAAAAGMTAyMDQ1AgAAAAkzMDc4NjM5ODQDAAAACTMwNzg2NDI4MAQAAAADMTYwBgAAAAVGYWxzZVjPEg41CdYIwNuCDjUJ1gg7Q0lRLk5BU0RBUUNNOk1URU0uSVFfUFJFRl9FUVVJVFkuMjAwMC43LzMxLzIwMTguTEZSLkYuVVNELkgBAAAAmZupAQMAAAAAAMgwsjcICdYIGemhbzQJ1gg7Q0lRLk5BU0RBUUdTOlNHRU4uSVFfVE9UQUxfUkVWLkNZMjAxNy43LzE2LzIwMTguTEZSLkYuVVNELkgBAAAAYYUAAAIAAAAGNDgyLjI1AQgAAAAFAAAAATEBAAAACjE4NzQ2OTYyMjADAAAAAzE2MAIAAAACMjgEAAAAATAHAAAACTcvMTYvMjAxOAgAAAAKMTIvMzEvMjAxNwkAAAABMMT/GxE1CdYIaGBnEjUJ1ggyQ0lRLk5BU0RBUUdTOkpOQ0UuSVFfRUJJVERBLi43LzE2LzIwMTguTEZSLkYuVVNELkgBAAAA4nmeDQIAAAAHLTI4LjMzNAEIAAAABQAAAAExAQAAAAoxODg4MTg2Mzc0AwAAAAMxNjACAAAABDQwNTEEAAAAATAHAAAACTcvMTYvMjAxOAgAAAAJMy8zMS8yMDE4CQAAAAEwKRyUEDUJ1giY</t>
  </si>
  <si>
    <t>ElkSNQnWCDxDSVEuTkFTREFRR006QUZNRC5JUV9FQklUREFfRVNULkNZMjAxOC43LzE2LzIwMTguQ09OLkYuVVNELkgBAAAA2/cMAAMAAAAAACkclBA1CdYIMNddEjUJ1gg+Q0lRLk5BU0RBUUdTOkFUTlguSVFfQ0FTSF9TVF9JTlZFU1QuMjAwMC43LzMxLzIwMTguTEZSLkYuVVNELkgBAAAA3JlrAQIAAAAHMTA2LjQ3NgEIAAAABQAAAAExAQAAAAoxODg4NzAyOTgyAwAAAAMxNjACAAAABDEwMDIEAAAAATAHAAAACTcvMzEvMjAxOAgAAAAJMy8zMS8yMDE4CQAAAAEw1owROAgJ1ggkwppvNAnWCDtDSVEuTkFTREFRR1M6RlBSWC5JUV9ORVRfV09SS0lOR19DQVAuLjcvMTYvMjAxOC5MRlIuRi5VU0QuSAEAAAA3XTMAAgAAAActMjcuNTQ5AQgAAAAFAAAAATEBAAAACjE4ODc0MDIyMjcDAAAAAzE2MAIAAAAEMTMxMQQAAAABMAcAAAAJNy8xNi8yMDE4CAAAAAkzLzMxLzIwMTgJAAAAATApHJQQNQnWCHM5YBI1CdYIK0NJUS5JUVRSNTUzNTQ4MDI1LklRX1RSX0lNUExJRURfRVZfRUJJVF9GV0QBAAAA+Xj+IAIAAAAJNDEuNzc1NDI4AQYAAAAFAAAAAjU0AQAAAAYxMTMzOTYCAAAACTU1MzU0ODAyNQMAAAAJNTUzNTQ4MDI1BAAAAAMxNjAGAAAABUZhbHNlsrNJbzQJ1giB/ZVvNAnWCDhDSVEuKElOVkFMSUQgSURFTlRJRklFUikuSVFfQ0FQRVguLjcvMTYvMjAxOC5MRlIuRi5VU0QuSAUAAAAAAAAACAAAABQo</t>
  </si>
  <si>
    <t>SW52YWxpZCBJZGVudGlmaWVyKd6nfhA1CdYImBJZEjUJ1gg2Q0lRLk5BU0RBUUdTOk1HTlguSVFfVE9UQUxfREVCVC4uOS8xNS8yMDE3LkxGUi5GLlVTRC5IAQAAAE8rCQACAAAAATABCAAAAAUAAAABMQEAAAAKMTg1MTQzMjQ3NAMAAAADMTYwAgAAAAQ0MTczBAAAAAEwBwAAAAk5LzE1LzIwMTcIAAAACTYvMzAvMjAxNwkAAAABMMT/GxE1CdYIwptiEjUJ1ggrQ0lRLk5BU0RBUUdNOkNSSVMuSVFfTEFTVFNBTEVQUklDRS41LzUvMjAxNwEAAAAXagAAAgAAAAQ5LjQ1AMgwsjcICdYI3UukbzQJ1gg8Q0lRLk5BU0RBUUdNOkFSUlkuSVFfRUJJVERBX0VTVC5DWTIwMjAuNy8zMS8yMDE4LkNPTi5GLlVTRC5IAQAAAPhhAAADAAAAAACcC9U4CAnWCNRfmG80CdYIM0NJUS5OQVNEQVFHUzpNR05YLklRX1BFUklPRERBVEVfSVMuLjcvMTYvMjAxOC5MRlIuRgEAAABPKwkABQAAAAkzLzMxLzIwMTgAxP8bETUJ1gjCm2ISNQnWCC9DSVEuSVFUUjU1MzU0ODAyNS5JUV9UUl9UQVJHRVRfVE9UQUxfUkVWLi5VU0QuSAEAAAD5eP4gAgAAAAg4Ljk5MzY2OAEHAAAABQAAAAIzNwEAAAAKMTg3NzAwNTI1NwIAAAACMjgDAAAAAzE2MAQAAAABMAcAAAAIMS8xLzE5MDAGAAAACTIvMjEvMjAxOLKzSW80CdYIgf2VbzQJ1ggnQ0lRLk5BU0RBUUdNOkFGTUQuSVFfQkVUQV8yWVIuNy8xNi8yMDE4AQAAANv3DAACAAAAEi0wLjcw</t>
  </si>
  <si>
    <t>MDU0MDk5MzYzOTk2MwApHJQQNQnWCDDXXRI1CdYINUNJUS5OQVNEQVFHUzpTR0VOLklRX1RPVEFMX0VRVUlUWS5DWTIwMTcuLkxGUi5GLlVTRC5IAQAAAGGFAAACAAAABzY3Ny41NjkBCAAAAAUAAAABMQEAAAAKMTg3NDY5NjIyMAMAAAADMTYwAgAAAAQxMjc1BAAAAAEwBwAAAAk4LzIzLzIwMTgIAAAACjEyLzMxLzIwMTcJAAAAATDE/xsRNQnWCMT/GxE1CdYIP0NJUS5OQVNEQVFHUzpBVE5YLklRX05FVF9XT1JLSU5HX0NBUC4xOTkyLjcvMzEvMjAxOC5MRlIuRi5VU0QuSAEAAADcmWsBAgAAAAYtNC44OTIBCAAAAAUAAAABMQEAAAAKMTg0MjQ5MDI3MwMAAAADMTYwAgAAAAQxMzExBAAAAAEwBwAAAAk3LzMxLzIwMTgIAAAACjEyLzMxLzIwMTQJAAAAATDWjBE4CAnWCCTCmm80CdYIPUNJUS5OQVNEQVFHUzpCR05FLklRX1JFVkVOVUVfRVNULkNZMjAxOS43LzE2LzIwMTguQ09OLkYuVVNELkgBAAAA4OTdBgIAAAAJMTIyLjcwNDE0AQ4AAAAFAAAAAjExAQAAAAEwAgAAAAoxMDAzMzI2MjcyAwAAAAYxMDAxODAEAAAAATIGAAAAATAHAAAAAzE2MAgAAAABMAkAAAABMQoAAAABMAsAAAALMTEwMzI3ODkxNTAMAAAAATcNAAAACTcvMTcvMjAxOBAAAAAJNy8xNi8yMDE4xP8bETUJ1ghoYGcSNQnWCC9DSVEuSVFUUjQxMzk1MzY2MS5JUV9UUl9JTVBMSUVEX0VWX0ZJTkFMLi5VU0QuSAEAAAB9bqwYAgAAAAM3</t>
  </si>
  <si>
    <t>ODABBgAAAAUAAAACNTQBAAAABjEwMjA0NQIAAAAJNDEzOTUzNjYxAwAAAAk0MTM5NTc2NDAEAAAAAzE2MAYAAAAFRmFsc2Wys0lvNAnWCIH9lW80CdYIN0NJUS5OQVNEQVFHUzpNUlNOLklRX1BSRUZfRVFVSVRZLi45LzE1LzIwMTcuTEZSLkYuVVNELkgBAAAA5sUYAAIAAAAFOTQuNDUBCAAAAAUAAAABMQEAAAAKMTg1MzM1NDA1NgMAAAADMTYwAgAAAAQxMDA1BAAAAAEwBwAAAAk5LzE1LzIwMTcIAAAACTYvMzAvMjAxNwkAAAABMCkclBA1CdYIczlgEjUJ1ghCQ0lRLk5BU0RBUUdTOk1SU04uSVFfVE9UQUxfUkVWXzNZUl9BTk5fQ0FHUi4uNy8xNi8yMDE4LkxGUi5GLlVTRC5IAQAAAObFGAADAAAAAAApHJQQNQnWCHM5YBI1CdYIPUNJUS5OQVNEQVFHTTpMUFRYLklRX1JFVkVOVUVfRVNULkNZMjAyMC43LzE2LzIwMTguQ09OLkYuVVNELkgBAAAADDYJBwIAAAABMAEOAAAABQAAAAIxMQEAAAABMAIAAAAKMTAwMzYzOTU1NwMAAAAGMTAwMTgwBAAAAAEyBgAAAAEwBwAAAAMxNjAIAAAAATAJAAAAATEKAAAAATALAAAACzEwODgyMDIwNTA3DAAAAAE3DQAAAAk3LzE3LzIwMTgQAAAACTcvMTYvMjAxOCkclBA1CdYIMNddEjUJ1gg3Q0lRLk5BU0RBUUdNOk5MTksuSVFfUFJFRl9FUVVJVFkuLjcvMTYvMjAxOC5MRlIuRi5VU0QuSAEAAACVe4wAAwAAAAAAKRyUEDUJ1gjkdFsSNQnWCCdDSVEuTkFTREFRR1M6</t>
  </si>
  <si>
    <t>R1RIWC5JUV9QRVJJT0REQVRFX0lTLjEwMDABAAAAZTRpCAUAAAAKMTIvMzEvMjAxNwCcC9U4CAnWCCTCmm80CdYII0NJUS5JUVRSNDA5OTUxODg2LklRX1RSX1RPVEFMX1NUT0NLAQAAAI5ebxgCAAAAATUBBgAAAAUAAAACNTQBAAAABjEwMTA1NwIAAAAJNDA5OTUxODg2AwAAAAk0MDk5NTE5MzYEAAAAAzE2MAYAAAAFRmFsc2UMbRAONQnWCMDbgg41CdYII0NJUS5JUVRSNDI0MzQyMDQ2LklRX1RSX1RPVEFMX1NUT0NLAQAAAB7yShkCAAAAATMBBgAAAAUAAAACNTQBAAAABjEwMTA1NwIAAAAJNDI0MzQyMDQ2AwAAAAk0MjQzNDI2NTgEAAAAAzE2MAYAAAAFRmFsc2UMbRAONQnWCMDbgg41CdYIOUNJUS5OQVNEQVFHTTpDUklTLklRX1RPVEFMX1JFVi4yMDAwLjcvMzEvMjAxOC5MRlIuRi5VU0QuSAEAAAAXagAAAgAAAAYxMC4yMzUBCAAAAAUAAAABMQEAAAAKMTg4NjI0NzQyMAMAAAADMTYwAgAAAAIyOAQAAAABMAcAAAAJNy8zMS8yMDE4CAAAAAkzLzMxLzIwMTgJAAAAATDIMLI3CAnWCN1LpG80CdYIPkNJUS5OQVNEQVFHUzpDVE1YLklRX1RPVEFMX0VRVUlUWS5DWTIwMTcuNy8xNi8yMDE4LkxGUi5GLlVTRC5IAQAAANw4mwMCAAAABjY5Ljg5NgEIAAAABQAAAAExAQAAAAoxODc3MzE2NzY5AwAAAAMxNjACAAAABDEyNzUEAAAAATAHAAAACTcvMTYvMjAxOAgAAAAKMTIvMzEvMjAxNwkAAAABMMT/GxE1</t>
  </si>
  <si>
    <t>CdYIwptiEjUJ1gg2Q0lRLk5BU0RBUUNNOkNLUFQuSVFfVE9UQUxfREVCVC4uNy8xNi8yMDE4LkxGUi5GLlVTRC5IAQAAALhRFhECAAAAATABCAAAAAUAAAABMQEAAAAKMTg4ODAwNzIyMwMAAAADMTYwAgAAAAQ0MTczBAAAAAEwBwAAAAk3LzE2LzIwMTgIAAAACTMvMzEvMjAxOAkAAAABMCkclBA1CdYIMNddEjUJ1gg5Q0lRLk5BU0RBUUdTOlBCWUkuSVFfRUJJVERBX01BUkdJTi4uNy8xNi8yMDE4LkxGUi5GLlVTRC5IAQAAAAJqrAcCAAAACS0yNTMuNDAxNwEIAAAABQAAAAExAQAAAAoxODg4NjY3NzQzAwAAAAMxNjACAAAABDQwNDcEAAAAATAHAAAACTcvMTYvMjAxOAgAAAAJMy8zMS8yMDE4CQAAAAEwxP8bETUJ1ggS/mQSNQnWCDxDSVEuTkFTREFRR1M6Q0FMQS5JUV9UT1RBTF9FUVVJVFkuMTk5Mi43LzMxLzIwMTguTEZSLkYuVVNELkgBAAAApSeBBgIAAAAGNjcuMjY4AQgAAAAFAAAAATEBAAAACjE4NDA5ODI2NDYDAAAAAzE2MAIAAAAEMTI3NQQAAAABMAcAAAAJNy8zMS8yMDE4CAAAAAkzLzMxLzIwMTYJAAAAATDIMLI3CAnWCN1LpG80CdYIMkNJUS5OQVNEQVFHUzpBRFhTLklRX0VCSVREQS4uNy8xNi8yMDE4LkxGUi5GLlVTRC5IAQAAAJ7seAACAAAACi05Mi42NzgzMzIBCAAAAAUAAAABMQEAAAAKMTg5Mjc4ODU0OAMAAAADMTYwAgAAAAQ0MDUxBAAAAAEwBwAAAAk3LzE2LzIwMTgIAAAACTQv</t>
  </si>
  <si>
    <t>MzAvMjAxOAkAAAABMCkclBA1CdYI5HRbEjUJ1gg9Q0lRLk5BU0RBUUdTOkVQWk0uSVFfRUJJVERBX01BUkdJTi4yMDAwLjcvMzEvMjAxOC5MRlIuRi5VU0QuSAEAAAADJj0DAwAAAAJOTQEIAAAABQAAAAExAQAAAAoxODg3MjQ2MDc3AwAAAAMxNjACAAAABDQwNDcEAAAAATAHAAAACTcvMzEvMjAxOAgAAAAJMy8zMS8yMDE4CQAAAAEw1owROAgJ1ghzJJ1vNAnWCCJDSVEuSVFUUjI0NTgzMTAwNy5JUV9UUl9QQ1RfU09VR0hUAQAAAF8Vpw4CAAAAAzEwMACys0lvNAnWCIH9lW80CdYIK0NJUS5JUVRSMzA3ODYzOTg0LklRX1RSX0lNUExJRURfRVZfRUJJVF9GV0QBAAAAsKFZEgIAAAAAAFjPEg41CdYIwNuCDjUJ1ggkQ0lRLjAuSVFfVFJfVEFSR0VUX0VCSVREQV9FU1QuLlVTRC5IBQAAAAAAAAAIAAAAGChJbnZhbGlkIFRyYW5zYWN0aW9uIElkKUlTR280CdYIB+LwgTQJ1gg1Q0lRLk5BU0RBUUdNOkFSUlkuSVFfQ0FQRVguMjAwMC43LzMxLzIwMTguTEZSLkYuVVNELkgBAAAA+GEAAAIAAAAGLTEuMzM1AQgAAAAFAAAAATEBAAAACjE4ODg0NzA2NzYDAAAAAzE2MAIAAAAEMjAyMQQAAAABMAcAAAAJNy8zMS8yMDE4CAAAAAkzLzMxLzIwMTgJAAAAATCcC9U4CAnWCNRfmG80CdYIOENJUS5OQVNEQVFDTTpaSU9QLklRX0VCSVREQS5DWTIwMTYuNy8zMS8yMDE4LkxGUi5GLlVTRC5IAQAAALNRsgACAAAACC0x</t>
  </si>
  <si>
    <t>NjUuMDE3AQgAAAAFAAAAATEBAAAACjE4NzcyMDQ0MTYDAAAAAzE2MAIAAAAENDA1MQQAAAABMAcAAAAJNy8zMS8yMDE4CAAAAAoxMi8zMS8yMDE2CQAAAAEw1owROAgJ1gjDhp9vNAnWCBpDSVEuLklRX0JFVEFfMVlSLjcvMzEvMjAxOAUAAAABAAAACAAAABQoSW52YWxpZCBJZGVudGlmaWVyKZYkMEc0CdYIliQwRzQJ1gg8Q0lRLk5BU0RBUUNNOk1URU0uSVFfRUJJVERBX0VTVC5DWTIwMTguNy8zMS8yMDE4LkNPTi5GLlVTRC5IAQAAAJmbqQEDAAAAAADIMLI3CAnWCBnpoW80CdYIL0NJUS5OQVNEQVFHUzpTR0VOLklRX0dST1NTX01BUkdJTi4uLkxGUi5GLlVTRC5IAQAAAGGFAAACAAAABjEuOTU3NQEIAAAABQAAAAExAQAAAAoxODk3MjMzNTE4AwAAAAMxNjACAAAABDQwNzQEAAAAATAHAAAACTgvMjMvMjAxOAgAAAAJNi8zMC8yMDE4CQAAAAEwRp0ZETUJ1ghGnRkRNQnWCC9DSVEuSVFUUjI2MzcxODY0Ny5JUV9UUl9JTVBMSUVEX0VWX0ZJTkFMLi5VU0QuSAEAAAD3BrgPAgAAAAAAsrNJbzQJ1gg1m5NvNAnWCCFDSVEuSVFUUjQwMzc5MTc2Ny5JUV9UUl9CVVlFUk5BTUUBAAAAl18RGAMAAAATQ2VsZ2VuZSBDb3Jwb3JhdGlvbgBYzxIONQnWCMDbgg41CdYIJ0NJUS5OQVNEQVFDTTpTUk5FLklRX0JFVEFfMllSLjcvMzEvMjAxOAEAAABJQ5QDAgAAABAzLjU2NzAzNjE4NjY1NTg0ANaMETgICdYIcySd</t>
  </si>
  <si>
    <t>bzQJ1ggfQ0lRLjAuSVFfVFJfVE9UQUxfR1JPU1NfVFYuLlVTRAUAAAAAAAAACAAAABgoSW52YWxpZCBUcmFuc2FjdGlvbiBJZClJU0dvNAnWCAfi8IE0CdYIHkNJUS5JUTQyNjEzNy5JUV9DT01QQU5ZX1RJQ0tFUgEAAACZgAYAAwAAAApFTlhUUEE6SVBIAAxtEA41CdYINu6VDjUJ1ggpQ0lRLklRMzYxODM4MTkuSVFfTEFTVFNBTEVQUklDRS43LzMxLzIwMTgBAAAACx8oAgIAAAAEMi4yMQBJU0dvNAnWCIH9lW80CdYIJ0NJUS5OQVNEQVFHTTpJTU1VLklRX0JFVEFfNVlSLjcvMTYvMjAxOAEAAAAgQwQAAgAAABAxLjc0MzU1MzA2NTc5MDUzAMT/GxE1CdYIEv5kEjUJ1ggxQ0lRLk5BU0RBUUdTOkJHTkUuSVFfRUFSTklOR19DTy4xOTk2Li5MRlIuRi5VU0QuSAEAAADg5N0GAgAAAAgtMTg0LjM5NQEIAAAABQAAAAExAQAAAAoxODk5OTAwNjE4AwAAAAMxNjACAAAAATcEAAAAATAHAAAACTgvMjMvMjAxOAgAAAAJNi8zMC8yMDE3CQAAAAEwnAvVOAgJ1gicC9U4CAnWCDtDSVEuTkFTREFRR1M6QURYUy5JUV9UT1RBTF9SRVYuQ1kyMDE2LjcvMTYvMjAxOC5MRlIuRi5VU0QuSAEAAACe7HgAAgAAAAg3LjUzNTY5OAEIAAAABQAAAAExAQAAAAoxODc4MDEyNDI5AwAAAAMxNjACAAAAAjI4BAAAAAEwBwAAAAk3LzE2LzIwMTgIAAAACTEvMzEvMjAxNwkAAAABMCkclBA1CdYI5HRbEjUJ1gg8Q0lRLk5BU0RBUUdT</t>
  </si>
  <si>
    <t>OkNBTEEuSVFfRUFSTklOR19DTy5DWTIwMTYuNy8zMS8yMDE4LkxGUi5GLlVTRC5IAQAAAKUngQYCAAAABy0zOC4wMDQBCAAAAAUAAAABMQEAAAAKMTg3Nzk1NTYwMQMAAAADMTYwAgAAAAE3BAAAAAEwBwAAAAk3LzMxLzIwMTgIAAAACjEyLzMxLzIwMTYJAAAAATDIMLI3CAnWCN1LpG80CdYIOUNJUS5OQVNEQVFDTTpaSU9QLklRX1RPVEFMX0RFQlQuMjAwMC41LzUvMjAxNy5MRlIuRi5VU0QuSAEAAACzUbIAAgAAAAEwAQgAAAAFAAAAATEBAAAACjE4MzkzNDExOTQDAAAAAzE2MAIAAAAENDE3MwQAAAABMAcAAAAINS81LzIwMTcIAAAACTMvMzEvMjAxNwkAAAABMNaMETgICdYIw4afbzQJ1ggdQ0lRLk5BU0RBUUdNOkZBVEUuSVFfRVhDSEFOR0UBAAAAaDFXAgMAAAAITmFzZGFxR00A1owROAgJ1ggiu+mBNAnWCCNDSVEuSVFUUjUzMzM4NTc0NC5JUV9UUl9UT1RBTF9TVE9DSwEAAAAQ0sofAgAAAAAADG0QDjUJ1gjA24IONQnWCC5DSVEuTkFTREFRR1M6U0dFTi5JUV9FQklUX01BUkdJTi4uLkxGUi5GLlVTRC5IAQAAAGGFAAACAAAACC0zMy40OTU4AQgAAAAFAAAAATEBAAAACjE4OTcyMzM1MTgDAAAAAzE2MAIAAAAENDA1MwQAAAABMAcAAAAJOC8yMy8yMDE4CAAAAAk2LzMwLzIwMTgJAAAAATBGnRkRNQnWCEadGRE1CdYINUNJUS5OQVNEQVFHTTpDUklTLklRX0NBUEVYLjE5OTIuNy8zMS8yMDE4LkxG</t>
  </si>
  <si>
    <t>Ui5GLlVTRC5IAQAAABdqAAACAAAACS0wLjA0MTA0MwEIAAAABQAAAAExAQAAAAoxODQwNTAxMDk5AwAAAAMxNjACAAAABDIwMjEEAAAAATAHAAAACTcvMzEvMjAxOAgAAAAJMy8zMS8yMDE2CQAAAAEwyDCyNwgJ1gjdS6RvNAnWCD5DSVEuTkFTREFRR1M6QkdORS5JUV9UT1RBTF9FUVVJVFkuQ1kyMDE2LjcvMzEvMjAxOC5MRlIuRi5VU0QuSAEAAADg5N0GAgAAAAczNTIuOTA3AQgAAAAFAAAAATEBAAAACjE4OTk4ODEyMDQDAAAAAzE2MAIAAAAEMTI3NQQAAAABMAcAAAAJNy8zMS8yMDE4CAAAAAoxMi8zMS8yMDE2CQAAAAEwnAvVOAgJ1giB/ZVvNAnWCCRDSVEuTkFTREFRR1M6VFNSTy5JUV9FRkZFQ1RfVEFYX1JBVEUBAAAAaNZYBgMAAAACTk0BCAAAAAUAAAABMQEAAAAKMTg5ODQ5MTM0NAMAAAADMTYwAgAAAAQ0Mzc2BAAAAAEwBwAAAAk4LzIzLzIwMTgIAAAACTYvMzAvMjAxOAkAAAABMJwL1TgICdYID2WMDjUJ1ggoQ0lRLk5BU0RBUUdNOk5MTksuSVFfVEVWLjcvMTYvMjAxOC5VU0QuSAEAAACVe4wAAgAAAAkzMC4yNDM2NTgBBgAAAAUAAAABMQEAAAAKMTg4ODM1MjQ2MwMAAAADMTYwAgAAAAYxMDAwNjAEAAAAATAHAAAACTcvMTYvMjAxOCkclBA1CdYI5HRbEjUJ1ggyQ0lRLk5BU0RBUUdTOkNUTVguSVFfRUJJVERBLi43LzE2LzIwMTguTEZSLkYuVVNELkgBAAAA3DibAwIAAAAHLTUxLjcxMwEI</t>
  </si>
  <si>
    <t>AAAABQAAAAExAQAAAAoxODg3Njc1MzE2AwAAAAMxNjACAAAABDQwNTEEAAAAATAHAAAACTcvMTYvMjAxOAgAAAAJMy8zMS8yMDE4CQAAAAEwxP8bETUJ1gjCm2ISNQnWCD9DSVEuTkFTREFRR1M6RlBSWC5JUV9FQklUREFfNVlSX0FOTl9DQUdSLi43LzE2LzIwMTguTEZSLkYuVVNELkgBAAAAN10zAAMAAAACTk0BCAAAAAUAAAABMQEAAAAKMTg4NzQwMjIyNwMAAAADMTYwAgAAAAQ0MjM1BAAAAAEwBwAAAAk3LzE2LzIwMTgIAAAACTMvMzEvMjAxOAkAAAABMCkclBA1CdYIczlgEjUJ1gg1Q0lRLk5BU0RBUUdNOlhOQ1IuSVFfVE9UQUxfUkVWLi43LzE2LzIwMTguTEZSLkYuVVNELkgBAAAAploLAAIAAAAGMzIuMjExAQgAAAAFAAAAATEBAAAACjE4ODcxMjU4NTUDAAAAAzE2MAIAAAACMjgEAAAAATAHAAAACTcvMTYvMjAxOAgAAAAJMy8zMS8yMDE4CQAAAAEwxP8bETUJ1ggS/mQSNQnWCCVDSVEuTkFTREFRR1M6Sk5DRS5JUV9GSVJTVFBSSUNJTkdEQVRFAQAAAOJ5ng0FAAAACTEvMjcvMjAxNwApHJQQNQnWCOR0WxI1CdYIKUNJUS5JUTM2MTgzODQzLklRX0xBU1RTQUxFUFJJQ0UuNy8zMS8yMDE4AQAAACMfKAICAAAABDMuMDgASVNHbzQJ1giB/ZVvNAnWCDhDSVEuTkFTREFRR1M6VFNSTy5JUV9FQklUREEuQ1kyMDE2LjcvMTYvMjAxOC5MRlIuRi5VU0QuSAEAAABo1lgGAgAAAAgtMzM1LjY0OQEIAAAA</t>
  </si>
  <si>
    <t>BQAAAAExAQAAAAoxODc3MjI2Mjg0AwAAAAMxNjACAAAABDQwNTEEAAAAATAHAAAACTcvMTYvMjAxOAgAAAAKMTIvMzEvMjAxNgkAAAABMMT/GxE1CdYIEv5kEjUJ1ggxQ0lRLk5BU0RBUUdNOklNTVUuSVFfQ0FQRVguLjcvMTYvMjAxOC5MRlIuRi5VU0QuSAEAAAAgQwQAAgAAAAktNS45Mzc2MDcBCAAAAAUAAAABMQEAAAAKMTg4ODUyMzM4NAMAAAADMTYwAgAAAAQyMDIxBAAAAAEwBwAAAAk3LzE2LzIwMTgIAAAACTMvMzEvMjAxOAkAAAABMMT/GxE1CdYIEv5kEjUJ1gg4Q0lRLk5BU0RBUUdTOlRTUk8uSVFfRUJJVERBLkNZMjAxNy43LzMxLzIwMTguTEZSLkYuVVNELkgBAAAAaNZYBgIAAAAILTQ1OS45ODkBCAAAAAUAAAABMQEAAAAKMTg3NzIyNjMwMQMAAAADMTYwAgAAAAQ0MDUxBAAAAAEwBwAAAAk3LzMxLzIwMTgIAAAACjEyLzMxLzIwMTcJAAAAATCcC9U4CAnWCCTCmm80CdYIKUNJUS4uSVFfRUJJVERBLjE5OTIuNy8zMS8yMDE4LkxGUi5GLlVTRC5IBQAAAAEAAAAIAAAAFChJbnZhbGlkIElkZW50aWZpZXIp9YQyRzQJ1gj1hDJHNAnWCD1DSVEuTkFTREFRR1M6QkdORS5JUV9SRVZFTlVFX0VTVC5DWTIwMTkuNy8zMS8yMDE4LkNPTi5GLlVTRC5IAQAAAODk3QYCAAAACTEzMi44MjM1NwEOAAAABQAAAAIxMQEAAAABMAIAAAAKMTAwMzMyNjI3MgMAAAAGMTAwMTgwBAAAAAEyBgAAAAEwBwAAAAMx</t>
  </si>
  <si>
    <t>NjAIAAAAATAJAAAAATEKAAAAATALAAAACzEwOTc3NzIzODk2DAAAAAE3DQAAAAg4LzEvMjAxOBAAAAAJNy8zMS8yMDE4nAvVOAgJ1giB/ZVvNAnWCCtDSVEuTllTRTpCSFZOLklRX1RPVEFMX0RFQlQuLjUvMy8yMDE3Li4uVVNEAQAAANxnIA8CAAAABTQuODExAQgAAAAFAAAAATEBAAAACjE4MzU3ODk3MTADAAAAAzE2MAIAAAAENDE3MwQAAAABMAcAAAAINS8zLzIwMTcIAAAACjEyLzMxLzIwMTYJAAAAATCys0lvNAnWCK+o1oE0CdYIIUNJUS5JUTExODA0NDE3Mi5JUV9DT01QQU5ZX1RJQ0tFUgEAAAAMNgkHAwAAAA1OYXNkYXFHTTpMUFRYAAxtEA41CdYINu6VDjUJ1gg6Q0lRLk5BU0RBUUdNOkFSUUwuSVFfUFJFRl9FUVVJVFkuMjAwMC41LzUvMjAxNy5MRlIuRi5VU0QuSAEAAAD2YQAAAwAAAAAA1owROAgJ1ghzJJ1vNAnWCEJDSVEuTkFTREFRR1M6QkdORS5JUV9UT1RBTF9SRVZfNVlSX0FOTl9DQUdSLi43LzE2LzIwMTguTEZSLkYuVVNELkgBAAAA4OTdBgMAAAAAAMT/GxE1CdYIaGBnEjUJ1gg5Q0lRLk5BU0RBUUNNOk1URU0uSVFfTklfTUFSR0lOLjIwMDAuNy8zMS8yMDE4LkxGUi5GLlVTRC5IAQAAAJmbqQEDAAAAAk5NAQgAAAAFAAAAATEBAAAACjE4ODg3MzMwMDQDAAAAAzE2MAIAAAAENDA5NAQAAAABMAcAAAAJNy8zMS8yMDE4CAAAAAkzLzMxLzIwMTgJAAAAATDIMLI3CAnWCBnpoW80CdYI</t>
  </si>
  <si>
    <t>MkNJUS5OQVNEQVFHUzpCR05FLklRX1RPVEFMX1JFVi5DWTIwMTYuLkxGUi5GLlVTRC5IAQAAAODk3QYCAAAABDEuMDcBCAAAAAUAAAABMQEAAAAKMTg5OTg4MTIwNAMAAAADMTYwAgAAAAIyOAQAAAABMAcAAAAJOC8yMy8yMDE4CAAAAAoxMi8zMS8yMDE2CQAAAAEwnAvVOAgJ1gicC9U4CAnWCClDSVEuSVFUUjI0NTgzMTAwNy5JUV9UUl9JTVBMSUVEX0VRX05JX0xUTQEAAABfFacOAwAAAAJOTQCys0lvNAnWCIH9lW80CdYIM0NJUS5OQVNEQVFHUzpCR05FLklRX0VCSVREQV9FU1QuQ1kyMDE5Li5DT04uRi5VU0QuSAEAAADg5N0GAgAAAAotNDk3LjA0MDc3AQ4AAAAFAAAAAjExAQAAAAEwAgAAAAoxMDAzMzI2MjcyAwAAAAYxMDAxODcEAAAAATIGAAAAATAHAAAAAzE2MAgAAAABMAkAAAABMQoAAAABMAsAAAALMTEwNTExMjAyODIMAAAAATcNAAAACTgvMjQvMjAxOBAAAAAJOC8yMy8yMDE4nAvVOAgJ1gicC9U4CAnWCD9DSVEuTkFTREFRR1M6UEJZSS5JUV9FQklUREFfMllSX0FOTl9DQUdSLi43LzE2LzIwMTguTEZSLkYuVVNELkgBAAAAAmqsBwMAAAACTk0BCAAAAAUAAAABMQEAAAAKMTg4ODY2Nzc0MwMAAAADMTYwAgAAAAQ0MjA5BAAAAAEwBwAAAAk3LzE2LzIwMTgIAAAACTMvMzEvMjAxOAkAAAABMMT/GxE1CdYIEv5kEjUJ1gghQ0lRLk5BU0RBUUdTOlBCWUkuSVFfQ09NUEFOWV9OQU1FAQAAAAJq</t>
  </si>
  <si>
    <t>rAcDAAAAGFB1bWEgQmlvdGVjaG5vbG9neSwgSW5jLgBGnRkRNQnWCBL+ZBI1CdYILENJUS4uSVFfVE9UQUxfUkVWLjE5OTIuNy8zMS8yMDE4LkxGUi5GLlVTRC5IBQAAAAEAAAAIAAAAFChJbnZhbGlkIElkZW50aWZpZXIpliQwRzQJ1giWJDBHNAnWCDhDSVEuTkFTREFRR1M6VFNSTy5JUV9FQklUREEuQ1kyMDE3LjcvMTYvMjAxOC5MRlIuRi5VU0QuSAEAAABo1lgGAgAAAAgtNDU5Ljk4OQEIAAAABQAAAAExAQAAAAoxODc3MjI2MzAxAwAAAAMxNjACAAAABDQwNTEEAAAAATAHAAAACTcvMTYvMjAxOAgAAAAKMTIvMzEvMjAxNwkAAAABMMT/GxE1CdYIEv5kEjUJ1ggeQ0lRLkFTWDpJTVUuSVFfRUZGRUNUX1RBWF9SQVRFAQAAAJiTqQADAAAAAAApHJQQNQnWCDDXXRI1CdYIJENJUS5YVFJBOk1PUi5JUV9CVVNJTkVTU19ERVNDUklQVElPTgEAAADfEQIAAwAAAOwLTW9ycGhvU3lzIEFHLCB0b2dldGhlciB3aXRoIGl0cyBzdWJzaWRpYXJpZXMsIGVuZ2FnZXMgaW4gdGhlIHJlc2VhcmNoLCBkZXZlbG9wbWVudCwgYW5kIG9wdGltaXphdGlvbiBvZiB0aGVyYXBldXRpYyBhbnRpYm9keSBkcnVnIGNhbmRpZGF0ZXMgaW4gcGFydG5lcnNoaXAgd2l0aCBwaGFybWFjZXV0aWNhbCBhbmQgYmlvdGVjaG5vbG9neSBjb21wYW5pZXMuIFRoZSBjb21wYW55LCB0b2dldGhlciB3aXRoIGl0cyBwaGFybWFjZXV0aWNh</t>
  </si>
  <si>
    <t>bCBwYXJ0bmVycywgZGV2ZWxvcHMgYSB0aGVyYXBldXRpYyBwaXBlbGluZSBvZiBhcHByb3hpbWF0ZWx5IDEwMCBkcnVncyBmb3IgdGhlIHRyZWF0bWVudCBvZiBjYW5jZXIsIEFsemhlaW1lcidzIGRpc2Vhc2UsIGluZmVjdGlvdXMgZGlzZWFzZXMsIGNhcmRpb3Zhc2N1bGFyIGR5c2Z1bmN0aW9uLCBhbmQgaW5mbGFtbWF0aW9uLiBJdHMgcHJvZHVjdCBwaXBlbGluZSBpbmNsdWRlcyBNT1IyMDgsIGEgaHVtYW5pemVkIG1vbm9jbG9uYWwgYW50aWJvZHkgdGhhdCB0YXJnZXRzIHRoZSBhbnRpZ2VuIENEMTksIHdoaWNoIGlzIGluIFBoYXNlIElJSSBjbGluaWNhbCB0cmlhbCBmb3IgdGhlIHRyZWF0bWVudCBvZiBCIGNlbGwgbWFsaWduYW5jaWVzOyBhbmQgTU9SMjAyLCBhIGh1bWFuIG1vbm9jbG9uYWwgSHVDQUwgYW50aWJvZHkgZGlyZWN0ZWQgYWdhaW5zdCBDRDM4LCB3aGljaCBpcyBpbiBQaGFzZSBJSSB0cmlhbCBmb3IgdGhlIHRyZWF0bWVudCBvZiBtdWx0aXBsZSBteWVsb21hIGFuZCBvdGhlciBjYW5jZXJzLiBUaGUgY29tcGFueeKAmXMgcHJvZHVjdCBwaXBlbGluZSBhbHNvIGNvbXByaXNlcyBNT1IxMDMvR1NLMzE5NjE2NSwgYSBodW1hbiBIdUNBTCBhbnRpYm9keSBkaXJlY3RlZCBhZ2FpbnN0IGdyYW51bG9jeXRlLW1hY3JvcGhhZ2UgY29sb255LXN0aW11bGF0aW5nIGZhY3RvciB0aGF0</t>
  </si>
  <si>
    <t>IGlzIGluIFBoYXNlIElJIGNsaW5pY2FsIHRyaWFsIGZvciB0cmVhdGluZyByaGV1bWF0b2lkIGFydGhyaXRpcyBhbmQgaW5mbGFtbWF0b3J5IGhhbmQgb3N0ZW9hcnRocml0aXMuIEluIGFkZGl0aW9uLCBpdHMgcHJvZHVjdCBwaXBlbGluZSBpbmNsdWRlcyBNT1IxMDYsIGEgaHVtYW4gbW9ub2Nsb25hbCBhbnRpYm9keSBkaXJlY3RlZCBhZ2FpbnN0IElMLTE3Qywgd2hpY2ggaXMgaW4gUGhhc2UgSSBjbGluaWNhbCB0cmlhbCBmb3IgdGhlIHRyZWF0bWVudCBvZiBhdG9waWMgZGVybWF0aXRpczsgYW5kIE1PUjEwNyB0aGF0IGlzIGluIHByZWNsaW5pY2FsIGludmVzdGlnYXRpb24gd2l0aCBhIGZvY3VzIG9uIG9uY29sb2d5IGluZGljYXRpb25zLiBNb3JwaG9TeXMgQUcgaGFzIGEgcmVnaW9uYWwgbGljZW5zaW5nIGFncmVlbWVudCB3aXRoIEktTWFiIEJpb3BoYXJtYSB0byBkZXZlbG9wIGFuZCBjb21tZXJjaWFsaXplIE1PUjIwMiBpbiBDaGluYSwgVGFpd2FuLCBIb25nIEtvbmcsIGFuZCBNYWNhby4gVGhlIGNvbXBhbnkgd2FzIGZvdW5kZWQgaW4gMTk5MiBhbmQgaXMgaGVhZHF1YXJ0ZXJlZCBpbiBQbGFuZWdnLCBHZXJtYW55LgCcC9U4CAnWCNRfmG80CdYIP0NJUS5OQVNEQVFHUzpDVE1YLklRX0VCSVREQV81WVJfQU5OX0NBR1IuLjcvMTYvMjAxOC5MRlIuRi5VU0QuSAEAAADcOJsDAwAAAAAA</t>
  </si>
  <si>
    <t>xP8bETUJ1gjCm2ISNQnWCDZDSVEuTkFTREFRR006TkxOSy5JUV9FQVJOSU5HX0NPLi43LzE2LzIwMTguTEZSLkYuVVNELkgBAAAAlXuMAAIAAAAHLTY5LjM0OAEIAAAABQAAAAExAQAAAAoxODg4MzU0MjA3AwAAAAMxNjACAAAAATcEAAAAATAHAAAACTcvMTYvMjAxOAgAAAAJMy8zMS8yMDE4CQAAAAEwKRyUEDUJ1gjkdFsSNQnWCCdDSVEuTkFTREFRR006TkxOSy5JUV9CRVRBXzFZUi43LzE2LzIwMTgBAAAAlXuMAAIAAAARMC45MDIyMzUxNzg1MDY5ODEAKRyUEDUJ1gjkdFsSNQnWCDxDSVEuTkFTREFRR006Q1JWUy5JUV9HUk9TU19NQVJHSU4uMjAwMC43LzMxLzIwMTguTEZSLkYuVVNELkgBAAAA9LCmEAMAAAAAANaMETgICdYIGemhbzQJ1ghBQ0lRLlhUUkE6TU9SLklRX01JTk9SSVRZX0lOVEVSRVNUX1RPVEFMLjIwMDAuNS81LzIwMTcuTEZSLkYuVVNELkgBAAAA3xECAAMAAAAAAJwL1TgICdYI1F+YbzQJ1gg5Q0lRLk5BU0RBUUdNOkZBVEUuSVFfVE9UQUxfUkVWLjIwMDAuNy8zMS8yMDE4LkxGUi5GLlVTRC5IAQAAAGgxVwICAAAABTQuMTA1AQgAAAAFAAAAATEBAAAACjE4ODg1MDA1MjcDAAAAAzE2MAIAAAACMjgEAAAAATAHAAAACTcvMzEvMjAxOAgAAAAJMy8zMS8yMDE4CQAAAAEw1owROAgJ1gjDhp9vNAnWCDxDSVEuTkFTREFRQ006WklPUC5JUV9HUk9TU19NQVJHSU4uMjAwMC43LzMxLzIw</t>
  </si>
  <si>
    <t>MTguTEZSLkYuVVNELkgBAAAAs1GyAAMAAAACTk0BCAAAAAUAAAABMQEAAAAKMTg4Nzk3MjM1OQMAAAADMTYwAgAAAAQ0MDc0BAAAAAEwBwAAAAk3LzMxLzIwMTgIAAAACTMvMzEvMjAxOAkAAAABMNaMETgICdYIw4afbzQJ1ggrQ0lRLklRVFI1NTAyNTkzOTcuSVFfVFJfSU1QTElFRF9FVl9FQklUX0ZXRAEAAADFSswgAwAAAAJOTQAMbRAONQnWCHd5gA41CdYII0NJUS5JUVRSNTYxNjA2MzY1LklRX1RSX0NMT1NFRF9EQVRFAQAAAN1ueSEFAAAACTYvMTEvMjAxOACys0lvNAnWCDWbk280CdYIIENJUS5JUVRSNTQ3NDIzNjgwLklRX1RSX0VBUk5PVVRTAQAAAMAFoSACAAAAAAAMbRAONQnWCMDbgg41CdYIPENJUS5OQVNEQVFHUzpUU1JPLklRX0VCSVREQV9FU1QuQ1kyMDE4LjcvMzEvMjAxOC5DT04uRi5VU0QuSAEAAABo1lgGAgAAAAotNTE1LjcwMjIyAQ4AAAAFAAAAAjExAQAAAAEwAgAAAAoxMDAxNTgwMzQwAwAAAAYxMDAxODcEAAAAATIGAAAAATAHAAAAAzE2MAgAAAABMAkAAAABMQoAAAABMAsAAAALMTA5NDA1MDY5NjMMAAAAATcNAAAACDgvMS8yMDE4EAAAAAk3LzMxLzIwMTicC9U4CAnWCCTCmm80CdYIRkNJUS5OQVNEQVFHUzpCR05FLklRX1RPVEFMX1JFVl8zWVJfQU5OX0NBR1IuMjAwMC43LzMxLzIwMTguTEZSLkYuVVNELkgBAAAA4OTdBgIAAAAIMTgzLjk0MjMBCAAAAAUAAAABMQEAAAAK</t>
  </si>
  <si>
    <t>MTg4NzY4ODU4OAMAAAADMTYwAgAAAAQ0MjIwBAAAAAEwBwAAAAk3LzMxLzIwMTgIAAAACTMvMzEvMjAxOAkAAAABMJwL1TgICdYI1F+YbzQJ1gg8Q0lRLk5BU0RBUUdTOk5LLklRX0NBU0hfU1RfSU5WRVNULjIwMDAuNy8zMS8yMDE4LkxGUi5GLlVTRC5IAQAAAA19oQ8CAAAABzEyMS43ODkBCAAAAAUAAAABMQEAAAAKMTg4NzExODc5MQMAAAADMTYwAgAAAAQxMDAyBAAAAAEwBwAAAAk3LzMxLzIwMTgIAAAACTMvMzEvMjAxOAkAAAABMNaMETgICdYIw4afbzQJ1ggjQ0lRLklRVFIzMDI4NjY2MjcuSVFfVFJfQ0xPU0VEX0RBVEUBAAAAw2ANEgUAAAAINi8xLzIwMTUAWM8SDjUJ1ggMPoUONQnWCENDSVEuKElOVkFMSUQgSURFTlRJRklFUikuSVFfVE9UQUxfRVFVSVRZLjE5OTYuNy8zMS8yMDE4LkxGUi5GLlVTRC5IBQAAAAAAAAAIAAAAFChJbnZhbGlkIElkZW50aWZpZXIpyDCyNwgJ1gjtNrBvNAnWCDpDSVEuT1RDUEs6TUJWWC5JUV9SRVZFTlVFX0VTVC5DWTIwMTguNy8xNi8yMDE4LkNPTi5GLlVTRC5IAQAAANhEiwIDAAAAAADep34QNQnWCJgSWRI1CdYIPkNJUS5OQVNEQVFHUzpNR05YLklRX1RPVEFMX0VRVUlUWS5DWTIwMTYuNy8xNi8yMDE4LkxGUi5GLlVTRC5IAQAAAE8rCQACAAAABzI2OC43NTEBCAAAAAUAAAABMQEAAAAKMTg3NjEzNTE1NwMAAAADMTYwAgAAAAQxMjc1BAAAAAEwBwAAAAk3</t>
  </si>
  <si>
    <t>LzE2LzIwMTgIAAAACjEyLzMxLzIwMTYJAAAAATDE/xsRNQnWCMKbYhI1CdYIO0NJUS5OQVNEQVFDTTpaSU9QLklRX1RPVEFMX1JFVi5DWTIwMTcuNy8zMS8yMDE4LkxGUi5GLlVTRC5IAQAAALNRsgACAAAABTYuMzg5AQgAAAAFAAAAATEBAAAACjE4NzcyMDQ0NjYDAAAAAzE2MAIAAAACMjgEAAAAATAHAAAACTcvMzEvMjAxOAgAAAAKMTIvMzEvMjAxNwkAAAABMNaMETgICdYIw4afbzQJ1gg9Q0lRLk5BU0RBUUdNOklNTVUuSVFfRUJJVERBX01BUkdJTi4yMDAwLjcvMzEvMjAxOC5MRlIuRi5VU0QuSAEAAAAgQwQAAwAAAAJOTQEIAAAABQAAAAExAQAAAAoxODg4NTIzMzg0AwAAAAMxNjACAAAABDQwNDcEAAAAATAHAAAACTcvMzEvMjAxOAgAAAAJMy8zMS8yMDE4CQAAAAEwnAvVOAgJ1gjUX5hvNAnWCCtDSVEuSVFUUjUzMzYzOTUwMS5JUV9UUl9UT1RBTF9HUk9TU19UVi4uVVNEAQAAAE2xzh8CAAAAAAAMbRAONQnWCMDbgg41CdYIKUNJUS5OQVNEQVFHTTpDUlZTLklRX0JVU0lORVNTX0RFU0NSSVBUSU9OAQAAAPSwphADAAAAwQVDb3J2dXMgUGhhcm1hY2V1dGljYWxzLCBJbmMuLCBhIGNsaW5pY2FsIHN0YWdlIGJpb3BoYXJtYWNldXRpY2FsIGNvbXBhbnksIGZvY3VzZXMgb24gdGhlIGRldmVsb3BtZW50IGFuZCBjb21tZXJjaWFsaXphdGlvbiBvZiBpbW11bm8tb25jb2xvZ3kgdGhlcmFwaWVzIHRo</t>
  </si>
  <si>
    <t>YXQgYXJlIGRlc2lnbmVkIHRvIGhhcm5lc3MgdGhlIGltbXVuZSBzeXN0ZW0gdG8gYXR0YWNrIGNhbmNlciBjZWxscy4gSXRzIGxlYWQgcHJvZHVjdCBjYW5kaWRhdGUgaXMgQ1BJLTQ0NCwgYW4gb3JhbCwgc21hbGwgbW9sZWN1bGUgYW50YWdvbmlzdCBvZiB0aGUgQTJBIHJlY2VwdG9yIHRoYXQgaXMgaW4gUGhhc2UgSS9JYiBjbGluaWNhbCB0cmlhbCBmb3IgYWRlbm9zaW5lLCBhbiBpbW11bmUgY2hlY2twb2ludC4gVGhlIGNvbXBhbnkgaXMgYWxzbyBkZXZlbG9waW5nIGFuIGFudGktQ0Q3MyBtb25vY2xvbmFsIGFudGlib2R5IHRoYXQgaW5oaWJpdHMgdGhlIHByb2R1Y3Rpb24gb2YgYWRlbm9zaW5lOyBhbiBhbnRhZ29uaXN0IG9mIHRoZSBhZGVub3NpbmUgQTJCIHJlY2VwdG9yOyBhbmQgc21hbGwgbW9sZWN1bGUgY292YWxlbnQgaW5oaWJpdG9ycyBvZiBpbnRlcmxldWtpbi0yIGluZHVjaWJsZSBraW5hc2UuIENvcnZ1cyBQaGFybWFjZXV0aWNhbHMsIEluYy4gd2FzIGZvdW5kZWQgaW4gMjAxNCBhbmQgaXMgYmFzZWQgaW4gQnVybGluZ2FtZSwgQ2FsaWZvcm5pYS4A1owROAgJ1ggZ6aFvNAnWCCVDSVEuSVFUUjQwNzc2MDY5Mi5JUV9UUl9NQUpfTUlOX1NUQUtFAQAAADTvTRgDAAAACE1ham9yaXR5AAxtEA41CdYIDD6FDjUJ1ggxQ0lRLk5BU0RBUUdTOkpOQ0UuSVFfQ0FQRVguLjcvMTYvMjAx</t>
  </si>
  <si>
    <t>OC5MRlIuRi5VU0QuSAEAAADieZ4NAgAAAAUtOC4yNgEIAAAABQAAAAExAQAAAAoxODg4MTg2Mzc0AwAAAAMxNjACAAAABDIwMjEEAAAAATAHAAAACTcvMTYvMjAxOAgAAAAJMy8zMS8yMDE4CQAAAAEwKRyUEDUJ1giYElkSNQnWCENDSVEuTkFTREFRR1M6QU5BQi5JUV9NSU5PUklUWV9JTlRFUkVTVF9UT1RBTC4uNy8xNi8yMDE4LkxGUi5GLlVTRC5IAQAAACFMsgEDAAAAAADE/xsRNQnWCMKbYhI1CdYILkNJUS4oSU5WQUxJRCBJREVOVElGSUVSKS5JUV9QRVJJT0REQVRFX0lTLjEwMDAFAAAAAAAAAAgAAAAUKEludmFsaWQgSWRlbnRpZmllcinIMLI3CAnWCO02sG80CdYIQENJUS4oSU5WQUxJRCBJREVOVElGSUVSKS5JUV9OSV9NQVJHSU4uMjAwMC43LzMxLzIwMTguTEZSLkYuVVNELkgFAAAAAAAAAAgAAAAUKEludmFsaWQgSWRlbnRpZmllcinIMLI3CAnWCO02sG80CdYIP0NJUS5OQVNEQVFHUzpTR0VOLklRX0VCSVREQV81WVJfQU5OX0NBR1IuLjcvMTYvMjAxOC5MRlIuRi5VU0QuSAEAAABhhQAAAwAAAAJOTQEIAAAABQAAAAExAQAAAAoxODg0ODkyODUyAwAAAAMxNjACAAAABDQyMzUEAAAAATAHAAAACTcvMTYvMjAxOAgAAAAJMy8zMS8yMDE4CQAAAAEwxP8bETUJ1ghoYGcSNQnWCDxDSVEuTkFTREFRR006SU1NVS5JUV9HUk9TU19NQVJHSU4uMjAwMC43LzMxLzIwMTguTEZSLkYuVVNELkgBAAAA</t>
  </si>
  <si>
    <t>IEMEAAMAAAACTk0BCAAAAAUAAAABMQEAAAAKMTg4ODUyMzM4NAMAAAADMTYwAgAAAAQ0MDc0BAAAAAEwBwAAAAk3LzMxLzIwMTgIAAAACTMvMzEvMjAxOAkAAAABMJwL1TgICdYI1F+YbzQJ1ggjQ0lRLklRVFI0MzE4NDE1ODEuSVFfVFJfQ0xPU0VEX0RBVEUBAAAALWG9GQUAAAAJNi8yOC8yMDE3AAxtEA41CdYIDD6FDjUJ1ggnQ0lRLk5BU0RBUUdTOkJHTkUuSVFfQkVUQV8xWVIuNy8xNi8yMDE4AQAAAODk3QYCAAAAETAuOTY3MDY4NDg5NDY2NTY1AMT/GxE1CdYIaGBnEjUJ1ghCQ0lRLk5BU0RBUUNNOkNLUFQuSVFfVE9UQUxfUkVWXzNZUl9BTk5fQ0FHUi4uNy8xNi8yMDE4LkxGUi5GLlVTRC5IAQAAALhRFhEDAAAAAAApHJQQNQnWCOR0WxI1CdYIPUNJUS4oSU5WQUxJRCBJREVOVElGSUVSKS5JUV9UT1RBTF9ERUJULi45LzE1LzIwMTcuTEZSLkYuVVNELkgFAAAAAAAAAAgAAAAUKEludmFsaWQgSWRlbnRpZmllcinep34QNQnWCJgSWRI1CdYIJENJUS5OQVNEQVFHUzpNUlNOLklRX0VGRkVDVF9UQVhfUkFURQEAAADmxRgAAwAAAAAA1owROAgJ1gjji5MONQnWCDNDSVEuTkFTREFRR006QUZNRC5JUV9QRVJJT0REQVRFX0lTLi43LzE2LzIwMTguTEZSLkYBAAAA2/cMAAUAAAAJMy8zMS8yMDE4ACkclBA1CdYIMNddEjUJ1ggvQ0lRLklRVFI1NTExNjYyOTIuSVFfVFJfVEFSR0VUX1RPVEFMX1JFVi4u</t>
  </si>
  <si>
    <t>VVNELkgBAAAAVCHaIAIAAAAAAAxtEA41CdYIwNuCDjUJ1gg+Q0lRLihJTlZBTElEIElERU5USUZJRVIpLklRX0VCSVRfTUFSR0lOLi43LzE2LzIwMTguTEZSLkYuVVNELkgFAAAAAAAAAAgAAAAUKEludmFsaWQgSWRlbnRpZmllcinep34QNQnWCJgSWRI1CdYIOUNJUS5OQVNEQVFDTTpTUk5FLklRX1RPVEFMX1JFVi4xOTk2LjcvMzEvMjAxOC5MRlIuRi5VU0QuSAEAAABJQ5QDAgAAAAYxMi4wMzgBCAAAAAUAAAABMQEAAAAKMTg4Nzk4OTgyOAMAAAADMTYwAgAAAAIyOAQAAAABMAcAAAAJNy8zMS8yMDE4CAAAAAkzLzMxLzIwMTcJAAAAATDWjBE4CAnWCHMknW80CdYIH0NJUS5BU1g6SU1VLklRX0ZJUlNUUFJJQ0lOR0RBVEUBAAAAmJOpAAUAAAAIOS8yLzIwMDIAKRyUEDUJ1ggw110SNQnWCD1DSVEuTkFTREFRR006QVJRTC5JUV9SRVZFTlVFX0VTVC5DWTIwMTkuNy8zMS8yMDE4LkNPTi5GLlVTRC5IAQAAAPZhAAACAAAABDUuMjQBDgAAAAUAAAACMTEBAAAAATACAAAACjEwMDIzODE3NTUDAAAABjEwMDE4MAQAAAABMgYAAAABMAcAAAADMTYwCAAAAAEwCQAAAAExCgAAAAEwCwAAAAsxMDk0NjYyMzYyNAwAAAABNw0AAAAIOC8xLzIwMTgQAAAACTcvMzEvMjAxONaMETgICdYIcySdbzQJ1ggkQ0lRLk9UQ1BLOk1CVlguSVFfQkVUQV81WVIuNy8xNi8yMDE4AQAAANhEiwICAAAAEDEuNjY5Mzg5ODIzOTg3</t>
  </si>
  <si>
    <t>MjIAIAqBEDUJ1giYElkSNQnWCDZDSVEuTkFTREFRQ006WklPUC5JUV9FQklUREEuMTk5Ni43LzMxLzIwMTguTEZSLkYuVVNELkgBAAAAs1GyAAIAAAAILTE2Ni45MzUBCAAAAAUAAAABMQEAAAAKMTg4Nzk3MjM0OAMAAAADMTYwAgAAAAQ0MDUxBAAAAAEwBwAAAAk3LzMxLzIwMTgIAAAACTMvMzEvMjAxNwkAAAABMNaMETgICdYIw4afbzQJ1ggkQ0lRLk5BU0RBUUNNOkNLUFQuSVFfRUZGRUNUX1RBWF9SQVRFAQAAALhRFhEDAAAAAAApHJQQNQnWCOR0WxI1CdYINUNJUS5PVENQSzpOV0JPLklRX1RPVEFMX0VRVUlUWS4uNy8xNi8yMDE4LkxGUi5GLlVTRC5IAQAAAKN6FAACAAAABy02My4wMjUBCAAAAAUAAAABMQEAAAAKMTg4OTMwMjgyNAMAAAADMTYwAgAAAAQxMjc1BAAAAAEwBwAAAAk3LzE2LzIwMTgIAAAACTMvMzEvMjAxOAkAAAABMCkclBA1CdYIMNddEjUJ1gg5Q0lRLk5BU0RBUUdNOkNSSVMuSVFfVE9UQUxfUkVWLjE5OTYuNy8zMS8yMDE4LkxGUi5GLlVTRC5IAQAAABdqAAACAAAABTcuOTMyAQgAAAAFAAAAATEBAAAACjE4ODYyNDczOTUDAAAAAzE2MAIAAAACMjgEAAAAATAHAAAACTcvMzEvMjAxOAgAAAAJMy8zMS8yMDE3CQAAAAEwyDCyNwgJ1gjdS6RvNAnWCDVDSVEuTkFTREFRR006Q1JJUy5JUV9EQV9DRi4yMDAwLjcvMzEvMjAxOC5MRlIuRi5VU0QuSAEAAAAXagAAAgAAAAUwLjIzMwEI</t>
  </si>
  <si>
    <t>AAAABQAAAAExAQAAAAoxODg2MjQ3NDIwAwAAAAMxNjACAAAABDIxNjAEAAAAATAHAAAACTcvMzEvMjAxOAgAAAAJMy8zMS8yMDE4CQAAAAEwyDCyNwgJ1gjdS6RvNAnWCDdDSVEuTkFTREFRR1M6U0dFTi5JUV9FQklUX01BUkdJTi4uNy8xNi8yMDE4LkxGUi5GLlVTRC5IAQAAAGGFAAACAAAACC00My4xNzg1AQgAAAAFAAAAATEBAAAACjE4ODQ4OTI4NTIDAAAAAzE2MAIAAAAENDA1MwQAAAABMAcAAAAJNy8xNi8yMDE4CAAAAAkzLzMxLzIwMTgJAAAAATDE/xsRNQnWCGhgZxI1CdYIPUNJUS5OQVNEQVFDTTpDS1BULklRX1JFVkVOVUVfRVNULkNZMjAxOS43LzE2LzIwMTguQ09OLkYuVVNELkgBAAAAuFEWEQIAAAAFMS42MzYBDgAAAAUAAAACMTEBAAAAATACAAAACjEwMDM2NjU2MDIDAAAABjEwMDE4MAQAAAABMgYAAAABMAcAAAADMTYwCAAAAAEwCQAAAAExCgAAAAEwCwAAAAsxMDg3ODcwNzc2NgwAAAABNw0AAAAJNy8xNy8yMDE4EAAAAAk3LzE2LzIwMTgpHJQQNQnWCDDXXRI1CdYIM0NJUS5OQVNEQVFHUzpBRFhTLklRX1BFUklPRERBVEVfSVMuLjcvMTYvMjAxOC5MRlIuRgEAAACe7HgABQAAAAk0LzMwLzIwMTgAKRyUEDUJ1gjkdFsSNQnWCCBDSVEuSVFUUjU0ODMzODAyMC5JUV9UUl9FQVJOT1VUUwEAAABk+a4gAgAAAAMxMTcBBgAAAAUAAAACNTQBAAAABjEwMTQwMwIAAAAJNTQ4MzM4MDIwAwAA</t>
  </si>
  <si>
    <t>AAk1NDgzNDA5ODUEAAAAAzE2MAYAAAAFRmFsc2UMbRAONQnWCMDbgg41CdYIPENJUS5OQVNEQVFHTTpYTkNSLklRX0VCSVREQV9FU1QuQ1kyMDE5LjcvMTYvMjAxOC5DT04uRi5VU0QuSAEAAACmWgsAAgAAAAQtMTEyAQ4AAAAFAAAAAjExAQAAAAEwAgAAAAoxMDAyMDI1MjUyAwAAAAYxMDAxODcEAAAAATIGAAAAATAHAAAAAzE2MAgAAAABMAkAAAABMQoAAAABMAsAAAALMTA5MTU4MzI1NzkMAAAAATcNAAAACTcvMTcvMjAxOBAAAAAJNy8xNi8yMDE4xP8bETUJ1ggS/mQSNQnWCCFDSVEuSVExMDY0ODUzNTIuSVFfQ09NUEFOWV9USUNLRVIBAAAAaNZYBgMAAAANTmFzZGFxR1M6VFNSTwAMbRAONQnWCA9ljA41CdYIM0NJUS5PVENQSzpOV0JPLklRX1RPVEFMX0RFQlQuLjcvMTYvMjAxOC5MRlIuRi5VU0QuSAEAAACjehQAAgAAAAYzMS43MjkBCAAAAAUAAAABMQEAAAAKMTg4OTMwMjgyNAMAAAADMTYwAgAAAAQ0MTczBAAAAAEwBwAAAAk3LzE2LzIwMTgIAAAACTMvMzEvMjAxOAkAAAABMCkclBA1CdYIczlgEjUJ1gguQ0lRLk5BU0RBUUNNOlNSTkUuSVFfTUFSS0VUQ0FQLjcvMzEvMjAxOC5VU0QuSAEAAABJQ5QDAgAAAAo2MDguNTY3NTc0AQYAAAAFAAAAATEBAAAACjE4ODc5ODk3NjYDAAAAAzE2MAIAAAAGMTAwMDU0BAAAAAEwBwAAAAk3LzMxLzIwMTjWjBE4CAnWCHMknW80CdYIIUNJUS5OQVNEQVFH</t>
  </si>
  <si>
    <t>TTpYTkNSLklRX0NPTVBBTllfTkFNRQEAAACmWgsAAwAAAAxYZW5jb3IsIEluYy4ARp0ZETUJ1ggS/mQSNQnWCCFDSVEuTkFTREFRR1M6QVROWC5JUV9DT01QQU5ZX05BTUUBAAAA3JlrAQMAAAANQXRoZW5leCwgSW5jLgDWjBE4CAnWCCTCmm80CdYIJUNJUS5OQVNEQVFHUzpDVE1YLklRX0ZJUlNUUFJJQ0lOR0RBVEUBAAAA3DibAwUAAAAJMTAvOC8yMDE1AEadGRE1CdYIwptiEjUJ1gg2Q0lRLk5BU0RBUUdTOkZQUlguSVFfRUJJVERBLjIwMDAuNy8zMS8yMDE4LkxGUi5GLlVTRC5IAQAAADddMwACAAAACC0xMzUuNjg2AQgAAAAFAAAAATEBAAAACjE4ODc0MDIyMjcDAAAAAzE2MAIAAAAENDA1MQQAAAABMAcAAAAJNy8zMS8yMDE4CAAAAAkzLzMxLzIwMTgJAAAAATDWjBE4CAnWCBnpoW80CdYIJ0NJUS5OQVNEQVFHUzpDQUxBLklRX0JFVEFfMllSLjcvMzEvMjAxOAEAAAClJ4EGAgAAABAxLjc3NzQyMzc3ODUzMTIxAMgwsjcICdYI3UukbzQJ1gg9Q0lRLk5BU0RBUUdTOkZQUlguSVFfUkVWRU5VRV9FU1QuQ1kyMDE4LjcvMzEvMjAxOC5DT04uRi5VU0QuSAEAAAA3XTMAAgAAAAg3NS4yNDQ3NQEOAAAABQAAAAIxMQEAAAABMAIAAAAKMTAwMTk1NjM0NAMAAAAGMTAwMTgwBAAAAAEyBgAAAAEwBwAAAAMxNjAIAAAAATAJAAAAATEKAAAAATALAAAACzEwOTQ1NTc1MjcwDAAAAAE3DQAAAAg4LzEvMjAxOBAA</t>
  </si>
  <si>
    <t>AAAJNy8zMS8yMDE41owROAgJ1ggZ6aFvNAnWCCdDSVEuTkFTREFRR1M6QU5BQi5JUV9CRVRBXzFZUi43LzE2LzIwMTgBAAAAIUyyAQIAAAARMC42NjIwNDgwMTcyNzk5NTQAxP8bETUJ1gjCm2ISNQnWCDlDSVEuTkFTREFRR1M6VFNSTy5JUV9OSV9NQVJHSU4uMjAwMC43LzMxLzIwMTguTEZSLkYuVVNELkgBAAAAaNZYBgIAAAAJLTE5My40MTcyAQgAAAAFAAAAATEBAAAACjE4ODYzMzc0NjYDAAAAAzE2MAIAAAAENDA5NAQAAAABMAcAAAAJNy8zMS8yMDE4CAAAAAkzLzMxLzIwMTgJAAAAATCcC9U4CAnWCCTCmm80CdYIIUNJUS5JUVRSMzEyMTIyNTA0LklRX1RSX0JVWUVSTkFNRQEAAACInJoSAwAAACNBZHVybyBOZXRoZXJsYW5kcyBDb8O2cGVyYXRpZWYgVS5BLgBYzxIONQnWCMDbgg41CdYIPENJUS5OQVNEQVFDTTpBVkVPLklRX0VBUk5JTkdfQ08uQ1kyMDE2LjcvMTYvMjAxOC5MRlIuRi5VU0QuSAEAAAD0Fh0AAgAAAActMjYuODg3AQgAAAAFAAAAATEBAAAACjE4NzgwODI2NTADAAAAAzE2MAIAAAABNwQAAAABMAcAAAAJNy8xNi8yMDE4CAAAAAoxMi8zMS8yMDE2CQAAAAEwxP8bETUJ1gjCm2ISNQnWCCxDSVEuSVFUUjU1MTE2NjI5Mi5JUV9UUl9UT1RBTF9HUk9TU19UVi5VU0QuSAUAAAAAAAAACAAAABooSW52YWxpZCBDdXJyZW5jeSBSZXF1ZXN0KQxtEA41CdYIwNuCDjUJ1gglQ0lRLk5BU0RB</t>
  </si>
  <si>
    <t>UUdTOkZQUlguSVFfRklSU1RQUklDSU5HREFURQEAAAA3XTMABQAAAAk5LzE4LzIwMTMA1owROAgJ1gjji5MONQnWCDVDSVEuTkFTREFRR1M6QkdORS5JUV9DQVBFWC4xOTk2LjcvMzEvMjAxOC5MRlIuRi5VU0QuSAEAAADg5N0GAgAAAActMjUuMjY3AQgAAAAFAAAAATEBAAAACjE4ODc2ODg1ODMDAAAAAzE2MAIAAAAEMjAyMQQAAAABMAcAAAAJNy8zMS8yMDE4CAAAAAkzLzMxLzIwMTcJAAAAATCcC9U4CAnWCIH9lW80CdYINkNJUS5OQVNEQVFHUzpUU1JPLklRX0VCSVREQS4xOTk2LjcvMzEvMjAxOC5MRlIuRi5VU0QuSAEAAABo1lgGAgAAAAgtMzg1LjU3MgEIAAAABQAAAAExAQAAAAoxODg2MzM3NDUxAwAAAAMxNjACAAAABDQwNTEEAAAAATAHAAAACTcvMzEvMjAxOAgAAAAJMy8zMS8yMDE3CQAAAAEwnAvVOAgJ1ggkwppvNAnWCDZDSVEuTkFTREFRQ006TVRFTS5JUV9FQklUREEuMTk5Mi43LzMxLzIwMTguTEZSLkYuVVNELkgBAAAAmZupAQMAAAAAAMgwsjcICdYIGemhbzQJ1ggnQ0lRLk5BU0RBUUdNOkNSVlMuSVFfQkVUQV8yWVIuNy8zMS8yMDE4AQAAAPSwphACAAAAEDEuMTU5NjcxNDQ4OTE1MjUA1owROAgJ1ggZ6aFvNAnWCCVDSVEuTkFTREFRR1M6RVBaTS5JUV9GSVJTVFBSSUNJTkdEQVRFAQAAAAMmPQMFAAAACTUvMzEvMjAxMwDWjBE4CAnWCCTCmm80CdYIIUNJUS5JUVRSNTYxNjA2MzY1</t>
  </si>
  <si>
    <t>LklRX1RSX0JVWUVSTkFNRQEAAADdbnkhAwAAABVKYW5zc2VuIEJpb3RlY2gsIEluYy4AsrNJbzQJ1gg1m5NvNAnWCDhDSVEuTkFTREFRR1M6TksuSVFfRUFSTklOR19DTy4yMDAwLjcvMzEvMjAxOC5MRlIuRi5VU0QuSAEAAAANfaEPAgAAAActOTkuNDI3AQgAAAAFAAAAATEBAAAACjE4ODcxMTg3OTEDAAAAAzE2MAIAAAABNwQAAAABMAcAAAAJNy8zMS8yMDE4CAAAAAkzLzMxLzIwMTgJAAAAATDWjBE4CAnWCBnpoW80CdYIPkNJUS5OQVNEQVFDTTpaSU9QLklRX0NBU0hfU1RfSU5WRVNULjIwMDAuNy8zMS8yMDE4LkxGUi5GLlVTRC5IAQAAALNRsgACAAAABjUxLjEwOAEIAAAABQAAAAExAQAAAAoxODg3OTcyMzU5AwAAAAMxNjACAAAABDEwMDIEAAAAATAHAAAACTcvMzEvMjAxOAgAAAAJMy8zMS8yMDE4CQAAAAEw1owROAgJ1gjDhp9vNAnWCDxDSVEuTkFTREFRQ006WklPUC5JUV9FQklUREFfRVNULkNZMjAxOC43LzMxLzIwMTguQ09OLkYuVVNELkgBAAAAs1GyAAIAAAADLTYyAQ4AAAAFAAAAAjExAQAAAAEwAgAAAAoxMDAwNzY4ODI0AwAAAAYxMDAxODcEAAAAATIGAAAAATAHAAAAAzE2MAgAAAABMAkAAAABMQoAAAABMAsAAAALMTA5MzE1MzM5MzIMAAAAATcNAAAACDgvMS8yMDE4EAAAAAk3LzMxLzIwMTjWjBE4CAnWCMOGn280CdYIPUNJUS5OQVNEQVFHUzpHVEhYLklRX1JFVkVOVUVfRVNULkNZ</t>
  </si>
  <si>
    <t>MjAyMS43LzMxLzIwMTguQ09OLkYuVVNELkgBAAAAZTRpCAIAAAAIMzMuNzg2MjUBDgAAAAUAAAACMTEBAAAAATACAAAACjEwMDM3NTI4MzADAAAABjEwMDE4MAQAAAABMgYAAAABMAcAAAADMTYwCAAAAAEwCQAAAAExCgAAAAEwCwAAAAsxMDkxMTA5NzU0NwwAAAABNw0AAAAIOC8xLzIwMTgQAAAACTcvMzEvMjAxOJwL1TgICdYIJMKabzQJ1ggjQ0lRLklRVFI1NjM5MTkwNDkuSVFfVFJfVE9UQUxfU1RPQ0sBAAAAybicIQIAAAAAAAxtEA41CdYIwNuCDjUJ1gguQ0lRLklRVFI1NTAyNTkzOTcuSVFfVFJfVEFSR0VUX1NUT0NLUFJFTUlVTV8xVwEAAADFSswgAgAAAAc3OC40NjE1AQYAAAAFAAAAAjU0AQAAAAYxMDEwNTQCAAAACTU1MDI1OTM5NwMAAAAJNTUwMjY0NTY0BAAAAAMxNjAGAAAABUZhbHNlDG0QDjUJ1gh3eYAONQnWCDpDSVEuTkFTREFRQ006U1JORS5JUV9FQVJOSU5HX0NPLjE5OTYuNy8zMS8yMDE4LkxGUi5GLlVTRC5IAQAAAElDlAMCAAAABy03MC40NTMBCAAAAAUAAAABMQEAAAAKMTg4Nzk4OTgyOAMAAAADMTYwAgAAAAE3BAAAAAEwBwAAAAk3LzMxLzIwMTgIAAAACTMvMzEvMjAxNwkAAAABMNaMETgICdYIcySdbzQJ1gggQ0lRLklRVFI1NTExNjYyOTIuSVFfVFJfRUFSTk9VVFMBAAAAVCHaIAIAAAAAAAxtEA41CdYIwNuCDjUJ1gg2Q0lRLi5JUV9FQklUREFfM1lSX0FOTl9DQUdSLjIw</t>
  </si>
  <si>
    <t>MDAuNy8zMS8yMDE4LkxGUi5GLlVTRC5IBQAAAAEAAAAIAAAAFChJbnZhbGlkIElkZW50aWZpZXIp9YQyRzQJ1gj1hDJHNAnWCDxDSVEuTkFTREFRR1M6QkdORS5JUV9FQVJOSU5HX0NPLkNZMjAxNy43LzE2LzIwMTguTEZSLkYuVVNELkgBAAAA4OTdBgIAAAAHLTkzLjI5OQEIAAAABQAAAAExAQAAAAoxODc2MzU3NDQ5AwAAAAMxNjACAAAAATcEAAAAATAHAAAACTcvMTYvMjAxOAgAAAAKMTIvMzEvMjAxNwkAAAABMMT/GxE1CdYIaGBnEjUJ1gg7Q0lRLk5BU0RBUUNNOlNSTkUuSVFfVE9UQUxfUkVWLkNZMjAxNi43LzMxLzIwMTguTEZSLkYuVVNELkgBAAAASUOUAwIAAAAFOC4xNTIBCAAAAAUAAAABMQEAAAAKMTg3ODY3NzQ1MwMAAAADMTYwAgAAAAIyOAQAAAABMAcAAAAJNy8zMS8yMDE4CAAAAAoxMi8zMS8yMDE2CQAAAAEw1owROAgJ1ghzJJ1vNAnWCDxDSVEuTkFTREFRR1M6UEJZSS5JUV9FQVJOSU5HX0NPLkNZMjAxNy43LzE2LzIwMTguTEZSLkYuVVNELkgBAAAAAmqsBwIAAAAILTI5MS45NTUBCAAAAAUAAAABMQEAAAAKMTg3ODA2MzM0NAMAAAADMTYwAgAAAAE3BAAAAAEwBwAAAAk3LzE2LzIwMTgIAAAACjEyLzMxLzIwMTcJAAAAATDE/xsRNQnWCBL+ZBI1CdYINUNJUS5OQVNEQVFDTTpNVEVNLklRX0RBX0NGLjIwMDAuNy8zMS8yMDE4LkxGUi5GLlVTRC5IAQAAAJmbqQECAAAABTAuMjE3AQgA</t>
  </si>
  <si>
    <t>AAAFAAAAATEBAAAACjE4ODg3MzMwMDQDAAAAAzE2MAIAAAAEMjE2MAQAAAABMAcAAAAJNy8zMS8yMDE4CAAAAAkzLzMxLzIwMTgJAAAAATDIMLI3CAnWCN1LpG80CdYIK0NJUS5JUVRSMzAyODY2NjI3LklRX1RSX0lNUExJRURfRVZfRUJJVF9GV0QBAAAAw2ANEgIAAAAAAFjPEg41CdYIDD6FDjUJ1gg8Q0lRLk5BU0RBUUdNOklNTVUuSVFfRUJJVERBX0VTVC5DWTIwMTkuNy8zMS8yMDE4LkNPTi5GLlVTRC5IAQAAACBDBAADAAAAAACcC9U4CAnWCNRfmG80CdYIPkNJUS5OQVNEQVFHTTpJTU1VLklRX1RPVEFMX0VRVUlUWS5DWTIwMTYuNy8zMS8yMDE4LkxGUi5GLlVTRC5IAQAAACBDBAACAAAACi03NS4xODIyMzYBCAAAAAUAAAABMQEAAAAKMTg3MzQ5MzQ5MQMAAAADMTYwAgAAAAQxMjc1BAAAAAEwBwAAAAk3LzMxLzIwMTgIAAAACjEyLzMxLzIwMTYJAAAAATCcC9U4CAnWCNRfmG80CdYILUNJUS5OQVNEQVFHTTpBUlJZLklRX0RJVklERU5EX1lJRUxELjcvMzEvMjAxOAEAAAD4YQAAAwAAAAAAnAvVOAgJ1ggkwppvNAnWCDhDSVEuTkFTREFRR006QUZNRC5JUV9UT1RBTF9FUVVJVFkuLjcvMTYvMjAxOC5MRlIuRi5VU0QuSAEAAADb9wwAAgAAAAk2Ni44NDk4MjEBCAAAAAUAAAABMQEAAAAKMTg4OTg2NjA0OQMAAAADMTYwAgAAAAQxMjc1BAAAAAEwBwAAAAk3LzE2LzIwMTgIAAAACTMvMzEvMjAxOAkA</t>
  </si>
  <si>
    <t>AAABMCkclBA1CdYIMNddEjUJ1gg+Q0lRLk5BU0RBUUdTOkVQWk0uSVFfQ0FTSF9TVF9JTlZFU1QuMjAwMC43LzMxLzIwMTguTEZSLkYuVVNELkgBAAAAAyY9AwIAAAAHMjQ3LjkyMwEIAAAABQAAAAExAQAAAAoxODg3MjQ2MDc3AwAAAAMxNjACAAAABDEwMDIEAAAAATAHAAAACTcvMzEvMjAxOAgAAAAJMy8zMS8yMDE4CQAAAAEw1owROAgJ1ggkwppvNAnWCD5DSVEuTkFTREFRR1M6TVJTTi5JUV9UT1RBTF9FUVVJVFkuQ1kyMDE3LjcvMzEvMjAxOC5MRlIuRi5VU0QuSAEAAADmxRgAAgAAAAY2OS45OTQBCAAAAAUAAAABMQEAAAAKMTg4MDU0NzM5NQMAAAADMTYwAgAAAAQxMjc1BAAAAAEwBwAAAAk3LzMxLzIwMTgIAAAACjEyLzMxLzIwMTcJAAAAATDWjBE4CAnWCMOGn280CdYIO0NJUS5OQVNEQVFDTTpDS1BULklRX05FVF9XT1JLSU5HX0NBUC4uNy8xNi8yMDE4LkxGUi5GLlVTRC5IAQAAALhRFhECAAAABi01Ljk2NAEIAAAABQAAAAExAQAAAAoxODg4MDA3MjIzAwAAAAMxNjACAAAABDEzMTEEAAAAATAHAAAACTcvMTYvMjAxOAgAAAAJMy8zMS8yMDE4CQAAAAEwKRyUEDUJ1gjkdFsSNQnWCChDSVEuSVEyNjY4NjQyLklRX0xBU1RTQUxFUFJJQ0UuNy8xNi8yMDE4AQAAAGK4KAACAAAABDQuNzYADG0QDjUJ1ggMPoUONQnWCC1DSVEuTkFTREFRQ006QVZFTy5JUV9ESVZJREVORF9ZSUVMRC43LzE2LzIw</t>
  </si>
  <si>
    <t>MTgBAAAA9BYdAAMAAAAAAEadGRE1CdYIwptiEjUJ1gg1Q0lRLk5BU0RBUUdTOkNUTVguSVFfVE9UQUxfUkVWLi43LzE2LzIwMTguTEZSLkYuVVNELkgBAAAA3DibAwIAAAAGNzQuMTU0AQgAAAAFAAAAATEBAAAACjE4ODc2NzUzMTYDAAAAAzE2MAIAAAACMjgEAAAAATAHAAAACTcvMTYvMjAxOAgAAAAJMy8zMS8yMDE4CQAAAAEwxP8bETUJ1gjCm2ISNQnWCEZDSVEuTkFTREFRR1M6S1VSQS5JUV9UT1RBTF9SRVZfNVlSX0FOTl9DQUdSLjIwMDAuNy8zMS8yMDE4LkxGUi5GLlVTRC5IAQAAALjL2hADAAAAAADWjBE4CAnWCHMknW80CdYIJENJUS5OQVNEQVFHTTpJTU1VLklRX0VGRkVDVF9UQVhfUkFURQEAAAAgQwQAAwAAAAJOTQEIAAAABQAAAAExAQAAAAoxODg4NTIzMzg0AwAAAAMxNjACAAAABDQzNzYEAAAAATAHAAAACTgvMjMvMjAxOAgAAAAJMy8zMS8yMDE4CQAAAAEwnAvVOAgJ1ggPZYwONQnWCDxDSVEuTkFTREFRR006Q1JJUy5JUV9FQklUREFfRVNULkNZMjAyMC43LzMxLzIwMTguQ09OLkYuVVNELkgBAAAAF2oAAAMAAAAAAMgwsjcICdYI3UukbzQJ1ggsQ0lRLklRVFI1NDI4MDY2ODYuSVFfVFJfVE9UQUxfR1JPU1NfVFYuVVNELkgFAAAAAAAAAAgAAAAaKEludmFsaWQgQ3VycmVuY3kgUmVxdWVzdClJU0dvNAnWCIH9lW80CdYIPENJUS5OQVNEQVFHUzpFUFpNLklRX0VBUk5JTkdfQ08uQ1ky</t>
  </si>
  <si>
    <t>MDE2LjcvMzEvMjAxOC5MRlIuRi5VU0QuSAEAAAADJj0DAgAAAAgtMTEwLjIxMgEIAAAABQAAAAExAQAAAAoxODc4MDgxMDYxAwAAAAMxNjACAAAAATcEAAAAATAHAAAACTcvMzEvMjAxOAgAAAAKMTIvMzEvMjAxNgkAAAABMNaMETgICdYIcySdbzQJ1ggvQ0lRLi5JUV9UT1RBTF9FUVVJVFkuMjAwMC43LzMxLzIwMTguTEZSLkYuVVNELkgFAAAAAQAAAAgAAAAUKEludmFsaWQgSWRlbnRpZmllcin1hDJHNAnWCPWEMkc0CdYIPENJUS5OQVNEQVFHUzpCR05FLklRX0VBUk5JTkdfQ08uQ1kyMDE3LjcvMzEvMjAxOC5MRlIuRi5VU0QuSAEAAADg5N0GAgAAAActOTUuODY3AQgAAAAFAAAAATEBAAAACjE4OTk4ODExOTQDAAAAAzE2MAIAAAABNwQAAAABMAcAAAAJNy8zMS8yMDE4CAAAAAoxMi8zMS8yMDE3CQAAAAEwnAvVOAgJ1giB/ZVvNAnWCC5DSVEuTkFTREFRR1M6Q0FMQS5JUV9NQVJLRVRDQVAuNy8zMS8yMDE4LlVTRC5IAQAAAKUngQYCAAAACjE1OS41MDg4NTMBBgAAAAUAAAABMQEAAAAKMTg4Nzk3OTcwNwMAAAADMTYwAgAAAAYxMDAwNTQEAAAAATAHAAAACTcvMzEvMjAxOMgwsjcICdYI3UukbzQJ1gg2Q0lRLk5BU0RBUUdNOklNTVUuSVFfVE9UQUxfREVCVC4uNy8xNi8yMDE4LkxGUi5GLlVTRC5IAQAAACBDBAACAAAACjIwMS45NDIzMTcBCAAAAAUAAAABMQEAAAAKMTg4ODUyMzM4NAMAAAADMTYw</t>
  </si>
  <si>
    <t>AgAAAAQ0MTczBAAAAAEwBwAAAAk3LzE2LzIwMTgIAAAACTMvMzEvMjAxOAkAAAABMMT/GxE1CdYIaGBnEjUJ1ggiQ0lRLklRVFIyNjM3MTg2NDcuSVFfVFJfUENUX1NPVUdIVAEAAAD3BrgPAgAAAAMxMDAAsrNJbzQJ1gg1m5NvNAnWCCFDSVEuTkFTREFRR1M6QkdORS5JUV9DT01QQU5ZX05BTUUBAAAA4OTdBgMAAAANQmVpR2VuZSwgTHRkLgCcC9U4CAnWCKgCig41CdYIQ0NJUS5OQVNEQVFHUzpNUlNOLklRX01JTk9SSVRZX0lOVEVSRVNUX1RPVEFMLi45LzE1LzIwMTcuTEZSLkYuVVNELkgBAAAA5sUYAAMAAAAAACkclBA1CdYIczlgEjUJ1gg6Q0lRLk5BU0RBUUdTOkZQUlguSVFfRUFSTklOR19DTy4xOTkyLjcvMzEvMjAxOC5MRlIuRi5VU0QuSAEAAAA3XTMAAgAAAAcyNDcuNjQzAQgAAAAFAAAAATEBAAAACjE4NDA1NjU3OTQDAAAAAzE2MAIAAAABNwQAAAABMAcAAAAJNy8zMS8yMDE4CAAAAAkzLzMxLzIwMTYJAAAAATDIMLI3CAnWCBnpoW80CdYIIUNJUS5OQVNEQVFHTTpDUlZTLklRX0NPTVBBTllfTkFNRQEAAAD0sKYQAwAAABxDb3J2dXMgUGhhcm1hY2V1dGljYWxzLCBJbmMuANaMETgICdYIGemhbzQJ1ghDQ0lRLk5BU0RBUUdTOkJHTkUuSVFfTUlOT1JJVFlfSU5URVJFU1RfVE9UQUwuLjcvMTYvMjAxOC5MRlIuRi5VU0QuSAEAAADg5N0GAgAAAAYxNC4zNDEBCAAAAAUAAAABMQEAAAAKMTg4</t>
  </si>
  <si>
    <t>NzY4ODU4OAMAAAADMTYwAgAAAAQxMzEyBAAAAAEwBwAAAAk3LzE2LzIwMTgIAAAACTMvMzEvMjAxOAkAAAABMMT/GxE1CdYIaGBnEjUJ1gg5Q0lRLk5BU0RBUUdTOkJHTkUuSVFfVE9UQUxfREVCVC4yMDAwLjUvNS8yMDE3LkxGUi5GLlVTRC5IAQAAAODk3QYCAAAABjE3LjI4NAEIAAAABQAAAAExAQAAAAoxODMyOTUwNTIzAwAAAAMxNjACAAAABDQxNzMEAAAAATAHAAAACDUvNS8yMDE3CAAAAAoxMi8zMS8yMDE2CQAAAAEwnAvVOAgJ1giB/ZVvNAnWCDpDSVEuTkFTREFRR006QUZNRC5JUV9DQVNIX1NUX0lOVkVTVC4uOS8xNS8yMDE3LkxGUi5GLlVTRC5IAQAAANv3DAACAAAACTU1Ljc1MjQyNAEIAAAABQAAAAExAQAAAAoxODUxMTcwNDYyAwAAAAMxNjACAAAABDEwMDIEAAAAATAHAAAACTkvMTUvMjAxNwgAAAAJNi8zMC8yMDE3CQAAAAEwKRyUEDUJ1ggw110SNQnWCDhDSVEuT1RDUEs6TldCTy5JUV9UT1RBTF9SRVYuQ1kyMDE3LjcvMTYvMjAxOC5MRlIuRi5VU0QuSAEAAACjehQAAgAAAAUwLjMzNgEIAAAABQAAAAExAQAAAAoxODgzMjQ5MDg2AwAAAAMxNjACAAAAAjI4BAAAAAEwBwAAAAk3LzE2LzIwMTgIAAAACjEyLzMxLzIwMTcJAAAAATApHJQQNQnWCHM5YBI1CdYIMENJUS5OQVNEQVFHUzpBVE5YLklRX0xBU1RTQUxFUFJJQ0UuNy8zMS8yMDE4LlVTRAEAAADcmWsBAgAAAAUxOS4yNwDWjBE4</t>
  </si>
  <si>
    <t>CAnWCCTCmm80CdYILUNJUS5OQVNEQVFHTTpDUlZTLklRX01BUktFVENBUC41LzUvMjAxNy5VU0QuSAEAAAD0sKYQAgAAAAoyMDkuMTM1Nzk1AQYAAAAFAAAAATEBAAAACjE4NDAxMTU5MDQDAAAAAzE2MAIAAAAGMTAwMDU0BAAAAAEwBwAAAAg1LzUvMjAxN9aMETgICdYIGemhbzQJ1gglQ0lRLklRVFI1NTM1NDgwMjUuSVFfUFJJTUFSWV9JTkRVU1RSWQEAAAA9LS4AAwAAAA1CaW90ZWNobm9sb2d5AElTR280CdYIgf2VbzQJ1ggsQ0lRLk5BU0RBUUdTOkZQUlguSVFfTEFTVFNBTEVQUklDRS45LzE1LzIwMTcBAAAAN10zAAIAAAAFMzUuODEAKRyUEDUJ1ghzOWASNQnWCDhDSVEuTkFTREFRR006QVJRTC5JUV9FQklUREEuQ1kyMDE2LjcvMzEvMjAxOC5MRlIuRi5VU0QuSAEAAAD2YQAAAgAAAActMjIuNzk1AQgAAAAFAAAAATEBAAAACjE4Nzg1MDg2OTUDAAAAAzE2MAIAAAAENDA1MQQAAAABMAcAAAAJNy8zMS8yMDE4CAAAAAoxMi8zMS8yMDE2CQAAAAEw1owROAgJ1ghzJJ1vNAnWCEZDSVEuTkFTREFRR006QVJSWS5JUV9UT1RBTF9SRVZfMllSX0FOTl9DQUdSLjIwMDAuNy8zMS8yMDE4LkxGUi5GLlVTRC5IAQAAAPhhAAACAAAABzc2LjA0OTMBCAAAAAUAAAABMQEAAAAKMTg4ODQ3MDY3NgMAAAADMTYwAgAAAAQ0MjA3BAAAAAEwBwAAAAk3LzMxLzIwMTgIAAAACTMvMzEvMjAxOAkAAAABMJwL1TgICdYI</t>
  </si>
  <si>
    <t>JMKabzQJ1ghCQ0lRLk5BU0RBUUdTOkFEWFMuSVFfVE9UQUxfUkVWXzJZUl9BTk5fQ0FHUi4uNy8xNi8yMDE4LkxGUi5GLlVTRC5IAQAAAJ7seAACAAAACDQ4Ny4xMjY0AQgAAAAFAAAAATEBAAAACjE4OTI3ODg1NDgDAAAAAzE2MAIAAAAENDIwNwQAAAABMAcAAAAJNy8xNi8yMDE4CAAAAAk0LzMwLzIwMTgJAAAAATApHJQQNQnWCOR0WxI1CdYIPENJUS4oSU5WQUxJRCBJREVOVElGSUVSKS5JUV9DQVBFWC4xOTk2LjcvMzEvMjAxOC5MRlIuRi5VU0QuSAUAAAAAAAAACAAAABQoSW52YWxpZCBJZGVudGlmaWVyKcgwsjcICdYI7TawbzQJ1gg4Q0lRLk5BU0RBUUdTOkFOQUIuSVFfRUJJVERBLkNZMjAxNi43LzE2LzIwMTguTEZSLkYuVVNELkgBAAAAIUyyAQIAAAAGLTIuNzkyAQgAAAAFAAAAATEBAAAACjE4NzcwNjUxOTYDAAAAAzE2MAIAAAAENDA1MQQAAAABMAcAAAAJNy8xNi8yMDE4CAAAAAoxMi8zMS8yMDE2CQAAAAEwxP8bETUJ1gjCm2ISNQnWCD5DSVEuTkFTREFRR1M6Q1RNWC5JUV9UT1RBTF9FUVVJVFkuQ1kyMDE2LjcvMTYvMjAxOC5MRlIuRi5VU0QuSAEAAADcOJsDAgAAAAY3OC40NzkBCAAAAAUAAAABMQEAAAAKMTg3NzMxNjczNAMAAAADMTYwAgAAAAQxMjc1BAAAAAEwBwAAAAk3LzE2LzIwMTgIAAAACjEyLzMxLzIwMTYJAAAAATDE/xsRNQnWCMKbYhI1CdYIPENJUS5OQVNEQVFHUzpDQUxB</t>
  </si>
  <si>
    <t>LklRX0VCSVREQV9FU1QuQ1kyMDIwLjcvMzEvMjAxOC5DT04uRi5VU0QuSAEAAAClJ4EGAwAAAAAAyDCyNwgJ1gjdS6RvNAnWCD1DSVEuTkFTREFRR1M6QkdORS5JUV9SRVZFTlVFX0VTVC5DWTIwMjEuNy8zMS8yMDE4LkNPTi5GLlVTRC5IAQAAAODk3QYCAAAACTgwMC4yODM2NwEOAAAABQAAAAIxMQEAAAABMAIAAAAKMTAwMzMyNjI4MgMAAAAGMTAwMTgwBAAAAAEyBgAAAAEwBwAAAAMxNjAIAAAAATAJAAAAATEKAAAAATALAAAACzEwOTUxMjQwNTQxDAAAAAE3DQAAAAg4LzEvMjAxOBAAAAAJNy8zMS8yMDE4nAvVOAgJ1giB/ZVvNAnWCDlDSVEuTkFTREFRR1M6R1RIWC5JUV9UT1RBTF9SRVYuMTk5Ni43LzMxLzIwMTguTEZSLkYuVVNELkgBAAAAZTRpCAMAAAAAAJwL1TgICdYIJMKabzQJ1ggyQ0lRLk5BU0RBUUdTOkZQUlguSVFfRUJJVERBLi43LzE2LzIwMTguTEZSLkYuVVNELkgBAAAAN10zAAIAAAAILTEzNS42ODYBCAAAAAUAAAABMQEAAAAKMTg4NzQwMjIyNwMAAAADMTYwAgAAAAQ0MDUxBAAAAAEwBwAAAAk3LzE2LzIwMTgIAAAACTMvMzEvMjAxOAkAAAABMCkclBA1CdYIczlgEjUJ1gglQ0lRLk9UQ1BLOk5XQk8uSVFfVEVWLjcvMTYvMjAxOC5VU0QuSAEAAACjehQAAgAAAAoxNDcuMjM4MDg4AQYAAAAFAAAAATEBAAAACjE4ODkyOTk1NDEDAAAAAzE2MAIAAAAGMTAwMDYwBAAAAAEwBwAAAAk3</t>
  </si>
  <si>
    <t>LzE2LzIwMTgpHJQQNQnWCHM5YBI1CdYINkNJUS5OQVNEQVFHUzpCR05FLklRX0VCSVREQS4xOTk2LjcvMzEvMjAxOC5MRlIuRi5VU0QuSAEAAADg5N0GAgAAAAgtMTQ1LjkzNAEIAAAABQAAAAExAQAAAAoxODg3Njg4NTgzAwAAAAMxNjACAAAABDQwNTEEAAAAATAHAAAACTcvMzEvMjAxOAgAAAAJMy8zMS8yMDE3CQAAAAEwnAvVOAgJ1giB/ZVvNAnWCENDSVEuTkFTREFRQ006QVZFTy5JUV9NSU5PUklUWV9JTlRFUkVTVF9UT1RBTC4uOS8xNS8yMDE3LkxGUi5GLlVTRC5IAQAAAPQWHQADAAAAAADE/xsRNQnWCHM5YBI1CdYILkNJUS5OQVNEQVFHTTpBRk1ELklRX01BUktFVENBUC45LzE1LzIwMTcuVVNELkgBAAAA2/cMAAIAAAAJOTguODYxMzQ4AQYAAAAFAAAAATEBAAAACjE4NTExNjk0NzgDAAAAAzE2MAIAAAAGMTAwMDU0BAAAAAEwBwAAAAk5LzE1LzIwMTcpHJQQNQnWCDDXXRI1CdYIRkNJUS5OQVNEQVFHUzpGUFJYLklRX01JTk9SSVRZX0lOVEVSRVNUX1RPVEFMLjIwMDAuNS81LzIwMTcuTEZSLkYuVVNELkgBAAAAN10zAAMAAAAAAMgwsjcICdYIGemhbzQJ1ggrQ0lRLklRVFI1MzM2Mzk1MDEuSVFfVFJfSU1QTElFRF9FVl9FQklUX0ZXRAEAAABNsc4fAgAAAAAADG0QDjUJ1gjA24IONQnWCDpDSVEuWFRSQTpNT1IuSVFfTkVUX1dPUktJTkdfQ0FQLjE5OTYuNy8zMS8yMDE4LkxGUi5GLlVTRC5I</t>
  </si>
  <si>
    <t>AQAAAN8RAgACAAAACi0xNC43NTAyNDkBCAAAAAUAAAABMQEAAAAKMTg4NjE1MTY0NwMAAAADMTYwAgAAAAQxMzExBAAAAAEwBwAAAAk3LzMxLzIwMTgIAAAACTMvMzEvMjAxNwkAAAABMJwL1TgICdYI1F+YbzQJ1gg7Q0lRLk5BU0RBUUdTOlRTUk8uSVFfVE9UQUxfUkVWLkNZMjAxNy43LzMxLzIwMTguTEZSLkYuVVNELkgBAAAAaNZYBgIAAAAHMjIzLjMyNgEIAAAABQAAAAExAQAAAAoxODc3MjI2MzAxAwAAAAMxNjACAAAAAjI4BAAAAAEwBwAAAAk3LzMxLzIwMTgIAAAACjEyLzMxLzIwMTcJAAAAATCcC9U4CAnWCCTCmm80CdYIMENJUS5YVFJBOk1PUi5JUV9DQVBFWC4xOTk2LjcvMzEvMjAxOC5MRlIuRi5VU0QuSAEAAADfEQIAAgAAAAktMi44MTc2NzIBCAAAAAUAAAABMQEAAAAKMTg4NjE1MTY0NwMAAAADMTYwAgAAAAQyMDIxBAAAAAEwBwAAAAk3LzMxLzIwMTgIAAAACTMvMzEvMjAxNwkAAAABMJwL1TgICdYI1F+YbzQJ1gg7Q0lRLkVOWFRQQTpJUEguSVFfVE9UQUxfRVFVSVRZLkNZMjAxNy43LzE2LzIwMTguTEZSLkYuVVNELkgBAAAAmYAGAAIAAAAKMTAzLjIxMzI1NgEIAAAABQAAAAExAQAAAAoxODg5NTUyMTY0AwAAAAMxNjACAAAABDEyNzUEAAAAATAHAAAACTcvMTYvMjAxOAgAAAAKMTIvMzEvMjAxNwkAAAABMCkclBA1CdYIczlgEjUJ1gg3Q0lRLk5BU0RBUUdTOk1HTlguSVFfUFJFRl9F</t>
  </si>
  <si>
    <t>UVVJVFkuLjcvMTYvMjAxOC5MRlIuRi5VU0QuSAEAAABPKwkAAwAAAAAAxP8bETUJ1gjCm2ISNQnWCDJDSVEuTkFTREFRQ006Q0tQVC5JUV9FQklUREEuLjcvMTYvMjAxOC5MRlIuRi5VU0QuSAEAAAC4URYRAwAAAAAAKRyUEDUJ1ggw110SNQnWCDVDSVEuTkFTREFRR006Q1JJUy5JUV9DQVBFWC4xOTk2LjcvMzEvMjAxOC5MRlIuRi5VU0QuSAEAAAAXagAAAgAAAAYtMC4zNzMBCAAAAAUAAAABMQEAAAAKMTg4NjI0NzM5NQMAAAADMTYwAgAAAAQyMDIxBAAAAAEwBwAAAAk3LzMxLzIwMTgIAAAACTMvMzEvMjAxNwkAAAABMMgwsjcICdYI3UukbzQJ1gghQ0lRLk5BU0RBUUdNOkxQVFguSVFfQ09NUEFOWV9OQU1FAQAAAAw2CQcDAAAAF0xlYXAgVGhlcmFwZXV0aWNzLCBJbmMuACkclBA1CdYIMNddEjUJ1ggsQ0lRLklRVFIyNjM3MTg2NDcuSVFfVFJfVEFSR0VUX0VCSVREQS4uVVNELkgBAAAA9wa4DwIAAAAAALKzSW80CdYIgf2VbzQJ1ggpQ0lRLk5BU0RBUUdTOkNUTVguSVFfQlVTSU5FU1NfREVTQ1JJUFRJT04BAAAA3DibAwMAAAChCEN5dG9tWCBUaGVyYXBldXRpY3MsIEluYy4gb3BlcmF0ZXMgYXMgYW4gb25jb2xvZ3ktZm9jdXNlZCBiaW9waGFybWFjZXV0aWNhbCBjb21wYW55IGluIHRoZSBVbml0ZWQgU3RhdGVzLiBUaGUgY29tcGFueSBkZXZlbG9wcyBhIG5vdmVsIGNsYXNzIG9mIGludmVzdGln</t>
  </si>
  <si>
    <t>YXRpb25hbCBhbnRpYm9keSB0aGVyYXBldXRpY3MgYmFzZWQgb24gaXRzIFByb2JvZHkgdGVjaG5vbG9neSBwbGF0Zm9ybSBmb3IgdGhlIHRyZWF0bWVudCBvZiBjYW5jZXIuIEl0cyBwcm9kdWN0IGNhbmRpZGF0ZXMgaW4gY2xpbmljYWwgc3RhZ2UgaW5jbHVkZSBDWC0wNzIsIGEgUHJvYm9keSB0aGVyYXBldXRpYyB0YXJnZXRpbmcgcHJvZ3JhbW1lZCBjZWxsIGRlYXRoIGxpZ2FuZCAxIGFudGktY2FuY2VyIHRhcmdldDsgQ1gtMjAwOSwgYSBQcm9ib2R5IGRydWcgY29uanVnYXRlIChQREMpIGFnYWluc3QgQ0QxNjYgbm92ZWwgdHVtb3IgYW50aWdlbjsgQk1TLTk4NjI0OSwgYSBDVExBLTQgUHJvYm9keSB0aGVyYXBldXRpYyBkcnVnOyBDWC0yMDI5LCBhIFBEQyB0YXJnZXRpbmcgQ0Q3MTsgYW5kIENYLTE4OCwgYSBQcm9ib2R5IHRoZXJhcGV1dGljIHRhcmdldGluZyBQRC0xIGFudGktY2FuY2VyIHRhcmdldC4gVGhlIGNvbXBhbnkgaGFzIHN0cmF0ZWdpYyBjb2xsYWJvcmF0aW9ucyB3aXRoIEFiYlZpZSBJcmVsYW5kIFVubGltaXRlZCBDb21wYW55LCBCcmlzdG9sLU15ZXJzIFNxdWliYiBDb21wYW55LCBJbW11bm9HZW4sIEluYy4sIE1EIEFuZGVyc29uLCBhbmQgUGZpemVyIEluYy4gdG8gZGV2ZWxvcCBQcm9ib2R5IHRoZXJhcGV1dGljcy4gSXQgYWxzbyBoYXMgYSBzdHJhdGVnaWMgY29sbGFi</t>
  </si>
  <si>
    <t>b3JhdGlvbiB3aXRoIEFtZ2VuLCBJbmMuIHRvIGRldmVsb3AgVCBjZWxsLWJpc3BlY2lmaWMgcHJvYm9keSB0aGVyYXBldXRpYyB0YXJnZXRpbmcgZXBpZGVybWFsIGdyb3d0aCBmYWN0b3IgcmVjZXB0b3ItQ0QzLiBDeXRvbVggVGhlcmFwZXV0aWNzLCBJbmMuIHdhcyBmb3VuZGVkIGluIDIwMDggYW5kIGlzIGhlYWRxdWFydGVyZWQgaW4gU291dGggU2FuIEZyYW5jaXNjbywgQ2FsaWZvcm5pYS4ARp0ZETUJ1gjCm2ISNQnWCD5DSVEuTkFTREFRR1M6VFNSTy5JUV9UT1RBTF9FUVVJVFkuQ1kyMDE2LjcvMTYvMjAxOC5MRlIuRi5VU0QuSAEAAABo1lgGAgAAAAc2MjguMTE4AQgAAAAFAAAAATEBAAAACjE4NzcyMjYyODQDAAAAAzE2MAIAAAAEMTI3NQQAAAABMAcAAAAJNy8xNi8yMDE4CAAAAAoxMi8zMS8yMDE2CQAAAAEwxP8bETUJ1ggS/mQSNQnWCD9DSVEuTkFTREFRR1M6QkdORS5JUV9FQklUREFfMllSX0FOTl9DQUdSLi43LzE2LzIwMTguTEZSLkYuVVNELkgBAAAA4OTdBgMAAAACTk0BCAAAAAUAAAABMQEAAAAKMTg4NzY4ODU4OAMAAAADMTYwAgAAAAQ0MjA5BAAAAAEwBwAAAAk3LzE2LzIwMTgIAAAACTMvMzEvMjAxOAkAAAABMMT/GxE1CdYIaGBnEjUJ1gg2Q0lRLk5BU0RBUUdTOk1SU04uSVFfRUJJVERBLjIwMDAuNy8zMS8yMDE4LkxGUi5GLlVTRC5IAQAAAObFGAACAAAABy00My4yOTEBCAAA</t>
  </si>
  <si>
    <t>AAUAAAABMQEAAAAKMTg4OTA5NjY1MwMAAAADMTYwAgAAAAQ0MDUxBAAAAAEwBwAAAAk3LzMxLzIwMTgIAAAACTMvMzEvMjAxOAkAAAABMNaMETgICdYIw4afbzQJ1ghCQ0lRLihJTlZBTElEIElERU5USUZJRVIpLklRX0VCSVRfTUFSR0lOLjIwMDAuNy8zMS8yMDE4LkxGUi5GLlVTRC5IBQAAAAAAAAAIAAAAFChJbnZhbGlkIElkZW50aWZpZXIpyDCyNwgJ1gjtNrBvNAnWCEJDSVEuTkFTREFRR006QUZNRC5JUV9UT1RBTF9SRVZfNVlSX0FOTl9DQUdSLi43LzE2LzIwMTguTEZSLkYuVVNELkgBAAAA2/cMAAMAAAAAACkclBA1CdYIMNddEjUJ1gg8Q0lRLk5BU0RBUUdTOkVQWk0uSVFfRUJJVERBX0VTVC5DWTIwMTguNy8zMS8yMDE4LkNPTi5GLlVTRC5IAQAAAAMmPQMDAAAAAADWjBE4CAnWCHMknW80CdYIGENJUS4uSVFfUFJJTUFSWV9JTkRVU1RSWQUAAAAAAAAACAAAABQoSW52YWxpZCBJZGVudGlmaWVyKZwL1TgICdYId3mADjUJ1ggwQ0lRLklRVFI1NjM5MTkwNDkuSVFfVFJfVEFSR0VUX0VCSVREQV9FU1QuLlVTRC5IAQAAAMm4nCECAAAAAAAMbRAONQnWCMDbgg41CdYIOUNJUS5OQVNEQVFHUzpCR05FLklRX1RPVEFMX1JFVi4xOTk2LjcvMzEvMjAxOC5MRlIuRi5VU0QuSAEAAADg5N0GAgAAAAUwLjM5MwEIAAAABQAAAAExAQAAAAoxODg3Njg4NTgzAwAAAAMxNjACAAAAAjI4BAAAAAEwBwAAAAk3</t>
  </si>
  <si>
    <t>LzMxLzIwMTgIAAAACTMvMzEvMjAxNwkAAAABMJwL1TgICdYIgf2VbzQJ1ggtQ0lRLkFTWDpJTVUuSVFfUEVSSU9EREFURV9JUy4uNy8xNi8yMDE4LkxGUi5GAQAAAJiTqQAFAAAACjEyLzMxLzIwMTcAKRyUEDUJ1ggw110SNQnWCDhDSVEuTkFTREFRR1M6TVJTTi5JUV9FQklUREEuQ1kyMDE3LjcvMTYvMjAxOC5MRlIuRi5VU0QuSAEAAADmxRgAAgAAAActMzguNjg5AQgAAAAFAAAAATEBAAAACjE4ODA1NDczOTUDAAAAAzE2MAIAAAAENDA1MQQAAAABMAcAAAAJNy8xNi8yMDE4CAAAAAoxMi8zMS8yMDE3CQAAAAEwxP8bETUJ1ghzOWASNQnWCCFDSVEuSVFUUjMwMjg2NjYyNy5JUV9UUl9CVVlFUk5BTUUBAAAAw2ANEgMAAAAXSnVubyBUaGVyYXBldXRpY3MsIEluYy4AWM8SDjUJ1ggMPoUONQnWCDpDSVEuWFRSQTpNT1IuSVFfTkVUX1dPUktJTkdfQ0FQLjIwMDAuNy8zMS8yMDE4LkxGUi5GLlVTRC5IAQAAAN8RAgACAAAACi0xMi43ODE0NDUBCAAAAAUAAAABMQEAAAAKMTg4NjE1MTY0OAMAAAADMTYwAgAAAAQxMzExBAAAAAEwBwAAAAk3LzMxLzIwMTgIAAAACTMvMzEvMjAxOAkAAAABMJwL1TgICdYI1F+YbzQJ1ggjQ0lRLk5BU0RBUUdNOkFGTUQuSVFfUEVSSU9EREFURV9JUy4BAAAA2/cMAAUAAAAJNi8zMC8yMDE4ACkclBA1CdYIMNddEjUJ1gg4Q0lRLk5BU0RBUUdTOlRTUk8uSVFfR1JPU1NfTUFS</t>
  </si>
  <si>
    <t>R0lOLi43LzE2LzIwMTguTEZSLkYuVVNELkgBAAAAaNZYBgIAAAAHODEuMjI1NQEIAAAABQAAAAExAQAAAAoxODg2MzM3NDY2AwAAAAMxNjACAAAABDQwNzQEAAAAATAHAAAACTcvMTYvMjAxOAgAAAAJMy8zMS8yMDE4CQAAAAEwxP8bETUJ1ggS/mQSNQnWCD9DSVEuTkFTREFRR1M6TVJTTi5JUV9ORVRfV09SS0lOR19DQVAuMTk5Ni43LzMxLzIwMTguTEZSLkYuVVNELkgBAAAA5sUYAAIAAAAHLTMwLjg1MwEIAAAABQAAAAExAQAAAAoxODg5MDk2NTk3AwAAAAMxNjACAAAABDEzMTEEAAAAATAHAAAACTcvMzEvMjAxOAgAAAAJMy8zMS8yMDE3CQAAAAEw1owROAgJ1gjDhp9vNAnWCDhDSVEuTkFTREFRR1M6Sk5DRS5JUV9HUk9TU19NQVJHSU4uLjcvMTYvMjAxOC5MRlIuRi5VU0QuSAEAAADieZ4NAgAAAAc0NC42NTU0AQgAAAAFAAAAATEBAAAACjE4ODgxODYzNzQDAAAAAzE2MAIAAAAENDA3NAQAAAABMAcAAAAJNy8xNi8yMDE4CAAAAAkzLzMxLzIwMTgJAAAAATApHJQQNQnWCJgSWRI1CdYIKENJUS5OQVNEQVFHUzpTR0VOLklRX0NBUEVYLi4uTEZSLkYuVVNELkgBAAAAYYUAAAIAAAAGLTAuNjU2AQgAAAAFAAAAATEBAAAACjE4OTcyMzM1MTgDAAAAAzE2MAIAAAAEMjAyMQQAAAABMAcAAAAJOC8yMy8yMDE4CAAAAAk2LzMwLzIwMTgJAAAAATBGnRkRNQnWCEadGRE1CdYIQkNJUS5OQVNEQVFHUzpNUlNO</t>
  </si>
  <si>
    <t>LklRX1RPVEFMX1JFVl8yWVJfQU5OX0NBR1IuLjcvMTYvMjAxOC5MRlIuRi5VU0QuSAEAAADmxRgAAwAAAAAAKRyUEDUJ1ghzOWASNQnWCD9DSVEuTkFTREFRR006Q1JJUy5JUV9ORVRfV09SS0lOR19DQVAuMTk5Mi43LzMxLzIwMTguTEZSLkYuVVNELkgBAAAAF2oAAAIAAAAJLTMuNzEzNzA1AQgAAAAFAAAAATEBAAAACjE4NDA1MDEwOTkDAAAAAzE2MAIAAAAEMTMxMQQAAAABMAcAAAAJNy8zMS8yMDE4CAAAAAkzLzMxLzIwMTYJAAAAATDIMLI3CAnWCN1LpG80CdYIOkNJUS5OQVNEQVFHUzpFUFpNLklRX0VBUk5JTkdfQ08uMTk5Mi43LzMxLzIwMTguTEZSLkYuVVNELkgBAAAAAyY9AwIAAAAHLTkzLjkyOQEIAAAABQAAAAExAQAAAAoxODQwNjMwMzk0AwAAAAMxNjACAAAAATcEAAAAATAHAAAACTcvMzEvMjAxOAgAAAAJMy8zMS8yMDE2CQAAAAEw1owROAgJ1ghzJJ1vNAnWCDtDSVEuTkFTREFRR006RkFURS5JUV9FQklUX01BUkdJTi4yMDAwLjcvMzEvMjAxOC5MRlIuRi5VU0QuSAEAAABoMVcCAwAAAAJOTQEIAAAABQAAAAExAQAAAAoxODg4NTAwNTI3AwAAAAMxNjACAAAABDQwNTMEAAAAATAHAAAACTcvMzEvMjAxOAgAAAAJMy8zMS8yMDE4CQAAAAEw1owROAgJ1gjDhp9vNAnWCCdDSVEuTkFTREFRR1M6TVJTTi5JUV9CRVRBXzVZUi43LzMxLzIwMTgBAAAA5sUYAAMAAAAAANaMETgICdYIw4afbzQJ</t>
  </si>
  <si>
    <t>1ghGQ0lRLk5BU0RBUUdTOk1SU04uSVFfVE9UQUxfUkVWXzNZUl9BTk5fQ0FHUi4yMDAwLjcvMzEvMjAxOC5MRlIuRi5VU0QuSAEAAADmxRgAAwAAAAAA1owROAgJ1gjDhp9vNAnWCD5DSVEuTkFTREFRR1M6QURYUy5JUV9UT1RBTF9FUVVJVFkuQ1kyMDE3LjcvMTYvMjAxOC5MRlIuRi5VU0QuSAEAAACe7HgAAgAAAAkzOS4yNzA4MDUBCAAAAAUAAAABMQEAAAAKMTg3ODAxMjQ3MwMAAAADMTYwAgAAAAQxMjc1BAAAAAEwBwAAAAk3LzE2LzIwMTgIAAAACTEvMzEvMjAxOAkAAAABMCkclBA1CdYI5HRbEjUJ1ggnQ0lRLk5BU0RBUUNNOk1URU0uSVFfQkVUQV81WVIuNy8zMS8yMDE4AQAAAJmbqQEDAAAAAADIMLI3CAnWCBnpoW80CdYIPENJUS5OQVNEQVFHUzpHVEhYLklRX0VCSVREQV9FU1QuQ1kyMDE4LjcvMzEvMjAxOC5DT04uRi5VU0QuSAEAAABlNGkIAgAAAAktODYuODM4NTUBDgAAAAUAAAACMTEBAAAAATACAAAACjEwMDM3NTE1ODIDAAAABjEwMDE4NwQAAAABMgYAAAABMAcAAAADMTYwCAAAAAEwCQAAAAExCgAAAAEwCwAAAAsxMDkwOTU0MzExNQwAAAABNw0AAAAIOC8xLzIwMTgQAAAACTcvMzEvMjAxOJwL1TgICdYIJMKabzQJ1gg7Q0lRLk5BU0RBUUdTOk1SU04uSVFfVE9UQUxfUkVWLkNZMjAxNy43LzE2LzIwMTguTEZSLkYuVVNELkgBAAAA5sUYAAIAAAAGMTcuNTQ1AQgAAAAFAAAAATEBAAAA</t>
  </si>
  <si>
    <t>CjE4ODA1NDczOTUDAAAAAzE2MAIAAAACMjgEAAAAATAHAAAACTcvMTYvMjAxOAgAAAAKMTIvMzEvMjAxNwkAAAABMMT/GxE1CdYIczlgEjUJ1gg6Q0lRLk9UQ1BLOk5XQk8uSVFfUkVWRU5VRV9FU1QuQ1kyMDIwLjcvMTYvMjAxOC5DT04uRi5VU0QuSAEAAACjehQAAwAAAAAAKRyUEDUJ1ghzOWASNQnWCEZDSVEuTkFTREFRR1M6QVROWC5JUV9UT1RBTF9SRVZfNVlSX0FOTl9DQUdSLjIwMDAuNy8zMS8yMDE4LkxGUi5GLlVTRC5IAQAAANyZawEDAAAAAADWjBE4CAnWCCTCmm80CdYINUNJUS5PVENQSzpOV0JPLklRX0VCSVREQS5DWTIwMTYuNy8xNi8yMDE4LkxGUi5GLlVTRC5IAQAAAKN6FAACAAAABy03OS4wNzcBCAAAAAUAAAABMQEAAAAKMTg4MzI0OTA2NQMAAAADMTYwAgAAAAQ0MDUxBAAAAAEwBwAAAAk3LzE2LzIwMTgIAAAACjEyLzMxLzIwMTYJAAAAATApHJQQNQnWCHM5YBI1CdYIOkNJUS5OQVNEQVFHTTpBUlJZLklRX0VBUk5JTkdfQ08uMTk5Ni43LzMxLzIwMTguTEZSLkYuVVNELkgBAAAA+GEAAAIAAAAHLTExMi4yNAEIAAAABQAAAAExAQAAAAoxODg4NDcwNjU2AwAAAAMxNjACAAAAATcEAAAAATAHAAAACTcvMzEvMjAxOAgAAAAJMy8zMS8yMDE3CQAAAAEwnAvVOAgJ1ggkwppvNAnWCClDSVEuSVFUUjQwOTk1MTg4Ni5JUV9CVVNJTkVTU19ERVNDUklQVElPTgEAAACYs1wNAwAAAL8FVmly</t>
  </si>
  <si>
    <t>dHR1IEJpb2xvZ2ljcyBMaW1pdGVkIGlzIGEgYmlvdGVjaG5vbG9neSBjb21wYW55IHRoYXQgZW5nYWdlcyBpbiB0aGUgZGV2ZWxvcG1lbnQgb2Ygb25jb2x5dGljIHZpcnVzZXMgZm9yIHRyZWF0aW5nIGNhbmNlci4gSXQgZGV2ZWxvcHMgU0VQUkVIVklSLCBhbiBvbmNvbHl0aWMgaW1tdW5vdGhlcmFweSBkZXJpdmVkIGZyb20gYSBtb2RpZmllZCB2ZXJzaW9uIG9mIHRoZSBjb21tb24gaHVtYW4gaGVycGVzIHNpbXBsZXggdmlydXMgdG8gdHJlYXQgcGF0aWVudHMgd2l0aCB2YXJpb3VzIHR5cGVzIG9mIGNhbmNlciwgaW5jbHVkaW5nIGJyYWluLCBtZWxhbm9tYSwgaGVhZCBhbmQgbmVjayBjYW5jZXIsIHNhcmNvbWFzLCBuZXVyb2JsYXN0b21hLCBhbmQgbWVzb3RoZWxpb21hLiBUaGUgY29tcGFueSB3YXMgZm9ybWVybHkga25vd24gYXMgQ3J1c2FkZSBMYWJvcmF0b3JpZXMgTGltaXRlZCBhbmQgY2hhbmdlZCBpdHMgbmFtZSB0byBWaXJ0dHUgQmlvbG9naWNzIExpbWl0ZWQgaW4gQXVndXN0IDIwMTEuIFZpcnR0dSBCaW9sb2dpY3MgTGltaXRlZCB3YXMgaW5jb3Jwb3JhdGVkIGluIDE5OTkgYW5kIGlzIGJhc2VkIGluIExlZWRzLCBVbml0ZWQgS2luZ2RvbS4gQXMgb2YgQXByaWwgMjgsIDIwMTcsIFZpcnR0dSBCaW9sb2dpY3MgTGltaXRlZCBvcGVyYXRlcyBhcyBhIHN1YnNpZGlhcnkgb2YgVE5L</t>
  </si>
  <si>
    <t>IFRoZXJhcGV1dGljcywgSW5jLgAMbRAONQnWCMDbgg41CdYIPUNJUS5OQVNEQVFDTTpNVEVNLklRX1JFVkVOVUVfRVNULkNZMjAyMC43LzMxLzIwMTguQ09OLkYuVVNELkgBAAAAmZupAQMAAAAAAMgwsjcICdYIGemhbzQJ1ggkQ0lRLk5BU0RBUUdTOkNUTVguSVFfRUZGRUNUX1RBWF9SQVRFAQAAANw4mwMDAAAAAk5NAQgAAAAFAAAAATEBAAAACjE4OTkyNzQyMjMDAAAAAzE2MAIAAAAENDM3NgQAAAABMAcAAAAJOC8yMy8yMDE4CAAAAAk2LzMwLzIwMTgJAAAAATDE/xsRNQnWCMKbYhI1CdYIM0NJUS5OQVNEQVFHUzpTR0VOLklRX0VBUk5JTkdfQ08uQ1kyMDE3Li5MRlIuRi5VU0QuSAEAAABhhQAAAgAAAActMTI1LjUzAQgAAAAFAAAAATEBAAAACjE4NzQ2OTYyMjADAAAAAzE2MAIAAAABNwQAAAABMAcAAAAJOC8yMy8yMDE4CAAAAAoxMi8zMS8yMDE3CQAAAAEwRp0ZETUJ1ghGnRkRNQnWCDRDSVEuKElOVkFMSUQgSURFTlRJRklFUikuSVFfRElWSURFTkRfWUlFTEQuNy8xNi8yMDE4BQAAAAAAAAAIAAAAFChJbnZhbGlkIElkZW50aWZpZXIp3qd+EDUJ1giYElkSNQnWCDZDSVEuTkFTREFRR1M6Q0FMQS5JUV9FQklUREEuMjAwMC43LzMxLzIwMTguTEZSLkYuVVNELkgBAAAApSeBBgIAAAAHLTM3LjMzMwEIAAAABQAAAAExAQAAAAoxODg3OTgwMzA1AwAAAAMxNjACAAAABDQwNTEEAAAAATAHAAAACTcv</t>
  </si>
  <si>
    <t>MzEvMjAxOAgAAAAJMy8zMS8yMDE4CQAAAAEwyDCyNwgJ1gjdS6RvNAnWCDZDSVEuWFRSQTpNT1IuSVFfUFJFRl9FUVVJVFkuMjAwMC43LzMxLzIwMTguTEZSLkYuVVNELkgBAAAA3xECAAMAAAAAAJwL1TgICdYI1F+YbzQJ1ggvQ0lRLklRVFI1MzM2Mzk1MDEuSVFfVFJfSU1QTElFRF9FVl9GSU5BTC4uVVNELkgBAAAATbHOHwIAAAAAAAxtEA41CdYIwNuCDjUJ1gg8Q0lRLk5BU0RBUUNNOlpJT1AuSVFfRUJJVERBX0VTVC5DWTIwMjAuNy8zMS8yMDE4LkNPTi5GLlVTRC5IAQAAALNRsgACAAAAAy02NAEOAAAABQAAAAIxMQEAAAABMAIAAAAKMTAwMDg5ODA3NgMAAAAGMTAwMTg3BAAAAAEyBgAAAAEwBwAAAAMxNjAIAAAAATAJAAAAATEKAAAAATALAAAACzEwOTMxNTMzNTY5DAAAAAE3DQAAAAg4LzEvMjAxOBAAAAAJNy8zMS8yMDE41owROAgJ1gjDhp9vNAnWCDdDSVEuQVNYOklNVS5JUV9SRVZFTlVFX0VTVC5DWTIwMTkuNy8xNi8yMDE4LkNPTi5GLlVTRC5IAQAAAJiTqQADAAAAAAApHJQQNQnWCDDXXRI1CdYIPENJUS5OQVNEQVFHUzpBVE5YLklRX0VCSVREQV9FU1QuQ1kyMDE5LjcvMzEvMjAxOC5DT04uRi5VU0QuSAEAAADcmWsBAgAAAAktNDguNTI3NTQBDgAAAAUAAAACMTEBAAAAATACAAAACjEwMDM3NzgzNjkDAAAABjEwMDE4NwQAAAABMgYAAAABMAcAAAADMTYwCAAAAAEwCQAAAAExCgAAAAEw</t>
  </si>
  <si>
    <t>CwAAAAsxMTA0MTYyNjk1MgwAAAABNw0AAAAIOC8xLzIwMTgQAAAACTcvMzEvMjAxONaMETgICdYIJMKabzQJ1gg9Q0lRLk5BU0RBUUdTOktVUkEuSVFfUkVWRU5VRV9FU1QuQ1kyMDE5LjcvMzEvMjAxOC5DT04uRi5VU0QuSAEAAAC4y9oQAgAAAAUyMC40NgEOAAAABQAAAAIxMQEAAAABMAIAAAAKMTAwMzE4NDk5MAMAAAAGMTAwMTgwBAAAAAEyBgAAAAEwBwAAAAMxNjAIAAAAATAJAAAAATEKAAAAATALAAAACzExMDIzMTA0NjExDAAAAAE3DQAAAAg4LzEvMjAxOBAAAAAJNy8zMS8yMDE41owROAgJ1ghzJJ1vNAnWCEZDSVEuTkFTREFRQ006U1JORS5JUV9UT1RBTF9SRVZfNVlSX0FOTl9DQUdSLjIwMDAuNy8zMS8yMDE4LkxGUi5GLlVTRC5IAQAAAElDlAMCAAAABzIwMi4yMzIBCAAAAAUAAAABMQEAAAAKMTg4Nzk4OTgzMQMAAAADMTYwAgAAAAQ0MjMzBAAAAAEwBwAAAAk3LzMxLzIwMTgIAAAACTMvMzEvMjAxOAkAAAABMNaMETgICdYIcySdbzQJ1ggjQ0lRLlhUUkE6TU9SLklRX1RFVi43LzMxLzIwMTguVVNELkgBAAAA3xECAAIAAAALMzg0OS41NDc3NzcBBgAAAAUAAAABMQEAAAAKMTg4NjE1MTU5OAMAAAADMTYwAgAAAAYxMDAwNjAEAAAAATAHAAAACTcvMzEvMjAxOJwL1TgICdYI1F+YbzQJ1ggxQ0lRLklRVFIzMDc4NjM5ODQuSVFfVFJfVEFSR0VUX1JFVkVOVUVfRVNULi5VU0QuSAEAAACwoVkS</t>
  </si>
  <si>
    <t>AgAAAAAAWM8SDjUJ1gjA24IONQnWCCdDSVEuTkFTREFRR006TkxOSy5JUV9CRVRBXzVZUi43LzE2LzIwMTgBAAAAlXuMAAIAAAAQMS41MDg5MTk0MTAwODQzMwApHJQQNQnWCOR0WxI1CdYII0NJUS5JUVRSMjczNTA3MTg1LklRX1RSX1RPVEFMX1NUT0NLAQAAAHFjTRACAAAAAACys0lvNAnWCIH9lW80CdYILENJUS5OQVNEQVFHUzpCR05FLklRX0NBUEVYLjE5OTYuLkxGUi5GLlVTRC5IAQAAAODk3QYCAAAABy0yMy42MjUBCAAAAAUAAAABMQEAAAAKMTg5OTkwMDYxOAMAAAADMTYwAgAAAAQyMDIxBAAAAAEwBwAAAAk4LzIzLzIwMTgIAAAACTYvMzAvMjAxNwkAAAABMJwL1TgICdYInAvVOAgJ1ggrQ0lRLk5BU0RBUUdTOkVQWk0uSVFfTEFTVFNBTEVQUklDRS41LzUvMjAxNwEAAAADJj0DAgAAAAQxNi4zANaMETgICdYIcySdbzQJ1gglQ0lRLklRVFI1NTExNjYyOTIuSVFfUFJJTUFSWV9JTkRVU1RSWQEAAAALZAAAAwAAAA1CaW90ZWNobm9sb2d5AAxtEA41CdYIwNuCDjUJ1gg6Q0lRLk5BU0RBUUdNOklNTVUuSVFfRUFSTklOR19DTy4xOTk2LjcvMzEvMjAxOC5MRlIuRi5VU0QuSAEAAAAgQwQAAgAAAAstMTE1LjkyMjc5MwEIAAAABQAAAAExAQAAAAoxODg4NTIzMzkyAwAAAAMxNjACAAAAATcEAAAAATAHAAAACTcvMzEvMjAxOAgAAAAJMy8zMS8yMDE3CQAAAAEwnAvVOAgJ1gjUX5hvNAnWCDxDSVEu</t>
  </si>
  <si>
    <t>TkFTREFRR1M6Q1RNWC5JUV9FQVJOSU5HX0NPLkNZMjAxNy43LzE2LzIwMTguTEZSLkYuVVNELkgBAAAA3DibAwIAAAAHLTQzLjA5OQEIAAAABQAAAAExAQAAAAoxODc3MzE2NzY5AwAAAAMxNjACAAAAATcEAAAAATAHAAAACTcvMTYvMjAxOAgAAAAKMTIvMzEvMjAxNwkAAAABMMT/GxE1CdYIwptiEjUJ1ggpQ0lRLklRVFI0MDM3OTE3NjcuSVFfVFJfSU1QTElFRF9FUV9OSV9MVE0BAAAAl18RGAIAAAAAAFjPEg41CdYIwNuCDjUJ1gg8Q0lRLk5BU0RBUUdNOkFGTUQuSVFfRUJJVERBX0VTVC5DWTIwMTkuNy8xNi8yMDE4LkNPTi5GLlVTRC5IAQAAANv3DAADAAAAAAApHJQQNQnWCDDXXRI1CdYIIkNJUS5PVENQSzpOV0JPLklRX0ZJUlNUUFJJQ0lOR0RBVEUBAAAAo3oUAAUAAAAKMTIvMTQvMjAwMQApHJQQNQnWCHM5YBI1CdYIO0NJUS5OQVNEQVFHTTpBUlFMLklRX1RPVEFMX1JFVi5DWTIwMTcuNy8zMS8yMDE4LkxGUi5GLlVTRC5IAQAAAPZhAAADAAAAAADWjBE4CAnWCHMknW80CdYIOENJUS5OQVNEQVFDTTpTUk5FLklRX0VCSVREQS5DWTIwMTYuNy8zMS8yMDE4LkxGUi5GLlVTRC5IAQAAAElDlAMCAAAABy01Ny4wMTMBCAAAAAUAAAABMQEAAAAKMTg3ODY3NzQ1MwMAAAADMTYwAgAAAAQ0MDUxBAAAAAEwBwAAAAk3LzMxLzIwMTgIAAAACjEyLzMxLzIwMTYJAAAAATDWjBE4CAnWCHMknW80CdYIPENJ</t>
  </si>
  <si>
    <t>US5OQVNEQVFDTTpTUk5FLklRX1RPVEFMX0VRVUlUWS4xOTkyLjcvMzEvMjAxOC5MRlIuRi5VU0QuSAEAAABJQ5QDAgAAAAY4OC45NjMBCAAAAAUAAAABMQEAAAAKMTg0MjI1MTEyMwMAAAADMTYwAgAAAAQxMjc1BAAAAAEwBwAAAAk3LzMxLzIwMTgIAAAACTMvMzEvMjAxNgkAAAABMNaMETgICdYIcySdbzQJ1ggsQ0lRLklRVFIyNTM5NTQ0NzMuSVFfVFJfVEFSR0VUX0VCSVREQS4uVVNELkgBAAAAqQkjDwIAAAAAALKzSW80CdYINZuTbzQJ1gguQ0lRLk5BU0RBUUdTOkVQWk0uSVFfTUFSS0VUQ0FQLjcvMzEvMjAxOC5VU0QuSAEAAAADJj0DAgAAAAo4OTYuMzkyNzIzAQYAAAAFAAAAATEBAAAACjE4ODcyNDU0NDgDAAAAAzE2MAIAAAAGMTAwMDU0BAAAAAEwBwAAAAk3LzMxLzIwMTjWjBE4CAnWCCTCmm80CdYIKkNJUS5FTlhUUEE6SVBILklRX0RJVklERU5EX1lJRUxELjcvMTYvMjAxOAEAAACZgAYAAwAAAAAAKRyUEDUJ1ghzOWASNQnWCD1DSVEuTkFTREFRR1M6U0dFTi5JUV9SRVZFTlVFX0VTVC5DWTIwMjEuNy8xNi8yMDE4LkNPTi5GLlVTRC5IAQAAAGGFAAACAAAACTE0OTYuNjk2NgEOAAAABQAAAAIxMQEAAAABMAIAAAAKMTAwMTAxMDQ1NQMAAAAGMTAwMTgwBAAAAAEyBgAAAAEwBwAAAAMxNjAIAAAAATAJAAAAATEKAAAAATALAAAACzEwOTY1ODQ1MTg2DAAAAAE3DQAAAAk3LzE3LzIwMTgQAAAA</t>
  </si>
  <si>
    <t>CTcvMTYvMjAxOMT/GxE1CdYIaGBnEjUJ1gg8Q0lRLk5BU0RBUUdTOkFEWFMuSVFfRUJJVERBX0VTVC5DWTIwMTguNy8xNi8yMDE4LkNPTi5GLlVTRC5IAQAAAJ7seAADAAAAAAApHJQQNQnWCOR0WxI1CdYILUNJUS5OQVNEQVFHTTpBUlJZLklRX01BUktFVENBUC41LzUvMjAxNy5VU0QuSAEAAAD4YQAAAgAAAAsxMjEzLjQ3MjAxOQEGAAAABQAAAAExAQAAAAoxODI2ODM3OTE4AwAAAAMxNjACAAAABjEwMDA1NAQAAAABMAcAAAAINS81LzIwMTecC9U4CAnWCCTCmm80CdYIPUNJUS5OQVNEQVFHUzpHVEhYLklRX1JFVkVOVUVfRVNULkNZMjAxOS43LzMxLzIwMTguQ09OLkYuVVNELkgBAAAAZTRpCAIAAAABMAEOAAAABQAAAAIxMQEAAAABMAIAAAAKMTAwMzc1MTU4NwMAAAAGMTAwMTgwBAAAAAEyBgAAAAEwBwAAAAMxNjAIAAAAATAJAAAAATEKAAAAATALAAAACzExMDI5ODQ0Nzk5DAAAAAE3DQAAAAg4LzEvMjAxOBAAAAAJNy8zMS8yMDE4nAvVOAgJ1ggkwppvNAnWCD1DSVEuTkFTREFRR1M6QURYUy5JUV9SRVZFTlVFX0VTVC5DWTIwMTkuNy8xNi8yMDE4LkNPTi5GLlVTRC5IAQAAAJ7seAACAAAABjguODYxNQEOAAAABQAAAAIxMQEAAAABMAIAAAAJNjUwNjU1MDU2AwAAAAYxMDAxODAEAAAAATIGAAAAATAHAAAAAzE2MAgAAAABMAkAAAABMQoAAAABMAsAAAALMTA5MjQwNjUyMjgMAAAAATcNAAAACTcv</t>
  </si>
  <si>
    <t>MTcvMjAxOBAAAAAJNy8xNi8yMDE4KRyUEDUJ1gjkdFsSNQnWCD1DSVEuTkFTREFRR006SU1NVS5JUV9SRVZFTlVFX0VTVC5DWTIwMTkuNy8xNi8yMDE4LkNPTi5GLlVTRC5IAQAAACBDBAACAAAABzg4LjA2NjcBDgAAAAUAAAACMTEBAAAAATACAAAACTI4NDQzNDAyNQMAAAAGMTAwMTgwBAAAAAEyBgAAAAEwBwAAAAMxNjAIAAAAATAJAAAAATEKAAAAATALAAAACzEwOTU4Njc2MDQ3DAAAAAE3DQAAAAk3LzE3LzIwMTgQAAAACTcvMTYvMjAxOMT/GxE1CdYIaGBnEjUJ1ghNQ0lRLihJTlZBTElEIElERU5USUZJRVIpLklRX1RPVEFMX1JFVl8zWVJfQU5OX0NBR1IuMjAwMC43LzMxLzIwMTguTEZSLkYuVVNELkgFAAAAAAAAAAgAAAAUKEludmFsaWQgSWRlbnRpZmllcinIMLI3CAnWCO02sG80CdYIOENJUS5OQVNEQVFHUzpGUFJYLklRX1RPVEFMX0VRVUlUWS4uNy8xNi8yMDE4LkxGUi5GLlVTRC5IAQAAADddMwACAAAABzM2Mi4yMTYBCAAAAAUAAAABMQEAAAAKMTg4NzQwMjIyNwMAAAADMTYwAgAAAAQxMjc1BAAAAAEwBwAAAAk3LzE2LzIwMTgIAAAACTMvMzEvMjAxOAkAAAABMCkclBA1CdYIczlgEjUJ1ggpQ0lRLklRMzYxODM4MjguSVFfTEFTVFNBTEVQUklDRS43LzMxLzIwMTgBAAAAFB8oAgIAAAAEMi43NwBJU0dvNAnWCIH9lW80CdYILkNJUS5OQVNEQVFHTTpBRk1ELklRX01BUktFVENBUC43LzE2</t>
  </si>
  <si>
    <t>LzIwMTguVVNELkgBAAAA2/cMAAIAAAAKMTA5LjE4MjYxOQEGAAAABQAAAAExAQAAAAoxODg5ODY1NTk1AwAAAAMxNjACAAAABjEwMDA1NAQAAAABMAcAAAAJNy8xNi8yMDE4KRyUEDUJ1ggw110SNQnWCD1DSVEuTkFTREFRR1M6QkdORS5JUV9SRVZFTlVFX0VTVC5DWTIwMTguNy8xNi8yMDE4LkNPTi5GLlVTRC5IAQAAAODk3QYCAAAACTEwNS42MzY2NwEOAAAABQAAAAIxMQEAAAABMAIAAAAKMTAwMzMyNjI2MwMAAAAGMTAwMTgwBAAAAAEyBgAAAAEwBwAAAAMxNjAIAAAAATAJAAAAATEKAAAAATALAAAACzExMDMyMzY1OTQ2DAAAAAE3DQAAAAk3LzE3LzIwMTgQAAAACTcvMTYvMjAxOMT/GxE1CdYIaGBnEjUJ1gg7Q0lRLk5BU0RBUUdNOkFSUlkuSVFfUFJFRl9FUVVJVFkuMjAwMC43LzMxLzIwMTguTEZSLkYuVVNELkgBAAAA+GEAAAMAAAAAAJwL1TgICdYI1F+YbzQJ1gg5Q0lRLk5BU0RBUUdTOk1SU04uSVFfRUJJVERBX01BUkdJTi4uNy8xNi8yMDE4LkxGUi5GLlVTRC5IAQAAAObFGAACAAAACS0yNjUuMjc5NwEIAAAABQAAAAExAQAAAAoxODg5MDk2NjUzAwAAAAMxNjACAAAABDQwNDcEAAAAATAHAAAACTcvMTYvMjAxOAgAAAAJMy8zMS8yMDE4CQAAAAEwxP8bETUJ1ghzOWASNQnWCDBDSVEuTkFTREFRR1M6VFNSTy5JUV9MQVNUU0FMRVBSSUNFLjcvMTYvMjAxOC5VU0QBAAAAaNZYBgIAAAAFNDAu</t>
  </si>
  <si>
    <t>NTUARp0ZETUJ1ggS/mQSNQnWCCxDSVEuSVFUUjU0NzQyMzY4MC5JUV9UUl9UQVJHRVRfRUJJVERBLi5VU0QuSAEAAADABaEgAgAAAAgtMTIwLjA1MgEGAAAABQAAAAIzNwEAAAAKMTg2NDQ2NDE4NAIAAAAFMjE2NzcDAAAAAzE2MAQAAAABMAcAAAAIMS8xLzE5MDAMbRAONQnWCMDbgg41CdYIKkNJUS5JUVRSNTYzOTE5MDQ5LklRX1RSX1RBUkdFVF9FQklULi5VU0QuSAEAAADJuJwhAgAAAActNTUuMzcyAQYAAAAFAAAAAjM3AQAAAAoxODg4OTc5MDk1AgAAAAUyMTY3NQMAAAADMTYwBAAAAAEwBwAAAAgxLzEvMTkwMAxtEA41CdYIwNuCDjUJ1ghCQ0lRLk5BU0RBUUdTOkJHTkUuSVFfVE9UQUxfUkVWXzNZUl9BTk5fQ0FHUi4uNy8xNi8yMDE4LkxGUi5GLlVTRC5IAQAAAODk3QYCAAAACDE4My45NDIzAQgAAAAFAAAAATEBAAAACjE4ODc2ODg1ODgDAAAAAzE2MAIAAAAENDIyMAQAAAABMAcAAAAJNy8xNi8yMDE4CAAAAAkzLzMxLzIwMTgJAAAAATDE/xsRNQnWCGhgZxI1CdYIRENJUS4oSU5WQUxJRCBJREVOVElGSUVSKS5JUV9SRVZFTlVFX0VTVC5DWTIwMTguNy8xNi8yMDE4LkNPTi5GLlVTRC5IBQAAAAAAAAAIAAAAFChJbnZhbGlkIElkZW50aWZpZXIpIAqBEDUJ1giYElkSNQnWCDZDSVEuTkFTREFRQ006U1JORS5JUV9FQklUREEuMTk5Mi43LzMxLzIwMTguTEZSLkYuVVNELkgBAAAASUOUAwIAAAAH</t>
  </si>
  <si>
    <t>LTQ5LjQ3NwEIAAAABQAAAAExAQAAAAoxODQyMjUxMTIzAwAAAAMxNjACAAAABDQwNTEEAAAAATAHAAAACTcvMzEvMjAxOAgAAAAJMy8zMS8yMDE2CQAAAAEw1owROAgJ1ghzJJ1vNAnWCD5DSVEuTkFTREFRQ006U1JORS5JUV9DQVNIX1NUX0lOVkVTVC4yMDAwLjcvMzEvMjAxOC5MRlIuRi5VU0QuSAEAAABJQ5QDAgAAAAYyNC42OTYBCAAAAAUAAAABMQEAAAAKMTg4Nzk4OTgzMQMAAAADMTYwAgAAAAQxMDAyBAAAAAEwBwAAAAk3LzMxLzIwMTgIAAAACTMvMzEvMjAxOAkAAAABMNaMETgICdYIcySdbzQJ1gg2Q0lRLk5BU0RBUUdNOkNSVlMuSVFfRUJJVERBLjE5OTYuNy8zMS8yMDE4LkxGUi5GLlVTRC5IAQAAAPSwphACAAAABy00Ni4wNzUBCAAAAAUAAAABMQEAAAAKMTg4NjM2NzU3OQMAAAADMTYwAgAAAAQ0MDUxBAAAAAEwBwAAAAk3LzMxLzIwMTgIAAAACTMvMzEvMjAxNwkAAAABMNaMETgICdYIGemhbzQJ1ggzQ0lRLk5BU0RBUUdTOlNHRU4uSVFfRUFSTklOR19DTy5DWTIwMTYuLkxGUi5GLlVTRC5IAQAAAGGFAAACAAAACC0xNDAuMTExAQgAAAAFAAAAATEBAAAACjE4NzQ2OTYxOTYDAAAAAzE2MAIAAAABNwQAAAABMAcAAAAJOC8yMy8yMDE4CAAAAAoxMi8zMS8yMDE2CQAAAAEwRp0ZETUJ1ghGnRkRNQnWCCxDSVEuSVFUUjQxMzk1MzY2MS5JUV9UUl9UQVJHRVRfRUJJVERBLi5VU0QuSAEAAAB9</t>
  </si>
  <si>
    <t>bqwYAgAAAAAAsrNJbzQJ1giB/ZVvNAnWCDFDSVEuTkFTREFRR006TFBUWC5JUV9EQV9DRi4uNy8xNi8yMDE4LkxGUi5GLlVTRC5IAQAAAAw2CQcCAAAABTAuMDM1AQgAAAAFAAAAATEBAAAACjE4OTAxNjM5MzYDAAAAAzE2MAIAAAAEMjE2MAQAAAABMAcAAAAJNy8xNi8yMDE4CAAAAAkzLzMxLzIwMTgJAAAAATApHJQQNQnWCGhgZxI1CdYIOENJUS5OQVNEQVFHUzpDQUxBLklRX0VCSVREQS5DWTIwMTcuNy8zMS8yMDE4LkxGUi5GLlVTRC5IAQAAAKUngQYCAAAABy0yOS4zMjEBCAAAAAUAAAABMQEAAAAKMTg3Nzk1NTcwNwMAAAADMTYwAgAAAAQ0MDUxBAAAAAEwBwAAAAk3LzMxLzIwMTgIAAAACjEyLzMxLzIwMTcJAAAAATDIMLI3CAnWCN1LpG80CdYIIUNJUS5JUVRSMzE0ODI5MjM2LklRX1RSX0JVWUVSTkFNRQEAAAC06cMSAwAAABlOb3ZhcnRpcyBJbnRlcm5hdGlvbmFsIEFHAFjPEg41CdYIwNuCDjUJ1gg8Q0lRLk5BU0RBUUdTOkNBTEEuSVFfRUJJVERBX0VTVC5DWTIwMTkuNy8xNi8yMDE4LkNPTi5GLlVTRC5IAQAAAKUngQYDAAAAAAApHJQQNQnWCOR0WxI1CdYIOUNJUS5OQVNEQVFHUzpNR05YLklRX0VCSVREQV9NQVJHSU4uLjcvMTYvMjAxOC5MRlIuRi5VU0QuSAEAAABPKwkAAgAAAAgtMTcuMTgyMQEIAAAABQAAAAExAQAAAAoxODg3MTE0OTQ1AwAAAAMxNjACAAAABDQwNDcEAAAAATAHAAAA</t>
  </si>
  <si>
    <t>CTcvMTYvMjAxOAgAAAAJMy8zMS8yMDE4CQAAAAEwxP8bETUJ1gjCm2ISNQnWCDhDSVEuTkFTREFRR1M6VFNSTy5JUV9UT1RBTF9FUVVJVFkuLjcvMTYvMjAxOC5MRlIuRi5VU0QuSAEAAABo1lgGAgAAAAcxMTcuNzI4AQgAAAAFAAAAATEBAAAACjE4ODYzMzc0NjYDAAAAAzE2MAIAAAAEMTI3NQQAAAABMAcAAAAJNy8xNi8yMDE4CAAAAAkzLzMxLzIwMTgJAAAAATDE/xsRNQnWCBL+ZBI1CdYIL0NJUS5JUVRSNTMzNjM5NTAxLklRX1RSX1RBUkdFVF9UT1RBTF9SRVYuLlVTRC5IAQAAAE2xzh8CAAAAAAAMbRAONQnWCMDbgg41CdYINkNJUS5OQVNEQVFDTTpTUk5FLklRX0VCSVREQS4xOTk2LjcvMzEvMjAxOC5MRlIuRi5VU0QuSAEAAABJQ5QDAgAAAActNjcuOTM3AQgAAAAFAAAAATEBAAAACjE4ODc5ODk4MjgDAAAAAzE2MAIAAAAENDA1MQQAAAABMAcAAAAJNy8zMS8yMDE4CAAAAAkzLzMxLzIwMTcJAAAAATDWjBE4CAnWCHMknW80CdYIPENJUS5OQVNEQVFHTTpBUlJZLklRX0VBUk5JTkdfQ08uQ1kyMDE2LjcvMzEvMjAxOC5MRlIuRi5VU0QuSAEAAAD4YQAAAgAAAActOTkuNTk4AQgAAAAFAAAAATEBAAAACjE4NzMyMDM3OTUDAAAAAzE2MAIAAAABNwQAAAABMAcAAAAJNy8zMS8yMDE4CAAAAAoxMi8zMS8yMDE2CQAAAAEwnAvVOAgJ1ggkwppvNAnWCC1DSVEuTkFTREFRQ006TVRFTS5JUV9ESVZJREVO</t>
  </si>
  <si>
    <t>RF9ZSUVMRC43LzMxLzIwMTgBAAAAmZupAQMAAAAAAMgwsjcICdYIGemhbzQJ1ggrQ0lRLklRVFI1NDc0MjM2ODAuSVFfVFJfSU1QTElFRF9FVl9FQklUX0ZXRAEAAADABaEgAwAAAAJOTQAMbRAONQnWCAw+hQ41CdYITUNJUS4oSU5WQUxJRCBJREVOVElGSUVSKS5JUV9UT1RBTF9SRVZfMllSX0FOTl9DQUdSLjIwMDAuNy8zMS8yMDE4LkxGUi5GLlVTRC5IBQAAAAAAAAAIAAAAFChJbnZhbGlkIElkZW50aWZpZXIpyDCyNwgJ1gjtNrBvNAnWCDxDSVEuT1RDUEs6TldCTy5JUV9FQklUREFfMllSX0FOTl9DQUdSLi43LzE2LzIwMTguTEZSLkYuVVNELkgBAAAAo3oUAAMAAAACTk0BCAAAAAUAAAABMQEAAAAKMTg4OTMwMjgyNAMAAAADMTYwAgAAAAQ0MjA5BAAAAAEwBwAAAAk3LzE2LzIwMTgIAAAACTMvMzEvMjAxOAkAAAABMCkclBA1CdYIMNddEjUJ1gg2Q0lRLk5BU0RBUUdTOkpOQ0UuSVFfRUFSTklOR19DTy4uNy8xNi8yMDE4LkxGUi5GLlVTRC5IAQAAAOJ5ng0CAAAABy0yOS44NTYBCAAAAAUAAAABMQEAAAAKMTg4ODE4NjM3NAMAAAADMTYwAgAAAAE3BAAAAAEwBwAAAAk3LzE2LzIwMTgIAAAACTMvMzEvMjAxOAkAAAABMN6nfhA1CdYImBJZEjUJ1gg5Q0lRLk5BU0RBUUdTOkFOQUIuSVFfRUJJVERBX01BUkdJTi4uNy8xNi8yMDE4LkxGUi5GLlVTRC5IAQAAACFMsgEDAAAAAk5NAQgAAAAFAAAAATEB</t>
  </si>
  <si>
    <t>AAAACjE4ODc0MDAwNDMDAAAAAzE2MAIAAAAENDA0NwQAAAABMAcAAAAJNy8xNi8yMDE4CAAAAAkzLzMxLzIwMTgJAAAAATDE/xsRNQnWCMKbYhI1CdYII0NJUS5OQVNEQVFHUzpNR05YLklRX1BFUklPRERBVEVfSVMuAQAAAE8rCQAFAAAACTYvMzAvMjAxOADE/xsRNQnWCMKbYhI1CdYIOkNJUS5OQVNEQVFHTTpMUFRYLklRX0NBU0hfU1RfSU5WRVNULi45LzE1LzIwMTcuTEZSLkYuVVNELkgBAAAADDYJBwIAAAAGMTcuMTcxAQgAAAAFAAAAATEBAAAACjE4NTMxNzIxODUDAAAAAzE2MAIAAAAEMTAwMgQAAAABMAcAAAAJOS8xNS8yMDE3CAAAAAk2LzMwLzIwMTcJAAAAATApHJQQNQnWCDDXXRI1CdYIPkNJUS5OQVNEQVFHUzpHVEhYLklRX1RPVEFMX0VRVUlUWS5DWTIwMTYuNy8zMS8yMDE4LkxGUi5GLlVTRC5IAQAAAGU0aQgCAAAABjQyLjU4NwEIAAAABQAAAAExAQAAAAoxODc1MzI3MzAxAwAAAAMxNjACAAAABDEyNzUEAAAAATAHAAAACTcvMzEvMjAxOAgAAAAKMTIvMzEvMjAxNgkAAAABMNaMETgICdYIJMKabzQJ1gg/Q0lRLk5BU0RBUUdTOkFOQUIuSVFfRUJJVERBXzNZUl9BTk5fQ0FHUi4uNy8xNi8yMDE4LkxGUi5GLlVTRC5IAQAAACFMsgEDAAAAAk5NAQgAAAAFAAAAATEBAAAACjE4ODc0MDAwNDMDAAAAAzE2MAIAAAAENDIyMgQAAAABMAcAAAAJNy8xNi8yMDE4CAAAAAkzLzMxLzIwMTgJAAAA</t>
  </si>
  <si>
    <t>ATDE/xsRNQnWCMKbYhI1CdYIPENJUS5OQVNEQVFHTTpMUFRYLklRX0VCSVREQV9FU1QuQ1kyMDIwLjcvMTYvMjAxOC5DT04uRi5VU0QuSAEAAAAMNgkHAwAAAAAAKRyUEDUJ1ggw110SNQnWCCtDSVEuRU5YVFBBOklQSC5JUV9NQVJLRVRDQVAuNy8xNi8yMDE4LlVTRC5IAQAAAJmABgACAAAACjMwOS44MTcxODcBBgAAAAUAAAABMQEAAAAKMTg4OTU1MjE2MgMAAAADMTYwAgAAAAYxMDAwNTQEAAAAATAHAAAACTcvMTYvMjAxOCkclBA1CdYIczlgEjUJ1ggnQ0lRLk5BU0RBUUdTOkNBTEEuSVFfQkVUQV81WVIuNy8xNi8yMDE4AQAAAKUngQYCAAAAEDIuNTMxODE3MzM0OTI2OTQAKRyUEDUJ1gjkdFsSNQnWCB1DSVEuTkFTREFRR1M6Q1RNWC5JUV9FWENIQU5HRQEAAADcOJsDAwAAAAhOYXNkYXFHUwBGnRkRNQnWCMKbYhI1CdYIPENJUS5FTlhUUEE6SVBILklRX0VCSVREQV81WVJfQU5OX0NBR1IuLjcvMTYvMjAxOC5MRlIuRi5VU0QuSAEAAACZgAYAAwAAAAJOTQEIAAAABQAAAAExAQAAAAoxODg5NTUyMTY0AwAAAAI1MAIAAAAENDIzNQQAAAABMAcAAAAJNy8xNi8yMDE4CAAAAAoxMi8zMS8yMDE3CQAAAAEwKRyUEDUJ1ghzOWASNQnWCD9DSVEuTkFTREFRR1M6VFNSTy5JUV9FQklUREFfM1lSX0FOTl9DQUdSLi43LzE2LzIwMTguTEZSLkYuVVNELkgBAAAAaNZYBgMAAAACTk0BCAAAAAUAAAABMQEAAAAK</t>
  </si>
  <si>
    <t>MTg4NjMzNzQ2NgMAAAADMTYwAgAAAAQ0MjIyBAAAAAEwBwAAAAk3LzE2LzIwMTgIAAAACTMvMzEvMjAxOAkAAAABMMT/GxE1CdYIEv5kEjUJ1gg7Q0lRLk5BU0RBUUdNOklNTVUuSVFfVE9UQUxfUkVWLkNZMjAxNy43LzE2LzIwMTguTEZSLkYuVVNELkgBAAAAIEMEAAIAAAAIMy4yNTMwNDgBCAAAAAUAAAABMQEAAAAKMTg3MzQ5MzUyOAMAAAADMTYwAgAAAAIyOAQAAAABMAcAAAAJNy8xNi8yMDE4CAAAAAoxMi8zMS8yMDE3CQAAAAEwxP8bETUJ1ghoYGcSNQnWCCdDSVEuTkFTREFRR1M6Sk5DRS5JUV9CRVRBXzVZUi43LzE2LzIwMTgBAAAA4nmeDQMAAAAAACAKgRA1CdYImBJZEjUJ1gggQ0lRLklRMzYxODM4MzEuSVFfTEFTVFNBTEVQUklDRS4BAAAAFx8oAgIAAAADMi43AJwL1TgICdYId3mADjUJ1gg3Q0lRLk5BU0RBUUdTOkFEWFMuSVFfUFJFRl9FUVVJVFkuLjkvMTUvMjAxNy5MRlIuRi5VU0QuSAEAAACe7HgAAwAAAAAAKRyUEDUJ1gjkdFsSNQnWCC9DSVEuSVFUUjQwOTk1MTg4Ni5JUV9UUl9UQVJHRVRfVE9UQUxfUkVWLi5VU0QuSAEAAACOXm8YAgAAAAAADG0QDjUJ1gjA24IONQnWCD5DSVEuTkFTREFRQ006U1JORS5JUV9UT1RBTF9FUVVJVFkuQ1kyMDE2LjcvMzEvMjAxOC5MRlIuRi5VU0QuSAEAAABJQ5QDAgAAAAY4Ni41MDIBCAAAAAUAAAABMQEAAAAKMTg3ODY3NzQ1MwMAAAADMTYwAgAA</t>
  </si>
  <si>
    <t>AAQxMjc1BAAAAAEwBwAAAAk3LzMxLzIwMTgIAAAACjEyLzMxLzIwMTYJAAAAATDWjBE4CAnWCHMknW80CdYIOkNJUS5OQVNEQVFHTTpJTU1VLklRX1BSRUZfRVFVSVRZLjIwMDAuNS81LzIwMTcuTEZSLkYuVVNELkgBAAAAIEMEAAMAAAAAAJwL1TgICdYI1F+YbzQJ1ggdQ0lRLi5JUV9UUl9UQVJHRVRfRUJJVC4uVVNELkgFAAAAAAAAAAgAAAAUKEludmFsaWQgSWRlbnRpZmllcimcC9U4CAnWCHd5gA41CdYIPENJUS5OQVNEQVFHUzpCR05FLklRX0VBUk5JTkdfQ08uQ1kyMDE2LjcvMTYvMjAxOC5MRlIuRi5VU0QuSAEAAADg5N0GAgAAAAgtMTE5LjIxNwEIAAAABQAAAAExAQAAAAoxODc2MzU3NDM2AwAAAAMxNjACAAAAATcEAAAAATAHAAAACTcvMTYvMjAxOAgAAAAKMTIvMzEvMjAxNgkAAAABMMT/GxE1CdYIaGBnEjUJ1gg0Q0lRLihJTlZBTElEIElERU5USUZJRVIpLklRX0RJVklERU5EX1lJRUxELjcvMzEvMjAxOAUAAAAAAAAACAAAABQoSW52YWxpZCBJZGVudGlmaWVyKcgwsjcICdYITnKrbzQJ1gg3Q0lRLk5BU0RBUUdTOkZQUlguSVFfUFJFRl9FUVVJVFkuLjkvMTUvMjAxNy5MRlIuRi5VU0QuSAEAAAA3XTMAAwAAAAAAKRyUEDUJ1ghzOWASNQnWCDlDSVEuTkFTREFRR1M6VFNSTy5JUV9UT1RBTF9ERUJULjIwMDAuNS81LzIwMTcuTEZSLkYuVVNELkgBAAAAaNZYBgIAAAAHMTMxLjc3NQEIAAAA</t>
  </si>
  <si>
    <t>BQAAAAExAQAAAAoxODI5OTg4NTQzAwAAAAMxNjACAAAABDQxNzMEAAAAATAHAAAACDUvNS8yMDE3CAAAAAoxMi8zMS8yMDE2CQAAAAEwnAvVOAgJ1ggkwppvNAnWCC9DSVEuT1RDUEs6TldCTy5JUV9FQklUREEuLjcvMTYvMjAxOC5MRlIuRi5VU0QuSAEAAACjehQAAgAAAActNTAuODQyAQgAAAAFAAAAATEBAAAACjE4ODkzMDI4MjQDAAAAAzE2MAIAAAAENDA1MQQAAAABMAcAAAAJNy8xNi8yMDE4CAAAAAkzLzMxLzIwMTgJAAAAATApHJQQNQnWCHM5YBI1CdYILENJUS5OQVNEQVFHUzpQQllJLklRX0xBU1RTQUxFUFJJQ0UuOS8xNS8yMDE3AQAAAAJqrAcCAAAABjEwMi4yNQBGnRkRNQnWCBL+ZBI1CdYILENJUS5JUVRSNDExODcxMDgyLklRX1RSX1RPVEFMX0dST1NTX1RWLlVTRC5IBQAAAAAAAAAIAAAAGihJbnZhbGlkIEN1cnJlbmN5IFJlcXVlc3QpSVNHbzQJ1gg1m5NvNAnWCDlDSVEuTkFTREFRR1M6S1VSQS5JUV9UT1RBTF9SRVYuMjAwMC43LzMxLzIwMTguTEZSLkYuVVNELkgBAAAAuMvaEAMAAAAAANaMETgICdYIcySdbzQJ1ggiQ0lRLklRVFIzMDI4NjY2MjcuSVFfVFJfVE9UQUxfQ0FTSAEAAADDYA0SAgAAAAkxOS40OTk5OTkBBgAAAAUAAAACNTQBAAAABjEwMTA1NgIAAAAJMzAyODY2NjI3AwAAAAkzMDI4NjcxNTEEAAAAAzE2MAYAAAAFRmFsc2VYzxIONQnWCAw+hQ41CdYINUNJUS5OQVNE</t>
  </si>
  <si>
    <t>QVFHUzpDQUxBLklRX1RPVEFMX1JFVi4uNy8xNi8yMDE4LkxGUi5GLlVTRC5IAQAAAKUngQYCAAAABjI2Ljk1MgEIAAAABQAAAAExAQAAAAoxODg3OTgwMzA1AwAAAAMxNjACAAAAAjI4BAAAAAEwBwAAAAk3LzE2LzIwMTgIAAAACTMvMzEvMjAxOAkAAAABMCkclBA1CdYI5HRbEjUJ1ghCQ0lRLk5BU0RBUUdTOkFOQUIuSVFfVE9UQUxfUkVWXzNZUl9BTk5fQ0FHUi4uNy8xNi8yMDE4LkxGUi5GLlVTRC5IAQAAACFMsgECAAAACC0xOC4wMjYxAQgAAAAFAAAAATEBAAAACjE4ODc0MDAwNDMDAAAAAzE2MAIAAAAENDIyMAQAAAABMAcAAAAJNy8xNi8yMDE4CAAAAAkzLzMxLzIwMTgJAAAAATDE/xsRNQnWCMKbYhI1CdYIP0NJUS5OQVNEQVFHUzpGUFJYLklRX05FVF9XT1JLSU5HX0NBUC4xOTkyLjcvMzEvMjAxOC5MRlIuRi5VU0QuSAEAAAA3XTMAAgAAAActNDEuMTk2AQgAAAAFAAAAATEBAAAACjE4NDA1NjU3OTQDAAAAAzE2MAIAAAAEMTMxMQQAAAABMAcAAAAJNy8zMS8yMDE4CAAAAAkzLzMxLzIwMTYJAAAAATDWjBE4CAnWCBnpoW80CdYIIENJUS5JUTIzODI4OTU2LklRX0NPTVBBTllfVElDS0VSAQAAANyZawEDAAAADU5hc2RhcUdTOkFUTlgAsrNJbzQJ1ggkwppvNAnWCDBDSVEuTkFTREFRR1M6Q1RNWC5JUV9MQVNUU0FMRVBSSUNFLjcvMTYvMjAxOC5VU0QBAAAA3DibAwIAAAAFMjMuMjUARp0ZETUJ</t>
  </si>
  <si>
    <t>1gjCm2ISNQnWCDpDSVEuTkFTREFRR006QUZNRC5JUV9DQVNIX1NUX0lOVkVTVC4uNy8xNi8yMDE4LkxGUi5GLlVTRC5IAQAAANv3DAACAAAACTY4LjE3NjY2NgEIAAAABQAAAAExAQAAAAoxODg5ODY2MDQ5AwAAAAMxNjACAAAABDEwMDIEAAAAATAHAAAACTcvMTYvMjAxOAgAAAAJMy8zMS8yMDE4CQAAAAEwKRyUEDUJ1ggw110SNQnWCCdDSVEuTkFTREFRR006SU1NVS5JUV9CRVRBXzVZUi43LzMxLzIwMTgBAAAAIEMEAAIAAAAQMS42OTEzMDE4MzQ5NTA2NACcC9U4CAnWCNRfmG80CdYIL0NJUS5JUVRSNTYxNjA2MzY1LklRX1RSX0lNUExJRURfRVZfRklOQUwuLlVTRC5IAQAAAN1ueSECAAAABDEwNDABBgAAAAUAAAACNTQBAAAABjEwMjA0NQIAAAAJNTYxNjA2MzY1AwAAAAk1NjE2MDkxOTcEAAAAAzE2MAYAAAAFRmFsc2Wys0lvNAnWCDWbk280CdYIJ0NJUS5OQVNEQVFHTTpJTU1VLklRX0JFVEFfMVlSLjcvMTYvMjAxOAEAAAAgQwQAAgAAABAxLjQ3NjcwMDM2ODE5NDE0AMT/GxE1CdYIEv5kEjUJ1gg9Q0lRLk5BU0RBUUdTOkdUSFguSVFfQ0FTSF9TVF9JTlZFU1QuMjAwMC41LzUvMjAxNy5MRlIuRi5VU0QuSAEAAABlNGkIAgAAAAgzNy43MjY1MgEIAAAABQAAAAExAQAAAAoxODM4MTc3NDAwAwAAAAMxNjACAAAABDEwMDIEAAAAATAHAAAACDUvNS8yMDE3CAAAAAkzLzMxLzIwMTcJAAAAATDWjBE4</t>
  </si>
  <si>
    <t>CAnWCCTCmm80CdYIPkNJUS5OQVNEQVFDTTpBVkVPLklRX1RPVEFMX0VRVUlUWS5DWTIwMTYuNy8xNi8yMDE4LkxGUi5GLlVTRC5IAQAAAPQWHQACAAAABi0xLjkyMwEIAAAABQAAAAExAQAAAAoxODc4MDgyNjUwAwAAAAMxNjACAAAABDEyNzUEAAAAATAHAAAACTcvMTYvMjAxOAgAAAAKMTIvMzEvMjAxNgkAAAABMMT/GxE1CdYIczlgEjUJ1ggiQ0lRLklRVFI0MzE4NDE1ODEuSVFfVFJfUENUX1NPVUdIVAEAAAAtYb0ZAgAAAAMxMDAADG0QDjUJ1ggMPoUONQnWCCdDSVEuTkFTREFRR1M6RVBaTS5JUV9CRVRBXzJZUi43LzMxLzIwMTgBAAAAAyY9AwIAAAAQMS41NjM4NDI2NTE0MTk4MQDWjBE4CAnWCHMknW80CdYIOkNJUS5OQVNEQVFHUzpUU1JPLklRX0VBUk5JTkdfQ08uMjAwMC43LzMxLzIwMTguTEZSLkYuVVNELkgBAAAAaNZYBgIAAAAILTUyMi4yMTcBCAAAAAUAAAABMQEAAAAKMTg4NjMzNzQ2NgMAAAADMTYwAgAAAAE3BAAAAAEwBwAAAAk3LzMxLzIwMTgIAAAACTMvMzEvMjAxOAkAAAABMJwL1TgICdYIJMKabzQJ1ggvQ0lRLi5JUV9FQklUREFfRVNULkNZMjAyMC43LzMxLzIwMTguQ09OLkYuVVNELkgFAAAAAQAAAAgAAAAUKEludmFsaWQgSWRlbnRpZmllcimWJDBHNAnWCJYkMEc0CdYILENJUS5OQVNEQVFHUzpTR0VOLklRX1RPVEFMX1JFVi4uLkxGUi5GLlVTRC5IAQAAAGGFAAACAAAABzU3</t>
  </si>
  <si>
    <t>NS42NTkBCAAAAAUAAAABMQEAAAAKMTg5NzIzMzUxOAMAAAADMTYwAgAAAAIyOAQAAAABMAcAAAAJOC8yMy8yMDE4CAAAAAk2LzMwLzIwMTgJAAAAATBGnRkRNQnWCEadGRE1CdYILkNJUS4oSU5WQUxJRCBJREVOVElGSUVSKS5JUV9CRVRBXzFZUi43LzMxLzIwMTgFAAAAAAAAAAgAAAAUKEludmFsaWQgSWRlbnRpZmllcinIMLI3CAnWCO02sG80CdYIP0NJUS5PVENQSzpNQlZYLklRX1RPVEFMX1JFVl81WVJfQU5OX0NBR1IuLjcvMTYvMjAxOC5MRlIuRi5VU0QuSAEAAADYRIsCAwAAAAAA3qd+EDUJ1giYElkSNQnWCB5DSVEuSVE3NDQxMDIuSVFfQ09NUEFOWV9USUNLRVIBAAAAploLAAMAAAANTmFzZGFxR006WE5DUgAMbRAONQnWCFvHjg41CdYIIkNJUS5JUVRSMzIxODY1Mjk3LklRX1RSX1BDVF9TT1VHSFQBAAAAUUYvEwIAAAADMTAwAFjPEg41CdYIDD6FDjUJ1ggrQ0lRLk5BU0RBUUdNOkFSUUwuSVFfTEFTVFNBTEVQUklDRS41LzUvMjAxNwEAAAD2YQAAAgAAAAQxLjAyANaMETgICdYIcySdbzQJ1gg5Q0lRLk5BU0RBUUdNOkFSUlkuSVFfVE9UQUxfUkVWLjE5OTYuNy8zMS8yMDE4LkxGUi5GLlVTRC5IAQAAAPhhAAACAAAABjQxLjUwNwEIAAAABQAAAAExAQAAAAoxODg4NDcwNjU2AwAAAAMxNjACAAAAAjI4BAAAAAEwBwAAAAk3LzMxLzIwMTgIAAAACTMvMzEvMjAxNwkAAAABMJwL1TgICdYI1F+Y</t>
  </si>
  <si>
    <t>bzQJ1gg5Q0lRLk5BU0RBUUdNOkxQVFguSVFfRUJJVERBX01BUkdJTi4uNy8xNi8yMDE4LkxGUi5GLlVTRC5IAQAAAAw2CQcDAAAAAAApHJQQNQnWCDDXXRI1CdYIOUNJUS5OQVNEQVFHUzpHVEhYLklRX05JX01BUkdJTi4yMDAwLjcvMzEvMjAxOC5MRlIuRi5VU0QuSAEAAABlNGkIAwAAAAAAnAvVOAgJ1ggkwppvNAnWCDhDSVEuTkFTREFRR1M6QVROWC5JUV9FQklUREEuQ1kyMDE3LjcvMzEvMjAxOC5MRlIuRi5VU0QuSAEAAADcmWsBAgAAAAgtMTA2LjIzNQEIAAAABQAAAAExAQAAAAoxODc5OTA3NjM1AwAAAAMxNjACAAAABDQwNTEEAAAAATAHAAAACTcvMzEvMjAxOAgAAAAKMTIvMzEvMjAxNwkAAAABMNaMETgICdYIJMKabzQJ1ghNQ0lRLihJTlZBTElEIElERU5USUZJRVIpLklRX1RPVEFMX1JFVl81WVJfQU5OX0NBR1IuMjAwMC43LzMxLzIwMTguTEZSLkYuVVNELkgFAAAAAAAAAAgAAAAUKEludmFsaWQgSWRlbnRpZmllcinIMLI3CAnWCO02sG80CdYIRkNJUS5OQVNEQVFHUzpNUlNOLklRX01JTk9SSVRZX0lOVEVSRVNUX1RPVEFMLjIwMDAuNS81LzIwMTcuTEZSLkYuVVNELkgBAAAA5sUYAAMAAAAAANaMETgICdYIw4afbzQJ1gg6Q0lRLk5BU0RBUUdNOkZBVEUuSVFfUFJFRl9FUVVJVFkuMjAwMC41LzUvMjAxNy5MRlIuRi5VU0QuSAEAAABoMVcCAgAAAAUwLjAwMwEIAAAABQAAAAExAQAAAAox</t>
  </si>
  <si>
    <t>ODMyMTY3ODk2AwAAAAMxNjACAAAABDEwMDUEAAAAATAHAAAACDUvNS8yMDE3CAAAAAoxMi8zMS8yMDE2CQAAAAEw1owROAgJ1gjDhp9vNAnWCDlDSVEuTkFTREFRR006QVJSWS5JUV9UT1RBTF9SRVYuMjAwMC43LzMxLzIwMTguTEZSLkYuVVNELkgBAAAA+GEAAAIAAAAGODQuOTI4AQgAAAAFAAAAATEBAAAACjE4ODg0NzA2NzYDAAAAAzE2MAIAAAACMjgEAAAAATAHAAAACTcvMzEvMjAxOAgAAAAJMy8zMS8yMDE4CQAAAAEwnAvVOAgJ1gjUX5hvNAnWCDBDSVEuTkFTREFRR1M6U0dFTi5JUV9FQklUREFfTUFSR0lOLi4uTEZSLkYuVVNELkgBAAAAYYUAAAIAAAAILTI4LjY1MTUBCAAAAAUAAAABMQEAAAAKMTg5NzIzMzUxOAMAAAADMTYwAgAAAAQ0MDQ3BAAAAAEwBwAAAAk4LzIzLzIwMTgIAAAACTYvMzAvMjAxOAkAAAABMEadGRE1CdYIRp0ZETUJ1gguQ0lRLk5BU0RBUUdNOkNSSVMuSVFfTUFSS0VUQ0FQLjcvMzEvMjAxOC5VU0QuSAEAAAAXagAAAgAAAAk1Mi4wMDcyMzkBBgAAAAUAAAABMQEAAAAKMTg4NjI0Njc0OQMAAAADMTYwAgAAAAYxMDAwNTQEAAAAATAHAAAACTcvMzEvMjAxOMgwsjcICdYI3UukbzQJ1gglQ0lRLk5BU0RBUUdNOklNTVUuSVFfRklSU1RQUklDSU5HREFURQEAAAAgQwQABQAAAAk0LzExLzE5ODQAnAvVOAgJ1gioAooONQnWCENDSVEuTkFTREFRR1M6VFNSTy5JUV9FQklUREFf</t>
  </si>
  <si>
    <t>MllSX0FOTl9DQUdSLjIwMDAuNy8zMS8yMDE4LkxGUi5GLlVTRC5IAQAAAGjWWAYDAAAAAk5NAQgAAAAFAAAAATEBAAAACjE4ODYzMzc0NjYDAAAAAzE2MAIAAAAENDIwOQQAAAABMAcAAAAJNy8zMS8yMDE4CAAAAAkzLzMxLzIwMTgJAAAAATCcC9U4CAnWCCTCmm80CdYIPUNJUS5OQVNEQVFHUzpBTkFCLklRX1JFVkVOVUVfRVNULkNZMjAyMC43LzE2LzIwMTguQ09OLkYuVVNELkgBAAAAIUyyAQIAAAAGMy45MjE0AQ4AAAAFAAAAAjExAQAAAAEwAgAAAAoxMDAzNjI5Mzg0AwAAAAYxMDAxODAEAAAAATIGAAAAATAHAAAAAzE2MAgAAAABMAkAAAABMQoAAAABMAsAAAALMTA4ODc1MTM0MDcMAAAAATcNAAAACTcvMTcvMjAxOBAAAAAJNy8xNi8yMDE4xP8bETUJ1gjCm2ISNQnWCD1DSVEuTkFTREFRR006SU1NVS5JUV9SRVZFTlVFX0VTVC5DWTIwMjAuNy8zMS8yMDE4LkNPTi5GLlVTRC5IAQAAACBDBAACAAAACDI1NC40MzMzAQ4AAAAFAAAAAjExAQAAAAEwAgAAAAkzNzAwODEzOTYDAAAABjEwMDE4MAQAAAABMgYAAAABMAcAAAADMTYwCAAAAAEwCQAAAAExCgAAAAEwCwAAAAsxMDk4MDI2MzY5MQwAAAABNw0AAAAIOC8xLzIwMTgQAAAACTcvMzEvMjAxOJwL1TgICdYI1F+YbzQJ1ggrQ0lRLklRVFIyNzM1MDcxODUuSVFfVFJfSU1QTElFRF9FVl9FQklUX0ZXRAEAAABxY00QAwAAAAJOTQCys0lvNAnWCIH9</t>
  </si>
  <si>
    <t>lW80CdYINUNJUS5OQVNEQVFHUzpBTkFCLklRX05JX01BUkdJTi4uNy8xNi8yMDE4LkxGUi5GLlVTRC5IAQAAACFMsgEDAAAAAk5NAQgAAAAFAAAAATEBAAAACjE4ODc0MDAwNDMDAAAAAzE2MAIAAAAENDA5NAQAAAABMAcAAAAJNy8xNi8yMDE4CAAAAAkzLzMxLzIwMTgJAAAAATDE/xsRNQnWCMKbYhI1CdYIMENJUS5OQVNEQVFHTTpMUFRYLklRX0xBU1RTQUxFUFJJQ0UuNy8xNi8yMDE4LlVTRAEAAAAMNgkHAgAAAAQ4LjQxACkclBA1CdYIMNddEjUJ1ggwQ0lRLklRVFI0MTE4NzEwODIuSVFfVFJfVEFSR0VUX0VCSVREQV9FU1QuLlVTRC5IAQAAAGqnjBgCAAAAAACys0lvNAnWCDWbk280CdYIP0NJUS5OQVNEQVFHUzpFUFpNLklRX05FVF9XT1JLSU5HX0NBUC4xOTk2LjcvMzEvMjAxOC5MRlIuRi5VU0QuSAEAAAADJj0DAgAAAActMTEuMDY3AQgAAAAFAAAAATEBAAAACjE4ODcyNDYwNDkDAAAAAzE2MAIAAAAEMTMxMQQAAAABMAcAAAAJNy8zMS8yMDE4CAAAAAkzLzMxLzIwMTcJAAAAATDWjBE4CAnWCHMknW80CdYIPENJUS5OQVNEQVFHUzpNUlNOLklRX0VBUk5JTkdfQ08uQ1kyMDE2LjcvMzEvMjAxOC5MRlIuRi5VU0QuSAEAAADmxRgAAgAAAAUtMTMuNwEIAAAABQAAAAExAQAAAAoxODgwNTQ3MzgzAwAAAAMxNjACAAAAATcEAAAAATAHAAAACTcvMzEvMjAxOAgAAAAKMTIvMzEvMjAxNgkAAAABMNaM</t>
  </si>
  <si>
    <t>ETgICdYIw4afbzQJ1gg+Q0lRLk5BU0RBUUdTOkNBTEEuSVFfVE9UQUxfRVFVSVRZLkNZMjAxNy43LzMxLzIwMTguTEZSLkYuVVNELkgBAAAApSeBBgIAAAAHMTUwLjMwNwEIAAAABQAAAAExAQAAAAoxODc3OTU1NzA3AwAAAAMxNjACAAAABDEyNzUEAAAAATAHAAAACTcvMzEvMjAxOAgAAAAKMTIvMzEvMjAxNwkAAAABMMgwsjcICdYI3UukbzQJ1gghQ0lRLk5BU0RBUUdTOkVQWk0uSVFfQ09NUEFOWV9OQU1FAQAAAAMmPQMDAAAADUVwaXp5bWUsIEluYy4A1owROAgJ1ggkwppvNAnWCDxDSVEuTkFTREFRQ006TVRFTS5JUV9FQVJOSU5HX0NPLkNZMjAxNy43LzMxLzIwMTguTEZSLkYuVVNELkgBAAAAmZupAQIAAAAGLTIzLjE0AQgAAAAFAAAAATEBAAAACjE4ODExMTg4MTADAAAAAzE2MAIAAAABNwQAAAABMAcAAAAJNy8zMS8yMDE4CAAAAAoxMi8zMS8yMDE3CQAAAAEwyDCyNwgJ1ggZ6aFvNAnWCDpDSVEuTkFTREFRQ006WklPUC5JUV9FQVJOSU5HX0NPLjE5OTYuNy8zMS8yMDE4LkxGUi5GLlVTRC5IAQAAALNRsgACAAAACC0xNjguNzY1AQgAAAAFAAAAATEBAAAACjE4ODc5NzIzNDgDAAAAAzE2MAIAAAABNwQAAAABMAcAAAAJNy8zMS8yMDE4CAAAAAkzLzMxLzIwMTcJAAAAATDWjBE4CAnWCMOGn280CdYILENJUS5JUVRSNDI0MzQyMDQ2LklRX1RSX1RBUkdFVF9FQklUREEuLlVTRC5IAQAAAB7yShkC</t>
  </si>
  <si>
    <t>AAAAAAAMbRAONQnWCMDbgg41CdYIJ0NJUS5OQVNEQVFHUzpDQUxBLklRX0JFVEFfMVlSLjcvMzEvMjAxOAEAAAClJ4EGAgAAABEwLjkyODA2MTgwNjIzMjQ5MwDIMLI3CAnWCN1LpG80CdYINkNJUS5OQVNEQVFHUzpCR05FLklRX05FVF9XT1JLSU5HX0NBUC4xOTkyLi5MRlIuRi5VU0QuSAEAAADg5N0GAgAAAAYtMTQuMzMBCAAAAAUAAAABMQEAAAAKMTg1MjcwMDUyMQMAAAADMTYwAgAAAAQxMzExBAAAAAEwBwAAAAk4LzIzLzIwMTgIAAAACTYvMzAvMjAxNgkAAAABMJwL1TgICdYInAvVOAgJ1gg9Q0lRLk5BU0RBUUdTOkpOQ0UuSVFfUkVWRU5VRV9FU1QuQ1kyMDIxLjcvMTYvMjAxOC5DT04uRi5VU0QuSAEAAADieZ4NAgAAAAc3MC41MDM1AQ4AAAAFAAAAAjExAQAAAAEwAgAAAAoxMDAzNjMwMDE1AwAAAAYxMDAxODAEAAAAATIGAAAAATAHAAAAAzE2MAgAAAABMAkAAAABMQoAAAABMAsAAAALMTA5NDU1NzAyMDgMAAAAATcNAAAACTcvMTcvMjAxOBAAAAAJNy8xNi8yMDE4KRyUEDUJ1giYElkSNQnWCEZDSVEuTkFTREFRQ006WklPUC5JUV9UT1RBTF9SRVZfM1lSX0FOTl9DQUdSLjIwMDAuNy8zMS8yMDE4LkxGUi5GLlVTRC5IAQAAALNRsgACAAAABzUwLjYyNDEBCAAAAAUAAAABMQEAAAAKMTg4Nzk3MjM1OQMAAAADMTYwAgAAAAQ0MjIwBAAAAAEwBwAAAAk3LzMxLzIwMTgIAAAACTMvMzEvMjAxOAkA</t>
  </si>
  <si>
    <t>AAABMNaMETgICdYIw4afbzQJ1gg8Q0lRLk5BU0RBUUNNOlpJT1AuSVFfVE9UQUxfRVFVSVRZLjIwMDAuNy8zMS8yMDE4LkxGUi5GLlVTRC5IAQAAALNRsgACAAAABTI1Ljg5AQgAAAAFAAAAATEBAAAACjE4ODc5NzIzNTkDAAAAAzE2MAIAAAAEMTI3NQQAAAABMAcAAAAJNy8zMS8yMDE4CAAAAAkzLzMxLzIwMTgJAAAAATDWjBE4CAnWCMOGn280CdYILENJUS4uSVFfVE9UQUxfUkVWLjE5OTYuNy8zMS8yMDE4LkxGUi5GLlVTRC5IBQAAAAEAAAAIAAAAFChJbnZhbGlkIElkZW50aWZpZXIp9YQyRzQJ1gj1hDJHNAnWCClDSVEuSVEzNjE4MzgyOC5JUV9MQVNUU0FMRVBSSUNFLjcvMTYvMjAxOAEAAAAUHygCAgAAAAQyLjY3AAxtEA41CdYIDD6FDjUJ1gg9Q0lRLk5BU0RBUUdNOklNTVUuSVFfUkVWRU5VRV9FU1QuQ1kyMDIxLjcvMTYvMjAxOC5DT04uRi5VU0QuSAEAAAAgQwQAAgAAAAg1MjEuNzE2NwEOAAAABQAAAAIxMQEAAAABMAIAAAAJNzI4Mzc1NTk1AwAAAAYxMDAxODAEAAAAATIGAAAAATAHAAAAAzE2MAgAAAABMAkAAAABMQoAAAABMAsAAAALMTA5NTg2NzYxNjcMAAAAATcNAAAACTcvMTcvMjAxOBAAAAAJNy8xNi8yMDE4xP8bETUJ1ggS/mQSNQnWCA==</t>
  </si>
  <si>
    <t>Updated the logo</t>
  </si>
  <si>
    <t>Title and Separators</t>
  </si>
  <si>
    <t>Per Share Present Value By Class</t>
  </si>
  <si>
    <t>&lt;&lt;Change this to 1 to apply uniform discount rate (WACC)</t>
  </si>
  <si>
    <t>DR</t>
  </si>
  <si>
    <t>Per Share Value</t>
  </si>
  <si>
    <t>Share Count</t>
  </si>
  <si>
    <t>Total Value &gt;&gt;</t>
  </si>
  <si>
    <t>Concluded Equity Value &gt;&gt;</t>
  </si>
  <si>
    <t>Difference &gt;&gt;</t>
  </si>
  <si>
    <t xml:space="preserve">Manan </t>
  </si>
  <si>
    <t>Updated the reconciliation calculations for the Implied Equity Value in the off-print section below</t>
  </si>
  <si>
    <t>Diff. in Implied Equity Value</t>
  </si>
  <si>
    <t>Max Difference</t>
  </si>
  <si>
    <t>Added a corresponding check to the above</t>
  </si>
  <si>
    <t>Cell R11</t>
  </si>
  <si>
    <t>Total Future Financing</t>
  </si>
  <si>
    <t>Updated Total Labels in cells B46, B70, B101 and B133</t>
  </si>
  <si>
    <t>Set the Outlier Above to 150.0% as default</t>
  </si>
  <si>
    <t>Checks for Volatilities MVIC</t>
  </si>
  <si>
    <t>Updated the formula for MVIC calculation in the DLOM row for all the asset volatilities tabs</t>
  </si>
  <si>
    <t>Added EV checks for all the asset volatilities tabs</t>
  </si>
  <si>
    <t>Percentage Change in Market</t>
  </si>
  <si>
    <t>Market Trends Since Previous Valuation</t>
  </si>
  <si>
    <t xml:space="preserve">Dhawaj </t>
  </si>
  <si>
    <t xml:space="preserve">Template </t>
  </si>
  <si>
    <t>Changed font to Georgia and font size 11</t>
  </si>
  <si>
    <r>
      <t xml:space="preserve">Probability of Technical Success </t>
    </r>
    <r>
      <rPr>
        <sz val="10"/>
        <color rgb="FFFFFFFF"/>
        <rFont val="Georgia"/>
        <family val="1"/>
      </rPr>
      <t>(1)</t>
    </r>
  </si>
  <si>
    <r>
      <t xml:space="preserve">Success Probability of Lead Candidate </t>
    </r>
    <r>
      <rPr>
        <sz val="10"/>
        <color rgb="FFFFFFFF"/>
        <rFont val="Georgia"/>
        <family val="1"/>
      </rPr>
      <t>(1)</t>
    </r>
  </si>
  <si>
    <r>
      <t xml:space="preserve">Success Probability of Indication #2 </t>
    </r>
    <r>
      <rPr>
        <sz val="10"/>
        <color rgb="FFFFFFFF"/>
        <rFont val="Georgia"/>
        <family val="1"/>
      </rPr>
      <t>(1)</t>
    </r>
  </si>
  <si>
    <r>
      <t xml:space="preserve">Probability of Technical Success - Lead Indications </t>
    </r>
    <r>
      <rPr>
        <i/>
        <sz val="10"/>
        <color theme="1"/>
        <rFont val="Georgia"/>
        <family val="1"/>
      </rPr>
      <t>(1)</t>
    </r>
  </si>
  <si>
    <r>
      <t xml:space="preserve">Overall Success Rates </t>
    </r>
    <r>
      <rPr>
        <i/>
        <sz val="10"/>
        <color theme="1"/>
        <rFont val="Georgia"/>
        <family val="1"/>
      </rPr>
      <t>(1)</t>
    </r>
  </si>
  <si>
    <r>
      <t xml:space="preserve">Lead Optimization and Preclinical Success Rates </t>
    </r>
    <r>
      <rPr>
        <i/>
        <sz val="10"/>
        <color theme="1"/>
        <rFont val="Georgia"/>
        <family val="1"/>
      </rPr>
      <t>(2)</t>
    </r>
  </si>
  <si>
    <r>
      <t xml:space="preserve">Overall Success rate - Oncology </t>
    </r>
    <r>
      <rPr>
        <i/>
        <sz val="10"/>
        <color theme="1"/>
        <rFont val="Georgia"/>
        <family val="1"/>
      </rPr>
      <t>(1)</t>
    </r>
  </si>
  <si>
    <r>
      <t xml:space="preserve">Probability of Technical Success - Oncology </t>
    </r>
    <r>
      <rPr>
        <i/>
        <sz val="10"/>
        <color theme="1"/>
        <rFont val="Georgia"/>
        <family val="1"/>
      </rPr>
      <t>(2)</t>
    </r>
  </si>
  <si>
    <r>
      <t xml:space="preserve">Probability of Technical Success - Oncology </t>
    </r>
    <r>
      <rPr>
        <i/>
        <sz val="10"/>
        <color theme="1"/>
        <rFont val="Georgia"/>
        <family val="1"/>
      </rPr>
      <t>(3)</t>
    </r>
  </si>
  <si>
    <r>
      <t xml:space="preserve">Probability of Technical Success - Oncology </t>
    </r>
    <r>
      <rPr>
        <i/>
        <sz val="10"/>
        <color theme="1"/>
        <rFont val="Georgia"/>
        <family val="1"/>
      </rPr>
      <t>(4)</t>
    </r>
  </si>
  <si>
    <r>
      <t xml:space="preserve">Probability of Technical Success - Oncology </t>
    </r>
    <r>
      <rPr>
        <i/>
        <sz val="10"/>
        <color theme="1"/>
        <rFont val="Georgia"/>
        <family val="1"/>
      </rPr>
      <t>(5)</t>
    </r>
  </si>
  <si>
    <r>
      <t xml:space="preserve">Probability of Technical Success in Oncology - </t>
    </r>
    <r>
      <rPr>
        <i/>
        <sz val="10"/>
        <color theme="1"/>
        <rFont val="Georgia"/>
        <family val="1"/>
      </rPr>
      <t>(6)</t>
    </r>
  </si>
  <si>
    <r>
      <t xml:space="preserve">Probability of Technical Success in Oncology - </t>
    </r>
    <r>
      <rPr>
        <i/>
        <sz val="10"/>
        <color theme="1"/>
        <rFont val="Georgia"/>
        <family val="1"/>
      </rPr>
      <t>(7)</t>
    </r>
  </si>
  <si>
    <r>
      <t xml:space="preserve">Probability of Technical Success (All Indications) - Oncology </t>
    </r>
    <r>
      <rPr>
        <i/>
        <sz val="10"/>
        <color theme="1"/>
        <rFont val="Georgia"/>
        <family val="1"/>
      </rPr>
      <t>(8)</t>
    </r>
  </si>
  <si>
    <r>
      <t xml:space="preserve">Probability of Technical Success (Lead Indications) - Oncology </t>
    </r>
    <r>
      <rPr>
        <i/>
        <sz val="10"/>
        <color theme="1"/>
        <rFont val="Georgia"/>
        <family val="1"/>
      </rPr>
      <t>(8)</t>
    </r>
  </si>
  <si>
    <r>
      <t xml:space="preserve">Probability of Technical Success (Small Molecule) - Oncology </t>
    </r>
    <r>
      <rPr>
        <i/>
        <sz val="10"/>
        <color theme="1"/>
        <rFont val="Georgia"/>
        <family val="1"/>
      </rPr>
      <t>(9)</t>
    </r>
  </si>
  <si>
    <r>
      <t xml:space="preserve">Probability of Technical Success (Large Molecule) - Oncology </t>
    </r>
    <r>
      <rPr>
        <i/>
        <sz val="10"/>
        <color theme="1"/>
        <rFont val="Georgia"/>
        <family val="1"/>
      </rPr>
      <t>(9)</t>
    </r>
  </si>
  <si>
    <r>
      <t xml:space="preserve">Probability of Technical Success - Oncology </t>
    </r>
    <r>
      <rPr>
        <i/>
        <sz val="10"/>
        <color theme="1"/>
        <rFont val="Georgia"/>
        <family val="1"/>
      </rPr>
      <t>(10)</t>
    </r>
  </si>
  <si>
    <r>
      <t xml:space="preserve">Probability of Technical Success - HIV/AIDS All Indications </t>
    </r>
    <r>
      <rPr>
        <i/>
        <sz val="10"/>
        <color theme="1"/>
        <rFont val="Georgia"/>
        <family val="1"/>
      </rPr>
      <t>(3)</t>
    </r>
  </si>
  <si>
    <r>
      <t xml:space="preserve">Probability of Technical Success - HIV/AIDS Primary Indication </t>
    </r>
    <r>
      <rPr>
        <i/>
        <sz val="10"/>
        <color theme="1"/>
        <rFont val="Georgia"/>
        <family val="1"/>
      </rPr>
      <t>(3)</t>
    </r>
  </si>
  <si>
    <r>
      <t xml:space="preserve">Probability of Technical Success - HIV/AIDS </t>
    </r>
    <r>
      <rPr>
        <i/>
        <sz val="10"/>
        <color theme="1"/>
        <rFont val="Georgia"/>
        <family val="1"/>
      </rPr>
      <t>(5)</t>
    </r>
  </si>
  <si>
    <r>
      <t xml:space="preserve">Overall Success Rate - Infectious Diseases </t>
    </r>
    <r>
      <rPr>
        <i/>
        <sz val="10"/>
        <color theme="1"/>
        <rFont val="Georgia"/>
        <family val="1"/>
      </rPr>
      <t>(1)</t>
    </r>
  </si>
  <si>
    <r>
      <t xml:space="preserve">Probability of Technical Success - Infections </t>
    </r>
    <r>
      <rPr>
        <i/>
        <sz val="10"/>
        <color theme="1"/>
        <rFont val="Georgia"/>
        <family val="1"/>
      </rPr>
      <t>(2)</t>
    </r>
  </si>
  <si>
    <r>
      <t xml:space="preserve">Probability of Technical Success - Infectious Diseases </t>
    </r>
    <r>
      <rPr>
        <i/>
        <sz val="10"/>
        <color theme="1"/>
        <rFont val="Georgia"/>
        <family val="1"/>
      </rPr>
      <t>(4)</t>
    </r>
  </si>
  <si>
    <r>
      <t xml:space="preserve">Probability of Technical Success (All Indications) - Infectious Diseases </t>
    </r>
    <r>
      <rPr>
        <i/>
        <sz val="10"/>
        <color theme="1"/>
        <rFont val="Georgia"/>
        <family val="1"/>
      </rPr>
      <t>(8)</t>
    </r>
  </si>
  <si>
    <r>
      <t xml:space="preserve">Probability of Technical Success (Lead Indications) - Infectious Diseases </t>
    </r>
    <r>
      <rPr>
        <i/>
        <sz val="10"/>
        <color theme="1"/>
        <rFont val="Georgia"/>
        <family val="1"/>
      </rPr>
      <t>(8)</t>
    </r>
  </si>
  <si>
    <r>
      <t xml:space="preserve">Plummer </t>
    </r>
    <r>
      <rPr>
        <sz val="10"/>
        <color rgb="FFFFFFFF"/>
        <rFont val="Georgia"/>
        <family val="1"/>
      </rPr>
      <t>(2)</t>
    </r>
  </si>
  <si>
    <r>
      <t>Scherlis &amp; Sahlman</t>
    </r>
    <r>
      <rPr>
        <sz val="10"/>
        <color rgb="FFFFFFFF"/>
        <rFont val="Georgia"/>
        <family val="1"/>
      </rPr>
      <t xml:space="preserve"> (3)</t>
    </r>
  </si>
  <si>
    <r>
      <t>Sahlman &amp; Others</t>
    </r>
    <r>
      <rPr>
        <sz val="10"/>
        <color rgb="FFFFFFFF"/>
        <rFont val="Georgia"/>
        <family val="1"/>
      </rPr>
      <t xml:space="preserve"> (4)</t>
    </r>
  </si>
  <si>
    <r>
      <t xml:space="preserve">Applied Multiples </t>
    </r>
    <r>
      <rPr>
        <sz val="10"/>
        <color rgb="FFFFFFFF"/>
        <rFont val="Georgia"/>
        <family val="1"/>
      </rPr>
      <t>(1)</t>
    </r>
  </si>
  <si>
    <r>
      <t xml:space="preserve">Weightings </t>
    </r>
    <r>
      <rPr>
        <sz val="10"/>
        <color rgb="FFFFFFFF"/>
        <rFont val="Georgia"/>
        <family val="1"/>
      </rPr>
      <t>(3)</t>
    </r>
  </si>
  <si>
    <r>
      <t xml:space="preserve">Control Premium Summary </t>
    </r>
    <r>
      <rPr>
        <sz val="10"/>
        <color rgb="FFFFFFFF"/>
        <rFont val="Georgia"/>
        <family val="1"/>
      </rPr>
      <t>(1)</t>
    </r>
  </si>
  <si>
    <r>
      <t>Applied Multiples</t>
    </r>
    <r>
      <rPr>
        <sz val="10"/>
        <color rgb="FFFFFFFF"/>
        <rFont val="Georgia"/>
        <family val="1"/>
      </rPr>
      <t xml:space="preserve"> (2)</t>
    </r>
  </si>
  <si>
    <r>
      <t xml:space="preserve">Weights </t>
    </r>
    <r>
      <rPr>
        <sz val="10"/>
        <color rgb="FFFFFFFF"/>
        <rFont val="Georgia"/>
        <family val="1"/>
      </rPr>
      <t>(4)</t>
    </r>
  </si>
  <si>
    <r>
      <t>Shareholders</t>
    </r>
    <r>
      <rPr>
        <sz val="10"/>
        <color rgb="FFFFFFFF"/>
        <rFont val="Georgia"/>
        <family val="1"/>
      </rPr>
      <t xml:space="preserve"> (1)</t>
    </r>
  </si>
  <si>
    <r>
      <t xml:space="preserve">Features </t>
    </r>
    <r>
      <rPr>
        <sz val="10"/>
        <color theme="1"/>
        <rFont val="Georgia"/>
        <family val="1"/>
      </rPr>
      <t>(1)</t>
    </r>
  </si>
  <si>
    <r>
      <t xml:space="preserve">Asset Vol. </t>
    </r>
    <r>
      <rPr>
        <sz val="10"/>
        <rFont val="Georgia"/>
        <family val="1"/>
      </rPr>
      <t>(1)</t>
    </r>
  </si>
  <si>
    <r>
      <t xml:space="preserve">The derivation of asset volatilities was estimated based on the methodologies outlined in Crosbie's paper entitled </t>
    </r>
    <r>
      <rPr>
        <i/>
        <sz val="10"/>
        <color theme="1"/>
        <rFont val="Georgia"/>
        <family val="1"/>
      </rPr>
      <t>Modeling Default Risk</t>
    </r>
    <r>
      <rPr>
        <sz val="10"/>
        <color theme="1"/>
        <rFont val="Georgia"/>
        <family val="1"/>
      </rPr>
      <t>.</t>
    </r>
  </si>
  <si>
    <r>
      <t xml:space="preserve">Volatility </t>
    </r>
    <r>
      <rPr>
        <sz val="10"/>
        <color theme="1"/>
        <rFont val="Georgia"/>
        <family val="1"/>
      </rPr>
      <t>(1), (2), (3), (4)</t>
    </r>
  </si>
  <si>
    <r>
      <t xml:space="preserve">Mergerstat (Overall &amp; Business Services) </t>
    </r>
    <r>
      <rPr>
        <sz val="10"/>
        <color theme="1"/>
        <rFont val="Georgia"/>
        <family val="1"/>
      </rPr>
      <t>(1)</t>
    </r>
  </si>
  <si>
    <r>
      <t xml:space="preserve">Capital IQ (Healthcare Technology) </t>
    </r>
    <r>
      <rPr>
        <sz val="10"/>
        <color theme="1"/>
        <rFont val="Georgia"/>
        <family val="1"/>
      </rPr>
      <t>(2)</t>
    </r>
  </si>
  <si>
    <t>Nishant</t>
  </si>
  <si>
    <t>Changed font size to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</si>
</sst>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4">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dd/yy;@"/>
    <numFmt numFmtId="165" formatCode="0.0%"/>
    <numFmt numFmtId="166" formatCode="_(&quot;$&quot;* #,##0.0_);_(&quot;$&quot;* \(#,##0.0\);_(&quot;$&quot;* &quot;-&quot;??_);_(@_)"/>
    <numFmt numFmtId="167" formatCode="_(* #,##0.0_);_(* \(#,##0.0\);_(* &quot;-&quot;??_);_(@_)"/>
    <numFmt numFmtId="168" formatCode="_(* #,##0.00_);_(* \(#,##0.00\);_(* &quot;-&quot;_);_(@_)"/>
    <numFmt numFmtId="169" formatCode="_(* #,##0.0_);_(* \(#,##0.0\);_(* &quot;-&quot;_);_(@_)"/>
    <numFmt numFmtId="170" formatCode="_(* #,##0.00000_);_(* \(#,##0.00000\);_(* &quot;-&quot;??_);_(@_)"/>
    <numFmt numFmtId="171" formatCode="_-* #,##0\ &quot;F&quot;_-;\-* #,##0\ &quot;F&quot;_-;_-* &quot;-&quot;\ &quot;F&quot;_-;_-@_-"/>
    <numFmt numFmtId="172" formatCode="_-&quot;$&quot;* #,##0.00_-;\-&quot;$&quot;* #,##0.00_-;_-&quot;$&quot;* &quot;-&quot;??_-;_-@_-"/>
    <numFmt numFmtId="173" formatCode="[$€-2]\ #,##0_);\([$€-2]\ #,##0\)"/>
    <numFmt numFmtId="174" formatCode="#,##0.0_);\(#,##0.0\);@_)"/>
    <numFmt numFmtId="175" formatCode="#,##0.0_);\(#,##0.0\);&quot;-&quot;?_);@_)"/>
    <numFmt numFmtId="176" formatCode="&quot;$&quot;#,##0.0_);\(&quot;$&quot;#,##0.0\);&quot;-&quot;?_);@_)"/>
    <numFmt numFmtId="177" formatCode="&quot;$&quot;#,##0.0_);\(&quot;$&quot;#,##0.0\)"/>
    <numFmt numFmtId="178" formatCode="0.0000000000000\x"/>
    <numFmt numFmtId="179" formatCode="0.00000000000000\x"/>
    <numFmt numFmtId="180" formatCode="0.000000000000000\x"/>
    <numFmt numFmtId="181" formatCode="0.0%;\-0.0%;&quot;-&quot;?_);@_)"/>
    <numFmt numFmtId="182" formatCode="0.00%;\(0.00\)%"/>
    <numFmt numFmtId="183" formatCode="0%;[Red]\(0%\)"/>
    <numFmt numFmtId="184" formatCode=";;;"/>
    <numFmt numFmtId="185" formatCode="_-&quot;$&quot;* #,##0_-;\-&quot;$&quot;* #,##0_-;_-&quot;$&quot;* &quot;-&quot;_-;_-@_-"/>
    <numFmt numFmtId="186" formatCode="_-* #,##0_-;\-* #,##0_-;_-* &quot;-&quot;_-;_-@_-"/>
    <numFmt numFmtId="187" formatCode="_(* &quot;$&quot;\ #,##0\ \ ;_(* &quot;$&quot;\ \(#,##0\)\ ;_(* &quot;-&quot;\ \ ;_(@\ "/>
    <numFmt numFmtId="188" formatCode="0.0_)\%;\(0.0\)\%;0.0_)\%;@_)_%"/>
    <numFmt numFmtId="189" formatCode="#,##0.0_)_%;\(#,##0.0\)_%;0.0_)_%;@_)_%"/>
    <numFmt numFmtId="190" formatCode="_(* #,##0\ \ ;_(* \(#,##0\)\ \ ;_(* &quot;-&quot;\ \ ;_(* @_)"/>
    <numFmt numFmtId="191" formatCode="0.0"/>
    <numFmt numFmtId="192" formatCode="#,##0.0_);\(#,##0.0\)"/>
    <numFmt numFmtId="193" formatCode="&quot;$&quot;_(#,##0.00_);&quot;$&quot;\(#,##0.00\);&quot;$&quot;_(0.00_);@_)"/>
    <numFmt numFmtId="194" formatCode="&quot;$&quot;_(#,##0.00_);&quot;$&quot;\(#,##0.00\)"/>
    <numFmt numFmtId="195" formatCode="&quot;£&quot;_(#,##0.00_);&quot;£&quot;\(#,##0.00\)"/>
    <numFmt numFmtId="196" formatCode="&quot;€&quot;_(#,##0.00_);&quot;€&quot;\(#,##0.00\)"/>
    <numFmt numFmtId="197" formatCode="&quot;£&quot;_(#,##0.00_);&quot;£&quot;\(#,##0.00\);&quot;£&quot;_(0.00_);@_)"/>
    <numFmt numFmtId="198" formatCode="&quot;€&quot;_(#,##0.00_);&quot;€&quot;\(#,##0.00\);&quot;€&quot;_(0.00_);@_)"/>
    <numFmt numFmtId="199" formatCode="&quot;DM&quot;_(#,##0.00_);&quot;DM&quot;\(#,##0.00\)"/>
    <numFmt numFmtId="200" formatCode="#,##0.00_);\(#,##0.00\);0.00_);@_)"/>
    <numFmt numFmtId="201" formatCode="_-* #,##0.00_-;\-* #,##0.00_-;_-* &quot;-&quot;??_-;_-@_-"/>
    <numFmt numFmtId="202" formatCode="\€_(#,##0.00_);\€\(#,##0.00\);\€_(0.00_);@_)"/>
    <numFmt numFmtId="203" formatCode="\£_(#,##0_);\£\(#,##0\)"/>
    <numFmt numFmtId="204" formatCode="* \L\+0.00%;* \L\-0.00%;* @\ \ "/>
    <numFmt numFmtId="205" formatCode="* \L\+0.00%;* \L\-0.00%;* &quot;-&quot;\ \ ;* @\ \ "/>
    <numFmt numFmtId="206" formatCode="#,##0_)\x;\(#,##0\)\x;0_)\x;@_)_x"/>
    <numFmt numFmtId="207" formatCode="#,##0.0_)\x;\(#,##0.0\)\x"/>
    <numFmt numFmtId="208" formatCode="#,##0.0\ \x;\(#,##0.0\)\x;@\ \ "/>
    <numFmt numFmtId="209" formatCode="#,##0.0_)\x;\(#,##0.0\)\x;0.0_)\x;@_)_x"/>
    <numFmt numFmtId="210" formatCode="#,##0.0\ \x;\(#,##0.0\)\x;@\ "/>
    <numFmt numFmtId="211" formatCode="#,##0.0\ \x;\(#,##0.0\)\x;@\ \ \x"/>
    <numFmt numFmtId="212" formatCode="#,##0_)_x;\(#,##0\)_x;0_)_x;@_)_x"/>
    <numFmt numFmtId="213" formatCode="#,##0.0_)_x;\(#,##0.0\)_x"/>
    <numFmt numFmtId="214" formatCode="#,##0.0_)_x;\(#,##0.0\)_x;0.0_)_x;@_)_x"/>
    <numFmt numFmtId="215" formatCode="0.0_)\%;\(0.0\)\%"/>
    <numFmt numFmtId="216" formatCode="* 0.0%;* \(0.0\)%;* &quot;-&quot;\ \ ;* @\ \ "/>
    <numFmt numFmtId="217" formatCode="0.0%;\(0.0\)%;@\ \ "/>
    <numFmt numFmtId="218" formatCode="#,##0.0_)_%;\(#,##0.0\)_%"/>
    <numFmt numFmtId="219" formatCode="&quot;$&quot;#,##0"/>
    <numFmt numFmtId="220" formatCode="0.000000"/>
    <numFmt numFmtId="221" formatCode="\£\ #,##0_);[Red]\(\£\ #,##0\)"/>
    <numFmt numFmtId="222" formatCode="_(\£* #,##0_);_(\£* \(#,##0\);_(\£* &quot;-&quot;_);_(@_)"/>
    <numFmt numFmtId="223" formatCode="_(\£* #,##0.0_);_(\£* \(#,##0.0\);_(\£* &quot;-&quot;_);_(@_)"/>
    <numFmt numFmtId="224" formatCode="_(\£* #,##0.00_);_(\£* \(#,##0.00\);_(\£* &quot;-&quot;_);_(@_)"/>
    <numFmt numFmtId="225" formatCode="_(* #,##0\p_);_(* \(#,##0\p\);_(* &quot;-&quot;\ \p_);_(@_)"/>
    <numFmt numFmtId="226" formatCode="_(* #,##0.00\p_);_(* \(#,##0.00\p\);_(* &quot;-&quot;\ \p_);_(@_)"/>
    <numFmt numFmtId="227" formatCode="\£#,##0.00"/>
    <numFmt numFmtId="228" formatCode="\¥\ #,##0_);[Red]\(\¥\ #,##0\)"/>
    <numFmt numFmtId="229" formatCode="0_)"/>
    <numFmt numFmtId="230" formatCode="#,##0.0;\(#,##0.0\);\-"/>
    <numFmt numFmtId="231" formatCode="#,##0.0&quot; F&quot;;\(#,##0.0&quot; F&quot;\);\-"/>
    <numFmt numFmtId="232" formatCode="0.0%;\(0.0%\);\-"/>
    <numFmt numFmtId="233" formatCode="\ "/>
    <numFmt numFmtId="234" formatCode="0.00\x"/>
    <numFmt numFmtId="235" formatCode="0.0\x"/>
    <numFmt numFmtId="236" formatCode="0.0\ \x"/>
    <numFmt numFmtId="237" formatCode="#,##0;\(#,##0\);\-"/>
    <numFmt numFmtId="238" formatCode="#,##0&quot; MF&quot;;\(#,##0&quot; MF&quot;\);\-"/>
    <numFmt numFmtId="239" formatCode="mmmm\-yy"/>
    <numFmt numFmtId="240" formatCode="0.00;[Red]0.00"/>
    <numFmt numFmtId="241" formatCode="00000000"/>
    <numFmt numFmtId="242" formatCode="0.0000000000000000\x"/>
    <numFmt numFmtId="243" formatCode="&quot;$&quot;#,##0.00"/>
    <numFmt numFmtId="244" formatCode="#,##0.0\ ;\(#,##0.0\)"/>
    <numFmt numFmtId="245" formatCode="0.00%;[Red]\(0.00%\)"/>
    <numFmt numFmtId="246" formatCode="#,##0.00\ ;\(#,##0.00\)"/>
    <numFmt numFmtId="247" formatCode="[$-409]d\-mmm\-yy;@"/>
    <numFmt numFmtId="248" formatCode="_(* #,##0_);_(* \(#,##0\);_(* &quot;-&quot;??_);_(@_)"/>
    <numFmt numFmtId="249" formatCode="#,##0.0_x;&quot;NM&quot;_x"/>
    <numFmt numFmtId="250" formatCode="#,##0\x_);&quot;NM&quot;_)"/>
    <numFmt numFmtId="251" formatCode="#,##0&quot; kr&quot;;[Red]\-#,##0&quot; kr&quot;"/>
    <numFmt numFmtId="252" formatCode="0\ \ \ \ \ \ "/>
    <numFmt numFmtId="253" formatCode="&quot;$&quot;0.00\ \ \ _);\(&quot;$&quot;0.00\)\ \ \ "/>
    <numFmt numFmtId="254" formatCode="0.0\ \ \ \ \ _);\(0.0\)\ \ \ \ \ "/>
    <numFmt numFmtId="255" formatCode="0.00\ \x\ \ _);\(0.00\)\ \x\ \ "/>
    <numFmt numFmtId="256" formatCode="0.00\ \ \ \ \ _);\(0.00\)\ \ \ \ \ "/>
    <numFmt numFmtId="257" formatCode="0.0\ \ \ _);\(0.0\)\ \ \ "/>
    <numFmt numFmtId="258" formatCode="[Blue]#,##0.000_);[Blue]\(#,##0.000\)"/>
    <numFmt numFmtId="259" formatCode="[Blue]&quot;$&quot;#,##0.000_);[Blue]\(&quot;$&quot;#,##0.000\)"/>
    <numFmt numFmtId="260" formatCode="&quot;$&quot;#,##0.0_);[Red]\(&quot;$&quot;#,##0.0\);&quot;$&quot;0.0_);@_)"/>
    <numFmt numFmtId="261" formatCode="#,##0;\(#,##0\);&quot; - &quot;"/>
    <numFmt numFmtId="262" formatCode="#,##0\ ;\(#,##0\);\-\ \ \ \ \ "/>
    <numFmt numFmtId="263" formatCode="#,##0\ ;\(#,##0\);\–\ \ \ \ \ "/>
    <numFmt numFmtId="264" formatCode="#,##0.00&quot;w&quot;_);[Red]\(#,##0.00&quot;w&quot;\)"/>
    <numFmt numFmtId="265" formatCode="_(* #,##0.000000_);_(* \(#,##0.000000\);_(* &quot;-&quot;??_);_(@_)"/>
    <numFmt numFmtId="266" formatCode="_(* #,##0.0000_);_(* \(#,##0.0000\);_(* &quot;-&quot;??_);_(@_)"/>
    <numFmt numFmtId="267" formatCode="_-* #,##0\ _F_-;\-* #,##0\ _F_-;_-* &quot;-&quot;\ _F_-;_-@_-"/>
    <numFmt numFmtId="268" formatCode="#,##0.0000000000;[Red]\-#,##0.0000000000"/>
    <numFmt numFmtId="269" formatCode="0.00_)"/>
    <numFmt numFmtId="270" formatCode="#,##0.0_);[Red]\(#,##0.0\)"/>
    <numFmt numFmtId="271" formatCode="#,##0_)_%;\(#,##0\)_%;"/>
    <numFmt numFmtId="272" formatCode="_(* #,##0.0_);_(* \(#,##0.0\);_(* &quot;-&quot;?_);_(@_)"/>
    <numFmt numFmtId="273" formatCode="0.000%"/>
    <numFmt numFmtId="274" formatCode="#,##0.000_);[Red]\(#,##0.000\)"/>
    <numFmt numFmtId="275" formatCode="#,##0_%_);\(#,##0\)_%;**;@_%_)"/>
    <numFmt numFmtId="276" formatCode="&quot;$&quot;* \(#,##0\);&quot;$&quot;* #,##0_);&quot;$&quot;* &quot;-&quot;??_);@_)"/>
    <numFmt numFmtId="277" formatCode="#,##0.0000,"/>
    <numFmt numFmtId="278" formatCode="_-* #,##0.00_ _k_r_-;\-* #,##0.00_ _k_r_-;_-* &quot;-&quot;??_ _k_r_-;_-@_-"/>
    <numFmt numFmtId="279" formatCode="_(&quot;$&quot;* #,##0,_);_(&quot;$&quot;* \(#,##0,\);_(&quot;$&quot;* &quot;-&quot;_);_(@_)"/>
    <numFmt numFmtId="280" formatCode="&quot;$&quot;* \(#,##0\)_%;&quot;$&quot;* #,##0_)_%;&quot;$&quot;* &quot;-&quot;??_)_%;@_)_%"/>
    <numFmt numFmtId="281" formatCode="_(* #,##0.0000,_);_(* \(#,##0.0000,\);_(* &quot;-&quot;_);_(@_)"/>
    <numFmt numFmtId="282" formatCode="&quot;$&quot;* \(#,##0.0\);&quot;$&quot;* #,##0.0_);&quot;$&quot;* &quot;-&quot;??_);@_)"/>
    <numFmt numFmtId="283" formatCode="#,##0.00_%_);\(#,##0.00\)_%;**;@_%_)"/>
    <numFmt numFmtId="284" formatCode="General_)"/>
    <numFmt numFmtId="285" formatCode="#,##0.00000000_);[Red]\(#,##0.00000000\)"/>
    <numFmt numFmtId="286" formatCode="#,##0.000000_);[Red]\(#,##0.000000\)"/>
    <numFmt numFmtId="287" formatCode="0.00_);\(0.00\);0.00"/>
    <numFmt numFmtId="288" formatCode="#,##0.0000000_);[Red]\(#,##0.0000000\)"/>
    <numFmt numFmtId="289" formatCode="&quot;$&quot;#,##0.0_);[Red]\(&quot;$&quot;#,##0.0\)"/>
    <numFmt numFmtId="290" formatCode="&quot;$&quot;#,##0_%_);\(&quot;$&quot;#,##0\)_%;&quot;$&quot;#,##0_%_);@_%_)"/>
    <numFmt numFmtId="291" formatCode="\(#,##0\)_%;#,##0_)_%;"/>
    <numFmt numFmtId="292" formatCode="&quot;$&quot;\ #,##0.00;[Red]&quot;$&quot;\ \-#,##0.00"/>
    <numFmt numFmtId="293" formatCode="\(#,##0.0\);#,##0.0_);"/>
    <numFmt numFmtId="294" formatCode="_ * #,##0_ ;_ * \-#,##0_ ;_ * &quot;-&quot;_ ;_ @_ "/>
    <numFmt numFmtId="295" formatCode="\(#,##0.0\)_%;#,##0.0_)_%;"/>
    <numFmt numFmtId="296" formatCode="_ * #,##0.00_ ;_ * \-#,##0.00_ ;_ * &quot;-&quot;??_ ;_ @_ "/>
    <numFmt numFmtId="297" formatCode="mmm\-d\-yy"/>
    <numFmt numFmtId="298" formatCode="mmm\-d\-yyyy"/>
    <numFmt numFmtId="299" formatCode="#,##0.00&quot; kr&quot;;\-#,##0.00&quot; kr&quot;"/>
    <numFmt numFmtId="300" formatCode="#,##0.000,_);[Red]\(#,##0.000,\)"/>
    <numFmt numFmtId="301" formatCode="yyyy"/>
    <numFmt numFmtId="302" formatCode="yyyy&quot;E&quot;"/>
    <numFmt numFmtId="303" formatCode="###0_);\(###0\)"/>
    <numFmt numFmtId="304" formatCode="#,##0&quot; kr&quot;;\-#,##0&quot; kr&quot;"/>
    <numFmt numFmtId="305" formatCode="&quot;$&quot;#,##0.000"/>
    <numFmt numFmtId="306" formatCode="\ #,##0\ \ \ ;\(#,##0\)\ \ ;\—\ \ \ \ "/>
    <numFmt numFmtId="307" formatCode="0.0%;[Red]\(0.0%\)"/>
    <numFmt numFmtId="308" formatCode="#,##0.00&quot; kr&quot;;[Red]\-#,##0.00&quot; kr&quot;"/>
    <numFmt numFmtId="309" formatCode="0.00_);\(0.00\)"/>
    <numFmt numFmtId="310" formatCode="#,##0.0"/>
    <numFmt numFmtId="311" formatCode="_-* #,##0&quot; kr&quot;_-;\-* #,##0&quot; kr&quot;_-;_-* &quot;-&quot;&quot; kr&quot;_-;_-@_-"/>
    <numFmt numFmtId="312" formatCode="_-* #,##0_ _k_r_-;\-* #,##0_ _k_r_-;_-* &quot;-&quot;_ _k_r_-;_-@_-"/>
    <numFmt numFmtId="313" formatCode="_-* #,##0.00&quot; kr&quot;_-;\-* #,##0.00&quot; kr&quot;_-;_-* &quot;-&quot;??&quot; kr&quot;_-;_-@_-"/>
    <numFmt numFmtId="314" formatCode="_(* #,##0.0000_);_(* \(#,##0.0000\);_(* &quot;-&quot;_);_(@_)"/>
    <numFmt numFmtId="315" formatCode="0.0\ \ "/>
    <numFmt numFmtId="316" formatCode="&quot;$&quot;#,##0.0_);&quot;$&quot;\(#,##0.0\)"/>
    <numFmt numFmtId="317" formatCode="_(* #,##0.00\ ___);_(* \(#,##0.00\ __\);_(* &quot;-&quot;??_);_(@_)"/>
    <numFmt numFmtId="318" formatCode="_(* #,##0\ \x_);_(* \(#,##0\ \x\);_(* &quot;-&quot;??_);_(@_)"/>
    <numFmt numFmtId="319" formatCode="_(* #,##0\ ___);_(* \(#,##0\ __\);_(* &quot;-&quot;??_);_(@_)"/>
    <numFmt numFmtId="320" formatCode="_(* #,##0.0\ ___);_(* \(#,##0.0\ __\);_(* &quot;-&quot;??_);_(@_)"/>
    <numFmt numFmtId="321" formatCode="* #,##0_);* \(\ #,##0_);* \-"/>
    <numFmt numFmtId="322" formatCode="0.0_)_x;\(0.0\)_x"/>
    <numFmt numFmtId="323" formatCode="&quot;$&quot;#,##0.0;[Red]\-&quot;$&quot;#,##0.0"/>
    <numFmt numFmtId="324" formatCode="#,##0.0_)\ \ ;[Red]\(#,##0.0\)\ \ "/>
    <numFmt numFmtId="325" formatCode="&quot;$&quot;#,##0.0000"/>
    <numFmt numFmtId="326" formatCode="0.0%;\(0.0%\)"/>
    <numFmt numFmtId="327" formatCode="\(#,##0.00\);#,##0.00_);"/>
    <numFmt numFmtId="328" formatCode="\(#,##0.00\)_%;#,##0.00_)_%;"/>
    <numFmt numFmtId="329" formatCode="0.0_%"/>
    <numFmt numFmtId="330" formatCode="\(#,##0.000\);#,##0.000_);"/>
    <numFmt numFmtId="331" formatCode="\(#,##0.000\)_%;#,##0.000_)_%;"/>
    <numFmt numFmtId="332" formatCode="mm/dd/yy"/>
    <numFmt numFmtId="333" formatCode="0.00\%;\-0.00\%;0.00\%"/>
    <numFmt numFmtId="334" formatCode="_(* #,##0%_);_(* \(#,##0%\);_(* &quot;-&quot;_);_(@_)"/>
    <numFmt numFmtId="335" formatCode="0.0%&quot;Sales&quot;"/>
    <numFmt numFmtId="336" formatCode="#,##0_)&quot; %&quot;;[Red]\(#,##0\)&quot; %&quot;"/>
    <numFmt numFmtId="337" formatCode="_(* &quot;$&quot;#,##0.0_);_(* &quot;$&quot;\(#,##0.0\);_(* &quot;$&quot;\ &quot;-&quot;_);_(@_)"/>
    <numFmt numFmtId="338" formatCode="0.00\x;\-0.00\x;0.00\x"/>
    <numFmt numFmtId="339" formatCode="#,##0.00;[Red]\(#,##0.00\)"/>
    <numFmt numFmtId="340" formatCode="_(&quot;SGD&quot;\ * #,##0.00_);_(&quot;SGD&quot;\ * \(#,##0.00\);_(* &quot;-&quot;_);_(@_)"/>
    <numFmt numFmtId="341" formatCode="0_%_);\(0\)_%;0_%_);@_%_)"/>
    <numFmt numFmtId="342" formatCode="&quot;$&quot;#,##0.0"/>
    <numFmt numFmtId="343" formatCode="[$-409]mmmm\ d\,\ yyyy;@"/>
    <numFmt numFmtId="344" formatCode="0.00_);[Red]\(0.00\)"/>
    <numFmt numFmtId="345" formatCode="#0.0%_);\(#0.0%\)"/>
    <numFmt numFmtId="346" formatCode="#,##0\ &quot;DM&quot;;[Red]\-#,##0\ &quot;DM&quot;"/>
    <numFmt numFmtId="347" formatCode="_(\ #,##0_);_(\ \(#,##0\);_(\ &quot;-&quot;_);_(@_)"/>
    <numFmt numFmtId="348" formatCode="#0.0\x"/>
    <numFmt numFmtId="349" formatCode="#0.00\x"/>
    <numFmt numFmtId="350" formatCode="0.0\ \x\ "/>
    <numFmt numFmtId="351" formatCode="_-#,##0&quot; £/GJ&quot;"/>
    <numFmt numFmtId="352" formatCode="_-#,##0&quot; £/t&quot;"/>
    <numFmt numFmtId="353" formatCode="_-#,##0&quot;°&quot;"/>
    <numFmt numFmtId="354" formatCode="_-#\,##0&quot;°&quot;"/>
    <numFmt numFmtId="355" formatCode="0_);\(0\)"/>
    <numFmt numFmtId="356" formatCode="0.00\ ;\(0.00\)"/>
    <numFmt numFmtId="357" formatCode="_(&quot;$&quot;* #,##0.0_);_(* \(#,##0.0\);_(&quot;$&quot;* &quot;0.0&quot;_);_(@_)"/>
    <numFmt numFmtId="358" formatCode="_(&quot;$&quot;* #,##0.0_);_(&quot;$&quot;* \(#,##0.0\);_(&quot;$&quot;* &quot;-&quot;?_);_(@_)"/>
    <numFmt numFmtId="359" formatCode="&quot;$&quot;#,##0_);[Red]\(&quot;$&quot;#,##0\);0_);@_)"/>
    <numFmt numFmtId="360" formatCode="0.0_x_);\(0.0\)_x"/>
    <numFmt numFmtId="361" formatCode="#,##0;\(#,##0\)"/>
    <numFmt numFmtId="362" formatCode="#,##0_}&quot;bar&quot;;\(#,##0\)&quot;bar&quot;"/>
    <numFmt numFmtId="363" formatCode="0.00000"/>
    <numFmt numFmtId="364" formatCode="\«#,##0;_(* #,##0;_(* &quot;-&quot;??_);_(@_)"/>
    <numFmt numFmtId="365" formatCode="#,##0\ \ \ ;[Red]\(#,##0\)\ \ ;\—\ \ \ \ "/>
    <numFmt numFmtId="366" formatCode="#,##0.0\%_);\(#,##0.0\%\);#,##0.0\%_);@_%_)"/>
    <numFmt numFmtId="367" formatCode="#,##0.00_);\(#,##0.00\);_(* &quot;-&quot;_)"/>
    <numFmt numFmtId="368" formatCode="#,##0.0\x"/>
    <numFmt numFmtId="369" formatCode="_(* #,##0.000_);_(* \(#,##0.000\);_(* &quot;-&quot;??_);_(@_)"/>
  </numFmts>
  <fonts count="268">
    <font>
      <sz val="10"/>
      <color theme="1"/>
      <name val="Garamond"/>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9"/>
      <color indexed="81"/>
      <name val="Tahoma"/>
      <family val="2"/>
    </font>
    <font>
      <sz val="9"/>
      <color indexed="81"/>
      <name val="Tahoma"/>
      <family val="2"/>
    </font>
    <font>
      <sz val="8"/>
      <color indexed="12"/>
      <name val="Arial"/>
      <family val="2"/>
    </font>
    <font>
      <sz val="8"/>
      <name val="Helv"/>
    </font>
    <font>
      <sz val="10"/>
      <name val="Arial"/>
      <family val="2"/>
    </font>
    <font>
      <sz val="10"/>
      <name val="Times New Roman"/>
      <family val="1"/>
      <charset val="204"/>
    </font>
    <font>
      <sz val="10"/>
      <name val="Arial"/>
      <family val="2"/>
      <charset val="204"/>
    </font>
    <font>
      <sz val="12"/>
      <name val="Arial"/>
      <family val="2"/>
    </font>
    <font>
      <sz val="10"/>
      <name val="Times New Roman"/>
      <family val="1"/>
    </font>
    <font>
      <sz val="10"/>
      <name val="Arial Narrow"/>
      <family val="2"/>
    </font>
    <font>
      <sz val="10"/>
      <name val="Geneva"/>
      <family val="2"/>
    </font>
    <font>
      <sz val="10"/>
      <name val="Geneva"/>
    </font>
    <font>
      <sz val="8"/>
      <name val="MS Serif"/>
      <family val="1"/>
    </font>
    <font>
      <sz val="8"/>
      <name val="Times New Roman"/>
      <family val="1"/>
    </font>
    <font>
      <sz val="10"/>
      <name val="David"/>
      <family val="2"/>
      <charset val="177"/>
    </font>
    <font>
      <sz val="10"/>
      <color indexed="8"/>
      <name val="MS Sans Serif"/>
      <family val="2"/>
    </font>
    <font>
      <sz val="9"/>
      <name val="Arial"/>
      <family val="2"/>
    </font>
    <font>
      <sz val="9"/>
      <name val="Times New Roman"/>
      <family val="1"/>
    </font>
    <font>
      <sz val="10"/>
      <name val="Courier"/>
      <family val="3"/>
    </font>
    <font>
      <sz val="10"/>
      <name val="MS Sans Serif"/>
      <family val="2"/>
    </font>
    <font>
      <sz val="11"/>
      <name val="Arial"/>
      <family val="2"/>
    </font>
    <font>
      <sz val="8"/>
      <name val="Arial Narrow"/>
      <family val="2"/>
    </font>
    <font>
      <sz val="12"/>
      <name val="宋体"/>
      <charset val="134"/>
    </font>
    <font>
      <b/>
      <sz val="9"/>
      <name val="Arial"/>
      <family val="2"/>
    </font>
    <font>
      <b/>
      <sz val="10"/>
      <color indexed="9"/>
      <name val="Arial"/>
      <family val="2"/>
    </font>
    <font>
      <b/>
      <sz val="22"/>
      <color indexed="18"/>
      <name val="Arial"/>
      <family val="2"/>
    </font>
    <font>
      <sz val="8"/>
      <color indexed="12"/>
      <name val="Arial Narrow"/>
      <family val="2"/>
    </font>
    <font>
      <b/>
      <sz val="11"/>
      <color indexed="9"/>
      <name val="Arial"/>
      <family val="2"/>
    </font>
    <font>
      <b/>
      <sz val="10"/>
      <name val="Arial"/>
      <family val="2"/>
    </font>
    <font>
      <sz val="9"/>
      <color indexed="8"/>
      <name val="Arial"/>
      <family val="2"/>
    </font>
    <font>
      <sz val="12"/>
      <name val="Times New Roman"/>
      <family val="1"/>
    </font>
    <font>
      <b/>
      <sz val="10"/>
      <name val="Verdana"/>
      <family val="2"/>
    </font>
    <font>
      <b/>
      <sz val="8"/>
      <color indexed="9"/>
      <name val="Arial"/>
      <family val="2"/>
    </font>
    <font>
      <b/>
      <sz val="14"/>
      <name val="Arial"/>
      <family val="2"/>
    </font>
    <font>
      <sz val="8"/>
      <name val="Arial"/>
      <family val="2"/>
    </font>
    <font>
      <i/>
      <sz val="8"/>
      <name val="Arial"/>
      <family val="2"/>
    </font>
    <font>
      <b/>
      <i/>
      <sz val="8"/>
      <color indexed="18"/>
      <name val="Arial"/>
      <family val="2"/>
    </font>
    <font>
      <i/>
      <sz val="10"/>
      <name val="Arial"/>
      <family val="2"/>
    </font>
    <font>
      <b/>
      <sz val="14"/>
      <color indexed="18"/>
      <name val="Arial"/>
      <family val="2"/>
    </font>
    <font>
      <b/>
      <sz val="10"/>
      <color indexed="18"/>
      <name val="Arial"/>
      <family val="2"/>
    </font>
    <font>
      <b/>
      <sz val="9"/>
      <color indexed="8"/>
      <name val="Arial"/>
      <family val="2"/>
    </font>
    <font>
      <b/>
      <sz val="8"/>
      <color indexed="8"/>
      <name val="Arial Narrow"/>
      <family val="2"/>
    </font>
    <font>
      <b/>
      <u val="singleAccounting"/>
      <sz val="10"/>
      <color indexed="18"/>
      <name val="Arial"/>
      <family val="2"/>
    </font>
    <font>
      <b/>
      <u val="singleAccounting"/>
      <sz val="8"/>
      <name val="Arial Narrow"/>
      <family val="2"/>
    </font>
    <font>
      <b/>
      <sz val="10"/>
      <name val="MS Sans Serif"/>
      <family val="2"/>
    </font>
    <font>
      <sz val="11"/>
      <name val="Miriam"/>
      <family val="2"/>
      <charset val="177"/>
    </font>
    <font>
      <sz val="12"/>
      <name val="Times New Roman"/>
      <family val="1"/>
      <charset val="177"/>
    </font>
    <font>
      <sz val="8"/>
      <color indexed="8"/>
      <name val="Times New Roman"/>
      <family val="1"/>
    </font>
    <font>
      <sz val="8"/>
      <color indexed="14"/>
      <name val="Times New Roman"/>
      <family val="1"/>
    </font>
    <font>
      <sz val="11"/>
      <name val="Times New Roman"/>
      <family val="1"/>
    </font>
    <font>
      <sz val="8"/>
      <name val="Helvetica"/>
      <family val="2"/>
    </font>
    <font>
      <u/>
      <sz val="10"/>
      <color indexed="36"/>
      <name val="Arial"/>
      <family val="2"/>
    </font>
    <font>
      <sz val="10"/>
      <name val="Palatino"/>
      <family val="1"/>
    </font>
    <font>
      <sz val="10"/>
      <color indexed="8"/>
      <name val="Palatino"/>
      <family val="1"/>
    </font>
    <font>
      <u/>
      <sz val="10"/>
      <name val="Arial"/>
      <family val="2"/>
    </font>
    <font>
      <sz val="8"/>
      <name val="Antique Olive"/>
      <family val="2"/>
    </font>
    <font>
      <sz val="8"/>
      <name val="Geneva"/>
      <family val="2"/>
    </font>
    <font>
      <sz val="11"/>
      <color indexed="8"/>
      <name val="Calibri"/>
      <family val="2"/>
    </font>
    <font>
      <sz val="11"/>
      <color indexed="13"/>
      <name val="Calibri"/>
      <family val="2"/>
    </font>
    <font>
      <sz val="11"/>
      <color indexed="8"/>
      <name val="맑은 고딕"/>
      <family val="3"/>
      <charset val="129"/>
    </font>
    <font>
      <sz val="11"/>
      <color theme="0"/>
      <name val="Calibri"/>
      <family val="2"/>
      <scheme val="minor"/>
    </font>
    <font>
      <sz val="11"/>
      <color indexed="9"/>
      <name val="Calibri"/>
      <family val="2"/>
    </font>
    <font>
      <sz val="11"/>
      <color indexed="9"/>
      <name val="맑은 고딕"/>
      <family val="3"/>
      <charset val="129"/>
    </font>
    <font>
      <b/>
      <sz val="12"/>
      <color indexed="8"/>
      <name val="Times New Roman"/>
      <family val="1"/>
    </font>
    <font>
      <sz val="8"/>
      <name val="Times"/>
      <family val="1"/>
    </font>
    <font>
      <sz val="8"/>
      <name val="Tahoma"/>
      <family val="2"/>
    </font>
    <font>
      <sz val="14"/>
      <name val="Arial"/>
      <family val="2"/>
    </font>
    <font>
      <b/>
      <sz val="6"/>
      <name val="Arial"/>
      <family val="2"/>
    </font>
    <font>
      <b/>
      <sz val="8"/>
      <name val="Arial"/>
      <family val="2"/>
    </font>
    <font>
      <sz val="11"/>
      <color rgb="FF9C0006"/>
      <name val="Calibri"/>
      <family val="2"/>
      <scheme val="minor"/>
    </font>
    <font>
      <sz val="11"/>
      <color indexed="20"/>
      <name val="Calibri"/>
      <family val="2"/>
    </font>
    <font>
      <b/>
      <sz val="10"/>
      <color theme="0"/>
      <name val="Arial"/>
      <family val="2"/>
    </font>
    <font>
      <sz val="8"/>
      <name val="Tms Rmn"/>
    </font>
    <font>
      <sz val="8"/>
      <color indexed="12"/>
      <name val="Times New Roman"/>
      <family val="1"/>
    </font>
    <font>
      <b/>
      <sz val="8"/>
      <name val="Times New Roman"/>
      <family val="1"/>
    </font>
    <font>
      <b/>
      <i/>
      <sz val="8"/>
      <name val="Frutiger 55"/>
    </font>
    <font>
      <sz val="7"/>
      <name val="Swis721 BlkCn BT"/>
      <family val="2"/>
    </font>
    <font>
      <b/>
      <sz val="8"/>
      <name val="Frutiger 55"/>
      <family val="2"/>
    </font>
    <font>
      <b/>
      <sz val="12"/>
      <name val="Times New Roman"/>
      <family val="1"/>
    </font>
    <font>
      <sz val="10"/>
      <name val="Helv"/>
    </font>
    <font>
      <b/>
      <sz val="11"/>
      <color indexed="52"/>
      <name val="Calibri"/>
      <family val="2"/>
    </font>
    <font>
      <b/>
      <sz val="10"/>
      <name val="MS Serif"/>
      <family val="1"/>
    </font>
    <font>
      <b/>
      <sz val="8"/>
      <color indexed="8"/>
      <name val="Verdana"/>
      <family val="2"/>
    </font>
    <font>
      <sz val="8"/>
      <color indexed="17"/>
      <name val="Times New Roman"/>
      <family val="1"/>
    </font>
    <font>
      <b/>
      <sz val="9.75"/>
      <name val="Abadi MT Condensed"/>
      <family val="2"/>
    </font>
    <font>
      <b/>
      <u val="singleAccounting"/>
      <sz val="8"/>
      <name val="Arial"/>
      <family val="2"/>
    </font>
    <font>
      <sz val="11"/>
      <name val="돋움"/>
      <family val="3"/>
      <charset val="129"/>
    </font>
    <font>
      <sz val="10"/>
      <color theme="1"/>
      <name val="Arial"/>
      <family val="2"/>
    </font>
    <font>
      <sz val="12"/>
      <color theme="1"/>
      <name val="Calibri"/>
      <family val="2"/>
      <scheme val="minor"/>
    </font>
    <font>
      <sz val="10"/>
      <name val="BERNHARD"/>
    </font>
    <font>
      <b/>
      <sz val="8"/>
      <name val="Helv"/>
    </font>
    <font>
      <sz val="24"/>
      <name val="Arial"/>
      <family val="2"/>
    </font>
    <font>
      <sz val="12"/>
      <name val="Helv"/>
    </font>
    <font>
      <sz val="10"/>
      <color indexed="8"/>
      <name val="Arial"/>
      <family val="2"/>
    </font>
    <font>
      <b/>
      <sz val="14"/>
      <color indexed="10"/>
      <name val="Times New Roman"/>
      <family val="1"/>
    </font>
    <font>
      <b/>
      <sz val="7"/>
      <color indexed="12"/>
      <name val="Helvetica"/>
      <family val="2"/>
    </font>
    <font>
      <sz val="9"/>
      <name val="Century Schoolbook"/>
      <family val="1"/>
    </font>
    <font>
      <sz val="9"/>
      <color indexed="9"/>
      <name val="Geneva"/>
    </font>
    <font>
      <sz val="12"/>
      <color indexed="9"/>
      <name val="Helv"/>
    </font>
    <font>
      <sz val="10"/>
      <color indexed="8"/>
      <name val="Trade Gothic LT Com"/>
      <family val="2"/>
    </font>
    <font>
      <i/>
      <sz val="12"/>
      <color indexed="9"/>
      <name val="Helv"/>
    </font>
    <font>
      <b/>
      <sz val="14"/>
      <color indexed="9"/>
      <name val="Helv"/>
    </font>
    <font>
      <b/>
      <sz val="12"/>
      <name val="Arial"/>
      <family val="2"/>
    </font>
    <font>
      <b/>
      <u/>
      <sz val="8"/>
      <color indexed="8"/>
      <name val="Tahoma"/>
      <family val="2"/>
    </font>
    <font>
      <sz val="14"/>
      <color indexed="8"/>
      <name val="Times New Roman"/>
      <family val="1"/>
    </font>
    <font>
      <b/>
      <sz val="11"/>
      <name val="Arial"/>
      <family val="2"/>
    </font>
    <font>
      <b/>
      <sz val="12"/>
      <color indexed="8"/>
      <name val="Arial"/>
      <family val="2"/>
    </font>
    <font>
      <u/>
      <sz val="10"/>
      <color indexed="12"/>
      <name val="Arial"/>
      <family val="2"/>
    </font>
    <font>
      <sz val="10"/>
      <name val="R Frutiger Roman"/>
    </font>
    <font>
      <sz val="8"/>
      <color indexed="39"/>
      <name val="Arial"/>
      <family val="2"/>
    </font>
    <font>
      <sz val="10"/>
      <color indexed="12"/>
      <name val="Times New Roman"/>
      <family val="1"/>
    </font>
    <font>
      <sz val="10"/>
      <color indexed="12"/>
      <name val="Arial"/>
      <family val="2"/>
    </font>
    <font>
      <sz val="10"/>
      <color indexed="17"/>
      <name val="Arial"/>
      <family val="2"/>
    </font>
    <font>
      <u/>
      <sz val="8"/>
      <color indexed="12"/>
      <name val="MS Sans Serif"/>
      <family val="2"/>
    </font>
    <font>
      <b/>
      <sz val="36"/>
      <name val="Times New Roman"/>
      <family val="1"/>
    </font>
    <font>
      <u val="doubleAccounting"/>
      <sz val="10"/>
      <name val="Arial"/>
      <family val="2"/>
    </font>
    <font>
      <sz val="8"/>
      <color indexed="8"/>
      <name val="Helv"/>
      <family val="2"/>
    </font>
    <font>
      <b/>
      <sz val="8"/>
      <color indexed="72"/>
      <name val="Arial"/>
      <family val="2"/>
    </font>
    <font>
      <sz val="10"/>
      <color indexed="39"/>
      <name val="Arial"/>
      <family val="2"/>
    </font>
    <font>
      <i/>
      <sz val="8"/>
      <name val="Times New Roman"/>
      <family val="1"/>
    </font>
    <font>
      <sz val="9"/>
      <color indexed="12"/>
      <name val="Arial"/>
      <family val="2"/>
    </font>
    <font>
      <b/>
      <sz val="8"/>
      <color indexed="18"/>
      <name val="Times New Roman"/>
      <family val="1"/>
    </font>
    <font>
      <b/>
      <sz val="14"/>
      <name val="Times New Roman"/>
      <family val="1"/>
    </font>
    <font>
      <b/>
      <sz val="10"/>
      <name val="Helvetica"/>
      <family val="2"/>
    </font>
    <font>
      <sz val="8"/>
      <color indexed="10"/>
      <name val="Arial"/>
      <family val="2"/>
    </font>
    <font>
      <sz val="11"/>
      <name val="Abadi MT Condensed Extra Bold"/>
      <family val="2"/>
    </font>
    <font>
      <sz val="10"/>
      <name val="Abadi MT Condensed"/>
      <family val="2"/>
    </font>
    <font>
      <b/>
      <i/>
      <sz val="8"/>
      <name val="Arial"/>
      <family val="2"/>
    </font>
    <font>
      <sz val="8"/>
      <name val="Wingdings"/>
      <charset val="2"/>
    </font>
    <font>
      <b/>
      <sz val="8"/>
      <color indexed="16"/>
      <name val="Times New Roman"/>
      <family val="1"/>
    </font>
    <font>
      <i/>
      <sz val="12"/>
      <color indexed="12"/>
      <name val="Times New Roman"/>
      <family val="1"/>
    </font>
    <font>
      <b/>
      <sz val="9"/>
      <name val="Palatino"/>
      <family val="1"/>
    </font>
    <font>
      <sz val="9"/>
      <color indexed="21"/>
      <name val="Helvetica-Black"/>
    </font>
    <font>
      <b/>
      <i/>
      <sz val="10"/>
      <name val="Times New Roman"/>
      <family val="1"/>
    </font>
    <font>
      <b/>
      <sz val="11"/>
      <color theme="1"/>
      <name val="Calibri"/>
      <family val="2"/>
      <scheme val="minor"/>
    </font>
    <font>
      <sz val="11"/>
      <color rgb="FFFF0000"/>
      <name val="Calibri"/>
      <family val="2"/>
      <scheme val="minor"/>
    </font>
    <font>
      <sz val="10"/>
      <color theme="1"/>
      <name val="Times New Roman"/>
      <family val="1"/>
    </font>
    <font>
      <b/>
      <sz val="10"/>
      <color theme="1"/>
      <name val="Times New Roman"/>
      <family val="1"/>
    </font>
    <font>
      <b/>
      <sz val="10"/>
      <name val="Times New Roman"/>
      <family val="1"/>
    </font>
    <font>
      <i/>
      <sz val="10"/>
      <color theme="1"/>
      <name val="Times New Roman"/>
      <family val="1"/>
    </font>
    <font>
      <b/>
      <sz val="12"/>
      <color rgb="FF1F4E78"/>
      <name val="Times New Roman"/>
      <family val="1"/>
    </font>
    <font>
      <sz val="11"/>
      <color theme="1"/>
      <name val="Times New Roman"/>
      <family val="2"/>
    </font>
    <font>
      <b/>
      <sz val="10"/>
      <color rgb="FFFFFFFF"/>
      <name val="Times New Roman"/>
      <family val="1"/>
    </font>
    <font>
      <sz val="10"/>
      <color theme="1"/>
      <name val="Garamond"/>
      <family val="2"/>
    </font>
    <font>
      <sz val="10"/>
      <color rgb="FF0000FF"/>
      <name val="Times New Roman"/>
      <family val="1"/>
    </font>
    <font>
      <sz val="10"/>
      <name val="Garamond"/>
      <family val="1"/>
    </font>
    <font>
      <sz val="12"/>
      <color theme="1"/>
      <name val="Times New Roman"/>
      <family val="2"/>
    </font>
    <font>
      <sz val="10"/>
      <color indexed="16"/>
      <name val="Credit Suisse Type Roman"/>
      <family val="2"/>
    </font>
    <font>
      <sz val="10"/>
      <name val="GillSans"/>
      <family val="2"/>
    </font>
    <font>
      <sz val="10"/>
      <name val="Century Schoolbook"/>
      <family val="1"/>
    </font>
    <font>
      <sz val="10"/>
      <name val="Helv"/>
      <family val="2"/>
    </font>
    <font>
      <sz val="10"/>
      <color indexed="0"/>
      <name val="Helv"/>
    </font>
    <font>
      <sz val="10"/>
      <color indexed="9"/>
      <name val="Arial"/>
      <family val="2"/>
    </font>
    <font>
      <i/>
      <sz val="10"/>
      <color indexed="13"/>
      <name val="Arial"/>
      <family val="2"/>
    </font>
    <font>
      <sz val="10"/>
      <color indexed="13"/>
      <name val="Arial"/>
      <family val="2"/>
    </font>
    <font>
      <b/>
      <i/>
      <sz val="9"/>
      <name val="Arial"/>
      <family val="2"/>
    </font>
    <font>
      <sz val="12"/>
      <name val="¹ÙÅÁÃ¼"/>
      <family val="1"/>
      <charset val="129"/>
    </font>
    <font>
      <b/>
      <u/>
      <sz val="9"/>
      <color indexed="10"/>
      <name val="Times New Roman"/>
      <family val="1"/>
    </font>
    <font>
      <b/>
      <sz val="9"/>
      <color indexed="18"/>
      <name val="Times New Roman"/>
      <family val="1"/>
    </font>
    <font>
      <b/>
      <i/>
      <sz val="12"/>
      <name val="Footlight MT Light"/>
      <family val="1"/>
    </font>
    <font>
      <sz val="14"/>
      <name val="Tms Rmn"/>
    </font>
    <font>
      <b/>
      <sz val="10"/>
      <name val="Footlight MT Light"/>
      <family val="1"/>
    </font>
    <font>
      <i/>
      <sz val="11"/>
      <color indexed="23"/>
      <name val="Calibri"/>
      <family val="2"/>
    </font>
    <font>
      <sz val="10"/>
      <name val="Book Antiqua"/>
      <family val="1"/>
    </font>
    <font>
      <sz val="10"/>
      <name val="CG Times"/>
      <family val="1"/>
    </font>
    <font>
      <b/>
      <sz val="18"/>
      <color indexed="56"/>
      <name val="Cambria"/>
      <family val="2"/>
    </font>
    <font>
      <b/>
      <sz val="12"/>
      <name val="Tms Rmn"/>
    </font>
    <font>
      <sz val="7"/>
      <name val="Ariel"/>
    </font>
    <font>
      <sz val="8"/>
      <name val="MS Sans Serif"/>
      <family val="2"/>
    </font>
    <font>
      <sz val="11"/>
      <color indexed="52"/>
      <name val="Calibri"/>
      <family val="2"/>
    </font>
    <font>
      <b/>
      <sz val="10"/>
      <color indexed="9"/>
      <name val="Trebuchet MS"/>
      <family val="2"/>
    </font>
    <font>
      <b/>
      <sz val="15"/>
      <color indexed="56"/>
      <name val="Calibri"/>
      <family val="2"/>
    </font>
    <font>
      <b/>
      <sz val="13"/>
      <color indexed="56"/>
      <name val="Calibri"/>
      <family val="2"/>
    </font>
    <font>
      <b/>
      <sz val="11"/>
      <color indexed="56"/>
      <name val="Calibri"/>
      <family val="2"/>
    </font>
    <font>
      <b/>
      <sz val="9"/>
      <color indexed="0"/>
      <name val="Arial"/>
      <family val="2"/>
    </font>
    <font>
      <sz val="9"/>
      <color indexed="0"/>
      <name val="Arial"/>
      <family val="2"/>
    </font>
    <font>
      <sz val="10"/>
      <name val="Arial"/>
      <family val="2"/>
      <charset val="1"/>
    </font>
    <font>
      <sz val="12"/>
      <color theme="1"/>
      <name val="Calibri"/>
      <family val="2"/>
      <charset val="204"/>
      <scheme val="minor"/>
    </font>
    <font>
      <sz val="8"/>
      <color indexed="8"/>
      <name val="Arial"/>
      <family val="2"/>
    </font>
    <font>
      <sz val="10"/>
      <color rgb="FFFF0000"/>
      <name val="Times New Roman"/>
      <family val="1"/>
    </font>
    <font>
      <sz val="8"/>
      <color rgb="FFFF0000"/>
      <name val="Times New Roman"/>
      <family val="1"/>
    </font>
    <font>
      <b/>
      <u/>
      <sz val="8"/>
      <name val="Times New Roman"/>
      <family val="1"/>
    </font>
    <font>
      <b/>
      <sz val="8"/>
      <color indexed="9"/>
      <name val="Tahoma"/>
      <family val="2"/>
    </font>
    <font>
      <b/>
      <sz val="10"/>
      <color indexed="39"/>
      <name val="Times New Roman"/>
      <family val="1"/>
    </font>
    <font>
      <sz val="8"/>
      <color theme="3" tint="-0.499984740745262"/>
      <name val="Times New Roman"/>
      <family val="1"/>
    </font>
    <font>
      <u/>
      <sz val="10"/>
      <color theme="10"/>
      <name val="Garamond"/>
      <family val="2"/>
    </font>
    <font>
      <sz val="9"/>
      <name val="Verdana"/>
      <family val="2"/>
    </font>
    <font>
      <sz val="11"/>
      <color theme="1"/>
      <name val="Georgia"/>
      <family val="1"/>
    </font>
    <font>
      <b/>
      <sz val="11"/>
      <color theme="4" tint="-0.499984740745262"/>
      <name val="Georgia"/>
      <family val="1"/>
    </font>
    <font>
      <sz val="11"/>
      <color theme="4" tint="-0.499984740745262"/>
      <name val="Georgia"/>
      <family val="1"/>
    </font>
    <font>
      <b/>
      <sz val="32"/>
      <color theme="4" tint="-0.499984740745262"/>
      <name val="Georgia"/>
      <family val="1"/>
    </font>
    <font>
      <b/>
      <i/>
      <sz val="24"/>
      <color rgb="FF1F4E78"/>
      <name val="Georgia"/>
      <family val="1"/>
    </font>
    <font>
      <sz val="32"/>
      <color theme="1"/>
      <name val="Georgia"/>
      <family val="1"/>
    </font>
    <font>
      <b/>
      <sz val="32"/>
      <color rgb="FFFF0000"/>
      <name val="Georgia"/>
      <family val="1"/>
    </font>
    <font>
      <b/>
      <i/>
      <sz val="11"/>
      <color theme="4" tint="-0.499984740745262"/>
      <name val="Georgia"/>
      <family val="1"/>
    </font>
    <font>
      <i/>
      <sz val="18"/>
      <color rgb="FF1F4E78"/>
      <name val="Georgia"/>
      <family val="1"/>
    </font>
    <font>
      <i/>
      <sz val="15"/>
      <color rgb="FF1F4E78"/>
      <name val="Georgia"/>
      <family val="1"/>
    </font>
    <font>
      <i/>
      <sz val="14"/>
      <color rgb="FF1F4E78"/>
      <name val="Georgia"/>
      <family val="1"/>
    </font>
    <font>
      <i/>
      <sz val="14"/>
      <color theme="1"/>
      <name val="Georgia"/>
      <family val="1"/>
    </font>
    <font>
      <sz val="18"/>
      <color theme="4" tint="-0.249977111117893"/>
      <name val="Georgia"/>
      <family val="1"/>
    </font>
    <font>
      <i/>
      <sz val="14"/>
      <color theme="0" tint="-0.499984740745262"/>
      <name val="Georgia"/>
      <family val="1"/>
    </font>
    <font>
      <sz val="14"/>
      <color theme="0" tint="-0.499984740745262"/>
      <name val="Georgia"/>
      <family val="1"/>
    </font>
    <font>
      <sz val="10"/>
      <color theme="1"/>
      <name val="Georgia"/>
      <family val="1"/>
    </font>
    <font>
      <b/>
      <sz val="10"/>
      <color theme="1"/>
      <name val="Georgia"/>
      <family val="1"/>
    </font>
    <font>
      <sz val="10"/>
      <color rgb="FFFF0000"/>
      <name val="Georgia"/>
      <family val="1"/>
    </font>
    <font>
      <b/>
      <sz val="11"/>
      <color rgb="FF1F4E78"/>
      <name val="Georgia"/>
      <family val="1"/>
    </font>
    <font>
      <b/>
      <sz val="24"/>
      <color rgb="FF1F4E78"/>
      <name val="Georgia"/>
      <family val="1"/>
    </font>
    <font>
      <sz val="11"/>
      <color rgb="FF1F4E78"/>
      <name val="Georgia"/>
      <family val="1"/>
    </font>
    <font>
      <b/>
      <u/>
      <sz val="10"/>
      <color theme="1"/>
      <name val="Georgia"/>
      <family val="1"/>
    </font>
    <font>
      <sz val="10"/>
      <color rgb="FF0000FF"/>
      <name val="Georgia"/>
      <family val="1"/>
    </font>
    <font>
      <sz val="10"/>
      <color indexed="39"/>
      <name val="Georgia"/>
      <family val="1"/>
    </font>
    <font>
      <sz val="10"/>
      <color indexed="12"/>
      <name val="Georgia"/>
      <family val="1"/>
    </font>
    <font>
      <b/>
      <sz val="10"/>
      <color rgb="FF1F4E78"/>
      <name val="Georgia"/>
      <family val="1"/>
    </font>
    <font>
      <sz val="10"/>
      <color rgb="FFC00000"/>
      <name val="Georgia"/>
      <family val="1"/>
    </font>
    <font>
      <b/>
      <sz val="10"/>
      <color rgb="FFFFFFFF"/>
      <name val="Georgia"/>
      <family val="1"/>
    </font>
    <font>
      <sz val="10"/>
      <color rgb="FF008000"/>
      <name val="Georgia"/>
      <family val="1"/>
    </font>
    <font>
      <sz val="10"/>
      <color indexed="17"/>
      <name val="Georgia"/>
      <family val="1"/>
    </font>
    <font>
      <i/>
      <sz val="10"/>
      <color theme="1"/>
      <name val="Georgia"/>
      <family val="1"/>
    </font>
    <font>
      <b/>
      <sz val="10"/>
      <color rgb="FF0000FF"/>
      <name val="Georgia"/>
      <family val="1"/>
    </font>
    <font>
      <b/>
      <sz val="10"/>
      <name val="Georgia"/>
      <family val="1"/>
    </font>
    <font>
      <sz val="10"/>
      <name val="Georgia"/>
      <family val="1"/>
    </font>
    <font>
      <b/>
      <sz val="10"/>
      <color rgb="FF008000"/>
      <name val="Georgia"/>
      <family val="1"/>
    </font>
    <font>
      <b/>
      <sz val="10"/>
      <color rgb="FFC00000"/>
      <name val="Georgia"/>
      <family val="1"/>
    </font>
    <font>
      <b/>
      <sz val="10"/>
      <color rgb="FFFF0000"/>
      <name val="Georgia"/>
      <family val="1"/>
    </font>
    <font>
      <b/>
      <sz val="10"/>
      <color indexed="12"/>
      <name val="Georgia"/>
      <family val="1"/>
    </font>
    <font>
      <b/>
      <i/>
      <sz val="10"/>
      <color theme="1"/>
      <name val="Georgia"/>
      <family val="1"/>
    </font>
    <font>
      <sz val="10"/>
      <color rgb="FFFFFFFF"/>
      <name val="Georgia"/>
      <family val="1"/>
    </font>
    <font>
      <sz val="10"/>
      <color rgb="FF0000E1"/>
      <name val="Georgia"/>
      <family val="1"/>
    </font>
    <font>
      <b/>
      <sz val="10"/>
      <color theme="0"/>
      <name val="Georgia"/>
      <family val="1"/>
    </font>
    <font>
      <b/>
      <i/>
      <u/>
      <sz val="10"/>
      <color theme="1"/>
      <name val="Georgia"/>
      <family val="1"/>
    </font>
    <font>
      <sz val="10"/>
      <color indexed="10"/>
      <name val="Georgia"/>
      <family val="1"/>
    </font>
    <font>
      <i/>
      <sz val="10"/>
      <color rgb="FF0000FF"/>
      <name val="Georgia"/>
      <family val="1"/>
    </font>
    <font>
      <sz val="10"/>
      <color theme="0"/>
      <name val="Georgia"/>
      <family val="1"/>
    </font>
    <font>
      <b/>
      <u/>
      <sz val="10"/>
      <name val="Georgia"/>
      <family val="1"/>
    </font>
    <font>
      <b/>
      <sz val="10"/>
      <color theme="4" tint="-0.499984740745262"/>
      <name val="Georgia"/>
      <family val="1"/>
    </font>
    <font>
      <b/>
      <sz val="10"/>
      <color rgb="FF455560"/>
      <name val="Georgia"/>
      <family val="1"/>
    </font>
    <font>
      <sz val="10"/>
      <color rgb="FF455560"/>
      <name val="Georgia"/>
      <family val="1"/>
    </font>
    <font>
      <i/>
      <sz val="10"/>
      <name val="Georgia"/>
      <family val="1"/>
    </font>
    <font>
      <sz val="10"/>
      <color rgb="FF1F497D"/>
      <name val="Georgia"/>
      <family val="1"/>
    </font>
    <font>
      <b/>
      <u/>
      <sz val="10"/>
      <color rgb="FF455560"/>
      <name val="Georgia"/>
      <family val="1"/>
    </font>
    <font>
      <sz val="10"/>
      <color rgb="FF00B050"/>
      <name val="Georgia"/>
      <family val="1"/>
    </font>
    <font>
      <b/>
      <sz val="10"/>
      <color indexed="10"/>
      <name val="Georgia"/>
      <family val="1"/>
    </font>
    <font>
      <b/>
      <sz val="10"/>
      <color indexed="9"/>
      <name val="Georgia"/>
      <family val="1"/>
    </font>
    <font>
      <sz val="10"/>
      <color rgb="FF1F4E78"/>
      <name val="Georgia"/>
      <family val="1"/>
    </font>
    <font>
      <sz val="10"/>
      <color rgb="FF009900"/>
      <name val="Georgia"/>
      <family val="1"/>
    </font>
    <font>
      <i/>
      <sz val="10"/>
      <color rgb="FF5A5A5A"/>
      <name val="Georgia"/>
      <family val="1"/>
    </font>
    <font>
      <b/>
      <sz val="10"/>
      <color indexed="17"/>
      <name val="Georgia"/>
      <family val="1"/>
    </font>
    <font>
      <i/>
      <sz val="10"/>
      <color indexed="12"/>
      <name val="Georgia"/>
      <family val="1"/>
    </font>
    <font>
      <u/>
      <sz val="10"/>
      <color theme="1"/>
      <name val="Georgia"/>
      <family val="1"/>
    </font>
    <font>
      <sz val="10"/>
      <color rgb="FF000000"/>
      <name val="Georgia"/>
      <family val="1"/>
    </font>
    <font>
      <i/>
      <sz val="10"/>
      <color rgb="FFFF0000"/>
      <name val="Georgia"/>
      <family val="1"/>
    </font>
    <font>
      <b/>
      <i/>
      <u/>
      <sz val="10"/>
      <name val="Georgia"/>
      <family val="1"/>
    </font>
    <font>
      <u/>
      <sz val="10"/>
      <color theme="10"/>
      <name val="Georgia"/>
      <family val="1"/>
    </font>
    <font>
      <sz val="10"/>
      <color theme="4"/>
      <name val="Georgia"/>
      <family val="1"/>
    </font>
    <font>
      <b/>
      <sz val="10"/>
      <color theme="4"/>
      <name val="Georgia"/>
      <family val="1"/>
    </font>
    <font>
      <b/>
      <sz val="12"/>
      <color rgb="FF1F4E78"/>
      <name val="Georgia"/>
      <family val="1"/>
    </font>
  </fonts>
  <fills count="94">
    <fill>
      <patternFill patternType="none"/>
    </fill>
    <fill>
      <patternFill patternType="gray125"/>
    </fill>
    <fill>
      <patternFill patternType="solid">
        <fgColor rgb="FFFFC7CE"/>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5A5A5A"/>
        <bgColor indexed="64"/>
      </patternFill>
    </fill>
    <fill>
      <patternFill patternType="solid">
        <fgColor indexed="22"/>
        <bgColor indexed="64"/>
      </patternFill>
    </fill>
    <fill>
      <patternFill patternType="solid">
        <fgColor indexed="41"/>
        <bgColor indexed="64"/>
      </patternFill>
    </fill>
    <fill>
      <patternFill patternType="solid">
        <fgColor indexed="22"/>
        <bgColor indexed="22"/>
      </patternFill>
    </fill>
    <fill>
      <patternFill patternType="solid">
        <fgColor indexed="18"/>
        <bgColor indexed="64"/>
      </patternFill>
    </fill>
    <fill>
      <patternFill patternType="solid">
        <fgColor indexed="43"/>
      </patternFill>
    </fill>
    <fill>
      <patternFill patternType="solid">
        <fgColor indexed="8"/>
        <bgColor indexed="64"/>
      </patternFill>
    </fill>
    <fill>
      <patternFill patternType="solid">
        <fgColor indexed="44"/>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15"/>
        <bgColor indexed="64"/>
      </patternFill>
    </fill>
    <fill>
      <patternFill patternType="solid">
        <fgColor indexed="9"/>
        <bgColor indexed="64"/>
      </patternFill>
    </fill>
    <fill>
      <patternFill patternType="solid">
        <fgColor theme="3" tint="0.39997558519241921"/>
        <bgColor indexed="64"/>
      </patternFill>
    </fill>
    <fill>
      <patternFill patternType="solid">
        <fgColor theme="4" tint="-0.249977111117893"/>
        <bgColor indexed="64"/>
      </patternFill>
    </fill>
    <fill>
      <patternFill patternType="gray0625"/>
    </fill>
    <fill>
      <patternFill patternType="lightGray">
        <fgColor indexed="12"/>
      </patternFill>
    </fill>
    <fill>
      <patternFill patternType="gray0625">
        <fgColor indexed="12"/>
        <bgColor indexed="9"/>
      </patternFill>
    </fill>
    <fill>
      <patternFill patternType="lightGray">
        <bgColor indexed="41"/>
      </patternFill>
    </fill>
    <fill>
      <patternFill patternType="solid">
        <fgColor indexed="13"/>
        <bgColor indexed="64"/>
      </patternFill>
    </fill>
    <fill>
      <patternFill patternType="solid">
        <fgColor indexed="42"/>
        <bgColor indexed="64"/>
      </patternFill>
    </fill>
    <fill>
      <patternFill patternType="solid">
        <fgColor indexed="11"/>
        <bgColor indexed="64"/>
      </patternFill>
    </fill>
    <fill>
      <patternFill patternType="solid">
        <fgColor rgb="FFEDEDED"/>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DCE6F1"/>
        <bgColor indexed="64"/>
      </patternFill>
    </fill>
    <fill>
      <patternFill patternType="solid">
        <fgColor rgb="FF808080"/>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indexed="55"/>
        <bgColor indexed="64"/>
      </patternFill>
    </fill>
    <fill>
      <patternFill patternType="solid">
        <fgColor indexed="54"/>
        <bgColor indexed="64"/>
      </patternFill>
    </fill>
    <fill>
      <patternFill patternType="solid">
        <fgColor indexed="48"/>
        <bgColor indexed="64"/>
      </patternFill>
    </fill>
    <fill>
      <patternFill patternType="solid">
        <fgColor indexed="27"/>
        <bgColor indexed="64"/>
      </patternFill>
    </fill>
    <fill>
      <patternFill patternType="lightGray">
        <fgColor indexed="22"/>
      </patternFill>
    </fill>
    <fill>
      <patternFill patternType="solid">
        <fgColor indexed="47"/>
        <bgColor indexed="22"/>
      </patternFill>
    </fill>
    <fill>
      <patternFill patternType="darkVertical">
        <fgColor indexed="9"/>
        <bgColor indexed="10"/>
      </patternFill>
    </fill>
    <fill>
      <patternFill patternType="darkHorizontal">
        <fgColor indexed="9"/>
        <bgColor indexed="10"/>
      </patternFill>
    </fill>
    <fill>
      <patternFill patternType="solid">
        <fgColor indexed="62"/>
        <bgColor indexed="64"/>
      </patternFill>
    </fill>
    <fill>
      <patternFill patternType="solid">
        <fgColor indexed="63"/>
        <bgColor indexed="64"/>
      </patternFill>
    </fill>
    <fill>
      <patternFill patternType="solid">
        <fgColor theme="1"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3" tint="-0.249977111117893"/>
        <bgColor indexed="64"/>
      </patternFill>
    </fill>
    <fill>
      <patternFill patternType="solid">
        <fgColor rgb="FFFFFFFF"/>
        <bgColor indexed="64"/>
      </patternFill>
    </fill>
    <fill>
      <patternFill patternType="solid">
        <fgColor theme="0" tint="-0.34998626667073579"/>
        <bgColor indexed="64"/>
      </patternFill>
    </fill>
    <fill>
      <patternFill patternType="solid">
        <fgColor theme="0"/>
        <bgColor indexed="64"/>
      </patternFill>
    </fill>
  </fills>
  <borders count="196">
    <border>
      <left/>
      <right/>
      <top/>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ck">
        <color indexed="9"/>
      </right>
      <top/>
      <bottom style="thick">
        <color indexed="9"/>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right/>
      <top/>
      <bottom style="medium">
        <color indexed="8"/>
      </bottom>
      <diagonal/>
    </border>
    <border>
      <left style="thin">
        <color indexed="9"/>
      </left>
      <right style="thin">
        <color indexed="9"/>
      </right>
      <top style="thin">
        <color indexed="9"/>
      </top>
      <bottom style="thin">
        <color indexed="9"/>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bottom/>
      <diagonal/>
    </border>
    <border>
      <left/>
      <right/>
      <top style="hair">
        <color indexed="64"/>
      </top>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right/>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55"/>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right/>
      <top style="medium">
        <color indexed="64"/>
      </top>
      <bottom/>
      <diagonal/>
    </border>
    <border>
      <left/>
      <right/>
      <top/>
      <bottom style="thick">
        <color indexed="64"/>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bottom style="thin">
        <color indexed="8"/>
      </bottom>
      <diagonal/>
    </border>
    <border>
      <left/>
      <right/>
      <top/>
      <bottom style="thin">
        <color auto="1"/>
      </bottom>
      <diagonal/>
    </border>
    <border>
      <left style="hair">
        <color indexed="64"/>
      </left>
      <right style="hair">
        <color indexed="64"/>
      </right>
      <top style="double">
        <color indexed="64"/>
      </top>
      <bottom/>
      <diagonal/>
    </border>
    <border>
      <left style="thin">
        <color indexed="64"/>
      </left>
      <right style="thin">
        <color indexed="64"/>
      </right>
      <top style="thin">
        <color indexed="64"/>
      </top>
      <bottom style="thick">
        <color indexed="64"/>
      </bottom>
      <diagonal/>
    </border>
    <border>
      <left/>
      <right/>
      <top style="thin">
        <color auto="1"/>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ck">
        <color rgb="FF333F4F"/>
      </top>
      <bottom/>
      <diagonal/>
    </border>
    <border>
      <left/>
      <right/>
      <top/>
      <bottom style="thick">
        <color rgb="FF333F4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indexed="64"/>
      </left>
      <right/>
      <top style="thin">
        <color indexed="64"/>
      </top>
      <bottom/>
      <diagonal/>
    </border>
    <border>
      <left/>
      <right style="thin">
        <color indexed="64"/>
      </right>
      <top style="thin">
        <color auto="1"/>
      </top>
      <bottom/>
      <diagonal/>
    </border>
    <border>
      <left style="thin">
        <color auto="1"/>
      </left>
      <right/>
      <top/>
      <bottom/>
      <diagonal/>
    </border>
    <border>
      <left/>
      <right style="thin">
        <color auto="1"/>
      </right>
      <top style="thin">
        <color auto="1"/>
      </top>
      <bottom/>
      <diagonal/>
    </border>
    <border>
      <left/>
      <right/>
      <top style="thin">
        <color indexed="64"/>
      </top>
      <bottom/>
      <diagonal/>
    </border>
    <border>
      <left/>
      <right/>
      <top style="hair">
        <color auto="1"/>
      </top>
      <bottom style="hair">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auto="1"/>
      </top>
      <bottom/>
      <diagonal/>
    </border>
    <border>
      <left style="thin">
        <color auto="1"/>
      </left>
      <right style="thin">
        <color auto="1"/>
      </right>
      <top style="thin">
        <color auto="1"/>
      </top>
      <bottom style="thin">
        <color auto="1"/>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style="double">
        <color indexed="64"/>
      </left>
      <right/>
      <top/>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auto="1"/>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auto="1"/>
      </bottom>
      <diagonal/>
    </border>
    <border>
      <left/>
      <right/>
      <top style="hair">
        <color auto="1"/>
      </top>
      <bottom style="hair">
        <color auto="1"/>
      </bottom>
      <diagonal/>
    </border>
    <border>
      <left style="thin">
        <color auto="1"/>
      </left>
      <right/>
      <top style="thin">
        <color auto="1"/>
      </top>
      <bottom/>
      <diagonal/>
    </border>
    <border>
      <left/>
      <right/>
      <top style="thin">
        <color indexed="64"/>
      </top>
      <bottom/>
      <diagonal/>
    </border>
    <border>
      <left/>
      <right style="thin">
        <color auto="1"/>
      </right>
      <top style="thin">
        <color auto="1"/>
      </top>
      <bottom/>
      <diagonal/>
    </border>
    <border>
      <left/>
      <right/>
      <top style="medium">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right style="thin">
        <color indexed="64"/>
      </right>
      <top style="thin">
        <color auto="1"/>
      </top>
      <bottom/>
      <diagonal/>
    </border>
    <border>
      <left/>
      <right/>
      <top style="hair">
        <color auto="1"/>
      </top>
      <bottom style="hair">
        <color auto="1"/>
      </bottom>
      <diagonal/>
    </border>
    <border>
      <left/>
      <right/>
      <top style="thin">
        <color auto="1"/>
      </top>
      <bottom/>
      <diagonal/>
    </border>
    <border>
      <left style="thin">
        <color auto="1"/>
      </left>
      <right style="thin">
        <color indexed="64"/>
      </right>
      <top style="thin">
        <color auto="1"/>
      </top>
      <bottom style="thin">
        <color auto="1"/>
      </bottom>
      <diagonal/>
    </border>
    <border>
      <left style="thin">
        <color indexed="64"/>
      </left>
      <right/>
      <top style="thin">
        <color auto="1"/>
      </top>
      <bottom style="thin">
        <color auto="1"/>
      </bottom>
      <diagonal/>
    </border>
    <border>
      <left/>
      <right style="thin">
        <color indexed="64"/>
      </right>
      <top style="thin">
        <color indexed="64"/>
      </top>
      <bottom style="thin">
        <color auto="1"/>
      </bottom>
      <diagonal/>
    </border>
    <border>
      <left/>
      <right style="thin">
        <color indexed="64"/>
      </right>
      <top style="thin">
        <color indexed="64"/>
      </top>
      <bottom/>
      <diagonal/>
    </border>
    <border>
      <left/>
      <right/>
      <top style="hair">
        <color auto="1"/>
      </top>
      <bottom style="hair">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indexed="64"/>
      </right>
      <top style="thin">
        <color auto="1"/>
      </top>
      <bottom style="thin">
        <color auto="1"/>
      </bottom>
      <diagonal/>
    </border>
    <border>
      <left/>
      <right/>
      <top style="thin">
        <color auto="1"/>
      </top>
      <bottom style="thin">
        <color auto="1"/>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indexed="64"/>
      </left>
      <right/>
      <top style="thin">
        <color indexed="64"/>
      </top>
      <bottom/>
      <diagonal/>
    </border>
    <border>
      <left/>
      <right style="thin">
        <color indexed="64"/>
      </right>
      <top style="thin">
        <color auto="1"/>
      </top>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indexed="64"/>
      </right>
      <top/>
      <bottom style="thin">
        <color auto="1"/>
      </bottom>
      <diagonal/>
    </border>
    <border>
      <left style="thin">
        <color indexed="64"/>
      </left>
      <right style="thin">
        <color indexed="64"/>
      </right>
      <top style="thin">
        <color auto="1"/>
      </top>
      <bottom/>
      <diagonal/>
    </border>
    <border>
      <left style="thin">
        <color auto="1"/>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top style="thin">
        <color auto="1"/>
      </top>
      <bottom/>
      <diagonal/>
    </border>
    <border>
      <left/>
      <right/>
      <top style="thin">
        <color indexed="64"/>
      </top>
      <bottom/>
      <diagonal/>
    </border>
    <border>
      <left/>
      <right style="thin">
        <color auto="1"/>
      </right>
      <top style="thin">
        <color auto="1"/>
      </top>
      <bottom/>
      <diagonal/>
    </border>
    <border>
      <left style="thin">
        <color theme="1"/>
      </left>
      <right style="thin">
        <color theme="1"/>
      </right>
      <top style="thin">
        <color theme="1"/>
      </top>
      <bottom/>
      <diagonal/>
    </border>
    <border>
      <left/>
      <right style="thin">
        <color indexed="64"/>
      </right>
      <top style="thin">
        <color theme="1"/>
      </top>
      <bottom style="thin">
        <color theme="1"/>
      </bottom>
      <diagonal/>
    </border>
    <border>
      <left/>
      <right style="thin">
        <color indexed="64"/>
      </right>
      <top style="thin">
        <color indexed="64"/>
      </top>
      <bottom style="thin">
        <color theme="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indexed="64"/>
      </right>
      <top style="thin">
        <color auto="1"/>
      </top>
      <bottom/>
      <diagonal/>
    </border>
    <border>
      <left/>
      <right/>
      <top style="thin">
        <color auto="1"/>
      </top>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indexed="64"/>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auto="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auto="1"/>
      </top>
      <bottom/>
      <diagonal/>
    </border>
    <border>
      <left/>
      <right/>
      <top style="thin">
        <color auto="1"/>
      </top>
      <bottom/>
      <diagonal/>
    </border>
  </borders>
  <cellStyleXfs count="20406">
    <xf numFmtId="0" fontId="0" fillId="0" borderId="0"/>
    <xf numFmtId="43" fontId="11" fillId="0" borderId="0" applyFont="0" applyFill="0" applyBorder="0" applyAlignment="0" applyProtection="0"/>
    <xf numFmtId="9" fontId="11" fillId="0" borderId="0" applyFont="0" applyFill="0" applyBorder="0" applyAlignment="0" applyProtection="0"/>
    <xf numFmtId="44" fontId="11" fillId="0" borderId="0" applyFont="0" applyFill="0" applyBorder="0" applyAlignment="0" applyProtection="0"/>
    <xf numFmtId="9" fontId="14" fillId="0" borderId="0">
      <alignment horizontal="right"/>
    </xf>
    <xf numFmtId="37" fontId="15" fillId="0" borderId="0">
      <alignment horizontal="fill"/>
    </xf>
    <xf numFmtId="0" fontId="16" fillId="0" borderId="0"/>
    <xf numFmtId="0" fontId="16" fillId="0" borderId="0"/>
    <xf numFmtId="0" fontId="16" fillId="0" borderId="0"/>
    <xf numFmtId="0" fontId="16" fillId="0" borderId="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2" fontId="18" fillId="0" borderId="0" applyFont="0" applyFill="0" applyBorder="0" applyAlignment="0" applyProtection="0"/>
    <xf numFmtId="0" fontId="18" fillId="0" borderId="0" applyFont="0" applyFill="0" applyBorder="0" applyAlignment="0" applyProtection="0"/>
    <xf numFmtId="171" fontId="17" fillId="0" borderId="0" applyFont="0" applyFill="0" applyBorder="0" applyAlignment="0" applyProtection="0"/>
    <xf numFmtId="0" fontId="18" fillId="0" borderId="0" applyFont="0" applyFill="0" applyBorder="0" applyAlignment="0" applyProtection="0"/>
    <xf numFmtId="172" fontId="18" fillId="0" borderId="0" applyFont="0" applyFill="0" applyBorder="0" applyAlignment="0" applyProtection="0"/>
    <xf numFmtId="172"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172" fontId="18" fillId="0" borderId="0" applyFont="0" applyFill="0" applyBorder="0" applyAlignment="0" applyProtection="0"/>
    <xf numFmtId="0" fontId="18" fillId="0" borderId="0" applyFont="0" applyFill="0" applyBorder="0" applyAlignment="0" applyProtection="0"/>
    <xf numFmtId="172" fontId="18" fillId="0" borderId="0" applyFont="0" applyFill="0" applyBorder="0" applyAlignment="0" applyProtection="0"/>
    <xf numFmtId="0" fontId="18" fillId="0" borderId="0" applyFont="0" applyFill="0" applyBorder="0" applyAlignment="0" applyProtection="0"/>
    <xf numFmtId="172" fontId="18" fillId="0" borderId="0" applyFont="0" applyFill="0" applyBorder="0" applyAlignment="0" applyProtection="0"/>
    <xf numFmtId="172" fontId="18" fillId="0" borderId="0" applyFont="0" applyFill="0" applyBorder="0" applyAlignment="0" applyProtection="0"/>
    <xf numFmtId="172" fontId="18" fillId="0" borderId="0" applyFont="0" applyFill="0" applyBorder="0" applyAlignment="0" applyProtection="0"/>
    <xf numFmtId="172" fontId="18" fillId="0" borderId="0" applyFont="0" applyFill="0" applyBorder="0" applyAlignment="0" applyProtection="0"/>
    <xf numFmtId="0" fontId="18" fillId="0" borderId="0" applyFont="0" applyFill="0" applyBorder="0" applyAlignment="0" applyProtection="0"/>
    <xf numFmtId="0" fontId="17" fillId="0" borderId="0" applyFont="0" applyFill="0" applyBorder="0" applyAlignment="0" applyProtection="0"/>
    <xf numFmtId="171" fontId="17" fillId="0" borderId="0" applyFont="0" applyFill="0" applyBorder="0" applyAlignment="0" applyProtection="0"/>
    <xf numFmtId="0" fontId="18" fillId="0" borderId="0" applyFont="0" applyFill="0" applyBorder="0" applyAlignment="0" applyProtection="0"/>
    <xf numFmtId="171" fontId="17" fillId="0" borderId="0" applyFont="0" applyFill="0" applyBorder="0" applyAlignment="0" applyProtection="0"/>
    <xf numFmtId="0"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0" fontId="18"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0"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0" fontId="18"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171" fontId="17" fillId="0" borderId="0" applyFont="0" applyFill="0" applyBorder="0" applyAlignment="0" applyProtection="0"/>
    <xf numFmtId="0" fontId="18" fillId="0" borderId="0" applyFont="0" applyFill="0" applyBorder="0" applyAlignment="0" applyProtection="0"/>
    <xf numFmtId="171" fontId="17"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173" fontId="19" fillId="0" borderId="0" applyNumberFormat="0" applyFill="0" applyBorder="0" applyAlignment="0" applyProtection="0"/>
    <xf numFmtId="0" fontId="16" fillId="0" borderId="0" applyNumberFormat="0" applyFill="0" applyBorder="0" applyAlignment="0" applyProtection="0"/>
    <xf numFmtId="0" fontId="16" fillId="0" borderId="0"/>
    <xf numFmtId="0" fontId="18" fillId="0" borderId="0" applyFont="0" applyFill="0" applyBorder="0" applyAlignment="0" applyProtection="0"/>
    <xf numFmtId="0" fontId="20" fillId="0" borderId="0"/>
    <xf numFmtId="0" fontId="20" fillId="0" borderId="0"/>
    <xf numFmtId="0" fontId="16" fillId="0" borderId="0"/>
    <xf numFmtId="0" fontId="20" fillId="0" borderId="0"/>
    <xf numFmtId="0" fontId="20" fillId="0" borderId="0"/>
    <xf numFmtId="0" fontId="20" fillId="0" borderId="0"/>
    <xf numFmtId="174" fontId="21" fillId="0" borderId="0" applyFont="0" applyFill="0" applyBorder="0" applyAlignment="0" applyProtection="0"/>
    <xf numFmtId="175" fontId="21" fillId="0" borderId="0" applyFont="0" applyFill="0" applyBorder="0" applyAlignment="0" applyProtection="0"/>
    <xf numFmtId="3" fontId="22" fillId="0" borderId="0" applyFont="0" applyFill="0" applyBorder="0" applyAlignment="0" applyProtection="0"/>
    <xf numFmtId="174" fontId="21" fillId="0" borderId="0" applyFont="0" applyFill="0" applyBorder="0" applyAlignment="0" applyProtection="0"/>
    <xf numFmtId="174" fontId="21" fillId="0" borderId="0" applyFont="0" applyFill="0" applyBorder="0" applyAlignment="0" applyProtection="0"/>
    <xf numFmtId="174" fontId="21" fillId="0" borderId="0" applyFont="0" applyFill="0" applyBorder="0" applyAlignment="0" applyProtection="0"/>
    <xf numFmtId="174" fontId="21" fillId="0" borderId="0" applyFont="0" applyFill="0" applyBorder="0" applyAlignment="0" applyProtection="0"/>
    <xf numFmtId="174" fontId="21" fillId="0" borderId="0" applyFont="0" applyFill="0" applyBorder="0" applyAlignment="0" applyProtection="0"/>
    <xf numFmtId="5" fontId="23" fillId="0" borderId="0" applyFont="0" applyFill="0" applyBorder="0" applyAlignment="0" applyProtection="0"/>
    <xf numFmtId="176" fontId="21" fillId="0" borderId="0" applyFont="0" applyFill="0" applyBorder="0" applyAlignment="0" applyProtection="0"/>
    <xf numFmtId="8" fontId="23" fillId="0" borderId="0" applyFont="0" applyFill="0" applyBorder="0" applyAlignment="0" applyProtection="0"/>
    <xf numFmtId="0" fontId="20" fillId="0" borderId="0"/>
    <xf numFmtId="177" fontId="20" fillId="0" borderId="0">
      <alignment horizontal="right"/>
    </xf>
    <xf numFmtId="177" fontId="16" fillId="0" borderId="0">
      <alignment horizontal="right"/>
    </xf>
    <xf numFmtId="178" fontId="16" fillId="0" borderId="0" applyFont="0" applyFill="0" applyBorder="0" applyAlignment="0" applyProtection="0"/>
    <xf numFmtId="179" fontId="16" fillId="0" borderId="0"/>
    <xf numFmtId="180" fontId="16" fillId="0" borderId="0" applyFont="0" applyFill="0" applyBorder="0" applyAlignment="0" applyProtection="0"/>
    <xf numFmtId="0" fontId="16" fillId="0" borderId="0"/>
    <xf numFmtId="181" fontId="21" fillId="0" borderId="0" applyFont="0" applyFill="0" applyBorder="0" applyAlignment="0" applyProtection="0"/>
    <xf numFmtId="182" fontId="16" fillId="0" borderId="0" applyFont="0" applyFill="0" applyBorder="0" applyAlignment="0" applyProtection="0"/>
    <xf numFmtId="9" fontId="24" fillId="31" borderId="17">
      <alignment horizontal="right" vertical="center"/>
    </xf>
    <xf numFmtId="9" fontId="16" fillId="0" borderId="0">
      <alignment horizontal="right" vertical="center"/>
    </xf>
    <xf numFmtId="183" fontId="25" fillId="0" borderId="0" applyBorder="0"/>
    <xf numFmtId="183" fontId="25" fillId="0" borderId="0" applyBorder="0"/>
    <xf numFmtId="183" fontId="16" fillId="0" borderId="0" applyBorder="0"/>
    <xf numFmtId="183" fontId="25" fillId="0" borderId="0" applyBorder="0"/>
    <xf numFmtId="183" fontId="25" fillId="0" borderId="0" applyBorder="0"/>
    <xf numFmtId="183" fontId="25" fillId="0" borderId="0" applyBorder="0"/>
    <xf numFmtId="10" fontId="23" fillId="0" borderId="0" applyFont="0" applyFill="0" applyBorder="0" applyAlignment="0" applyProtection="0"/>
    <xf numFmtId="0" fontId="26" fillId="0" borderId="0"/>
    <xf numFmtId="0" fontId="26" fillId="0" borderId="0"/>
    <xf numFmtId="0" fontId="27" fillId="0" borderId="0" applyNumberFormat="0" applyFont="0" applyFill="0" applyBorder="0" applyAlignment="0" applyProtection="0"/>
    <xf numFmtId="0" fontId="16" fillId="0" borderId="0" applyNumberFormat="0" applyFont="0" applyFill="0" applyBorder="0" applyAlignment="0" applyProtection="0"/>
    <xf numFmtId="184" fontId="20" fillId="0" borderId="0" applyFont="0" applyFill="0" applyBorder="0" applyAlignment="0"/>
    <xf numFmtId="184" fontId="20" fillId="0" borderId="0" applyFont="0" applyFill="0" applyBorder="0" applyAlignment="0"/>
    <xf numFmtId="184" fontId="16" fillId="0" borderId="0" applyFont="0" applyFill="0" applyBorder="0" applyAlignment="0"/>
    <xf numFmtId="184" fontId="20" fillId="0" borderId="0" applyFont="0" applyFill="0" applyBorder="0" applyAlignment="0"/>
    <xf numFmtId="184" fontId="20" fillId="0" borderId="0" applyFont="0" applyFill="0" applyBorder="0" applyAlignment="0"/>
    <xf numFmtId="184" fontId="20" fillId="0" borderId="0" applyFont="0" applyFill="0" applyBorder="0" applyAlignment="0"/>
    <xf numFmtId="186" fontId="16" fillId="0" borderId="0" applyFont="0" applyFill="0" applyBorder="0" applyAlignment="0" applyProtection="0"/>
    <xf numFmtId="9" fontId="16" fillId="0" borderId="0" applyFont="0" applyFill="0" applyBorder="0" applyAlignment="0" applyProtection="0"/>
    <xf numFmtId="187" fontId="28" fillId="0" borderId="0" applyFont="0" applyFill="0" applyBorder="0" applyProtection="0">
      <alignment horizontal="right"/>
    </xf>
    <xf numFmtId="187" fontId="16" fillId="0" borderId="0" applyFont="0" applyFill="0" applyBorder="0" applyProtection="0">
      <alignment horizontal="right"/>
    </xf>
    <xf numFmtId="188" fontId="29" fillId="0" borderId="0" applyFont="0" applyFill="0" applyBorder="0" applyAlignment="0" applyProtection="0"/>
    <xf numFmtId="189" fontId="29"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16"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190" fontId="28" fillId="0" borderId="0" applyFont="0" applyFill="0" applyBorder="0" applyProtection="0">
      <alignment horizontal="right"/>
    </xf>
    <xf numFmtId="190" fontId="16" fillId="0" borderId="0" applyFont="0" applyFill="0" applyBorder="0" applyProtection="0">
      <alignment horizontal="right"/>
    </xf>
    <xf numFmtId="0" fontId="16" fillId="0" borderId="0" applyFont="0" applyFill="0" applyBorder="0" applyAlignment="0" applyProtection="0"/>
    <xf numFmtId="191" fontId="30" fillId="0" borderId="0"/>
    <xf numFmtId="191" fontId="30" fillId="0" borderId="0"/>
    <xf numFmtId="9" fontId="14" fillId="0" borderId="0">
      <alignment horizontal="right"/>
    </xf>
    <xf numFmtId="9" fontId="14" fillId="0" borderId="0">
      <alignment horizontal="right"/>
    </xf>
    <xf numFmtId="174" fontId="29" fillId="0" borderId="0" applyFont="0" applyFill="0" applyBorder="0" applyAlignment="0" applyProtection="0"/>
    <xf numFmtId="192" fontId="28" fillId="0" borderId="0" applyFont="0" applyFill="0" applyBorder="0" applyAlignment="0" applyProtection="0"/>
    <xf numFmtId="192" fontId="28" fillId="0" borderId="0" applyFont="0" applyFill="0" applyBorder="0" applyAlignment="0" applyProtection="0"/>
    <xf numFmtId="174" fontId="16" fillId="0" borderId="0" applyFont="0" applyFill="0" applyBorder="0" applyAlignment="0" applyProtection="0"/>
    <xf numFmtId="174" fontId="16" fillId="0" borderId="0" applyFont="0" applyFill="0" applyBorder="0" applyAlignment="0" applyProtection="0"/>
    <xf numFmtId="174" fontId="16" fillId="0" borderId="0" applyFont="0" applyFill="0" applyBorder="0" applyAlignment="0" applyProtection="0"/>
    <xf numFmtId="192" fontId="16" fillId="0" borderId="0" applyFont="0" applyFill="0" applyBorder="0" applyAlignment="0" applyProtection="0"/>
    <xf numFmtId="174" fontId="31" fillId="0" borderId="0" applyFont="0" applyFill="0" applyBorder="0" applyAlignment="0" applyProtection="0"/>
    <xf numFmtId="174" fontId="16" fillId="0" borderId="0" applyFont="0" applyFill="0" applyBorder="0" applyAlignment="0" applyProtection="0"/>
    <xf numFmtId="174" fontId="16" fillId="0" borderId="0" applyFont="0" applyFill="0" applyBorder="0" applyAlignment="0" applyProtection="0"/>
    <xf numFmtId="174" fontId="16" fillId="0" borderId="0" applyFont="0" applyFill="0" applyBorder="0" applyAlignment="0" applyProtection="0"/>
    <xf numFmtId="174" fontId="16" fillId="0" borderId="0" applyFont="0" applyFill="0" applyBorder="0" applyAlignment="0" applyProtection="0"/>
    <xf numFmtId="174" fontId="32" fillId="0" borderId="0" applyFont="0" applyFill="0" applyBorder="0" applyAlignment="0" applyProtection="0"/>
    <xf numFmtId="174" fontId="16" fillId="0" borderId="0" applyFont="0" applyFill="0" applyBorder="0" applyAlignment="0" applyProtection="0"/>
    <xf numFmtId="174" fontId="16" fillId="0" borderId="0" applyFont="0" applyFill="0" applyBorder="0" applyAlignment="0" applyProtection="0"/>
    <xf numFmtId="174" fontId="16" fillId="0" borderId="0" applyFont="0" applyFill="0" applyBorder="0" applyAlignment="0" applyProtection="0"/>
    <xf numFmtId="174" fontId="16" fillId="0" borderId="0" applyFont="0" applyFill="0" applyBorder="0" applyAlignment="0" applyProtection="0"/>
    <xf numFmtId="193" fontId="29" fillId="0" borderId="0" applyFont="0" applyFill="0" applyBorder="0" applyAlignment="0" applyProtection="0"/>
    <xf numFmtId="194" fontId="28" fillId="0" borderId="0" applyFont="0" applyFill="0" applyBorder="0" applyAlignment="0" applyProtection="0"/>
    <xf numFmtId="194" fontId="28" fillId="0" borderId="0" applyFont="0" applyFill="0" applyBorder="0" applyAlignment="0" applyProtection="0"/>
    <xf numFmtId="195" fontId="16" fillId="0" borderId="0" applyFont="0" applyFill="0" applyBorder="0" applyAlignment="0" applyProtection="0"/>
    <xf numFmtId="196" fontId="16" fillId="0" borderId="0" applyFont="0" applyFill="0" applyBorder="0" applyAlignment="0" applyProtection="0"/>
    <xf numFmtId="196" fontId="16" fillId="0" borderId="0" applyFont="0" applyFill="0" applyBorder="0" applyAlignment="0" applyProtection="0"/>
    <xf numFmtId="194" fontId="16" fillId="0" borderId="0" applyFont="0" applyFill="0" applyBorder="0" applyAlignment="0" applyProtection="0"/>
    <xf numFmtId="197" fontId="16" fillId="0" borderId="0" applyFont="0" applyFill="0" applyBorder="0" applyAlignment="0" applyProtection="0"/>
    <xf numFmtId="198" fontId="16" fillId="0" borderId="0" applyFont="0" applyFill="0" applyBorder="0" applyAlignment="0" applyProtection="0"/>
    <xf numFmtId="194" fontId="16" fillId="0" borderId="0" applyFont="0" applyFill="0" applyBorder="0" applyAlignment="0" applyProtection="0"/>
    <xf numFmtId="196" fontId="16" fillId="0" borderId="0" applyFont="0" applyFill="0" applyBorder="0" applyAlignment="0" applyProtection="0"/>
    <xf numFmtId="193" fontId="16" fillId="0" borderId="0" applyFont="0" applyFill="0" applyBorder="0" applyAlignment="0" applyProtection="0"/>
    <xf numFmtId="194" fontId="16" fillId="0" borderId="0" applyFont="0" applyFill="0" applyBorder="0" applyAlignment="0" applyProtection="0"/>
    <xf numFmtId="195" fontId="16" fillId="0" borderId="0" applyFont="0" applyFill="0" applyBorder="0" applyAlignment="0" applyProtection="0"/>
    <xf numFmtId="195" fontId="32" fillId="0" borderId="0" applyFont="0" applyFill="0" applyBorder="0" applyAlignment="0" applyProtection="0"/>
    <xf numFmtId="195" fontId="32" fillId="0" borderId="0" applyFont="0" applyFill="0" applyBorder="0" applyAlignment="0" applyProtection="0"/>
    <xf numFmtId="193" fontId="31" fillId="0" borderId="0" applyFont="0" applyFill="0" applyBorder="0" applyAlignment="0" applyProtection="0"/>
    <xf numFmtId="193" fontId="16" fillId="0" borderId="0" applyFont="0" applyFill="0" applyBorder="0" applyAlignment="0" applyProtection="0"/>
    <xf numFmtId="193" fontId="16" fillId="0" borderId="0" applyFont="0" applyFill="0" applyBorder="0" applyAlignment="0" applyProtection="0"/>
    <xf numFmtId="193" fontId="16" fillId="0" borderId="0" applyFont="0" applyFill="0" applyBorder="0" applyAlignment="0" applyProtection="0"/>
    <xf numFmtId="194" fontId="16" fillId="0" borderId="0" applyFont="0" applyFill="0" applyBorder="0" applyAlignment="0" applyProtection="0"/>
    <xf numFmtId="194" fontId="32" fillId="0" borderId="0" applyFont="0" applyFill="0" applyBorder="0" applyAlignment="0" applyProtection="0"/>
    <xf numFmtId="195" fontId="32" fillId="0" borderId="0" applyFont="0" applyFill="0" applyBorder="0" applyAlignment="0" applyProtection="0"/>
    <xf numFmtId="195" fontId="32" fillId="0" borderId="0" applyFont="0" applyFill="0" applyBorder="0" applyAlignment="0" applyProtection="0"/>
    <xf numFmtId="197" fontId="16" fillId="0" borderId="0" applyFont="0" applyFill="0" applyBorder="0" applyAlignment="0" applyProtection="0"/>
    <xf numFmtId="198" fontId="32" fillId="0" borderId="0" applyFont="0" applyFill="0" applyBorder="0" applyAlignment="0" applyProtection="0"/>
    <xf numFmtId="195" fontId="16" fillId="0" borderId="0" applyFont="0" applyFill="0" applyBorder="0" applyAlignment="0" applyProtection="0"/>
    <xf numFmtId="193" fontId="16" fillId="0" borderId="0" applyFont="0" applyFill="0" applyBorder="0" applyAlignment="0" applyProtection="0"/>
    <xf numFmtId="198" fontId="16" fillId="0" borderId="0" applyFont="0" applyFill="0" applyBorder="0" applyAlignment="0" applyProtection="0"/>
    <xf numFmtId="0" fontId="16" fillId="0" borderId="0" applyFont="0" applyFill="0" applyBorder="0" applyAlignment="0" applyProtection="0"/>
    <xf numFmtId="199" fontId="16" fillId="0" borderId="0" applyFont="0" applyFill="0" applyBorder="0" applyAlignment="0" applyProtection="0"/>
    <xf numFmtId="193" fontId="16" fillId="0" borderId="0" applyFont="0" applyFill="0" applyBorder="0" applyAlignment="0" applyProtection="0"/>
    <xf numFmtId="195" fontId="16" fillId="0" borderId="0" applyFont="0" applyFill="0" applyBorder="0" applyAlignment="0" applyProtection="0"/>
    <xf numFmtId="198" fontId="16" fillId="0" borderId="0" applyFont="0" applyFill="0" applyBorder="0" applyAlignment="0" applyProtection="0"/>
    <xf numFmtId="193" fontId="16" fillId="0" borderId="0" applyFont="0" applyFill="0" applyBorder="0" applyAlignment="0" applyProtection="0"/>
    <xf numFmtId="200" fontId="29" fillId="0" borderId="0" applyFont="0" applyFill="0" applyBorder="0" applyAlignment="0" applyProtection="0"/>
    <xf numFmtId="39" fontId="28" fillId="0" borderId="0" applyFont="0" applyFill="0" applyBorder="0" applyAlignment="0" applyProtection="0"/>
    <xf numFmtId="39" fontId="28" fillId="0" borderId="0" applyFont="0" applyFill="0" applyBorder="0" applyAlignment="0" applyProtection="0"/>
    <xf numFmtId="200" fontId="16" fillId="0" borderId="0" applyFont="0" applyFill="0" applyBorder="0" applyAlignment="0" applyProtection="0"/>
    <xf numFmtId="200" fontId="16" fillId="0" borderId="0" applyFont="0" applyFill="0" applyBorder="0" applyAlignment="0" applyProtection="0"/>
    <xf numFmtId="200" fontId="16" fillId="0" borderId="0" applyFont="0" applyFill="0" applyBorder="0" applyAlignment="0" applyProtection="0"/>
    <xf numFmtId="39" fontId="16" fillId="0" borderId="0" applyFont="0" applyFill="0" applyBorder="0" applyAlignment="0" applyProtection="0"/>
    <xf numFmtId="200" fontId="31" fillId="0" borderId="0" applyFont="0" applyFill="0" applyBorder="0" applyAlignment="0" applyProtection="0"/>
    <xf numFmtId="200" fontId="16" fillId="0" borderId="0" applyFont="0" applyFill="0" applyBorder="0" applyAlignment="0" applyProtection="0"/>
    <xf numFmtId="200" fontId="16" fillId="0" borderId="0" applyFont="0" applyFill="0" applyBorder="0" applyAlignment="0" applyProtection="0"/>
    <xf numFmtId="200" fontId="16" fillId="0" borderId="0" applyFont="0" applyFill="0" applyBorder="0" applyAlignment="0" applyProtection="0"/>
    <xf numFmtId="200" fontId="16" fillId="0" borderId="0" applyFont="0" applyFill="0" applyBorder="0" applyAlignment="0" applyProtection="0"/>
    <xf numFmtId="200" fontId="32" fillId="0" borderId="0" applyFont="0" applyFill="0" applyBorder="0" applyAlignment="0" applyProtection="0"/>
    <xf numFmtId="200" fontId="16" fillId="0" borderId="0" applyFont="0" applyFill="0" applyBorder="0" applyAlignment="0" applyProtection="0"/>
    <xf numFmtId="200" fontId="16" fillId="0" borderId="0" applyFont="0" applyFill="0" applyBorder="0" applyAlignment="0" applyProtection="0"/>
    <xf numFmtId="200" fontId="16" fillId="0" borderId="0" applyFont="0" applyFill="0" applyBorder="0" applyAlignment="0" applyProtection="0"/>
    <xf numFmtId="200" fontId="16" fillId="0" borderId="0" applyFont="0" applyFill="0" applyBorder="0" applyAlignment="0" applyProtection="0"/>
    <xf numFmtId="14" fontId="33" fillId="0" borderId="0" applyFill="0" applyBorder="0" applyProtection="0"/>
    <xf numFmtId="14" fontId="16" fillId="0" borderId="0" applyFill="0" applyBorder="0" applyProtection="0"/>
    <xf numFmtId="201" fontId="16" fillId="0" borderId="0" applyFont="0" applyFill="0" applyBorder="0" applyAlignment="0" applyProtection="0"/>
    <xf numFmtId="201" fontId="16" fillId="0" borderId="0" applyFont="0" applyFill="0" applyBorder="0" applyAlignment="0" applyProtection="0"/>
    <xf numFmtId="201" fontId="16" fillId="0" borderId="0" applyFont="0" applyFill="0" applyBorder="0" applyAlignment="0" applyProtection="0"/>
    <xf numFmtId="0" fontId="27" fillId="0" borderId="0" applyNumberFormat="0" applyFill="0" applyBorder="0" applyAlignment="0" applyProtection="0"/>
    <xf numFmtId="202" fontId="29" fillId="0" borderId="0" applyFont="0" applyFill="0" applyBorder="0" applyAlignment="0" applyProtection="0"/>
    <xf numFmtId="202" fontId="28" fillId="0" borderId="0" applyFont="0" applyFill="0" applyBorder="0" applyProtection="0">
      <alignment horizontal="right"/>
    </xf>
    <xf numFmtId="202" fontId="16" fillId="0" borderId="0" applyFont="0" applyFill="0" applyBorder="0" applyProtection="0">
      <alignment horizontal="right"/>
    </xf>
    <xf numFmtId="202" fontId="28" fillId="0" borderId="0" applyFont="0" applyFill="0" applyBorder="0" applyProtection="0">
      <alignment horizontal="right"/>
    </xf>
    <xf numFmtId="202" fontId="28" fillId="0" borderId="0" applyFont="0" applyFill="0" applyBorder="0" applyProtection="0">
      <alignment horizontal="right"/>
    </xf>
    <xf numFmtId="202" fontId="28" fillId="0" borderId="0" applyFont="0" applyFill="0" applyBorder="0" applyProtection="0">
      <alignment horizontal="right"/>
    </xf>
    <xf numFmtId="202" fontId="28" fillId="0" borderId="0" applyFont="0" applyFill="0" applyBorder="0" applyAlignment="0" applyProtection="0"/>
    <xf numFmtId="202" fontId="28" fillId="0" borderId="0" applyFont="0" applyFill="0" applyBorder="0" applyAlignment="0" applyProtection="0"/>
    <xf numFmtId="202" fontId="16" fillId="0" borderId="0" applyFont="0" applyFill="0" applyBorder="0" applyAlignment="0" applyProtection="0"/>
    <xf numFmtId="202" fontId="28" fillId="0" borderId="0" applyFont="0" applyFill="0" applyBorder="0" applyAlignment="0" applyProtection="0"/>
    <xf numFmtId="202" fontId="28" fillId="0" borderId="0" applyFont="0" applyFill="0" applyBorder="0" applyAlignment="0" applyProtection="0"/>
    <xf numFmtId="202" fontId="28" fillId="0" borderId="0" applyFont="0" applyFill="0" applyBorder="0" applyAlignment="0" applyProtection="0"/>
    <xf numFmtId="202" fontId="16" fillId="0" borderId="0" applyFont="0" applyFill="0" applyBorder="0" applyAlignment="0" applyProtection="0"/>
    <xf numFmtId="202" fontId="16" fillId="0" borderId="0" applyFont="0" applyFill="0" applyBorder="0" applyAlignment="0" applyProtection="0"/>
    <xf numFmtId="0" fontId="34" fillId="0" borderId="0">
      <alignment vertical="center"/>
    </xf>
    <xf numFmtId="203" fontId="35" fillId="0" borderId="18" applyFont="0" applyFill="0" applyBorder="0" applyAlignment="0" applyProtection="0"/>
    <xf numFmtId="203" fontId="16" fillId="0" borderId="0" applyFont="0" applyFill="0" applyBorder="0" applyAlignment="0" applyProtection="0"/>
    <xf numFmtId="0" fontId="36" fillId="32" borderId="19" applyBorder="0">
      <alignment horizontal="center"/>
    </xf>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37" fillId="0" borderId="0" applyNumberFormat="0" applyFill="0" applyBorder="0" applyAlignment="0" applyProtection="0"/>
    <xf numFmtId="0" fontId="16" fillId="0" borderId="0" applyNumberFormat="0" applyFill="0" applyBorder="0" applyAlignment="0" applyProtection="0"/>
    <xf numFmtId="0" fontId="29" fillId="33" borderId="0" applyNumberFormat="0" applyFont="0" applyAlignment="0" applyProtection="0"/>
    <xf numFmtId="0" fontId="16" fillId="0" borderId="0" applyNumberFormat="0" applyFont="0" applyAlignment="0" applyProtection="0"/>
    <xf numFmtId="204" fontId="38" fillId="0" borderId="0" applyFont="0" applyFill="0" applyBorder="0" applyProtection="0">
      <alignment horizontal="right"/>
    </xf>
    <xf numFmtId="204" fontId="16" fillId="0" borderId="0" applyFont="0" applyFill="0" applyBorder="0" applyProtection="0">
      <alignment horizontal="right"/>
    </xf>
    <xf numFmtId="205" fontId="38" fillId="0" borderId="0" applyFont="0" applyFill="0" applyBorder="0" applyProtection="0">
      <alignment horizontal="right"/>
    </xf>
    <xf numFmtId="205" fontId="16" fillId="0" borderId="0" applyFont="0" applyFill="0" applyBorder="0" applyProtection="0">
      <alignment horizontal="right"/>
    </xf>
    <xf numFmtId="205" fontId="38" fillId="0" borderId="0" applyFont="0" applyFill="0" applyBorder="0" applyProtection="0">
      <alignment horizontal="right"/>
    </xf>
    <xf numFmtId="205" fontId="16" fillId="0" borderId="0" applyFont="0" applyFill="0" applyBorder="0" applyProtection="0">
      <alignment horizontal="right"/>
    </xf>
    <xf numFmtId="0" fontId="30" fillId="0" borderId="0">
      <alignment vertical="center"/>
    </xf>
    <xf numFmtId="0" fontId="30" fillId="0" borderId="0">
      <alignment vertical="center"/>
    </xf>
    <xf numFmtId="0" fontId="30" fillId="0" borderId="0">
      <alignment vertical="center"/>
    </xf>
    <xf numFmtId="0" fontId="39" fillId="34" borderId="0">
      <alignment horizontal="centerContinuous" vertical="center"/>
    </xf>
    <xf numFmtId="0" fontId="16" fillId="0" borderId="0">
      <alignment horizontal="centerContinuous" vertical="center"/>
    </xf>
    <xf numFmtId="0" fontId="40" fillId="29" borderId="0">
      <alignment horizontal="centerContinuous" vertical="center"/>
    </xf>
    <xf numFmtId="0" fontId="16" fillId="0" borderId="0">
      <alignment horizontal="centerContinuous" vertical="center"/>
    </xf>
    <xf numFmtId="9" fontId="14" fillId="0" borderId="0">
      <alignment horizontal="right"/>
    </xf>
    <xf numFmtId="9" fontId="14" fillId="0" borderId="0">
      <alignment horizontal="right"/>
    </xf>
    <xf numFmtId="9" fontId="14" fillId="0" borderId="0">
      <alignment horizontal="right"/>
    </xf>
    <xf numFmtId="9" fontId="14" fillId="0" borderId="0">
      <alignment horizontal="right"/>
    </xf>
    <xf numFmtId="0" fontId="16" fillId="0" borderId="0">
      <alignment horizontal="left" wrapText="1"/>
    </xf>
    <xf numFmtId="0" fontId="16" fillId="0" borderId="0">
      <alignment horizontal="left" wrapText="1"/>
    </xf>
    <xf numFmtId="206" fontId="29" fillId="0" borderId="0" applyFont="0" applyFill="0" applyBorder="0" applyAlignment="0" applyProtection="0"/>
    <xf numFmtId="207" fontId="28" fillId="0" borderId="0" applyFont="0" applyFill="0" applyBorder="0" applyAlignment="0" applyProtection="0"/>
    <xf numFmtId="207" fontId="28" fillId="0" borderId="0" applyFont="0" applyFill="0" applyBorder="0" applyAlignment="0" applyProtection="0"/>
    <xf numFmtId="208" fontId="16" fillId="0" borderId="0" applyFont="0" applyFill="0" applyBorder="0" applyProtection="0">
      <alignment horizontal="right"/>
    </xf>
    <xf numFmtId="209" fontId="16" fillId="0" borderId="0" applyFont="0" applyFill="0" applyBorder="0" applyAlignment="0" applyProtection="0"/>
    <xf numFmtId="206" fontId="16" fillId="0" borderId="0" applyFont="0" applyFill="0" applyBorder="0" applyAlignment="0" applyProtection="0"/>
    <xf numFmtId="210" fontId="16" fillId="0" borderId="0" applyFont="0" applyFill="0" applyBorder="0" applyProtection="0">
      <alignment horizontal="right"/>
    </xf>
    <xf numFmtId="206" fontId="16" fillId="0" borderId="0" applyFont="0" applyFill="0" applyBorder="0" applyAlignment="0" applyProtection="0"/>
    <xf numFmtId="207" fontId="16" fillId="0" borderId="0" applyFont="0" applyFill="0" applyBorder="0" applyAlignment="0" applyProtection="0"/>
    <xf numFmtId="206" fontId="31" fillId="0" borderId="0" applyFont="0" applyFill="0" applyBorder="0" applyAlignment="0" applyProtection="0"/>
    <xf numFmtId="206" fontId="16" fillId="0" borderId="0" applyFont="0" applyFill="0" applyBorder="0" applyAlignment="0" applyProtection="0"/>
    <xf numFmtId="210" fontId="16" fillId="0" borderId="0" applyFont="0" applyFill="0" applyBorder="0" applyProtection="0">
      <alignment horizontal="right"/>
    </xf>
    <xf numFmtId="210" fontId="16" fillId="0" borderId="0" applyFont="0" applyFill="0" applyBorder="0" applyProtection="0">
      <alignment horizontal="right"/>
    </xf>
    <xf numFmtId="206" fontId="16" fillId="0" borderId="0" applyFont="0" applyFill="0" applyBorder="0" applyAlignment="0" applyProtection="0"/>
    <xf numFmtId="206" fontId="32" fillId="0" borderId="0" applyFont="0" applyFill="0" applyBorder="0" applyAlignment="0" applyProtection="0"/>
    <xf numFmtId="210" fontId="16" fillId="0" borderId="0" applyFont="0" applyFill="0" applyBorder="0" applyProtection="0">
      <alignment horizontal="right"/>
    </xf>
    <xf numFmtId="209" fontId="16" fillId="0" borderId="0" applyFont="0" applyFill="0" applyBorder="0" applyAlignment="0" applyProtection="0"/>
    <xf numFmtId="206" fontId="16" fillId="0" borderId="0" applyFont="0" applyFill="0" applyBorder="0" applyAlignment="0" applyProtection="0"/>
    <xf numFmtId="210" fontId="16" fillId="0" borderId="0" applyFont="0" applyFill="0" applyBorder="0" applyProtection="0">
      <alignment horizontal="right"/>
    </xf>
    <xf numFmtId="210" fontId="16" fillId="0" borderId="0" applyFont="0" applyFill="0" applyBorder="0" applyProtection="0">
      <alignment horizontal="right"/>
    </xf>
    <xf numFmtId="211" fontId="16" fillId="0" borderId="0" applyFont="0" applyFill="0" applyBorder="0" applyProtection="0">
      <alignment horizontal="right"/>
    </xf>
    <xf numFmtId="212" fontId="29" fillId="0" borderId="0" applyFont="0" applyFill="0" applyBorder="0" applyProtection="0">
      <alignment horizontal="right"/>
    </xf>
    <xf numFmtId="213" fontId="28" fillId="0" borderId="0" applyFont="0" applyFill="0" applyBorder="0" applyAlignment="0" applyProtection="0"/>
    <xf numFmtId="213" fontId="28" fillId="0" borderId="0" applyFont="0" applyFill="0" applyBorder="0" applyAlignment="0" applyProtection="0"/>
    <xf numFmtId="214" fontId="16" fillId="0" borderId="0" applyFont="0" applyFill="0" applyBorder="0" applyAlignment="0" applyProtection="0"/>
    <xf numFmtId="212" fontId="16" fillId="0" borderId="0" applyFont="0" applyFill="0" applyBorder="0" applyProtection="0">
      <alignment horizontal="right"/>
    </xf>
    <xf numFmtId="212" fontId="16" fillId="0" borderId="0" applyFont="0" applyFill="0" applyBorder="0" applyProtection="0">
      <alignment horizontal="right"/>
    </xf>
    <xf numFmtId="213" fontId="16" fillId="0" borderId="0" applyFont="0" applyFill="0" applyBorder="0" applyAlignment="0" applyProtection="0"/>
    <xf numFmtId="212" fontId="31" fillId="0" borderId="0" applyFont="0" applyFill="0" applyBorder="0" applyProtection="0">
      <alignment horizontal="right"/>
    </xf>
    <xf numFmtId="212" fontId="16" fillId="0" borderId="0" applyFont="0" applyFill="0" applyBorder="0" applyProtection="0">
      <alignment horizontal="right"/>
    </xf>
    <xf numFmtId="212" fontId="16" fillId="0" borderId="0" applyFont="0" applyFill="0" applyBorder="0" applyProtection="0">
      <alignment horizontal="right"/>
    </xf>
    <xf numFmtId="212" fontId="16" fillId="0" borderId="0" applyFont="0" applyFill="0" applyBorder="0" applyProtection="0">
      <alignment horizontal="right"/>
    </xf>
    <xf numFmtId="212" fontId="16" fillId="0" borderId="0" applyFont="0" applyFill="0" applyBorder="0" applyProtection="0">
      <alignment horizontal="right"/>
    </xf>
    <xf numFmtId="212" fontId="32" fillId="0" borderId="0" applyFont="0" applyFill="0" applyBorder="0" applyProtection="0">
      <alignment horizontal="right"/>
    </xf>
    <xf numFmtId="212" fontId="16" fillId="0" borderId="0" applyFont="0" applyFill="0" applyBorder="0" applyProtection="0">
      <alignment horizontal="right"/>
    </xf>
    <xf numFmtId="214" fontId="16" fillId="0" borderId="0" applyFont="0" applyFill="0" applyBorder="0" applyAlignment="0" applyProtection="0"/>
    <xf numFmtId="212" fontId="16" fillId="0" borderId="0" applyFont="0" applyFill="0" applyBorder="0" applyProtection="0">
      <alignment horizontal="right"/>
    </xf>
    <xf numFmtId="212" fontId="16" fillId="0" borderId="0" applyFont="0" applyFill="0" applyBorder="0" applyProtection="0">
      <alignment horizontal="right"/>
    </xf>
    <xf numFmtId="0" fontId="16" fillId="0" borderId="0"/>
    <xf numFmtId="215" fontId="28" fillId="0" borderId="0" applyFont="0" applyFill="0" applyBorder="0" applyAlignment="0" applyProtection="0"/>
    <xf numFmtId="188" fontId="16" fillId="0" borderId="0" applyFont="0" applyFill="0" applyBorder="0" applyAlignment="0" applyProtection="0"/>
    <xf numFmtId="188" fontId="16" fillId="0" borderId="0" applyFont="0" applyFill="0" applyBorder="0" applyAlignment="0" applyProtection="0"/>
    <xf numFmtId="216" fontId="41" fillId="0" borderId="20" applyFont="0" applyFill="0" applyBorder="0" applyProtection="0">
      <alignment horizontal="right"/>
    </xf>
    <xf numFmtId="216" fontId="16" fillId="0" borderId="0" applyFont="0" applyFill="0" applyBorder="0" applyProtection="0">
      <alignment horizontal="right"/>
    </xf>
    <xf numFmtId="217" fontId="41" fillId="0" borderId="20" applyFont="0" applyFill="0" applyBorder="0" applyProtection="0">
      <alignment horizontal="right"/>
    </xf>
    <xf numFmtId="217" fontId="16" fillId="0" borderId="0" applyFont="0" applyFill="0" applyBorder="0" applyProtection="0">
      <alignment horizontal="right"/>
    </xf>
    <xf numFmtId="217" fontId="41" fillId="0" borderId="20" applyFont="0" applyFill="0" applyBorder="0" applyProtection="0">
      <alignment horizontal="right"/>
    </xf>
    <xf numFmtId="217" fontId="16" fillId="0" borderId="0" applyFont="0" applyFill="0" applyBorder="0" applyProtection="0">
      <alignment horizontal="right"/>
    </xf>
    <xf numFmtId="217" fontId="41" fillId="0" borderId="20" applyFont="0" applyFill="0" applyBorder="0" applyProtection="0">
      <alignment horizontal="right"/>
    </xf>
    <xf numFmtId="217" fontId="16" fillId="0" borderId="0" applyFont="0" applyFill="0" applyBorder="0" applyProtection="0">
      <alignment horizontal="right"/>
    </xf>
    <xf numFmtId="217" fontId="41" fillId="0" borderId="20" applyFont="0" applyFill="0" applyBorder="0" applyProtection="0">
      <alignment horizontal="right"/>
    </xf>
    <xf numFmtId="217" fontId="16" fillId="0" borderId="0" applyFont="0" applyFill="0" applyBorder="0" applyProtection="0">
      <alignment horizontal="right"/>
    </xf>
    <xf numFmtId="217" fontId="41" fillId="0" borderId="20" applyFont="0" applyFill="0" applyBorder="0" applyProtection="0">
      <alignment horizontal="right"/>
    </xf>
    <xf numFmtId="217" fontId="16" fillId="0" borderId="0" applyFont="0" applyFill="0" applyBorder="0" applyProtection="0">
      <alignment horizontal="right"/>
    </xf>
    <xf numFmtId="218" fontId="28" fillId="0" borderId="0" applyFont="0" applyFill="0" applyBorder="0" applyAlignment="0" applyProtection="0"/>
    <xf numFmtId="189" fontId="16" fillId="0" borderId="0" applyFont="0" applyFill="0" applyBorder="0" applyAlignment="0" applyProtection="0"/>
    <xf numFmtId="189" fontId="16" fillId="0" borderId="0" applyFont="0" applyFill="0" applyBorder="0" applyAlignment="0" applyProtection="0"/>
    <xf numFmtId="0" fontId="42" fillId="0" borderId="0" applyNumberFormat="0" applyFill="0" applyBorder="0" applyAlignment="0" applyProtection="0"/>
    <xf numFmtId="0" fontId="16" fillId="0" borderId="0"/>
    <xf numFmtId="0" fontId="16" fillId="0" borderId="0"/>
    <xf numFmtId="0" fontId="43" fillId="0" borderId="0">
      <alignment horizontal="center" wrapText="1"/>
    </xf>
    <xf numFmtId="0" fontId="44" fillId="32" borderId="16">
      <alignment horizontal="center"/>
    </xf>
    <xf numFmtId="0" fontId="45" fillId="35" borderId="16">
      <alignment horizontal="center" vertical="center"/>
    </xf>
    <xf numFmtId="3" fontId="46" fillId="0" borderId="16"/>
    <xf numFmtId="4" fontId="46" fillId="0" borderId="16"/>
    <xf numFmtId="219" fontId="16" fillId="0" borderId="16">
      <alignment horizontal="center" vertical="center"/>
    </xf>
    <xf numFmtId="0" fontId="47" fillId="0" borderId="16">
      <alignment horizontal="center"/>
    </xf>
    <xf numFmtId="0" fontId="48" fillId="36" borderId="16">
      <alignment horizontal="center"/>
    </xf>
    <xf numFmtId="0" fontId="43" fillId="0" borderId="0"/>
    <xf numFmtId="0" fontId="44" fillId="32" borderId="16"/>
    <xf numFmtId="0" fontId="45" fillId="35" borderId="16">
      <alignment horizontal="center" vertical="center"/>
    </xf>
    <xf numFmtId="0" fontId="49" fillId="0" borderId="0"/>
    <xf numFmtId="0" fontId="42" fillId="0" borderId="0" applyNumberFormat="0" applyFill="0" applyBorder="0" applyAlignment="0" applyProtection="0"/>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Alignment="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50" fillId="0" borderId="0" applyNumberFormat="0" applyFill="0" applyBorder="0" applyProtection="0">
      <alignment vertical="top"/>
    </xf>
    <xf numFmtId="0" fontId="16" fillId="0" borderId="0" applyNumberFormat="0" applyFill="0" applyBorder="0" applyProtection="0">
      <alignment vertical="top"/>
    </xf>
    <xf numFmtId="0" fontId="41" fillId="0" borderId="20" applyNumberFormat="0" applyFill="0" applyAlignment="0" applyProtection="0"/>
    <xf numFmtId="0" fontId="16" fillId="0" borderId="0" applyNumberFormat="0" applyFill="0" applyAlignment="0" applyProtection="0"/>
    <xf numFmtId="0" fontId="41" fillId="0" borderId="21" applyNumberFormat="0" applyFill="0" applyAlignment="0" applyProtection="0"/>
    <xf numFmtId="0" fontId="41" fillId="0" borderId="21" applyNumberFormat="0" applyFill="0" applyAlignment="0" applyProtection="0"/>
    <xf numFmtId="0" fontId="41" fillId="0" borderId="21" applyNumberFormat="0" applyFill="0" applyAlignment="0" applyProtection="0"/>
    <xf numFmtId="0" fontId="41" fillId="0" borderId="21" applyNumberFormat="0" applyFill="0" applyAlignment="0" applyProtection="0"/>
    <xf numFmtId="0" fontId="41" fillId="0" borderId="20" applyNumberFormat="0" applyFill="0" applyAlignment="0" applyProtection="0"/>
    <xf numFmtId="0" fontId="41" fillId="0" borderId="20" applyNumberFormat="0" applyFill="0" applyAlignment="0" applyProtection="0"/>
    <xf numFmtId="0" fontId="41" fillId="0" borderId="20" applyNumberFormat="0" applyFill="0" applyAlignment="0" applyProtection="0"/>
    <xf numFmtId="0" fontId="41" fillId="0" borderId="20" applyNumberFormat="0" applyFill="0" applyAlignment="0" applyProtection="0"/>
    <xf numFmtId="0" fontId="51" fillId="0" borderId="22" applyNumberFormat="0" applyFill="0" applyProtection="0">
      <alignment horizontal="center"/>
    </xf>
    <xf numFmtId="0" fontId="16" fillId="0" borderId="0" applyNumberFormat="0" applyFill="0" applyProtection="0">
      <alignment horizontal="center"/>
    </xf>
    <xf numFmtId="0" fontId="52" fillId="0" borderId="23" applyNumberFormat="0" applyFill="0" applyProtection="0">
      <alignment horizontal="center"/>
    </xf>
    <xf numFmtId="0" fontId="16" fillId="0" borderId="0" applyNumberFormat="0" applyFill="0" applyProtection="0">
      <alignment horizontal="center"/>
    </xf>
    <xf numFmtId="0" fontId="51" fillId="0" borderId="22" applyNumberFormat="0" applyFill="0" applyProtection="0">
      <alignment horizontal="center"/>
    </xf>
    <xf numFmtId="0" fontId="16" fillId="0" borderId="0" applyNumberFormat="0" applyFill="0" applyProtection="0">
      <alignment horizontal="center"/>
    </xf>
    <xf numFmtId="0" fontId="51" fillId="0" borderId="22" applyNumberFormat="0" applyFill="0" applyProtection="0">
      <alignment horizontal="center"/>
    </xf>
    <xf numFmtId="0" fontId="16" fillId="0" borderId="0" applyNumberFormat="0" applyFill="0" applyProtection="0">
      <alignment horizontal="center"/>
    </xf>
    <xf numFmtId="0" fontId="53" fillId="0" borderId="23" applyNumberFormat="0" applyFill="0" applyProtection="0">
      <alignment horizontal="center"/>
    </xf>
    <xf numFmtId="0" fontId="16" fillId="0" borderId="0" applyNumberFormat="0" applyFill="0" applyProtection="0">
      <alignment horizontal="center"/>
    </xf>
    <xf numFmtId="0" fontId="51" fillId="0" borderId="0" applyNumberFormat="0" applyFill="0" applyBorder="0" applyProtection="0">
      <alignment horizontal="left"/>
    </xf>
    <xf numFmtId="0" fontId="16" fillId="0" borderId="0" applyNumberFormat="0" applyFill="0" applyBorder="0" applyProtection="0">
      <alignment horizontal="left"/>
    </xf>
    <xf numFmtId="0" fontId="51" fillId="0" borderId="0" applyNumberFormat="0" applyFill="0" applyBorder="0" applyProtection="0">
      <alignment horizontal="left"/>
    </xf>
    <xf numFmtId="0" fontId="16" fillId="0" borderId="0" applyNumberFormat="0" applyFill="0" applyBorder="0" applyProtection="0">
      <alignment horizontal="left"/>
    </xf>
    <xf numFmtId="0" fontId="51" fillId="0" borderId="0" applyNumberFormat="0" applyFill="0" applyBorder="0" applyProtection="0">
      <alignment horizontal="left"/>
    </xf>
    <xf numFmtId="0" fontId="16" fillId="0" borderId="0" applyNumberFormat="0" applyFill="0" applyBorder="0" applyProtection="0">
      <alignment horizontal="left"/>
    </xf>
    <xf numFmtId="0" fontId="54" fillId="0" borderId="0" applyNumberFormat="0" applyFill="0" applyBorder="0" applyProtection="0">
      <alignment horizontal="centerContinuous"/>
    </xf>
    <xf numFmtId="0" fontId="16" fillId="0" borderId="0" applyNumberFormat="0" applyFill="0" applyBorder="0" applyProtection="0">
      <alignment horizontal="centerContinuous"/>
    </xf>
    <xf numFmtId="0" fontId="54" fillId="0" borderId="0" applyNumberFormat="0" applyFill="0" applyProtection="0">
      <alignment horizontal="centerContinuous"/>
    </xf>
    <xf numFmtId="0" fontId="54" fillId="0" borderId="0" applyNumberFormat="0" applyFill="0" applyProtection="0">
      <alignment horizontal="centerContinuous"/>
    </xf>
    <xf numFmtId="0" fontId="54" fillId="0" borderId="0" applyNumberFormat="0" applyFill="0" applyBorder="0" applyProtection="0">
      <alignment horizontal="centerContinuous"/>
    </xf>
    <xf numFmtId="0" fontId="55" fillId="0" borderId="0" applyNumberFormat="0" applyFill="0" applyBorder="0" applyProtection="0">
      <alignment horizontal="centerContinuous"/>
    </xf>
    <xf numFmtId="0" fontId="16" fillId="0" borderId="0" applyNumberFormat="0" applyFill="0" applyBorder="0" applyProtection="0">
      <alignment horizontal="centerContinuous"/>
    </xf>
    <xf numFmtId="0" fontId="54" fillId="0" borderId="0" applyNumberFormat="0" applyFill="0" applyBorder="0" applyProtection="0">
      <alignment horizontal="centerContinuous"/>
    </xf>
    <xf numFmtId="0" fontId="54" fillId="0" borderId="0" applyNumberFormat="0" applyFill="0" applyBorder="0" applyProtection="0">
      <alignment horizontal="centerContinuous"/>
    </xf>
    <xf numFmtId="0" fontId="16" fillId="0" borderId="0" applyNumberFormat="0" applyFill="0" applyBorder="0" applyProtection="0">
      <alignment horizontal="centerContinuous"/>
    </xf>
    <xf numFmtId="0" fontId="54" fillId="0" borderId="0" applyNumberFormat="0" applyFill="0" applyBorder="0" applyProtection="0">
      <alignment horizontal="centerContinuous"/>
    </xf>
    <xf numFmtId="0" fontId="54" fillId="0" borderId="0" applyNumberFormat="0" applyFill="0" applyBorder="0" applyProtection="0">
      <alignment horizontal="centerContinuous"/>
    </xf>
    <xf numFmtId="0" fontId="54" fillId="0" borderId="0" applyNumberFormat="0" applyFill="0" applyBorder="0" applyProtection="0">
      <alignment horizontal="centerContinuous"/>
    </xf>
    <xf numFmtId="0" fontId="16" fillId="0" borderId="0" applyNumberFormat="0" applyFill="0" applyBorder="0" applyProtection="0">
      <alignment horizontal="centerContinuous"/>
    </xf>
    <xf numFmtId="0" fontId="55" fillId="0" borderId="0" applyNumberFormat="0" applyFill="0" applyBorder="0" applyProtection="0">
      <alignment horizontal="centerContinuous"/>
    </xf>
    <xf numFmtId="0" fontId="16" fillId="0" borderId="0" applyNumberFormat="0" applyFill="0" applyBorder="0" applyProtection="0">
      <alignment horizontal="centerContinuous"/>
    </xf>
    <xf numFmtId="0" fontId="42" fillId="0" borderId="0" applyNumberFormat="0" applyFill="0" applyBorder="0" applyAlignment="0" applyProtection="0"/>
    <xf numFmtId="0" fontId="16" fillId="0" borderId="0"/>
    <xf numFmtId="0" fontId="16" fillId="0" borderId="0"/>
    <xf numFmtId="0" fontId="16" fillId="0" borderId="0"/>
    <xf numFmtId="0" fontId="16"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220" fontId="16" fillId="0" borderId="0">
      <alignment horizontal="left" wrapText="1"/>
    </xf>
    <xf numFmtId="220" fontId="16" fillId="0" borderId="0">
      <alignment horizontal="left" wrapText="1"/>
    </xf>
    <xf numFmtId="0" fontId="16" fillId="0" borderId="0"/>
    <xf numFmtId="0" fontId="57" fillId="0" borderId="0"/>
    <xf numFmtId="0" fontId="57" fillId="0" borderId="0"/>
    <xf numFmtId="0" fontId="26" fillId="0" borderId="0"/>
    <xf numFmtId="0" fontId="26" fillId="0" borderId="0"/>
    <xf numFmtId="0" fontId="58" fillId="0" borderId="0">
      <alignment horizontal="right"/>
    </xf>
    <xf numFmtId="0" fontId="58" fillId="0" borderId="0">
      <alignment horizontal="right"/>
    </xf>
    <xf numFmtId="221" fontId="42" fillId="0" borderId="0" applyFont="0" applyFill="0" applyBorder="0" applyAlignment="0" applyProtection="0"/>
    <xf numFmtId="221" fontId="42" fillId="0" borderId="0" applyFont="0" applyFill="0" applyBorder="0" applyAlignment="0" applyProtection="0"/>
    <xf numFmtId="222" fontId="59" fillId="0" borderId="0" applyFont="0" applyFill="0" applyBorder="0" applyAlignment="0" applyProtection="0"/>
    <xf numFmtId="222" fontId="16" fillId="0" borderId="0" applyFont="0" applyFill="0" applyBorder="0" applyAlignment="0" applyProtection="0"/>
    <xf numFmtId="223" fontId="59" fillId="0" borderId="0" applyFont="0" applyFill="0" applyBorder="0" applyAlignment="0" applyProtection="0"/>
    <xf numFmtId="223" fontId="16" fillId="0" borderId="0" applyFont="0" applyFill="0" applyBorder="0" applyAlignment="0" applyProtection="0"/>
    <xf numFmtId="224" fontId="59" fillId="0" borderId="0" applyFont="0" applyFill="0" applyBorder="0" applyAlignment="0" applyProtection="0"/>
    <xf numFmtId="224" fontId="16" fillId="0" borderId="0" applyFont="0" applyFill="0" applyBorder="0" applyAlignment="0" applyProtection="0"/>
    <xf numFmtId="225" fontId="59" fillId="0" borderId="0" applyFont="0" applyFill="0" applyBorder="0" applyAlignment="0" applyProtection="0"/>
    <xf numFmtId="225" fontId="16" fillId="0" borderId="0" applyFont="0" applyFill="0" applyBorder="0" applyAlignment="0" applyProtection="0"/>
    <xf numFmtId="226" fontId="59" fillId="0" borderId="0" applyFont="0" applyFill="0" applyBorder="0" applyAlignment="0" applyProtection="0"/>
    <xf numFmtId="226" fontId="16" fillId="0" borderId="0" applyFont="0" applyFill="0" applyBorder="0" applyAlignment="0" applyProtection="0"/>
    <xf numFmtId="227" fontId="60" fillId="0" borderId="0" applyFont="0" applyFill="0" applyBorder="0" applyAlignment="0" applyProtection="0"/>
    <xf numFmtId="227" fontId="16" fillId="0" borderId="0" applyFont="0" applyFill="0" applyBorder="0" applyAlignment="0" applyProtection="0"/>
    <xf numFmtId="0" fontId="16" fillId="0" borderId="0"/>
    <xf numFmtId="41" fontId="16" fillId="0" borderId="0" applyFont="0" applyFill="0" applyBorder="0" applyAlignment="0" applyProtection="0"/>
    <xf numFmtId="43" fontId="16" fillId="0" borderId="0" applyFont="0" applyFill="0" applyBorder="0" applyAlignment="0" applyProtection="0"/>
    <xf numFmtId="228" fontId="42" fillId="0" borderId="0" applyFont="0" applyFill="0" applyBorder="0" applyAlignment="0" applyProtection="0"/>
    <xf numFmtId="228" fontId="42" fillId="0" borderId="0" applyFont="0" applyFill="0" applyBorder="0" applyAlignment="0" applyProtection="0"/>
    <xf numFmtId="0" fontId="28" fillId="0" borderId="0">
      <alignment vertical="top"/>
    </xf>
    <xf numFmtId="0" fontId="61" fillId="0" borderId="0"/>
    <xf numFmtId="0" fontId="62" fillId="0" borderId="0"/>
    <xf numFmtId="0" fontId="61" fillId="0" borderId="0"/>
    <xf numFmtId="0" fontId="63" fillId="0" borderId="0" applyNumberFormat="0" applyFill="0" applyBorder="0" applyAlignment="0" applyProtection="0">
      <alignment vertical="top"/>
      <protection locked="0"/>
    </xf>
    <xf numFmtId="43" fontId="20" fillId="0" borderId="0" applyFont="0" applyFill="0" applyBorder="0" applyAlignment="0" applyProtection="0"/>
    <xf numFmtId="0" fontId="61" fillId="0" borderId="0"/>
    <xf numFmtId="229" fontId="31" fillId="0" borderId="0"/>
    <xf numFmtId="1" fontId="16" fillId="0" borderId="0"/>
    <xf numFmtId="9" fontId="16" fillId="0" borderId="0"/>
    <xf numFmtId="230" fontId="64" fillId="0" borderId="0">
      <alignment horizontal="center"/>
    </xf>
    <xf numFmtId="231" fontId="64" fillId="0" borderId="0">
      <alignment horizontal="center"/>
    </xf>
    <xf numFmtId="232" fontId="64" fillId="0" borderId="0">
      <alignment horizontal="center"/>
    </xf>
    <xf numFmtId="233" fontId="42" fillId="0" borderId="0">
      <alignment horizontal="center"/>
    </xf>
    <xf numFmtId="234" fontId="64" fillId="0" borderId="0">
      <alignment horizontal="center"/>
    </xf>
    <xf numFmtId="235" fontId="64" fillId="0" borderId="0">
      <alignment horizontal="center"/>
    </xf>
    <xf numFmtId="191" fontId="31" fillId="0" borderId="0"/>
    <xf numFmtId="236" fontId="65" fillId="0" borderId="0">
      <alignment horizontal="left"/>
      <protection locked="0"/>
    </xf>
    <xf numFmtId="165" fontId="31" fillId="0" borderId="0"/>
    <xf numFmtId="2" fontId="31" fillId="0" borderId="0"/>
    <xf numFmtId="10" fontId="31" fillId="0" borderId="0"/>
    <xf numFmtId="2" fontId="31" fillId="0" borderId="0"/>
    <xf numFmtId="1" fontId="66" fillId="0" borderId="0"/>
    <xf numFmtId="1" fontId="16" fillId="0" borderId="0"/>
    <xf numFmtId="229" fontId="31" fillId="0" borderId="0"/>
    <xf numFmtId="229" fontId="31" fillId="0" borderId="0"/>
    <xf numFmtId="1" fontId="31" fillId="0" borderId="0"/>
    <xf numFmtId="1" fontId="16" fillId="0" borderId="0"/>
    <xf numFmtId="1" fontId="31" fillId="0" borderId="0"/>
    <xf numFmtId="1" fontId="31" fillId="0" borderId="0"/>
    <xf numFmtId="1" fontId="16" fillId="0" borderId="0"/>
    <xf numFmtId="1" fontId="31" fillId="0" borderId="0"/>
    <xf numFmtId="1" fontId="31" fillId="0" borderId="0"/>
    <xf numFmtId="1" fontId="31" fillId="0" borderId="0"/>
    <xf numFmtId="1" fontId="31" fillId="0" borderId="0"/>
    <xf numFmtId="1" fontId="16" fillId="0" borderId="0"/>
    <xf numFmtId="1" fontId="31" fillId="0" borderId="0"/>
    <xf numFmtId="1" fontId="31" fillId="0" borderId="0"/>
    <xf numFmtId="1" fontId="16" fillId="0" borderId="0"/>
    <xf numFmtId="1" fontId="31" fillId="0" borderId="0"/>
    <xf numFmtId="1" fontId="16" fillId="0" borderId="0"/>
    <xf numFmtId="1" fontId="31" fillId="0" borderId="0"/>
    <xf numFmtId="1" fontId="31" fillId="0" borderId="0"/>
    <xf numFmtId="1" fontId="31" fillId="0" borderId="0"/>
    <xf numFmtId="1" fontId="16" fillId="0" borderId="0"/>
    <xf numFmtId="1" fontId="31" fillId="0" borderId="0"/>
    <xf numFmtId="1" fontId="31" fillId="0" borderId="0"/>
    <xf numFmtId="1" fontId="31" fillId="0" borderId="0"/>
    <xf numFmtId="1" fontId="31" fillId="0" borderId="0"/>
    <xf numFmtId="1" fontId="16" fillId="0" borderId="0"/>
    <xf numFmtId="1" fontId="31" fillId="0" borderId="0"/>
    <xf numFmtId="1" fontId="31" fillId="0" borderId="0"/>
    <xf numFmtId="1" fontId="16" fillId="0" borderId="0"/>
    <xf numFmtId="1" fontId="31" fillId="0" borderId="0"/>
    <xf numFmtId="1" fontId="16" fillId="0" borderId="0"/>
    <xf numFmtId="1" fontId="31" fillId="0" borderId="0"/>
    <xf numFmtId="1" fontId="31" fillId="0" borderId="0"/>
    <xf numFmtId="1" fontId="31" fillId="0" borderId="0"/>
    <xf numFmtId="1" fontId="16" fillId="0" borderId="0"/>
    <xf numFmtId="1" fontId="31" fillId="0" borderId="0"/>
    <xf numFmtId="1" fontId="31" fillId="0" borderId="0"/>
    <xf numFmtId="1" fontId="31" fillId="0" borderId="0"/>
    <xf numFmtId="1" fontId="31" fillId="0" borderId="0"/>
    <xf numFmtId="1" fontId="16" fillId="0" borderId="0"/>
    <xf numFmtId="1" fontId="31" fillId="0" borderId="0"/>
    <xf numFmtId="1" fontId="31" fillId="0" borderId="0"/>
    <xf numFmtId="1" fontId="16" fillId="0" borderId="0"/>
    <xf numFmtId="1" fontId="31" fillId="0" borderId="0"/>
    <xf numFmtId="1" fontId="16" fillId="0" borderId="0"/>
    <xf numFmtId="1" fontId="31" fillId="0" borderId="0"/>
    <xf numFmtId="1" fontId="31" fillId="0" borderId="0"/>
    <xf numFmtId="1" fontId="16" fillId="0" borderId="0"/>
    <xf numFmtId="1" fontId="31" fillId="0" borderId="0"/>
    <xf numFmtId="1" fontId="31" fillId="0" borderId="0"/>
    <xf numFmtId="1" fontId="16" fillId="0" borderId="0"/>
    <xf numFmtId="1" fontId="31" fillId="0" borderId="0"/>
    <xf numFmtId="1" fontId="31" fillId="0" borderId="0"/>
    <xf numFmtId="1" fontId="31" fillId="0" borderId="0"/>
    <xf numFmtId="1" fontId="31" fillId="0" borderId="0"/>
    <xf numFmtId="1" fontId="16" fillId="0" borderId="0"/>
    <xf numFmtId="1" fontId="31" fillId="0" borderId="0"/>
    <xf numFmtId="1" fontId="31" fillId="0" borderId="0"/>
    <xf numFmtId="1" fontId="16" fillId="0" borderId="0"/>
    <xf numFmtId="1" fontId="31" fillId="0" borderId="0"/>
    <xf numFmtId="1" fontId="16" fillId="0" borderId="0"/>
    <xf numFmtId="1" fontId="31" fillId="0" borderId="0"/>
    <xf numFmtId="1" fontId="31" fillId="0" borderId="0"/>
    <xf numFmtId="1" fontId="31" fillId="0" borderId="0"/>
    <xf numFmtId="1" fontId="16" fillId="0" borderId="0"/>
    <xf numFmtId="1" fontId="31" fillId="0" borderId="0"/>
    <xf numFmtId="1" fontId="31" fillId="0" borderId="0"/>
    <xf numFmtId="1" fontId="31" fillId="0" borderId="0"/>
    <xf numFmtId="1" fontId="31" fillId="0" borderId="0"/>
    <xf numFmtId="1" fontId="16" fillId="0" borderId="0"/>
    <xf numFmtId="1" fontId="31" fillId="0" borderId="0"/>
    <xf numFmtId="1" fontId="31" fillId="0" borderId="0"/>
    <xf numFmtId="1" fontId="16" fillId="0" borderId="0"/>
    <xf numFmtId="1" fontId="31" fillId="0" borderId="0"/>
    <xf numFmtId="1" fontId="16" fillId="0" borderId="0"/>
    <xf numFmtId="1" fontId="31" fillId="0" borderId="0"/>
    <xf numFmtId="1" fontId="31" fillId="0" borderId="0"/>
    <xf numFmtId="1" fontId="31" fillId="0" borderId="0"/>
    <xf numFmtId="1" fontId="16" fillId="0" borderId="0"/>
    <xf numFmtId="1" fontId="31" fillId="0" borderId="0"/>
    <xf numFmtId="1" fontId="31" fillId="0" borderId="0"/>
    <xf numFmtId="1" fontId="31" fillId="0" borderId="0"/>
    <xf numFmtId="1" fontId="31" fillId="0" borderId="0"/>
    <xf numFmtId="1" fontId="16" fillId="0" borderId="0"/>
    <xf numFmtId="1" fontId="31" fillId="0" borderId="0"/>
    <xf numFmtId="1" fontId="31" fillId="0" borderId="0"/>
    <xf numFmtId="1" fontId="16" fillId="0" borderId="0"/>
    <xf numFmtId="1" fontId="31" fillId="0" borderId="0"/>
    <xf numFmtId="1" fontId="16" fillId="0" borderId="0"/>
    <xf numFmtId="1" fontId="31" fillId="0" borderId="0"/>
    <xf numFmtId="237" fontId="64" fillId="0" borderId="0">
      <alignment horizontal="center"/>
    </xf>
    <xf numFmtId="238" fontId="64" fillId="0" borderId="0">
      <alignment horizontal="center"/>
    </xf>
    <xf numFmtId="230" fontId="64" fillId="0" borderId="0">
      <alignment horizontal="center"/>
    </xf>
    <xf numFmtId="239" fontId="42" fillId="0" borderId="0">
      <alignment horizontal="center"/>
    </xf>
    <xf numFmtId="240" fontId="67" fillId="0" borderId="0">
      <alignment horizontal="left"/>
    </xf>
    <xf numFmtId="241" fontId="68" fillId="0" borderId="0">
      <alignment horizontal="left"/>
    </xf>
    <xf numFmtId="192" fontId="16" fillId="0" borderId="0"/>
    <xf numFmtId="242" fontId="16" fillId="0" borderId="0" applyFont="0" applyFill="0" applyBorder="0" applyAlignment="0" applyProtection="0"/>
    <xf numFmtId="191" fontId="25" fillId="0" borderId="0"/>
    <xf numFmtId="191" fontId="25" fillId="0" borderId="0"/>
    <xf numFmtId="191" fontId="16" fillId="0" borderId="0"/>
    <xf numFmtId="191" fontId="25" fillId="0" borderId="0"/>
    <xf numFmtId="191" fontId="25" fillId="0" borderId="0"/>
    <xf numFmtId="191" fontId="25" fillId="0" borderId="0"/>
    <xf numFmtId="243" fontId="16" fillId="0" borderId="0" applyFont="0" applyFill="0" applyBorder="0" applyAlignment="0" applyProtection="0"/>
    <xf numFmtId="180" fontId="16" fillId="0" borderId="0" applyFont="0" applyFill="0" applyBorder="0" applyAlignment="0" applyProtection="0"/>
    <xf numFmtId="244" fontId="15" fillId="0" borderId="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5"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17"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1"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11" fillId="25" borderId="0" applyNumberFormat="0" applyBorder="0" applyAlignment="0" applyProtection="0"/>
    <xf numFmtId="0" fontId="69" fillId="37" borderId="0" applyNumberFormat="0" applyBorder="0" applyAlignment="0" applyProtection="0"/>
    <xf numFmtId="0" fontId="69" fillId="38" borderId="0" applyNumberFormat="0" applyBorder="0" applyAlignment="0" applyProtection="0"/>
    <xf numFmtId="0" fontId="69" fillId="39" borderId="0" applyNumberFormat="0" applyBorder="0" applyAlignment="0" applyProtection="0"/>
    <xf numFmtId="0" fontId="69" fillId="40" borderId="0" applyNumberFormat="0" applyBorder="0" applyAlignment="0" applyProtection="0"/>
    <xf numFmtId="0" fontId="69" fillId="41" borderId="0" applyNumberFormat="0" applyBorder="0" applyAlignment="0" applyProtection="0"/>
    <xf numFmtId="0" fontId="69" fillId="42" borderId="0" applyNumberFormat="0" applyBorder="0" applyAlignment="0" applyProtection="0"/>
    <xf numFmtId="0" fontId="70" fillId="43" borderId="0" applyNumberFormat="0" applyBorder="0" applyAlignment="0" applyProtection="0"/>
    <xf numFmtId="0" fontId="70" fillId="42" borderId="0" applyNumberFormat="0" applyBorder="0" applyAlignment="0" applyProtection="0"/>
    <xf numFmtId="0" fontId="70" fillId="44" borderId="0" applyNumberFormat="0" applyBorder="0" applyAlignment="0" applyProtection="0"/>
    <xf numFmtId="0" fontId="70" fillId="43" borderId="0" applyNumberFormat="0" applyBorder="0" applyAlignment="0" applyProtection="0"/>
    <xf numFmtId="0" fontId="70" fillId="41" borderId="0" applyNumberFormat="0" applyBorder="0" applyAlignment="0" applyProtection="0"/>
    <xf numFmtId="0" fontId="70" fillId="42" borderId="0" applyNumberFormat="0" applyBorder="0" applyAlignment="0" applyProtection="0"/>
    <xf numFmtId="0" fontId="71" fillId="37" borderId="0" applyNumberFormat="0" applyBorder="0" applyAlignment="0" applyProtection="0"/>
    <xf numFmtId="0" fontId="16" fillId="0" borderId="0" applyNumberFormat="0" applyBorder="0" applyAlignment="0" applyProtection="0"/>
    <xf numFmtId="0" fontId="71" fillId="38" borderId="0" applyNumberFormat="0" applyBorder="0" applyAlignment="0" applyProtection="0"/>
    <xf numFmtId="0" fontId="16" fillId="0" borderId="0" applyNumberFormat="0" applyBorder="0" applyAlignment="0" applyProtection="0"/>
    <xf numFmtId="0" fontId="71" fillId="39" borderId="0" applyNumberFormat="0" applyBorder="0" applyAlignment="0" applyProtection="0"/>
    <xf numFmtId="0" fontId="16" fillId="0" borderId="0" applyNumberFormat="0" applyBorder="0" applyAlignment="0" applyProtection="0"/>
    <xf numFmtId="0" fontId="71" fillId="40" borderId="0" applyNumberFormat="0" applyBorder="0" applyAlignment="0" applyProtection="0"/>
    <xf numFmtId="0" fontId="16" fillId="0" borderId="0" applyNumberFormat="0" applyBorder="0" applyAlignment="0" applyProtection="0"/>
    <xf numFmtId="0" fontId="71" fillId="41" borderId="0" applyNumberFormat="0" applyBorder="0" applyAlignment="0" applyProtection="0"/>
    <xf numFmtId="0" fontId="16" fillId="0" borderId="0" applyNumberFormat="0" applyBorder="0" applyAlignment="0" applyProtection="0"/>
    <xf numFmtId="0" fontId="71" fillId="42" borderId="0" applyNumberFormat="0" applyBorder="0" applyAlignment="0" applyProtection="0"/>
    <xf numFmtId="0" fontId="16" fillId="0" borderId="0" applyNumberFormat="0" applyBorder="0" applyAlignment="0" applyProtection="0"/>
    <xf numFmtId="245" fontId="25" fillId="0" borderId="0"/>
    <xf numFmtId="245" fontId="25" fillId="0" borderId="0"/>
    <xf numFmtId="245" fontId="16" fillId="0" borderId="0"/>
    <xf numFmtId="245" fontId="25" fillId="0" borderId="0"/>
    <xf numFmtId="245" fontId="25" fillId="0" borderId="0"/>
    <xf numFmtId="245" fontId="25" fillId="0" borderId="0"/>
    <xf numFmtId="40" fontId="25" fillId="0" borderId="0"/>
    <xf numFmtId="40" fontId="25" fillId="0" borderId="0"/>
    <xf numFmtId="40" fontId="16" fillId="0" borderId="0"/>
    <xf numFmtId="40" fontId="25" fillId="0" borderId="0"/>
    <xf numFmtId="40" fontId="25" fillId="0" borderId="0"/>
    <xf numFmtId="40" fontId="25" fillId="0" borderId="0"/>
    <xf numFmtId="246" fontId="15" fillId="0" borderId="0" applyBorder="0"/>
    <xf numFmtId="42" fontId="16" fillId="0" borderId="0" applyFont="0" applyFill="0" applyBorder="0" applyAlignment="0" applyProtection="0"/>
    <xf numFmtId="44" fontId="16" fillId="0" borderId="0" applyFont="0" applyFill="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1" fillId="18"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1" fillId="22"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1" fillId="26"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1" fillId="45" borderId="0" applyNumberFormat="0" applyBorder="0" applyAlignment="0" applyProtection="0"/>
    <xf numFmtId="0" fontId="16" fillId="0" borderId="0" applyNumberFormat="0" applyBorder="0" applyAlignment="0" applyProtection="0"/>
    <xf numFmtId="0" fontId="71" fillId="46" borderId="0" applyNumberFormat="0" applyBorder="0" applyAlignment="0" applyProtection="0"/>
    <xf numFmtId="0" fontId="16" fillId="0" borderId="0" applyNumberFormat="0" applyBorder="0" applyAlignment="0" applyProtection="0"/>
    <xf numFmtId="0" fontId="71" fillId="47" borderId="0" applyNumberFormat="0" applyBorder="0" applyAlignment="0" applyProtection="0"/>
    <xf numFmtId="0" fontId="16" fillId="0" borderId="0" applyNumberFormat="0" applyBorder="0" applyAlignment="0" applyProtection="0"/>
    <xf numFmtId="0" fontId="71" fillId="40" borderId="0" applyNumberFormat="0" applyBorder="0" applyAlignment="0" applyProtection="0"/>
    <xf numFmtId="0" fontId="16" fillId="0" borderId="0" applyNumberFormat="0" applyBorder="0" applyAlignment="0" applyProtection="0"/>
    <xf numFmtId="0" fontId="71" fillId="45" borderId="0" applyNumberFormat="0" applyBorder="0" applyAlignment="0" applyProtection="0"/>
    <xf numFmtId="0" fontId="16" fillId="0" borderId="0" applyNumberFormat="0" applyBorder="0" applyAlignment="0" applyProtection="0"/>
    <xf numFmtId="0" fontId="71" fillId="48" borderId="0" applyNumberFormat="0" applyBorder="0" applyAlignment="0" applyProtection="0"/>
    <xf numFmtId="0" fontId="16" fillId="0" borderId="0" applyNumberFormat="0" applyBorder="0" applyAlignment="0" applyProtection="0"/>
    <xf numFmtId="0" fontId="16" fillId="0" borderId="0"/>
    <xf numFmtId="0" fontId="16" fillId="0" borderId="0"/>
    <xf numFmtId="0" fontId="16" fillId="0" borderId="0"/>
    <xf numFmtId="0" fontId="16" fillId="0" borderId="0"/>
    <xf numFmtId="0" fontId="72" fillId="7" borderId="0" applyNumberFormat="0" applyBorder="0" applyAlignment="0" applyProtection="0"/>
    <xf numFmtId="0" fontId="72" fillId="7" borderId="0" applyNumberFormat="0" applyBorder="0" applyAlignment="0" applyProtection="0"/>
    <xf numFmtId="0" fontId="72" fillId="7" borderId="0" applyNumberFormat="0" applyBorder="0" applyAlignment="0" applyProtection="0"/>
    <xf numFmtId="0" fontId="72" fillId="7" borderId="0" applyNumberFormat="0" applyBorder="0" applyAlignment="0" applyProtection="0"/>
    <xf numFmtId="0" fontId="72" fillId="7" borderId="0" applyNumberFormat="0" applyBorder="0" applyAlignment="0" applyProtection="0"/>
    <xf numFmtId="0" fontId="72" fillId="7" borderId="0" applyNumberFormat="0" applyBorder="0" applyAlignment="0" applyProtection="0"/>
    <xf numFmtId="0" fontId="16" fillId="0" borderId="0"/>
    <xf numFmtId="0" fontId="73" fillId="49" borderId="0" applyNumberFormat="0" applyBorder="0" applyAlignment="0" applyProtection="0"/>
    <xf numFmtId="0" fontId="73" fillId="49" borderId="0" applyNumberFormat="0" applyBorder="0" applyAlignment="0" applyProtection="0"/>
    <xf numFmtId="0" fontId="73" fillId="49" borderId="0" applyNumberFormat="0" applyBorder="0" applyAlignment="0" applyProtection="0"/>
    <xf numFmtId="0" fontId="73" fillId="49" borderId="0" applyNumberFormat="0" applyBorder="0" applyAlignment="0" applyProtection="0"/>
    <xf numFmtId="247" fontId="73" fillId="49" borderId="0" applyNumberFormat="0" applyBorder="0" applyAlignment="0" applyProtection="0"/>
    <xf numFmtId="0" fontId="73" fillId="49" borderId="0" applyNumberFormat="0" applyBorder="0" applyAlignment="0" applyProtection="0"/>
    <xf numFmtId="0" fontId="73" fillId="49" borderId="0" applyNumberFormat="0" applyBorder="0" applyAlignment="0" applyProtection="0"/>
    <xf numFmtId="0" fontId="73" fillId="49" borderId="0" applyNumberFormat="0" applyBorder="0" applyAlignment="0" applyProtection="0"/>
    <xf numFmtId="247" fontId="73" fillId="49" borderId="0" applyNumberFormat="0" applyBorder="0" applyAlignment="0" applyProtection="0"/>
    <xf numFmtId="0" fontId="73" fillId="49" borderId="0" applyNumberFormat="0" applyBorder="0" applyAlignment="0" applyProtection="0"/>
    <xf numFmtId="0" fontId="73" fillId="49" borderId="0" applyNumberFormat="0" applyBorder="0" applyAlignment="0" applyProtection="0"/>
    <xf numFmtId="0" fontId="16" fillId="0" borderId="0"/>
    <xf numFmtId="247" fontId="73" fillId="49" borderId="0" applyNumberFormat="0" applyBorder="0" applyAlignment="0" applyProtection="0"/>
    <xf numFmtId="0" fontId="73" fillId="49" borderId="0" applyNumberFormat="0" applyBorder="0" applyAlignment="0" applyProtection="0"/>
    <xf numFmtId="0" fontId="73" fillId="49" borderId="0" applyNumberFormat="0" applyBorder="0" applyAlignment="0" applyProtection="0"/>
    <xf numFmtId="0" fontId="73" fillId="49" borderId="0" applyNumberFormat="0" applyBorder="0" applyAlignment="0" applyProtection="0"/>
    <xf numFmtId="247" fontId="73" fillId="49" borderId="0" applyNumberFormat="0" applyBorder="0" applyAlignment="0" applyProtection="0"/>
    <xf numFmtId="0" fontId="73" fillId="49" borderId="0" applyNumberFormat="0" applyBorder="0" applyAlignment="0" applyProtection="0"/>
    <xf numFmtId="0" fontId="16" fillId="0" borderId="0"/>
    <xf numFmtId="247" fontId="73" fillId="49" borderId="0" applyNumberFormat="0" applyBorder="0" applyAlignment="0" applyProtection="0"/>
    <xf numFmtId="0" fontId="72" fillId="7" borderId="0" applyNumberFormat="0" applyBorder="0" applyAlignment="0" applyProtection="0"/>
    <xf numFmtId="0" fontId="72" fillId="7" borderId="0" applyNumberFormat="0" applyBorder="0" applyAlignment="0" applyProtection="0"/>
    <xf numFmtId="0" fontId="72" fillId="7" borderId="0" applyNumberFormat="0" applyBorder="0" applyAlignment="0" applyProtection="0"/>
    <xf numFmtId="247" fontId="73" fillId="49" borderId="0" applyNumberFormat="0" applyBorder="0" applyAlignment="0" applyProtection="0"/>
    <xf numFmtId="0" fontId="72" fillId="7" borderId="0" applyNumberFormat="0" applyBorder="0" applyAlignment="0" applyProtection="0"/>
    <xf numFmtId="0" fontId="16" fillId="0" borderId="0"/>
    <xf numFmtId="247" fontId="73" fillId="49" borderId="0" applyNumberFormat="0" applyBorder="0" applyAlignment="0" applyProtection="0"/>
    <xf numFmtId="0" fontId="72" fillId="7" borderId="0" applyNumberFormat="0" applyBorder="0" applyAlignment="0" applyProtection="0"/>
    <xf numFmtId="0" fontId="72" fillId="7" borderId="0" applyNumberFormat="0" applyBorder="0" applyAlignment="0" applyProtection="0"/>
    <xf numFmtId="0" fontId="72" fillId="7" borderId="0" applyNumberFormat="0" applyBorder="0" applyAlignment="0" applyProtection="0"/>
    <xf numFmtId="247" fontId="73" fillId="49" borderId="0" applyNumberFormat="0" applyBorder="0" applyAlignment="0" applyProtection="0"/>
    <xf numFmtId="0" fontId="72" fillId="7" borderId="0" applyNumberFormat="0" applyBorder="0" applyAlignment="0" applyProtection="0"/>
    <xf numFmtId="0" fontId="16" fillId="0" borderId="0"/>
    <xf numFmtId="0" fontId="73" fillId="49" borderId="0" applyNumberFormat="0" applyBorder="0" applyAlignment="0" applyProtection="0"/>
    <xf numFmtId="0" fontId="73" fillId="49"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2" fillId="11" borderId="0" applyNumberFormat="0" applyBorder="0" applyAlignment="0" applyProtection="0"/>
    <xf numFmtId="0" fontId="72" fillId="11" borderId="0" applyNumberFormat="0" applyBorder="0" applyAlignment="0" applyProtection="0"/>
    <xf numFmtId="0" fontId="72" fillId="11" borderId="0" applyNumberFormat="0" applyBorder="0" applyAlignment="0" applyProtection="0"/>
    <xf numFmtId="0" fontId="72" fillId="11" borderId="0" applyNumberFormat="0" applyBorder="0" applyAlignment="0" applyProtection="0"/>
    <xf numFmtId="0" fontId="72" fillId="11" borderId="0" applyNumberFormat="0" applyBorder="0" applyAlignment="0" applyProtection="0"/>
    <xf numFmtId="0" fontId="72" fillId="11" borderId="0" applyNumberFormat="0" applyBorder="0" applyAlignment="0" applyProtection="0"/>
    <xf numFmtId="0" fontId="16" fillId="0" borderId="0"/>
    <xf numFmtId="0" fontId="73" fillId="46" borderId="0" applyNumberFormat="0" applyBorder="0" applyAlignment="0" applyProtection="0"/>
    <xf numFmtId="0" fontId="73" fillId="46" borderId="0" applyNumberFormat="0" applyBorder="0" applyAlignment="0" applyProtection="0"/>
    <xf numFmtId="0" fontId="73" fillId="46" borderId="0" applyNumberFormat="0" applyBorder="0" applyAlignment="0" applyProtection="0"/>
    <xf numFmtId="0" fontId="73" fillId="46" borderId="0" applyNumberFormat="0" applyBorder="0" applyAlignment="0" applyProtection="0"/>
    <xf numFmtId="247" fontId="73" fillId="46" borderId="0" applyNumberFormat="0" applyBorder="0" applyAlignment="0" applyProtection="0"/>
    <xf numFmtId="0" fontId="73" fillId="46" borderId="0" applyNumberFormat="0" applyBorder="0" applyAlignment="0" applyProtection="0"/>
    <xf numFmtId="0" fontId="73" fillId="46" borderId="0" applyNumberFormat="0" applyBorder="0" applyAlignment="0" applyProtection="0"/>
    <xf numFmtId="0" fontId="73" fillId="46" borderId="0" applyNumberFormat="0" applyBorder="0" applyAlignment="0" applyProtection="0"/>
    <xf numFmtId="247" fontId="73" fillId="46" borderId="0" applyNumberFormat="0" applyBorder="0" applyAlignment="0" applyProtection="0"/>
    <xf numFmtId="0" fontId="73" fillId="46" borderId="0" applyNumberFormat="0" applyBorder="0" applyAlignment="0" applyProtection="0"/>
    <xf numFmtId="0" fontId="73" fillId="46" borderId="0" applyNumberFormat="0" applyBorder="0" applyAlignment="0" applyProtection="0"/>
    <xf numFmtId="0" fontId="16" fillId="0" borderId="0"/>
    <xf numFmtId="247" fontId="73" fillId="46" borderId="0" applyNumberFormat="0" applyBorder="0" applyAlignment="0" applyProtection="0"/>
    <xf numFmtId="0" fontId="73" fillId="46" borderId="0" applyNumberFormat="0" applyBorder="0" applyAlignment="0" applyProtection="0"/>
    <xf numFmtId="0" fontId="73" fillId="46" borderId="0" applyNumberFormat="0" applyBorder="0" applyAlignment="0" applyProtection="0"/>
    <xf numFmtId="0" fontId="73" fillId="46" borderId="0" applyNumberFormat="0" applyBorder="0" applyAlignment="0" applyProtection="0"/>
    <xf numFmtId="247" fontId="73" fillId="46" borderId="0" applyNumberFormat="0" applyBorder="0" applyAlignment="0" applyProtection="0"/>
    <xf numFmtId="0" fontId="73" fillId="46" borderId="0" applyNumberFormat="0" applyBorder="0" applyAlignment="0" applyProtection="0"/>
    <xf numFmtId="0" fontId="16" fillId="0" borderId="0"/>
    <xf numFmtId="247" fontId="73" fillId="46" borderId="0" applyNumberFormat="0" applyBorder="0" applyAlignment="0" applyProtection="0"/>
    <xf numFmtId="0" fontId="72" fillId="11" borderId="0" applyNumberFormat="0" applyBorder="0" applyAlignment="0" applyProtection="0"/>
    <xf numFmtId="0" fontId="72" fillId="11" borderId="0" applyNumberFormat="0" applyBorder="0" applyAlignment="0" applyProtection="0"/>
    <xf numFmtId="0" fontId="72" fillId="11" borderId="0" applyNumberFormat="0" applyBorder="0" applyAlignment="0" applyProtection="0"/>
    <xf numFmtId="247" fontId="73" fillId="46" borderId="0" applyNumberFormat="0" applyBorder="0" applyAlignment="0" applyProtection="0"/>
    <xf numFmtId="0" fontId="72" fillId="11" borderId="0" applyNumberFormat="0" applyBorder="0" applyAlignment="0" applyProtection="0"/>
    <xf numFmtId="0" fontId="16" fillId="0" borderId="0"/>
    <xf numFmtId="247" fontId="73" fillId="46" borderId="0" applyNumberFormat="0" applyBorder="0" applyAlignment="0" applyProtection="0"/>
    <xf numFmtId="0" fontId="72" fillId="11" borderId="0" applyNumberFormat="0" applyBorder="0" applyAlignment="0" applyProtection="0"/>
    <xf numFmtId="0" fontId="72" fillId="11" borderId="0" applyNumberFormat="0" applyBorder="0" applyAlignment="0" applyProtection="0"/>
    <xf numFmtId="0" fontId="72" fillId="11" borderId="0" applyNumberFormat="0" applyBorder="0" applyAlignment="0" applyProtection="0"/>
    <xf numFmtId="247" fontId="73" fillId="46" borderId="0" applyNumberFormat="0" applyBorder="0" applyAlignment="0" applyProtection="0"/>
    <xf numFmtId="0" fontId="72" fillId="11" borderId="0" applyNumberFormat="0" applyBorder="0" applyAlignment="0" applyProtection="0"/>
    <xf numFmtId="0" fontId="16" fillId="0" borderId="0"/>
    <xf numFmtId="0" fontId="73" fillId="46" borderId="0" applyNumberFormat="0" applyBorder="0" applyAlignment="0" applyProtection="0"/>
    <xf numFmtId="0" fontId="73" fillId="46"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2" fillId="15" borderId="0" applyNumberFormat="0" applyBorder="0" applyAlignment="0" applyProtection="0"/>
    <xf numFmtId="0" fontId="72" fillId="15" borderId="0" applyNumberFormat="0" applyBorder="0" applyAlignment="0" applyProtection="0"/>
    <xf numFmtId="0" fontId="72" fillId="15" borderId="0" applyNumberFormat="0" applyBorder="0" applyAlignment="0" applyProtection="0"/>
    <xf numFmtId="0" fontId="72" fillId="15" borderId="0" applyNumberFormat="0" applyBorder="0" applyAlignment="0" applyProtection="0"/>
    <xf numFmtId="0" fontId="72" fillId="15" borderId="0" applyNumberFormat="0" applyBorder="0" applyAlignment="0" applyProtection="0"/>
    <xf numFmtId="0" fontId="72" fillId="15" borderId="0" applyNumberFormat="0" applyBorder="0" applyAlignment="0" applyProtection="0"/>
    <xf numFmtId="0" fontId="16" fillId="0" borderId="0"/>
    <xf numFmtId="0" fontId="73" fillId="47" borderId="0" applyNumberFormat="0" applyBorder="0" applyAlignment="0" applyProtection="0"/>
    <xf numFmtId="0" fontId="73" fillId="47" borderId="0" applyNumberFormat="0" applyBorder="0" applyAlignment="0" applyProtection="0"/>
    <xf numFmtId="0" fontId="73" fillId="47" borderId="0" applyNumberFormat="0" applyBorder="0" applyAlignment="0" applyProtection="0"/>
    <xf numFmtId="0" fontId="73" fillId="47" borderId="0" applyNumberFormat="0" applyBorder="0" applyAlignment="0" applyProtection="0"/>
    <xf numFmtId="247" fontId="73" fillId="47" borderId="0" applyNumberFormat="0" applyBorder="0" applyAlignment="0" applyProtection="0"/>
    <xf numFmtId="0" fontId="73" fillId="47" borderId="0" applyNumberFormat="0" applyBorder="0" applyAlignment="0" applyProtection="0"/>
    <xf numFmtId="0" fontId="73" fillId="47" borderId="0" applyNumberFormat="0" applyBorder="0" applyAlignment="0" applyProtection="0"/>
    <xf numFmtId="0" fontId="73" fillId="47" borderId="0" applyNumberFormat="0" applyBorder="0" applyAlignment="0" applyProtection="0"/>
    <xf numFmtId="247" fontId="73" fillId="47" borderId="0" applyNumberFormat="0" applyBorder="0" applyAlignment="0" applyProtection="0"/>
    <xf numFmtId="0" fontId="73" fillId="47" borderId="0" applyNumberFormat="0" applyBorder="0" applyAlignment="0" applyProtection="0"/>
    <xf numFmtId="0" fontId="73" fillId="47" borderId="0" applyNumberFormat="0" applyBorder="0" applyAlignment="0" applyProtection="0"/>
    <xf numFmtId="0" fontId="16" fillId="0" borderId="0"/>
    <xf numFmtId="247" fontId="73" fillId="47" borderId="0" applyNumberFormat="0" applyBorder="0" applyAlignment="0" applyProtection="0"/>
    <xf numFmtId="0" fontId="73" fillId="47" borderId="0" applyNumberFormat="0" applyBorder="0" applyAlignment="0" applyProtection="0"/>
    <xf numFmtId="0" fontId="73" fillId="47" borderId="0" applyNumberFormat="0" applyBorder="0" applyAlignment="0" applyProtection="0"/>
    <xf numFmtId="0" fontId="73" fillId="47" borderId="0" applyNumberFormat="0" applyBorder="0" applyAlignment="0" applyProtection="0"/>
    <xf numFmtId="247" fontId="73" fillId="47" borderId="0" applyNumberFormat="0" applyBorder="0" applyAlignment="0" applyProtection="0"/>
    <xf numFmtId="0" fontId="73" fillId="47" borderId="0" applyNumberFormat="0" applyBorder="0" applyAlignment="0" applyProtection="0"/>
    <xf numFmtId="0" fontId="16" fillId="0" borderId="0"/>
    <xf numFmtId="247" fontId="73" fillId="47" borderId="0" applyNumberFormat="0" applyBorder="0" applyAlignment="0" applyProtection="0"/>
    <xf numFmtId="0" fontId="72" fillId="15" borderId="0" applyNumberFormat="0" applyBorder="0" applyAlignment="0" applyProtection="0"/>
    <xf numFmtId="0" fontId="72" fillId="15" borderId="0" applyNumberFormat="0" applyBorder="0" applyAlignment="0" applyProtection="0"/>
    <xf numFmtId="0" fontId="72" fillId="15" borderId="0" applyNumberFormat="0" applyBorder="0" applyAlignment="0" applyProtection="0"/>
    <xf numFmtId="247" fontId="73" fillId="47" borderId="0" applyNumberFormat="0" applyBorder="0" applyAlignment="0" applyProtection="0"/>
    <xf numFmtId="0" fontId="72" fillId="15" borderId="0" applyNumberFormat="0" applyBorder="0" applyAlignment="0" applyProtection="0"/>
    <xf numFmtId="0" fontId="16" fillId="0" borderId="0"/>
    <xf numFmtId="247" fontId="73" fillId="47" borderId="0" applyNumberFormat="0" applyBorder="0" applyAlignment="0" applyProtection="0"/>
    <xf numFmtId="0" fontId="72" fillId="15" borderId="0" applyNumberFormat="0" applyBorder="0" applyAlignment="0" applyProtection="0"/>
    <xf numFmtId="0" fontId="72" fillId="15" borderId="0" applyNumberFormat="0" applyBorder="0" applyAlignment="0" applyProtection="0"/>
    <xf numFmtId="0" fontId="72" fillId="15" borderId="0" applyNumberFormat="0" applyBorder="0" applyAlignment="0" applyProtection="0"/>
    <xf numFmtId="247" fontId="73" fillId="47" borderId="0" applyNumberFormat="0" applyBorder="0" applyAlignment="0" applyProtection="0"/>
    <xf numFmtId="0" fontId="72" fillId="15" borderId="0" applyNumberFormat="0" applyBorder="0" applyAlignment="0" applyProtection="0"/>
    <xf numFmtId="0" fontId="16" fillId="0" borderId="0"/>
    <xf numFmtId="0" fontId="73" fillId="47" borderId="0" applyNumberFormat="0" applyBorder="0" applyAlignment="0" applyProtection="0"/>
    <xf numFmtId="0" fontId="73" fillId="47"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2" fillId="19" borderId="0" applyNumberFormat="0" applyBorder="0" applyAlignment="0" applyProtection="0"/>
    <xf numFmtId="0" fontId="72" fillId="19" borderId="0" applyNumberFormat="0" applyBorder="0" applyAlignment="0" applyProtection="0"/>
    <xf numFmtId="0" fontId="72" fillId="19" borderId="0" applyNumberFormat="0" applyBorder="0" applyAlignment="0" applyProtection="0"/>
    <xf numFmtId="0" fontId="72" fillId="19" borderId="0" applyNumberFormat="0" applyBorder="0" applyAlignment="0" applyProtection="0"/>
    <xf numFmtId="0" fontId="72" fillId="19" borderId="0" applyNumberFormat="0" applyBorder="0" applyAlignment="0" applyProtection="0"/>
    <xf numFmtId="0" fontId="72" fillId="19" borderId="0" applyNumberFormat="0" applyBorder="0" applyAlignment="0" applyProtection="0"/>
    <xf numFmtId="0" fontId="16" fillId="0" borderId="0"/>
    <xf numFmtId="0"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247"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247"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0" fontId="16" fillId="0" borderId="0"/>
    <xf numFmtId="247"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247" fontId="73" fillId="50" borderId="0" applyNumberFormat="0" applyBorder="0" applyAlignment="0" applyProtection="0"/>
    <xf numFmtId="0" fontId="73" fillId="50" borderId="0" applyNumberFormat="0" applyBorder="0" applyAlignment="0" applyProtection="0"/>
    <xf numFmtId="0" fontId="16" fillId="0" borderId="0"/>
    <xf numFmtId="247" fontId="73" fillId="50" borderId="0" applyNumberFormat="0" applyBorder="0" applyAlignment="0" applyProtection="0"/>
    <xf numFmtId="0" fontId="72" fillId="19" borderId="0" applyNumberFormat="0" applyBorder="0" applyAlignment="0" applyProtection="0"/>
    <xf numFmtId="0" fontId="72" fillId="19" borderId="0" applyNumberFormat="0" applyBorder="0" applyAlignment="0" applyProtection="0"/>
    <xf numFmtId="0" fontId="72" fillId="19" borderId="0" applyNumberFormat="0" applyBorder="0" applyAlignment="0" applyProtection="0"/>
    <xf numFmtId="247" fontId="73" fillId="50" borderId="0" applyNumberFormat="0" applyBorder="0" applyAlignment="0" applyProtection="0"/>
    <xf numFmtId="0" fontId="72" fillId="19" borderId="0" applyNumberFormat="0" applyBorder="0" applyAlignment="0" applyProtection="0"/>
    <xf numFmtId="0" fontId="16" fillId="0" borderId="0"/>
    <xf numFmtId="247" fontId="73" fillId="50" borderId="0" applyNumberFormat="0" applyBorder="0" applyAlignment="0" applyProtection="0"/>
    <xf numFmtId="0" fontId="72" fillId="19" borderId="0" applyNumberFormat="0" applyBorder="0" applyAlignment="0" applyProtection="0"/>
    <xf numFmtId="0" fontId="72" fillId="19" borderId="0" applyNumberFormat="0" applyBorder="0" applyAlignment="0" applyProtection="0"/>
    <xf numFmtId="0" fontId="72" fillId="19" borderId="0" applyNumberFormat="0" applyBorder="0" applyAlignment="0" applyProtection="0"/>
    <xf numFmtId="247" fontId="73" fillId="50" borderId="0" applyNumberFormat="0" applyBorder="0" applyAlignment="0" applyProtection="0"/>
    <xf numFmtId="0" fontId="72" fillId="19" borderId="0" applyNumberFormat="0" applyBorder="0" applyAlignment="0" applyProtection="0"/>
    <xf numFmtId="0" fontId="16" fillId="0" borderId="0"/>
    <xf numFmtId="0" fontId="73" fillId="50" borderId="0" applyNumberFormat="0" applyBorder="0" applyAlignment="0" applyProtection="0"/>
    <xf numFmtId="0" fontId="73" fillId="50"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2" fillId="23" borderId="0" applyNumberFormat="0" applyBorder="0" applyAlignment="0" applyProtection="0"/>
    <xf numFmtId="0" fontId="72" fillId="23" borderId="0" applyNumberFormat="0" applyBorder="0" applyAlignment="0" applyProtection="0"/>
    <xf numFmtId="0" fontId="72" fillId="23" borderId="0" applyNumberFormat="0" applyBorder="0" applyAlignment="0" applyProtection="0"/>
    <xf numFmtId="0" fontId="72" fillId="23" borderId="0" applyNumberFormat="0" applyBorder="0" applyAlignment="0" applyProtection="0"/>
    <xf numFmtId="0" fontId="72" fillId="23" borderId="0" applyNumberFormat="0" applyBorder="0" applyAlignment="0" applyProtection="0"/>
    <xf numFmtId="0" fontId="72" fillId="23" borderId="0" applyNumberFormat="0" applyBorder="0" applyAlignment="0" applyProtection="0"/>
    <xf numFmtId="0" fontId="16" fillId="0" borderId="0"/>
    <xf numFmtId="0" fontId="73" fillId="51" borderId="0" applyNumberFormat="0" applyBorder="0" applyAlignment="0" applyProtection="0"/>
    <xf numFmtId="0" fontId="73" fillId="51" borderId="0" applyNumberFormat="0" applyBorder="0" applyAlignment="0" applyProtection="0"/>
    <xf numFmtId="0" fontId="73" fillId="51" borderId="0" applyNumberFormat="0" applyBorder="0" applyAlignment="0" applyProtection="0"/>
    <xf numFmtId="0" fontId="73" fillId="51" borderId="0" applyNumberFormat="0" applyBorder="0" applyAlignment="0" applyProtection="0"/>
    <xf numFmtId="247" fontId="73" fillId="51" borderId="0" applyNumberFormat="0" applyBorder="0" applyAlignment="0" applyProtection="0"/>
    <xf numFmtId="0" fontId="73" fillId="51" borderId="0" applyNumberFormat="0" applyBorder="0" applyAlignment="0" applyProtection="0"/>
    <xf numFmtId="0" fontId="73" fillId="51" borderId="0" applyNumberFormat="0" applyBorder="0" applyAlignment="0" applyProtection="0"/>
    <xf numFmtId="0" fontId="73" fillId="51" borderId="0" applyNumberFormat="0" applyBorder="0" applyAlignment="0" applyProtection="0"/>
    <xf numFmtId="247" fontId="73" fillId="51" borderId="0" applyNumberFormat="0" applyBorder="0" applyAlignment="0" applyProtection="0"/>
    <xf numFmtId="0" fontId="73" fillId="51" borderId="0" applyNumberFormat="0" applyBorder="0" applyAlignment="0" applyProtection="0"/>
    <xf numFmtId="0" fontId="73" fillId="51" borderId="0" applyNumberFormat="0" applyBorder="0" applyAlignment="0" applyProtection="0"/>
    <xf numFmtId="0" fontId="16" fillId="0" borderId="0"/>
    <xf numFmtId="247" fontId="73" fillId="51" borderId="0" applyNumberFormat="0" applyBorder="0" applyAlignment="0" applyProtection="0"/>
    <xf numFmtId="0" fontId="73" fillId="51" borderId="0" applyNumberFormat="0" applyBorder="0" applyAlignment="0" applyProtection="0"/>
    <xf numFmtId="0" fontId="73" fillId="51" borderId="0" applyNumberFormat="0" applyBorder="0" applyAlignment="0" applyProtection="0"/>
    <xf numFmtId="0" fontId="73" fillId="51" borderId="0" applyNumberFormat="0" applyBorder="0" applyAlignment="0" applyProtection="0"/>
    <xf numFmtId="247" fontId="73" fillId="51" borderId="0" applyNumberFormat="0" applyBorder="0" applyAlignment="0" applyProtection="0"/>
    <xf numFmtId="0" fontId="73" fillId="51" borderId="0" applyNumberFormat="0" applyBorder="0" applyAlignment="0" applyProtection="0"/>
    <xf numFmtId="0" fontId="16" fillId="0" borderId="0"/>
    <xf numFmtId="247" fontId="73" fillId="51" borderId="0" applyNumberFormat="0" applyBorder="0" applyAlignment="0" applyProtection="0"/>
    <xf numFmtId="0" fontId="72" fillId="23" borderId="0" applyNumberFormat="0" applyBorder="0" applyAlignment="0" applyProtection="0"/>
    <xf numFmtId="0" fontId="72" fillId="23" borderId="0" applyNumberFormat="0" applyBorder="0" applyAlignment="0" applyProtection="0"/>
    <xf numFmtId="0" fontId="72" fillId="23" borderId="0" applyNumberFormat="0" applyBorder="0" applyAlignment="0" applyProtection="0"/>
    <xf numFmtId="247" fontId="73" fillId="51" borderId="0" applyNumberFormat="0" applyBorder="0" applyAlignment="0" applyProtection="0"/>
    <xf numFmtId="0" fontId="72" fillId="23" borderId="0" applyNumberFormat="0" applyBorder="0" applyAlignment="0" applyProtection="0"/>
    <xf numFmtId="0" fontId="16" fillId="0" borderId="0"/>
    <xf numFmtId="247" fontId="73" fillId="51" borderId="0" applyNumberFormat="0" applyBorder="0" applyAlignment="0" applyProtection="0"/>
    <xf numFmtId="0" fontId="72" fillId="23" borderId="0" applyNumberFormat="0" applyBorder="0" applyAlignment="0" applyProtection="0"/>
    <xf numFmtId="0" fontId="72" fillId="23" borderId="0" applyNumberFormat="0" applyBorder="0" applyAlignment="0" applyProtection="0"/>
    <xf numFmtId="0" fontId="72" fillId="23" borderId="0" applyNumberFormat="0" applyBorder="0" applyAlignment="0" applyProtection="0"/>
    <xf numFmtId="247" fontId="73" fillId="51" borderId="0" applyNumberFormat="0" applyBorder="0" applyAlignment="0" applyProtection="0"/>
    <xf numFmtId="0" fontId="72" fillId="23" borderId="0" applyNumberFormat="0" applyBorder="0" applyAlignment="0" applyProtection="0"/>
    <xf numFmtId="0" fontId="16" fillId="0" borderId="0"/>
    <xf numFmtId="0" fontId="73" fillId="51" borderId="0" applyNumberFormat="0" applyBorder="0" applyAlignment="0" applyProtection="0"/>
    <xf numFmtId="0" fontId="73" fillId="5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16" fillId="0" borderId="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3" fillId="52"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2" fillId="27"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3" fillId="52"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247" fontId="73" fillId="52"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247" fontId="73" fillId="52"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16" fillId="0" borderId="0"/>
    <xf numFmtId="247"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247" fontId="73" fillId="52" borderId="0" applyNumberFormat="0" applyBorder="0" applyAlignment="0" applyProtection="0"/>
    <xf numFmtId="0" fontId="73" fillId="52" borderId="0" applyNumberFormat="0" applyBorder="0" applyAlignment="0" applyProtection="0"/>
    <xf numFmtId="0" fontId="16" fillId="0" borderId="0"/>
    <xf numFmtId="247" fontId="73" fillId="52"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247" fontId="73" fillId="52" borderId="0" applyNumberFormat="0" applyBorder="0" applyAlignment="0" applyProtection="0"/>
    <xf numFmtId="0" fontId="72" fillId="27" borderId="0" applyNumberFormat="0" applyBorder="0" applyAlignment="0" applyProtection="0"/>
    <xf numFmtId="0" fontId="16" fillId="0" borderId="0"/>
    <xf numFmtId="247" fontId="73" fillId="52"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0" fontId="72" fillId="27" borderId="0" applyNumberFormat="0" applyBorder="0" applyAlignment="0" applyProtection="0"/>
    <xf numFmtId="247" fontId="73" fillId="52" borderId="0" applyNumberFormat="0" applyBorder="0" applyAlignment="0" applyProtection="0"/>
    <xf numFmtId="0" fontId="72" fillId="27" borderId="0" applyNumberFormat="0" applyBorder="0" applyAlignment="0" applyProtection="0"/>
    <xf numFmtId="0" fontId="16" fillId="0" borderId="0"/>
    <xf numFmtId="0" fontId="73" fillId="52" borderId="0" applyNumberFormat="0" applyBorder="0" applyAlignment="0" applyProtection="0"/>
    <xf numFmtId="0" fontId="73" fillId="52"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4" fillId="49" borderId="0" applyNumberFormat="0" applyBorder="0" applyAlignment="0" applyProtection="0"/>
    <xf numFmtId="0" fontId="16" fillId="0" borderId="0" applyNumberFormat="0" applyBorder="0" applyAlignment="0" applyProtection="0"/>
    <xf numFmtId="0" fontId="74" fillId="46" borderId="0" applyNumberFormat="0" applyBorder="0" applyAlignment="0" applyProtection="0"/>
    <xf numFmtId="0" fontId="16" fillId="0" borderId="0" applyNumberFormat="0" applyBorder="0" applyAlignment="0" applyProtection="0"/>
    <xf numFmtId="0" fontId="74" fillId="47" borderId="0" applyNumberFormat="0" applyBorder="0" applyAlignment="0" applyProtection="0"/>
    <xf numFmtId="0" fontId="16" fillId="0" borderId="0" applyNumberFormat="0" applyBorder="0" applyAlignment="0" applyProtection="0"/>
    <xf numFmtId="0" fontId="74" fillId="50" borderId="0" applyNumberFormat="0" applyBorder="0" applyAlignment="0" applyProtection="0"/>
    <xf numFmtId="0" fontId="16" fillId="0" borderId="0" applyNumberFormat="0" applyBorder="0" applyAlignment="0" applyProtection="0"/>
    <xf numFmtId="0" fontId="74" fillId="51" borderId="0" applyNumberFormat="0" applyBorder="0" applyAlignment="0" applyProtection="0"/>
    <xf numFmtId="0" fontId="16" fillId="0" borderId="0" applyNumberFormat="0" applyBorder="0" applyAlignment="0" applyProtection="0"/>
    <xf numFmtId="0" fontId="74" fillId="52" borderId="0" applyNumberFormat="0" applyBorder="0" applyAlignment="0" applyProtection="0"/>
    <xf numFmtId="0" fontId="16" fillId="0"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16" fillId="0" borderId="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3" fillId="53"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2" fillId="4"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3" fillId="53"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247" fontId="73" fillId="53"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247" fontId="73" fillId="53"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16" fillId="0" borderId="0"/>
    <xf numFmtId="247"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247" fontId="73" fillId="53" borderId="0" applyNumberFormat="0" applyBorder="0" applyAlignment="0" applyProtection="0"/>
    <xf numFmtId="0" fontId="73" fillId="53" borderId="0" applyNumberFormat="0" applyBorder="0" applyAlignment="0" applyProtection="0"/>
    <xf numFmtId="0" fontId="16" fillId="0" borderId="0"/>
    <xf numFmtId="247" fontId="73" fillId="53"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247" fontId="73" fillId="53" borderId="0" applyNumberFormat="0" applyBorder="0" applyAlignment="0" applyProtection="0"/>
    <xf numFmtId="0" fontId="72" fillId="4" borderId="0" applyNumberFormat="0" applyBorder="0" applyAlignment="0" applyProtection="0"/>
    <xf numFmtId="0" fontId="16" fillId="0" borderId="0"/>
    <xf numFmtId="247" fontId="73" fillId="53"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0" fontId="72" fillId="4" borderId="0" applyNumberFormat="0" applyBorder="0" applyAlignment="0" applyProtection="0"/>
    <xf numFmtId="247" fontId="73" fillId="53" borderId="0" applyNumberFormat="0" applyBorder="0" applyAlignment="0" applyProtection="0"/>
    <xf numFmtId="0" fontId="72" fillId="4" borderId="0" applyNumberFormat="0" applyBorder="0" applyAlignment="0" applyProtection="0"/>
    <xf numFmtId="0" fontId="16" fillId="0" borderId="0"/>
    <xf numFmtId="0" fontId="73" fillId="53" borderId="0" applyNumberFormat="0" applyBorder="0" applyAlignment="0" applyProtection="0"/>
    <xf numFmtId="0" fontId="73" fillId="53"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2" fillId="8" borderId="0" applyNumberFormat="0" applyBorder="0" applyAlignment="0" applyProtection="0"/>
    <xf numFmtId="0" fontId="72" fillId="8" borderId="0" applyNumberFormat="0" applyBorder="0" applyAlignment="0" applyProtection="0"/>
    <xf numFmtId="0" fontId="72" fillId="8" borderId="0" applyNumberFormat="0" applyBorder="0" applyAlignment="0" applyProtection="0"/>
    <xf numFmtId="0" fontId="72" fillId="8" borderId="0" applyNumberFormat="0" applyBorder="0" applyAlignment="0" applyProtection="0"/>
    <xf numFmtId="0" fontId="72" fillId="8" borderId="0" applyNumberFormat="0" applyBorder="0" applyAlignment="0" applyProtection="0"/>
    <xf numFmtId="0" fontId="72" fillId="8" borderId="0" applyNumberFormat="0" applyBorder="0" applyAlignment="0" applyProtection="0"/>
    <xf numFmtId="0" fontId="16" fillId="0" borderId="0"/>
    <xf numFmtId="0" fontId="73" fillId="54" borderId="0" applyNumberFormat="0" applyBorder="0" applyAlignment="0" applyProtection="0"/>
    <xf numFmtId="0" fontId="73" fillId="54" borderId="0" applyNumberFormat="0" applyBorder="0" applyAlignment="0" applyProtection="0"/>
    <xf numFmtId="0" fontId="73" fillId="54" borderId="0" applyNumberFormat="0" applyBorder="0" applyAlignment="0" applyProtection="0"/>
    <xf numFmtId="0" fontId="73" fillId="54" borderId="0" applyNumberFormat="0" applyBorder="0" applyAlignment="0" applyProtection="0"/>
    <xf numFmtId="247" fontId="73" fillId="54" borderId="0" applyNumberFormat="0" applyBorder="0" applyAlignment="0" applyProtection="0"/>
    <xf numFmtId="0" fontId="73" fillId="54" borderId="0" applyNumberFormat="0" applyBorder="0" applyAlignment="0" applyProtection="0"/>
    <xf numFmtId="0" fontId="73" fillId="54" borderId="0" applyNumberFormat="0" applyBorder="0" applyAlignment="0" applyProtection="0"/>
    <xf numFmtId="0" fontId="73" fillId="54" borderId="0" applyNumberFormat="0" applyBorder="0" applyAlignment="0" applyProtection="0"/>
    <xf numFmtId="247" fontId="73" fillId="54" borderId="0" applyNumberFormat="0" applyBorder="0" applyAlignment="0" applyProtection="0"/>
    <xf numFmtId="0" fontId="73" fillId="54" borderId="0" applyNumberFormat="0" applyBorder="0" applyAlignment="0" applyProtection="0"/>
    <xf numFmtId="0" fontId="73" fillId="54" borderId="0" applyNumberFormat="0" applyBorder="0" applyAlignment="0" applyProtection="0"/>
    <xf numFmtId="0" fontId="16" fillId="0" borderId="0"/>
    <xf numFmtId="247" fontId="73" fillId="54" borderId="0" applyNumberFormat="0" applyBorder="0" applyAlignment="0" applyProtection="0"/>
    <xf numFmtId="0" fontId="73" fillId="54" borderId="0" applyNumberFormat="0" applyBorder="0" applyAlignment="0" applyProtection="0"/>
    <xf numFmtId="0" fontId="73" fillId="54" borderId="0" applyNumberFormat="0" applyBorder="0" applyAlignment="0" applyProtection="0"/>
    <xf numFmtId="0" fontId="73" fillId="54" borderId="0" applyNumberFormat="0" applyBorder="0" applyAlignment="0" applyProtection="0"/>
    <xf numFmtId="247" fontId="73" fillId="54" borderId="0" applyNumberFormat="0" applyBorder="0" applyAlignment="0" applyProtection="0"/>
    <xf numFmtId="0" fontId="73" fillId="54" borderId="0" applyNumberFormat="0" applyBorder="0" applyAlignment="0" applyProtection="0"/>
    <xf numFmtId="0" fontId="16" fillId="0" borderId="0"/>
    <xf numFmtId="247" fontId="73" fillId="54" borderId="0" applyNumberFormat="0" applyBorder="0" applyAlignment="0" applyProtection="0"/>
    <xf numFmtId="0" fontId="72" fillId="8" borderId="0" applyNumberFormat="0" applyBorder="0" applyAlignment="0" applyProtection="0"/>
    <xf numFmtId="0" fontId="72" fillId="8" borderId="0" applyNumberFormat="0" applyBorder="0" applyAlignment="0" applyProtection="0"/>
    <xf numFmtId="0" fontId="72" fillId="8" borderId="0" applyNumberFormat="0" applyBorder="0" applyAlignment="0" applyProtection="0"/>
    <xf numFmtId="247" fontId="73" fillId="54" borderId="0" applyNumberFormat="0" applyBorder="0" applyAlignment="0" applyProtection="0"/>
    <xf numFmtId="0" fontId="72" fillId="8" borderId="0" applyNumberFormat="0" applyBorder="0" applyAlignment="0" applyProtection="0"/>
    <xf numFmtId="0" fontId="16" fillId="0" borderId="0"/>
    <xf numFmtId="247" fontId="73" fillId="54" borderId="0" applyNumberFormat="0" applyBorder="0" applyAlignment="0" applyProtection="0"/>
    <xf numFmtId="0" fontId="72" fillId="8" borderId="0" applyNumberFormat="0" applyBorder="0" applyAlignment="0" applyProtection="0"/>
    <xf numFmtId="0" fontId="72" fillId="8" borderId="0" applyNumberFormat="0" applyBorder="0" applyAlignment="0" applyProtection="0"/>
    <xf numFmtId="0" fontId="72" fillId="8" borderId="0" applyNumberFormat="0" applyBorder="0" applyAlignment="0" applyProtection="0"/>
    <xf numFmtId="247" fontId="73" fillId="54" borderId="0" applyNumberFormat="0" applyBorder="0" applyAlignment="0" applyProtection="0"/>
    <xf numFmtId="0" fontId="72" fillId="8" borderId="0" applyNumberFormat="0" applyBorder="0" applyAlignment="0" applyProtection="0"/>
    <xf numFmtId="0" fontId="16" fillId="0" borderId="0"/>
    <xf numFmtId="0" fontId="73" fillId="54" borderId="0" applyNumberFormat="0" applyBorder="0" applyAlignment="0" applyProtection="0"/>
    <xf numFmtId="0" fontId="73" fillId="54"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2" fillId="12" borderId="0" applyNumberFormat="0" applyBorder="0" applyAlignment="0" applyProtection="0"/>
    <xf numFmtId="0" fontId="72" fillId="12" borderId="0" applyNumberFormat="0" applyBorder="0" applyAlignment="0" applyProtection="0"/>
    <xf numFmtId="0" fontId="72" fillId="12" borderId="0" applyNumberFormat="0" applyBorder="0" applyAlignment="0" applyProtection="0"/>
    <xf numFmtId="0" fontId="72" fillId="12" borderId="0" applyNumberFormat="0" applyBorder="0" applyAlignment="0" applyProtection="0"/>
    <xf numFmtId="0" fontId="72" fillId="12" borderId="0" applyNumberFormat="0" applyBorder="0" applyAlignment="0" applyProtection="0"/>
    <xf numFmtId="0" fontId="72" fillId="12" borderId="0" applyNumberFormat="0" applyBorder="0" applyAlignment="0" applyProtection="0"/>
    <xf numFmtId="0" fontId="16" fillId="0" borderId="0"/>
    <xf numFmtId="0" fontId="73" fillId="55" borderId="0" applyNumberFormat="0" applyBorder="0" applyAlignment="0" applyProtection="0"/>
    <xf numFmtId="0" fontId="73" fillId="55" borderId="0" applyNumberFormat="0" applyBorder="0" applyAlignment="0" applyProtection="0"/>
    <xf numFmtId="0" fontId="73" fillId="55" borderId="0" applyNumberFormat="0" applyBorder="0" applyAlignment="0" applyProtection="0"/>
    <xf numFmtId="0" fontId="73" fillId="55" borderId="0" applyNumberFormat="0" applyBorder="0" applyAlignment="0" applyProtection="0"/>
    <xf numFmtId="247" fontId="73" fillId="55" borderId="0" applyNumberFormat="0" applyBorder="0" applyAlignment="0" applyProtection="0"/>
    <xf numFmtId="0" fontId="73" fillId="55" borderId="0" applyNumberFormat="0" applyBorder="0" applyAlignment="0" applyProtection="0"/>
    <xf numFmtId="0" fontId="73" fillId="55" borderId="0" applyNumberFormat="0" applyBorder="0" applyAlignment="0" applyProtection="0"/>
    <xf numFmtId="0" fontId="73" fillId="55" borderId="0" applyNumberFormat="0" applyBorder="0" applyAlignment="0" applyProtection="0"/>
    <xf numFmtId="247" fontId="73" fillId="55" borderId="0" applyNumberFormat="0" applyBorder="0" applyAlignment="0" applyProtection="0"/>
    <xf numFmtId="0" fontId="73" fillId="55" borderId="0" applyNumberFormat="0" applyBorder="0" applyAlignment="0" applyProtection="0"/>
    <xf numFmtId="0" fontId="73" fillId="55" borderId="0" applyNumberFormat="0" applyBorder="0" applyAlignment="0" applyProtection="0"/>
    <xf numFmtId="0" fontId="16" fillId="0" borderId="0"/>
    <xf numFmtId="247" fontId="73" fillId="55" borderId="0" applyNumberFormat="0" applyBorder="0" applyAlignment="0" applyProtection="0"/>
    <xf numFmtId="0" fontId="73" fillId="55" borderId="0" applyNumberFormat="0" applyBorder="0" applyAlignment="0" applyProtection="0"/>
    <xf numFmtId="0" fontId="73" fillId="55" borderId="0" applyNumberFormat="0" applyBorder="0" applyAlignment="0" applyProtection="0"/>
    <xf numFmtId="0" fontId="73" fillId="55" borderId="0" applyNumberFormat="0" applyBorder="0" applyAlignment="0" applyProtection="0"/>
    <xf numFmtId="247" fontId="73" fillId="55" borderId="0" applyNumberFormat="0" applyBorder="0" applyAlignment="0" applyProtection="0"/>
    <xf numFmtId="0" fontId="73" fillId="55" borderId="0" applyNumberFormat="0" applyBorder="0" applyAlignment="0" applyProtection="0"/>
    <xf numFmtId="0" fontId="16" fillId="0" borderId="0"/>
    <xf numFmtId="247" fontId="73" fillId="55" borderId="0" applyNumberFormat="0" applyBorder="0" applyAlignment="0" applyProtection="0"/>
    <xf numFmtId="0" fontId="72" fillId="12" borderId="0" applyNumberFormat="0" applyBorder="0" applyAlignment="0" applyProtection="0"/>
    <xf numFmtId="0" fontId="72" fillId="12" borderId="0" applyNumberFormat="0" applyBorder="0" applyAlignment="0" applyProtection="0"/>
    <xf numFmtId="0" fontId="72" fillId="12" borderId="0" applyNumberFormat="0" applyBorder="0" applyAlignment="0" applyProtection="0"/>
    <xf numFmtId="247" fontId="73" fillId="55" borderId="0" applyNumberFormat="0" applyBorder="0" applyAlignment="0" applyProtection="0"/>
    <xf numFmtId="0" fontId="72" fillId="12" borderId="0" applyNumberFormat="0" applyBorder="0" applyAlignment="0" applyProtection="0"/>
    <xf numFmtId="0" fontId="16" fillId="0" borderId="0"/>
    <xf numFmtId="247" fontId="73" fillId="55" borderId="0" applyNumberFormat="0" applyBorder="0" applyAlignment="0" applyProtection="0"/>
    <xf numFmtId="0" fontId="72" fillId="12" borderId="0" applyNumberFormat="0" applyBorder="0" applyAlignment="0" applyProtection="0"/>
    <xf numFmtId="0" fontId="72" fillId="12" borderId="0" applyNumberFormat="0" applyBorder="0" applyAlignment="0" applyProtection="0"/>
    <xf numFmtId="0" fontId="72" fillId="12" borderId="0" applyNumberFormat="0" applyBorder="0" applyAlignment="0" applyProtection="0"/>
    <xf numFmtId="247" fontId="73" fillId="55" borderId="0" applyNumberFormat="0" applyBorder="0" applyAlignment="0" applyProtection="0"/>
    <xf numFmtId="0" fontId="72" fillId="12" borderId="0" applyNumberFormat="0" applyBorder="0" applyAlignment="0" applyProtection="0"/>
    <xf numFmtId="0" fontId="16" fillId="0" borderId="0"/>
    <xf numFmtId="0" fontId="73" fillId="55" borderId="0" applyNumberFormat="0" applyBorder="0" applyAlignment="0" applyProtection="0"/>
    <xf numFmtId="0" fontId="73" fillId="55"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2" fillId="16" borderId="0" applyNumberFormat="0" applyBorder="0" applyAlignment="0" applyProtection="0"/>
    <xf numFmtId="0" fontId="72" fillId="16" borderId="0" applyNumberFormat="0" applyBorder="0" applyAlignment="0" applyProtection="0"/>
    <xf numFmtId="0" fontId="72" fillId="16" borderId="0" applyNumberFormat="0" applyBorder="0" applyAlignment="0" applyProtection="0"/>
    <xf numFmtId="0" fontId="72" fillId="16" borderId="0" applyNumberFormat="0" applyBorder="0" applyAlignment="0" applyProtection="0"/>
    <xf numFmtId="0" fontId="72" fillId="16" borderId="0" applyNumberFormat="0" applyBorder="0" applyAlignment="0" applyProtection="0"/>
    <xf numFmtId="0" fontId="72" fillId="16" borderId="0" applyNumberFormat="0" applyBorder="0" applyAlignment="0" applyProtection="0"/>
    <xf numFmtId="0" fontId="16" fillId="0" borderId="0"/>
    <xf numFmtId="0"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247"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247"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0" fontId="16" fillId="0" borderId="0"/>
    <xf numFmtId="247"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247" fontId="73" fillId="50" borderId="0" applyNumberFormat="0" applyBorder="0" applyAlignment="0" applyProtection="0"/>
    <xf numFmtId="0" fontId="73" fillId="50" borderId="0" applyNumberFormat="0" applyBorder="0" applyAlignment="0" applyProtection="0"/>
    <xf numFmtId="0" fontId="16" fillId="0" borderId="0"/>
    <xf numFmtId="247" fontId="73" fillId="50" borderId="0" applyNumberFormat="0" applyBorder="0" applyAlignment="0" applyProtection="0"/>
    <xf numFmtId="0" fontId="72" fillId="16" borderId="0" applyNumberFormat="0" applyBorder="0" applyAlignment="0" applyProtection="0"/>
    <xf numFmtId="0" fontId="72" fillId="16" borderId="0" applyNumberFormat="0" applyBorder="0" applyAlignment="0" applyProtection="0"/>
    <xf numFmtId="0" fontId="72" fillId="16" borderId="0" applyNumberFormat="0" applyBorder="0" applyAlignment="0" applyProtection="0"/>
    <xf numFmtId="247" fontId="73" fillId="50" borderId="0" applyNumberFormat="0" applyBorder="0" applyAlignment="0" applyProtection="0"/>
    <xf numFmtId="0" fontId="72" fillId="16" borderId="0" applyNumberFormat="0" applyBorder="0" applyAlignment="0" applyProtection="0"/>
    <xf numFmtId="0" fontId="16" fillId="0" borderId="0"/>
    <xf numFmtId="247" fontId="73" fillId="50" borderId="0" applyNumberFormat="0" applyBorder="0" applyAlignment="0" applyProtection="0"/>
    <xf numFmtId="0" fontId="72" fillId="16" borderId="0" applyNumberFormat="0" applyBorder="0" applyAlignment="0" applyProtection="0"/>
    <xf numFmtId="0" fontId="72" fillId="16" borderId="0" applyNumberFormat="0" applyBorder="0" applyAlignment="0" applyProtection="0"/>
    <xf numFmtId="0" fontId="72" fillId="16" borderId="0" applyNumberFormat="0" applyBorder="0" applyAlignment="0" applyProtection="0"/>
    <xf numFmtId="247" fontId="73" fillId="50" borderId="0" applyNumberFormat="0" applyBorder="0" applyAlignment="0" applyProtection="0"/>
    <xf numFmtId="0" fontId="72" fillId="16" borderId="0" applyNumberFormat="0" applyBorder="0" applyAlignment="0" applyProtection="0"/>
    <xf numFmtId="0" fontId="16" fillId="0" borderId="0"/>
    <xf numFmtId="0" fontId="73" fillId="50" borderId="0" applyNumberFormat="0" applyBorder="0" applyAlignment="0" applyProtection="0"/>
    <xf numFmtId="0" fontId="73" fillId="50"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2" fillId="20" borderId="0" applyNumberFormat="0" applyBorder="0" applyAlignment="0" applyProtection="0"/>
    <xf numFmtId="0" fontId="72" fillId="20" borderId="0" applyNumberFormat="0" applyBorder="0" applyAlignment="0" applyProtection="0"/>
    <xf numFmtId="0" fontId="72" fillId="20" borderId="0" applyNumberFormat="0" applyBorder="0" applyAlignment="0" applyProtection="0"/>
    <xf numFmtId="0" fontId="72" fillId="20" borderId="0" applyNumberFormat="0" applyBorder="0" applyAlignment="0" applyProtection="0"/>
    <xf numFmtId="0" fontId="72" fillId="20" borderId="0" applyNumberFormat="0" applyBorder="0" applyAlignment="0" applyProtection="0"/>
    <xf numFmtId="0" fontId="72" fillId="20" borderId="0" applyNumberFormat="0" applyBorder="0" applyAlignment="0" applyProtection="0"/>
    <xf numFmtId="0" fontId="16" fillId="0" borderId="0"/>
    <xf numFmtId="0" fontId="73" fillId="51" borderId="0" applyNumberFormat="0" applyBorder="0" applyAlignment="0" applyProtection="0"/>
    <xf numFmtId="0" fontId="73" fillId="51" borderId="0" applyNumberFormat="0" applyBorder="0" applyAlignment="0" applyProtection="0"/>
    <xf numFmtId="0" fontId="73" fillId="51" borderId="0" applyNumberFormat="0" applyBorder="0" applyAlignment="0" applyProtection="0"/>
    <xf numFmtId="0" fontId="73" fillId="51" borderId="0" applyNumberFormat="0" applyBorder="0" applyAlignment="0" applyProtection="0"/>
    <xf numFmtId="247" fontId="73" fillId="51" borderId="0" applyNumberFormat="0" applyBorder="0" applyAlignment="0" applyProtection="0"/>
    <xf numFmtId="0" fontId="73" fillId="51" borderId="0" applyNumberFormat="0" applyBorder="0" applyAlignment="0" applyProtection="0"/>
    <xf numFmtId="0" fontId="73" fillId="51" borderId="0" applyNumberFormat="0" applyBorder="0" applyAlignment="0" applyProtection="0"/>
    <xf numFmtId="0" fontId="73" fillId="51" borderId="0" applyNumberFormat="0" applyBorder="0" applyAlignment="0" applyProtection="0"/>
    <xf numFmtId="247" fontId="73" fillId="51" borderId="0" applyNumberFormat="0" applyBorder="0" applyAlignment="0" applyProtection="0"/>
    <xf numFmtId="0" fontId="73" fillId="51" borderId="0" applyNumberFormat="0" applyBorder="0" applyAlignment="0" applyProtection="0"/>
    <xf numFmtId="0" fontId="73" fillId="51" borderId="0" applyNumberFormat="0" applyBorder="0" applyAlignment="0" applyProtection="0"/>
    <xf numFmtId="0" fontId="16" fillId="0" borderId="0"/>
    <xf numFmtId="247" fontId="73" fillId="51" borderId="0" applyNumberFormat="0" applyBorder="0" applyAlignment="0" applyProtection="0"/>
    <xf numFmtId="0" fontId="73" fillId="51" borderId="0" applyNumberFormat="0" applyBorder="0" applyAlignment="0" applyProtection="0"/>
    <xf numFmtId="0" fontId="73" fillId="51" borderId="0" applyNumberFormat="0" applyBorder="0" applyAlignment="0" applyProtection="0"/>
    <xf numFmtId="0" fontId="73" fillId="51" borderId="0" applyNumberFormat="0" applyBorder="0" applyAlignment="0" applyProtection="0"/>
    <xf numFmtId="247" fontId="73" fillId="51" borderId="0" applyNumberFormat="0" applyBorder="0" applyAlignment="0" applyProtection="0"/>
    <xf numFmtId="0" fontId="73" fillId="51" borderId="0" applyNumberFormat="0" applyBorder="0" applyAlignment="0" applyProtection="0"/>
    <xf numFmtId="0" fontId="16" fillId="0" borderId="0"/>
    <xf numFmtId="247" fontId="73" fillId="51" borderId="0" applyNumberFormat="0" applyBorder="0" applyAlignment="0" applyProtection="0"/>
    <xf numFmtId="0" fontId="72" fillId="20" borderId="0" applyNumberFormat="0" applyBorder="0" applyAlignment="0" applyProtection="0"/>
    <xf numFmtId="0" fontId="72" fillId="20" borderId="0" applyNumberFormat="0" applyBorder="0" applyAlignment="0" applyProtection="0"/>
    <xf numFmtId="0" fontId="72" fillId="20" borderId="0" applyNumberFormat="0" applyBorder="0" applyAlignment="0" applyProtection="0"/>
    <xf numFmtId="247" fontId="73" fillId="51" borderId="0" applyNumberFormat="0" applyBorder="0" applyAlignment="0" applyProtection="0"/>
    <xf numFmtId="0" fontId="72" fillId="20" borderId="0" applyNumberFormat="0" applyBorder="0" applyAlignment="0" applyProtection="0"/>
    <xf numFmtId="0" fontId="16" fillId="0" borderId="0"/>
    <xf numFmtId="247" fontId="73" fillId="51" borderId="0" applyNumberFormat="0" applyBorder="0" applyAlignment="0" applyProtection="0"/>
    <xf numFmtId="0" fontId="72" fillId="20" borderId="0" applyNumberFormat="0" applyBorder="0" applyAlignment="0" applyProtection="0"/>
    <xf numFmtId="0" fontId="72" fillId="20" borderId="0" applyNumberFormat="0" applyBorder="0" applyAlignment="0" applyProtection="0"/>
    <xf numFmtId="0" fontId="72" fillId="20" borderId="0" applyNumberFormat="0" applyBorder="0" applyAlignment="0" applyProtection="0"/>
    <xf numFmtId="247" fontId="73" fillId="51" borderId="0" applyNumberFormat="0" applyBorder="0" applyAlignment="0" applyProtection="0"/>
    <xf numFmtId="0" fontId="72" fillId="20" borderId="0" applyNumberFormat="0" applyBorder="0" applyAlignment="0" applyProtection="0"/>
    <xf numFmtId="0" fontId="16" fillId="0" borderId="0"/>
    <xf numFmtId="0" fontId="73" fillId="51" borderId="0" applyNumberFormat="0" applyBorder="0" applyAlignment="0" applyProtection="0"/>
    <xf numFmtId="0" fontId="73" fillId="5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2" fillId="24" borderId="0" applyNumberFormat="0" applyBorder="0" applyAlignment="0" applyProtection="0"/>
    <xf numFmtId="0" fontId="72" fillId="24" borderId="0" applyNumberFormat="0" applyBorder="0" applyAlignment="0" applyProtection="0"/>
    <xf numFmtId="0" fontId="72" fillId="24" borderId="0" applyNumberFormat="0" applyBorder="0" applyAlignment="0" applyProtection="0"/>
    <xf numFmtId="0" fontId="72" fillId="24" borderId="0" applyNumberFormat="0" applyBorder="0" applyAlignment="0" applyProtection="0"/>
    <xf numFmtId="0" fontId="72" fillId="24" borderId="0" applyNumberFormat="0" applyBorder="0" applyAlignment="0" applyProtection="0"/>
    <xf numFmtId="0" fontId="72" fillId="24" borderId="0" applyNumberFormat="0" applyBorder="0" applyAlignment="0" applyProtection="0"/>
    <xf numFmtId="0" fontId="16" fillId="0" borderId="0"/>
    <xf numFmtId="0" fontId="73" fillId="56" borderId="0" applyNumberFormat="0" applyBorder="0" applyAlignment="0" applyProtection="0"/>
    <xf numFmtId="0" fontId="73" fillId="56" borderId="0" applyNumberFormat="0" applyBorder="0" applyAlignment="0" applyProtection="0"/>
    <xf numFmtId="0" fontId="73" fillId="56" borderId="0" applyNumberFormat="0" applyBorder="0" applyAlignment="0" applyProtection="0"/>
    <xf numFmtId="0" fontId="73" fillId="56" borderId="0" applyNumberFormat="0" applyBorder="0" applyAlignment="0" applyProtection="0"/>
    <xf numFmtId="247" fontId="73" fillId="56" borderId="0" applyNumberFormat="0" applyBorder="0" applyAlignment="0" applyProtection="0"/>
    <xf numFmtId="0" fontId="73" fillId="56" borderId="0" applyNumberFormat="0" applyBorder="0" applyAlignment="0" applyProtection="0"/>
    <xf numFmtId="0" fontId="73" fillId="56" borderId="0" applyNumberFormat="0" applyBorder="0" applyAlignment="0" applyProtection="0"/>
    <xf numFmtId="0" fontId="73" fillId="56" borderId="0" applyNumberFormat="0" applyBorder="0" applyAlignment="0" applyProtection="0"/>
    <xf numFmtId="247" fontId="73" fillId="56" borderId="0" applyNumberFormat="0" applyBorder="0" applyAlignment="0" applyProtection="0"/>
    <xf numFmtId="0" fontId="73" fillId="56" borderId="0" applyNumberFormat="0" applyBorder="0" applyAlignment="0" applyProtection="0"/>
    <xf numFmtId="0" fontId="73" fillId="56" borderId="0" applyNumberFormat="0" applyBorder="0" applyAlignment="0" applyProtection="0"/>
    <xf numFmtId="0" fontId="16" fillId="0" borderId="0"/>
    <xf numFmtId="247" fontId="73" fillId="56" borderId="0" applyNumberFormat="0" applyBorder="0" applyAlignment="0" applyProtection="0"/>
    <xf numFmtId="0" fontId="73" fillId="56" borderId="0" applyNumberFormat="0" applyBorder="0" applyAlignment="0" applyProtection="0"/>
    <xf numFmtId="0" fontId="73" fillId="56" borderId="0" applyNumberFormat="0" applyBorder="0" applyAlignment="0" applyProtection="0"/>
    <xf numFmtId="0" fontId="73" fillId="56" borderId="0" applyNumberFormat="0" applyBorder="0" applyAlignment="0" applyProtection="0"/>
    <xf numFmtId="247" fontId="73" fillId="56" borderId="0" applyNumberFormat="0" applyBorder="0" applyAlignment="0" applyProtection="0"/>
    <xf numFmtId="0" fontId="73" fillId="56" borderId="0" applyNumberFormat="0" applyBorder="0" applyAlignment="0" applyProtection="0"/>
    <xf numFmtId="0" fontId="16" fillId="0" borderId="0"/>
    <xf numFmtId="247" fontId="73" fillId="56" borderId="0" applyNumberFormat="0" applyBorder="0" applyAlignment="0" applyProtection="0"/>
    <xf numFmtId="0" fontId="72" fillId="24" borderId="0" applyNumberFormat="0" applyBorder="0" applyAlignment="0" applyProtection="0"/>
    <xf numFmtId="0" fontId="72" fillId="24" borderId="0" applyNumberFormat="0" applyBorder="0" applyAlignment="0" applyProtection="0"/>
    <xf numFmtId="0" fontId="72" fillId="24" borderId="0" applyNumberFormat="0" applyBorder="0" applyAlignment="0" applyProtection="0"/>
    <xf numFmtId="247" fontId="73" fillId="56" borderId="0" applyNumberFormat="0" applyBorder="0" applyAlignment="0" applyProtection="0"/>
    <xf numFmtId="0" fontId="72" fillId="24" borderId="0" applyNumberFormat="0" applyBorder="0" applyAlignment="0" applyProtection="0"/>
    <xf numFmtId="0" fontId="16" fillId="0" borderId="0"/>
    <xf numFmtId="247" fontId="73" fillId="56" borderId="0" applyNumberFormat="0" applyBorder="0" applyAlignment="0" applyProtection="0"/>
    <xf numFmtId="0" fontId="72" fillId="24" borderId="0" applyNumberFormat="0" applyBorder="0" applyAlignment="0" applyProtection="0"/>
    <xf numFmtId="0" fontId="72" fillId="24" borderId="0" applyNumberFormat="0" applyBorder="0" applyAlignment="0" applyProtection="0"/>
    <xf numFmtId="0" fontId="72" fillId="24" borderId="0" applyNumberFormat="0" applyBorder="0" applyAlignment="0" applyProtection="0"/>
    <xf numFmtId="247" fontId="73" fillId="56" borderId="0" applyNumberFormat="0" applyBorder="0" applyAlignment="0" applyProtection="0"/>
    <xf numFmtId="0" fontId="72" fillId="24" borderId="0" applyNumberFormat="0" applyBorder="0" applyAlignment="0" applyProtection="0"/>
    <xf numFmtId="0" fontId="16" fillId="0" borderId="0"/>
    <xf numFmtId="0" fontId="73" fillId="56" borderId="0" applyNumberFormat="0" applyBorder="0" applyAlignment="0" applyProtection="0"/>
    <xf numFmtId="0" fontId="73" fillId="56" borderId="0" applyNumberFormat="0" applyBorder="0" applyAlignment="0" applyProtection="0"/>
    <xf numFmtId="0" fontId="16" fillId="0" borderId="0"/>
    <xf numFmtId="0" fontId="16" fillId="0" borderId="0"/>
    <xf numFmtId="0" fontId="16" fillId="0" borderId="0"/>
    <xf numFmtId="248" fontId="20" fillId="0" borderId="3"/>
    <xf numFmtId="248" fontId="20" fillId="0" borderId="3"/>
    <xf numFmtId="248" fontId="16" fillId="0" borderId="0"/>
    <xf numFmtId="248" fontId="20" fillId="0" borderId="3"/>
    <xf numFmtId="248" fontId="20" fillId="0" borderId="3"/>
    <xf numFmtId="248" fontId="20" fillId="0" borderId="3"/>
    <xf numFmtId="42" fontId="75" fillId="0" borderId="0" applyFont="0"/>
    <xf numFmtId="42" fontId="75" fillId="0" borderId="14" applyFont="0"/>
    <xf numFmtId="41" fontId="75" fillId="0" borderId="0" applyFont="0"/>
    <xf numFmtId="0" fontId="46" fillId="0" borderId="0" applyNumberFormat="0" applyAlignment="0"/>
    <xf numFmtId="0" fontId="46" fillId="0" borderId="0" applyNumberFormat="0" applyAlignment="0"/>
    <xf numFmtId="0" fontId="16" fillId="0" borderId="0" applyNumberFormat="0" applyAlignment="0"/>
    <xf numFmtId="0" fontId="46" fillId="0" borderId="0" applyNumberFormat="0" applyAlignment="0"/>
    <xf numFmtId="0" fontId="46" fillId="0" borderId="0" applyNumberFormat="0" applyAlignment="0"/>
    <xf numFmtId="0" fontId="46" fillId="0" borderId="0" applyNumberFormat="0" applyAlignment="0"/>
    <xf numFmtId="0" fontId="16" fillId="0" borderId="0"/>
    <xf numFmtId="247"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247" fontId="46" fillId="57" borderId="0" applyNumberFormat="0" applyFont="0" applyBorder="0" applyAlignment="0" applyProtection="0"/>
    <xf numFmtId="247"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247"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247"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247"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0" fontId="46" fillId="57" borderId="0" applyNumberFormat="0" applyFont="0" applyBorder="0" applyAlignment="0" applyProtection="0"/>
    <xf numFmtId="249" fontId="20" fillId="0" borderId="13"/>
    <xf numFmtId="0" fontId="16" fillId="0" borderId="0"/>
    <xf numFmtId="250" fontId="20" fillId="0" borderId="3"/>
    <xf numFmtId="250" fontId="20" fillId="0" borderId="3"/>
    <xf numFmtId="250" fontId="16" fillId="0" borderId="0"/>
    <xf numFmtId="250" fontId="20" fillId="0" borderId="3"/>
    <xf numFmtId="250" fontId="20" fillId="0" borderId="3"/>
    <xf numFmtId="250" fontId="20" fillId="0" borderId="3"/>
    <xf numFmtId="0" fontId="16" fillId="0" borderId="0"/>
    <xf numFmtId="0" fontId="76" fillId="0" borderId="0"/>
    <xf numFmtId="0" fontId="16" fillId="0" borderId="0"/>
    <xf numFmtId="0" fontId="76" fillId="0" borderId="0"/>
    <xf numFmtId="0" fontId="76" fillId="0" borderId="0"/>
    <xf numFmtId="250" fontId="20" fillId="0" borderId="10" applyBorder="0"/>
    <xf numFmtId="250" fontId="20" fillId="0" borderId="10" applyBorder="0"/>
    <xf numFmtId="250" fontId="16" fillId="0" borderId="0" applyBorder="0"/>
    <xf numFmtId="250" fontId="20" fillId="0" borderId="10" applyBorder="0"/>
    <xf numFmtId="250" fontId="20" fillId="0" borderId="10" applyBorder="0"/>
    <xf numFmtId="250" fontId="20" fillId="0" borderId="10" applyBorder="0"/>
    <xf numFmtId="0" fontId="26" fillId="0" borderId="0"/>
    <xf numFmtId="37" fontId="45" fillId="1" borderId="8">
      <alignment horizontal="centerContinuous" vertical="center"/>
    </xf>
    <xf numFmtId="37" fontId="45" fillId="1" borderId="8">
      <alignment horizontal="centerContinuous" vertical="center"/>
    </xf>
    <xf numFmtId="0" fontId="16" fillId="0" borderId="0"/>
    <xf numFmtId="0" fontId="16" fillId="0" borderId="0"/>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37" fontId="77" fillId="58" borderId="4" applyBorder="0" applyProtection="0">
      <alignment vertical="center"/>
    </xf>
    <xf numFmtId="251" fontId="16" fillId="0" borderId="0" applyFont="0" applyFill="0" applyBorder="0" applyAlignment="0" applyProtection="0"/>
    <xf numFmtId="0" fontId="16" fillId="0" borderId="0"/>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247"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247"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247" fontId="25" fillId="0" borderId="0">
      <alignment horizontal="center" wrapText="1"/>
      <protection locked="0"/>
    </xf>
    <xf numFmtId="0"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0"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247"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247" fontId="25" fillId="0" borderId="0">
      <alignment horizontal="center" wrapText="1"/>
      <protection locked="0"/>
    </xf>
    <xf numFmtId="0"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0"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0"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0" fontId="25" fillId="0" borderId="0">
      <alignment horizontal="center" wrapText="1"/>
      <protection locked="0"/>
    </xf>
    <xf numFmtId="247" fontId="25" fillId="0" borderId="0">
      <alignment horizontal="center" wrapText="1"/>
      <protection locked="0"/>
    </xf>
    <xf numFmtId="247"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247"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25" fillId="0" borderId="0">
      <alignment horizontal="center" wrapText="1"/>
      <protection locked="0"/>
    </xf>
    <xf numFmtId="0" fontId="16" fillId="0" borderId="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0" fontId="16" fillId="0" borderId="0" applyNumberFormat="0" applyFill="0" applyBorder="0" applyAlignment="0" applyProtection="0"/>
    <xf numFmtId="247"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247"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0" fontId="16" fillId="0" borderId="0" applyNumberFormat="0" applyFill="0" applyBorder="0" applyAlignment="0" applyProtection="0"/>
    <xf numFmtId="247" fontId="16" fillId="0" borderId="0" applyNumberFormat="0" applyFill="0" applyBorder="0" applyAlignment="0" applyProtection="0"/>
    <xf numFmtId="0"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0"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247" fontId="16" fillId="0" borderId="0" applyNumberFormat="0" applyFill="0" applyBorder="0" applyAlignment="0" applyProtection="0"/>
    <xf numFmtId="0" fontId="16" fillId="0" borderId="0"/>
    <xf numFmtId="247" fontId="19" fillId="0" borderId="0" applyNumberFormat="0" applyFill="0" applyBorder="0" applyAlignment="0" applyProtection="0"/>
    <xf numFmtId="0" fontId="19" fillId="0" borderId="0" applyNumberFormat="0" applyFill="0" applyBorder="0" applyAlignment="0" applyProtection="0"/>
    <xf numFmtId="247" fontId="19" fillId="0" borderId="0" applyNumberFormat="0" applyFill="0" applyBorder="0" applyAlignment="0" applyProtection="0"/>
    <xf numFmtId="247"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78" fillId="0" borderId="0" applyNumberFormat="0" applyAlignment="0"/>
    <xf numFmtId="0" fontId="16" fillId="0" borderId="0" applyNumberFormat="0" applyAlignment="0"/>
    <xf numFmtId="0" fontId="79" fillId="0" borderId="24" applyNumberFormat="0" applyFill="0" applyBorder="0" applyAlignment="0" applyProtection="0"/>
    <xf numFmtId="0" fontId="79" fillId="0" borderId="24" applyNumberFormat="0" applyFill="0" applyBorder="0" applyAlignment="0" applyProtection="0"/>
    <xf numFmtId="0" fontId="79" fillId="0" borderId="24" applyNumberFormat="0" applyFill="0" applyBorder="0" applyAlignment="0" applyProtection="0"/>
    <xf numFmtId="0" fontId="79" fillId="0" borderId="24" applyNumberFormat="0" applyFill="0" applyBorder="0" applyAlignment="0" applyProtection="0"/>
    <xf numFmtId="0" fontId="79" fillId="0" borderId="24" applyNumberFormat="0" applyFill="0" applyBorder="0" applyAlignment="0" applyProtection="0"/>
    <xf numFmtId="0" fontId="79" fillId="0" borderId="24" applyNumberFormat="0" applyFill="0" applyBorder="0" applyAlignment="0" applyProtection="0"/>
    <xf numFmtId="0" fontId="79" fillId="0" borderId="24" applyNumberFormat="0" applyFill="0" applyBorder="0" applyAlignment="0" applyProtection="0"/>
    <xf numFmtId="0" fontId="79" fillId="0" borderId="24" applyNumberFormat="0" applyFill="0" applyBorder="0" applyAlignment="0" applyProtection="0"/>
    <xf numFmtId="0" fontId="79" fillId="0" borderId="24" applyNumberFormat="0" applyFill="0" applyBorder="0" applyAlignment="0" applyProtection="0"/>
    <xf numFmtId="0" fontId="79" fillId="0" borderId="24" applyNumberFormat="0" applyFill="0" applyBorder="0" applyAlignment="0" applyProtection="0"/>
    <xf numFmtId="0" fontId="79" fillId="0" borderId="24" applyNumberFormat="0" applyFill="0" applyBorder="0" applyAlignment="0" applyProtection="0"/>
    <xf numFmtId="0" fontId="79"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80" fillId="0" borderId="24" applyNumberFormat="0" applyFill="0" applyBorder="0" applyAlignment="0" applyProtection="0"/>
    <xf numFmtId="0" fontId="47" fillId="0" borderId="24" applyNumberFormat="0" applyFill="0" applyBorder="0" applyAlignment="0" applyProtection="0"/>
    <xf numFmtId="0" fontId="47" fillId="0" borderId="24" applyNumberFormat="0" applyFill="0" applyBorder="0" applyAlignment="0" applyProtection="0"/>
    <xf numFmtId="0" fontId="47" fillId="0" borderId="24" applyNumberFormat="0" applyFill="0" applyBorder="0" applyAlignment="0" applyProtection="0"/>
    <xf numFmtId="0" fontId="47" fillId="0" borderId="24" applyNumberFormat="0" applyFill="0" applyBorder="0" applyAlignment="0" applyProtection="0"/>
    <xf numFmtId="0" fontId="47" fillId="0" borderId="24" applyNumberFormat="0" applyFill="0" applyBorder="0" applyAlignment="0" applyProtection="0"/>
    <xf numFmtId="0" fontId="47" fillId="0" borderId="24" applyNumberFormat="0" applyFill="0" applyBorder="0" applyAlignment="0" applyProtection="0"/>
    <xf numFmtId="0" fontId="47" fillId="0" borderId="24" applyNumberFormat="0" applyFill="0" applyBorder="0" applyAlignment="0" applyProtection="0"/>
    <xf numFmtId="0" fontId="47" fillId="0" borderId="24" applyNumberFormat="0" applyFill="0" applyBorder="0" applyAlignment="0" applyProtection="0"/>
    <xf numFmtId="0" fontId="47" fillId="0" borderId="24" applyNumberFormat="0" applyFill="0" applyBorder="0" applyAlignment="0" applyProtection="0"/>
    <xf numFmtId="0" fontId="47" fillId="0" borderId="24" applyNumberFormat="0" applyFill="0" applyBorder="0" applyAlignment="0" applyProtection="0"/>
    <xf numFmtId="0" fontId="47" fillId="0" borderId="24" applyNumberFormat="0" applyFill="0" applyBorder="0" applyAlignment="0" applyProtection="0"/>
    <xf numFmtId="0" fontId="47" fillId="0" borderId="24" applyNumberFormat="0" applyFill="0" applyBorder="0" applyAlignment="0" applyProtection="0"/>
    <xf numFmtId="0" fontId="16" fillId="0" borderId="0"/>
    <xf numFmtId="0" fontId="16" fillId="0" borderId="0"/>
    <xf numFmtId="0" fontId="46" fillId="0" borderId="24" applyNumberFormat="0" applyFill="0" applyAlignment="0" applyProtection="0"/>
    <xf numFmtId="0" fontId="46" fillId="0" borderId="24" applyNumberFormat="0" applyFill="0" applyAlignment="0" applyProtection="0"/>
    <xf numFmtId="0" fontId="46" fillId="0" borderId="24" applyNumberFormat="0" applyFill="0" applyAlignment="0" applyProtection="0"/>
    <xf numFmtId="0" fontId="46" fillId="0" borderId="24" applyNumberFormat="0" applyFill="0" applyAlignment="0" applyProtection="0"/>
    <xf numFmtId="0" fontId="46" fillId="0" borderId="24" applyNumberFormat="0" applyFill="0" applyAlignment="0" applyProtection="0"/>
    <xf numFmtId="0" fontId="46" fillId="0" borderId="24" applyNumberFormat="0" applyFill="0" applyAlignment="0" applyProtection="0"/>
    <xf numFmtId="0" fontId="46" fillId="0" borderId="24" applyNumberFormat="0" applyFill="0" applyAlignment="0" applyProtection="0"/>
    <xf numFmtId="0" fontId="46" fillId="0" borderId="24" applyNumberFormat="0" applyFill="0" applyAlignment="0" applyProtection="0"/>
    <xf numFmtId="0" fontId="16" fillId="0" borderId="0"/>
    <xf numFmtId="0" fontId="16" fillId="0" borderId="0"/>
    <xf numFmtId="0" fontId="58" fillId="0" borderId="0">
      <alignment horizontal="right"/>
    </xf>
    <xf numFmtId="0" fontId="58" fillId="0" borderId="0">
      <alignment horizontal="right"/>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1" fillId="2" borderId="0" applyNumberFormat="0" applyBorder="0" applyAlignment="0" applyProtection="0"/>
    <xf numFmtId="0" fontId="81" fillId="2" borderId="0" applyNumberFormat="0" applyBorder="0" applyAlignment="0" applyProtection="0"/>
    <xf numFmtId="0" fontId="81" fillId="2" borderId="0" applyNumberFormat="0" applyBorder="0" applyAlignment="0" applyProtection="0"/>
    <xf numFmtId="0" fontId="81" fillId="2" borderId="0" applyNumberFormat="0" applyBorder="0" applyAlignment="0" applyProtection="0"/>
    <xf numFmtId="0" fontId="81" fillId="2" borderId="0" applyNumberFormat="0" applyBorder="0" applyAlignment="0" applyProtection="0"/>
    <xf numFmtId="0" fontId="81" fillId="2" borderId="0" applyNumberFormat="0" applyBorder="0" applyAlignment="0" applyProtection="0"/>
    <xf numFmtId="0" fontId="16" fillId="0" borderId="0"/>
    <xf numFmtId="0" fontId="82" fillId="38" borderId="0" applyNumberFormat="0" applyBorder="0" applyAlignment="0" applyProtection="0"/>
    <xf numFmtId="0" fontId="82" fillId="38" borderId="0" applyNumberFormat="0" applyBorder="0" applyAlignment="0" applyProtection="0"/>
    <xf numFmtId="0" fontId="82" fillId="38" borderId="0" applyNumberFormat="0" applyBorder="0" applyAlignment="0" applyProtection="0"/>
    <xf numFmtId="0" fontId="82" fillId="38" borderId="0" applyNumberFormat="0" applyBorder="0" applyAlignment="0" applyProtection="0"/>
    <xf numFmtId="247" fontId="82" fillId="38" borderId="0" applyNumberFormat="0" applyBorder="0" applyAlignment="0" applyProtection="0"/>
    <xf numFmtId="0" fontId="82" fillId="38" borderId="0" applyNumberFormat="0" applyBorder="0" applyAlignment="0" applyProtection="0"/>
    <xf numFmtId="0" fontId="82" fillId="38" borderId="0" applyNumberFormat="0" applyBorder="0" applyAlignment="0" applyProtection="0"/>
    <xf numFmtId="0" fontId="82" fillId="38" borderId="0" applyNumberFormat="0" applyBorder="0" applyAlignment="0" applyProtection="0"/>
    <xf numFmtId="247" fontId="82" fillId="38" borderId="0" applyNumberFormat="0" applyBorder="0" applyAlignment="0" applyProtection="0"/>
    <xf numFmtId="0" fontId="82" fillId="38" borderId="0" applyNumberFormat="0" applyBorder="0" applyAlignment="0" applyProtection="0"/>
    <xf numFmtId="0" fontId="82" fillId="38" borderId="0" applyNumberFormat="0" applyBorder="0" applyAlignment="0" applyProtection="0"/>
    <xf numFmtId="0" fontId="16" fillId="0" borderId="0"/>
    <xf numFmtId="247" fontId="82" fillId="38" borderId="0" applyNumberFormat="0" applyBorder="0" applyAlignment="0" applyProtection="0"/>
    <xf numFmtId="0" fontId="82" fillId="38" borderId="0" applyNumberFormat="0" applyBorder="0" applyAlignment="0" applyProtection="0"/>
    <xf numFmtId="0" fontId="82" fillId="38" borderId="0" applyNumberFormat="0" applyBorder="0" applyAlignment="0" applyProtection="0"/>
    <xf numFmtId="0" fontId="82" fillId="38" borderId="0" applyNumberFormat="0" applyBorder="0" applyAlignment="0" applyProtection="0"/>
    <xf numFmtId="247" fontId="82" fillId="38" borderId="0" applyNumberFormat="0" applyBorder="0" applyAlignment="0" applyProtection="0"/>
    <xf numFmtId="0" fontId="82" fillId="38" borderId="0" applyNumberFormat="0" applyBorder="0" applyAlignment="0" applyProtection="0"/>
    <xf numFmtId="0" fontId="16" fillId="0" borderId="0"/>
    <xf numFmtId="247" fontId="82" fillId="38" borderId="0" applyNumberFormat="0" applyBorder="0" applyAlignment="0" applyProtection="0"/>
    <xf numFmtId="0" fontId="81" fillId="2" borderId="0" applyNumberFormat="0" applyBorder="0" applyAlignment="0" applyProtection="0"/>
    <xf numFmtId="0" fontId="81" fillId="2" borderId="0" applyNumberFormat="0" applyBorder="0" applyAlignment="0" applyProtection="0"/>
    <xf numFmtId="0" fontId="81" fillId="2" borderId="0" applyNumberFormat="0" applyBorder="0" applyAlignment="0" applyProtection="0"/>
    <xf numFmtId="247" fontId="82" fillId="38" borderId="0" applyNumberFormat="0" applyBorder="0" applyAlignment="0" applyProtection="0"/>
    <xf numFmtId="0" fontId="81" fillId="2" borderId="0" applyNumberFormat="0" applyBorder="0" applyAlignment="0" applyProtection="0"/>
    <xf numFmtId="0" fontId="16" fillId="0" borderId="0"/>
    <xf numFmtId="247" fontId="82" fillId="38" borderId="0" applyNumberFormat="0" applyBorder="0" applyAlignment="0" applyProtection="0"/>
    <xf numFmtId="0" fontId="81" fillId="2" borderId="0" applyNumberFormat="0" applyBorder="0" applyAlignment="0" applyProtection="0"/>
    <xf numFmtId="0" fontId="81" fillId="2" borderId="0" applyNumberFormat="0" applyBorder="0" applyAlignment="0" applyProtection="0"/>
    <xf numFmtId="0" fontId="81" fillId="2" borderId="0" applyNumberFormat="0" applyBorder="0" applyAlignment="0" applyProtection="0"/>
    <xf numFmtId="247" fontId="82" fillId="38" borderId="0" applyNumberFormat="0" applyBorder="0" applyAlignment="0" applyProtection="0"/>
    <xf numFmtId="0" fontId="81" fillId="2" borderId="0" applyNumberFormat="0" applyBorder="0" applyAlignment="0" applyProtection="0"/>
    <xf numFmtId="0" fontId="16" fillId="0" borderId="0"/>
    <xf numFmtId="0" fontId="82" fillId="38" borderId="0" applyNumberFormat="0" applyBorder="0" applyAlignment="0" applyProtection="0"/>
    <xf numFmtId="0" fontId="82" fillId="38" borderId="0" applyNumberFormat="0" applyBorder="0" applyAlignment="0" applyProtection="0"/>
    <xf numFmtId="0" fontId="16" fillId="0" borderId="0"/>
    <xf numFmtId="0" fontId="16" fillId="0" borderId="0"/>
    <xf numFmtId="0" fontId="16" fillId="0" borderId="0"/>
    <xf numFmtId="164" fontId="83" fillId="59" borderId="0" applyNumberFormat="0" applyBorder="0" applyAlignment="0" applyProtection="0">
      <alignment horizontal="center" vertical="center" wrapText="1"/>
    </xf>
    <xf numFmtId="0" fontId="16" fillId="0" borderId="0"/>
    <xf numFmtId="0" fontId="16" fillId="0" borderId="0"/>
    <xf numFmtId="0" fontId="59" fillId="0" borderId="0" applyNumberFormat="0" applyFill="0" applyBorder="0" applyAlignment="0" applyProtection="0"/>
    <xf numFmtId="0" fontId="59" fillId="0" borderId="0" applyNumberFormat="0" applyFill="0" applyBorder="0" applyAlignment="0" applyProtection="0"/>
    <xf numFmtId="0" fontId="16"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252" fontId="84" fillId="0" borderId="0"/>
    <xf numFmtId="252" fontId="16" fillId="0" borderId="0"/>
    <xf numFmtId="192" fontId="25" fillId="0" borderId="0"/>
    <xf numFmtId="192" fontId="25" fillId="0" borderId="0"/>
    <xf numFmtId="192" fontId="16" fillId="0" borderId="0"/>
    <xf numFmtId="192" fontId="25" fillId="0" borderId="0"/>
    <xf numFmtId="192" fontId="25" fillId="0" borderId="0"/>
    <xf numFmtId="192" fontId="25" fillId="0" borderId="0"/>
    <xf numFmtId="177" fontId="25" fillId="0" borderId="8"/>
    <xf numFmtId="177" fontId="25" fillId="0" borderId="8"/>
    <xf numFmtId="177" fontId="16" fillId="0" borderId="0"/>
    <xf numFmtId="177" fontId="25" fillId="0" borderId="8"/>
    <xf numFmtId="177" fontId="25" fillId="0" borderId="8"/>
    <xf numFmtId="177" fontId="25" fillId="0" borderId="8"/>
    <xf numFmtId="253" fontId="84" fillId="0" borderId="0"/>
    <xf numFmtId="253" fontId="16" fillId="0" borderId="0"/>
    <xf numFmtId="0" fontId="84" fillId="0" borderId="0"/>
    <xf numFmtId="0" fontId="16" fillId="0" borderId="0"/>
    <xf numFmtId="254" fontId="84" fillId="0" borderId="0"/>
    <xf numFmtId="254" fontId="16" fillId="0" borderId="0"/>
    <xf numFmtId="0" fontId="25" fillId="0" borderId="0">
      <alignment horizontal="right"/>
    </xf>
    <xf numFmtId="0" fontId="25" fillId="0" borderId="0">
      <alignment horizontal="right"/>
    </xf>
    <xf numFmtId="0" fontId="16" fillId="0" borderId="0">
      <alignment horizontal="right"/>
    </xf>
    <xf numFmtId="0" fontId="25" fillId="0" borderId="0">
      <alignment horizontal="right"/>
    </xf>
    <xf numFmtId="0" fontId="25" fillId="0" borderId="0">
      <alignment horizontal="right"/>
    </xf>
    <xf numFmtId="0" fontId="25" fillId="0" borderId="0">
      <alignment horizontal="right"/>
    </xf>
    <xf numFmtId="255" fontId="84" fillId="0" borderId="0">
      <alignment horizontal="right"/>
    </xf>
    <xf numFmtId="255" fontId="16" fillId="0" borderId="0">
      <alignment horizontal="right"/>
    </xf>
    <xf numFmtId="256" fontId="84" fillId="0" borderId="0">
      <alignment horizontal="right"/>
    </xf>
    <xf numFmtId="256" fontId="16" fillId="0" borderId="0">
      <alignment horizontal="right"/>
    </xf>
    <xf numFmtId="0" fontId="25" fillId="0" borderId="0">
      <alignment horizontal="right"/>
    </xf>
    <xf numFmtId="257" fontId="25" fillId="0" borderId="0">
      <alignment horizontal="right"/>
    </xf>
    <xf numFmtId="257" fontId="25" fillId="0" borderId="0">
      <alignment horizontal="right"/>
    </xf>
    <xf numFmtId="257" fontId="16" fillId="0" borderId="0">
      <alignment horizontal="right"/>
    </xf>
    <xf numFmtId="257" fontId="25" fillId="0" borderId="0">
      <alignment horizontal="right"/>
    </xf>
    <xf numFmtId="257" fontId="25" fillId="0" borderId="0">
      <alignment horizontal="right"/>
    </xf>
    <xf numFmtId="257" fontId="25" fillId="0" borderId="0">
      <alignment horizontal="right"/>
    </xf>
    <xf numFmtId="0" fontId="59" fillId="0" borderId="0" applyNumberForma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pplyNumberFormat="0" applyFill="0" applyBorder="0" applyAlignment="0" applyProtection="0"/>
    <xf numFmtId="258" fontId="84" fillId="0" borderId="0"/>
    <xf numFmtId="258" fontId="16" fillId="0" borderId="0"/>
    <xf numFmtId="259" fontId="84" fillId="0" borderId="0"/>
    <xf numFmtId="259" fontId="16" fillId="0" borderId="0"/>
    <xf numFmtId="0" fontId="84" fillId="0" borderId="0"/>
    <xf numFmtId="0" fontId="16" fillId="0" borderId="0"/>
    <xf numFmtId="164" fontId="83" fillId="60" borderId="3">
      <alignment horizontal="center" vertical="center" wrapText="1"/>
    </xf>
    <xf numFmtId="164" fontId="83" fillId="60" borderId="3">
      <alignment horizontal="center" vertical="center" wrapText="1"/>
    </xf>
    <xf numFmtId="164" fontId="83" fillId="60" borderId="3">
      <alignment horizontal="center" vertical="center" wrapText="1"/>
    </xf>
    <xf numFmtId="1" fontId="36" fillId="32" borderId="25">
      <alignment horizontal="center"/>
    </xf>
    <xf numFmtId="1" fontId="16" fillId="0" borderId="0">
      <alignment horizontal="center"/>
    </xf>
    <xf numFmtId="0" fontId="84" fillId="0" borderId="0"/>
    <xf numFmtId="0" fontId="16" fillId="0" borderId="0"/>
    <xf numFmtId="0" fontId="36" fillId="32" borderId="26">
      <alignment horizontal="center"/>
    </xf>
    <xf numFmtId="0" fontId="36" fillId="32" borderId="26">
      <alignment horizontal="center"/>
    </xf>
    <xf numFmtId="0" fontId="16" fillId="0" borderId="0">
      <alignment horizontal="center"/>
    </xf>
    <xf numFmtId="0" fontId="36" fillId="32" borderId="26">
      <alignment horizontal="center"/>
    </xf>
    <xf numFmtId="0" fontId="36" fillId="32" borderId="26">
      <alignment horizontal="center"/>
    </xf>
    <xf numFmtId="0" fontId="36" fillId="32" borderId="26">
      <alignment horizontal="center"/>
    </xf>
    <xf numFmtId="0" fontId="84" fillId="0" borderId="0"/>
    <xf numFmtId="0" fontId="16" fillId="0" borderId="0"/>
    <xf numFmtId="0" fontId="85" fillId="0" borderId="0" applyNumberFormat="0" applyFill="0" applyBorder="0" applyAlignment="0" applyProtection="0"/>
    <xf numFmtId="0" fontId="16" fillId="0" borderId="0"/>
    <xf numFmtId="0" fontId="16" fillId="0" borderId="0" applyNumberFormat="0" applyFill="0" applyBorder="0" applyAlignment="0" applyProtection="0"/>
    <xf numFmtId="0" fontId="16" fillId="0" borderId="0"/>
    <xf numFmtId="0" fontId="16" fillId="0" borderId="0" applyBorder="0">
      <alignment horizontal="left" vertical="center" indent="1"/>
    </xf>
    <xf numFmtId="260" fontId="20" fillId="0" borderId="0"/>
    <xf numFmtId="37" fontId="86" fillId="0" borderId="0" applyNumberFormat="0" applyFill="0" applyBorder="0" applyAlignment="0" applyProtection="0">
      <protection locked="0"/>
    </xf>
    <xf numFmtId="37" fontId="16" fillId="0" borderId="0" applyNumberFormat="0" applyFill="0" applyBorder="0" applyAlignment="0" applyProtection="0">
      <protection locked="0"/>
    </xf>
    <xf numFmtId="0" fontId="87" fillId="0" borderId="27">
      <alignment horizontal="centerContinuous"/>
    </xf>
    <xf numFmtId="0" fontId="87" fillId="0" borderId="27">
      <alignment horizontal="centerContinuous"/>
    </xf>
    <xf numFmtId="261" fontId="88" fillId="0" borderId="0" applyAlignment="0">
      <alignment horizontal="right"/>
    </xf>
    <xf numFmtId="0" fontId="89" fillId="0" borderId="0" applyAlignment="0"/>
    <xf numFmtId="165" fontId="89" fillId="0" borderId="0"/>
    <xf numFmtId="0" fontId="89" fillId="0" borderId="27" applyAlignment="0"/>
    <xf numFmtId="0" fontId="89" fillId="0" borderId="27" applyAlignment="0"/>
    <xf numFmtId="0" fontId="89" fillId="0" borderId="0" applyAlignment="0"/>
    <xf numFmtId="0" fontId="16" fillId="0" borderId="0"/>
    <xf numFmtId="0" fontId="16" fillId="0" borderId="0"/>
    <xf numFmtId="0" fontId="90" fillId="0" borderId="3" applyNumberFormat="0" applyFill="0" applyAlignment="0" applyProtection="0"/>
    <xf numFmtId="37" fontId="86" fillId="0" borderId="0" applyNumberFormat="0" applyFill="0" applyBorder="0" applyAlignment="0" applyProtection="0">
      <protection locked="0"/>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5" fontId="56" fillId="0" borderId="8"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5" fontId="56" fillId="0" borderId="8" applyAlignment="0" applyProtection="0"/>
    <xf numFmtId="0" fontId="16" fillId="0" borderId="0"/>
    <xf numFmtId="262" fontId="61" fillId="0" borderId="18" applyNumberFormat="0" applyFill="0" applyAlignment="0" applyProtection="0">
      <alignment horizontal="center"/>
    </xf>
    <xf numFmtId="262" fontId="16" fillId="0" borderId="0" applyNumberFormat="0" applyFill="0" applyAlignment="0" applyProtection="0">
      <alignment horizontal="center"/>
    </xf>
    <xf numFmtId="262" fontId="61" fillId="0" borderId="18" applyNumberFormat="0" applyFill="0" applyAlignment="0" applyProtection="0">
      <alignment horizontal="center"/>
    </xf>
    <xf numFmtId="262" fontId="61" fillId="0" borderId="18" applyNumberFormat="0" applyFill="0" applyAlignment="0" applyProtection="0">
      <alignment horizontal="center"/>
    </xf>
    <xf numFmtId="262" fontId="61" fillId="0" borderId="18" applyNumberFormat="0" applyFill="0" applyAlignment="0" applyProtection="0">
      <alignment horizontal="center"/>
    </xf>
    <xf numFmtId="0" fontId="16" fillId="0" borderId="0"/>
    <xf numFmtId="0" fontId="16" fillId="0" borderId="0"/>
    <xf numFmtId="0" fontId="16" fillId="0" borderId="0"/>
    <xf numFmtId="263" fontId="61" fillId="0" borderId="3" applyFill="0" applyAlignment="0" applyProtection="0">
      <alignment horizontal="center"/>
    </xf>
    <xf numFmtId="263" fontId="16" fillId="0" borderId="0" applyFill="0" applyAlignment="0" applyProtection="0">
      <alignment horizontal="center"/>
    </xf>
    <xf numFmtId="263" fontId="61" fillId="0" borderId="3" applyFill="0" applyAlignment="0" applyProtection="0">
      <alignment horizontal="center"/>
    </xf>
    <xf numFmtId="263" fontId="61" fillId="0" borderId="3" applyFill="0" applyAlignment="0" applyProtection="0">
      <alignment horizontal="center"/>
    </xf>
    <xf numFmtId="263" fontId="61" fillId="0" borderId="3" applyFill="0" applyAlignment="0" applyProtection="0">
      <alignment horizontal="center"/>
    </xf>
    <xf numFmtId="0" fontId="16" fillId="0" borderId="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0" fontId="16" fillId="0" borderId="0" applyFont="0" applyFill="0" applyBorder="0" applyAlignment="0" applyProtection="0"/>
    <xf numFmtId="264"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0"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0"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0"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0"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0"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0"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0"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0"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0"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0"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47"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264" fontId="16" fillId="0" borderId="0" applyFont="0" applyFill="0" applyBorder="0" applyAlignment="0" applyProtection="0"/>
    <xf numFmtId="0" fontId="20" fillId="0" borderId="0"/>
    <xf numFmtId="0" fontId="20" fillId="0" borderId="0"/>
    <xf numFmtId="0" fontId="16" fillId="0" borderId="0"/>
    <xf numFmtId="0" fontId="20" fillId="0" borderId="0"/>
    <xf numFmtId="0" fontId="20" fillId="0" borderId="0"/>
    <xf numFmtId="0" fontId="2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0" fontId="16" fillId="0" borderId="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47" fontId="16" fillId="0" borderId="0" applyFill="0" applyBorder="0" applyAlignment="0"/>
    <xf numFmtId="265" fontId="16" fillId="0" borderId="0" applyFill="0" applyBorder="0" applyAlignment="0"/>
    <xf numFmtId="265" fontId="16" fillId="0" borderId="0" applyFill="0" applyBorder="0" applyAlignment="0"/>
    <xf numFmtId="247"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0"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0"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0" fontId="16" fillId="0" borderId="0" applyFill="0" applyBorder="0" applyAlignment="0"/>
    <xf numFmtId="247" fontId="16" fillId="0" borderId="0" applyFill="0" applyBorder="0" applyAlignment="0"/>
    <xf numFmtId="265" fontId="16" fillId="0" borderId="0" applyFill="0" applyBorder="0" applyAlignment="0"/>
    <xf numFmtId="247"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0"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0"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0"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0"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47"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265" fontId="16" fillId="0" borderId="0" applyFill="0" applyBorder="0" applyAlignment="0"/>
    <xf numFmtId="0" fontId="16" fillId="0" borderId="0" applyFill="0" applyBorder="0" applyAlignment="0"/>
    <xf numFmtId="0" fontId="16" fillId="0" borderId="0" applyFill="0" applyBorder="0" applyAlignment="0"/>
    <xf numFmtId="265"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47" fontId="16" fillId="0" borderId="0" applyFill="0" applyBorder="0" applyAlignment="0"/>
    <xf numFmtId="265"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5"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0"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5" fontId="16" fillId="0" borderId="0" applyFill="0" applyBorder="0" applyAlignment="0"/>
    <xf numFmtId="247" fontId="16" fillId="0" borderId="0" applyFill="0" applyBorder="0" applyAlignment="0"/>
    <xf numFmtId="265" fontId="16" fillId="0" borderId="0" applyFill="0" applyBorder="0" applyAlignment="0"/>
    <xf numFmtId="265" fontId="16" fillId="0" borderId="0" applyFill="0" applyBorder="0" applyAlignment="0"/>
    <xf numFmtId="247"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47"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265" fontId="16" fillId="0" borderId="0" applyFill="0" applyBorder="0" applyAlignment="0"/>
    <xf numFmtId="0" fontId="16" fillId="0" borderId="0"/>
    <xf numFmtId="192" fontId="91" fillId="0" borderId="0" applyFill="0" applyBorder="0" applyAlignment="0"/>
    <xf numFmtId="192" fontId="91" fillId="0" borderId="0" applyFill="0" applyBorder="0" applyAlignment="0"/>
    <xf numFmtId="247"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192"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247" fontId="91" fillId="0" borderId="0" applyFill="0" applyBorder="0" applyAlignment="0"/>
    <xf numFmtId="171" fontId="16" fillId="0" borderId="0" applyFill="0" applyBorder="0" applyAlignment="0"/>
    <xf numFmtId="171" fontId="16" fillId="0" borderId="0" applyFill="0" applyBorder="0" applyAlignment="0"/>
    <xf numFmtId="171" fontId="16" fillId="0" borderId="0" applyFill="0" applyBorder="0" applyAlignment="0"/>
    <xf numFmtId="171" fontId="16" fillId="0" borderId="0" applyFill="0" applyBorder="0" applyAlignment="0"/>
    <xf numFmtId="171" fontId="16" fillId="0" borderId="0" applyFill="0" applyBorder="0" applyAlignment="0"/>
    <xf numFmtId="171" fontId="16" fillId="0" borderId="0" applyFill="0" applyBorder="0" applyAlignment="0"/>
    <xf numFmtId="171" fontId="16" fillId="0" borderId="0" applyFill="0" applyBorder="0" applyAlignment="0"/>
    <xf numFmtId="171" fontId="16" fillId="0" borderId="0" applyFill="0" applyBorder="0" applyAlignment="0"/>
    <xf numFmtId="171" fontId="16" fillId="0" borderId="0" applyFill="0" applyBorder="0" applyAlignment="0"/>
    <xf numFmtId="0" fontId="91" fillId="0" borderId="0" applyFill="0" applyBorder="0" applyAlignment="0"/>
    <xf numFmtId="247"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0" fontId="91" fillId="0" borderId="0" applyFill="0" applyBorder="0" applyAlignment="0"/>
    <xf numFmtId="247"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0"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71" fontId="16" fillId="0" borderId="0" applyFill="0" applyBorder="0" applyAlignment="0"/>
    <xf numFmtId="171" fontId="16" fillId="0" borderId="0" applyFill="0" applyBorder="0" applyAlignment="0"/>
    <xf numFmtId="171" fontId="16" fillId="0" borderId="0" applyFill="0" applyBorder="0" applyAlignment="0"/>
    <xf numFmtId="171" fontId="16" fillId="0" borderId="0" applyFill="0" applyBorder="0" applyAlignment="0"/>
    <xf numFmtId="171" fontId="16" fillId="0" borderId="0" applyFill="0" applyBorder="0" applyAlignment="0"/>
    <xf numFmtId="171" fontId="16" fillId="0" borderId="0" applyFill="0" applyBorder="0" applyAlignment="0"/>
    <xf numFmtId="171" fontId="16" fillId="0" borderId="0" applyFill="0" applyBorder="0" applyAlignment="0"/>
    <xf numFmtId="171" fontId="16" fillId="0" borderId="0" applyFill="0" applyBorder="0" applyAlignment="0"/>
    <xf numFmtId="171" fontId="16"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192"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192" fontId="91" fillId="0" borderId="0" applyFill="0" applyBorder="0" applyAlignment="0"/>
    <xf numFmtId="0" fontId="16" fillId="0" borderId="0"/>
    <xf numFmtId="266" fontId="91" fillId="0" borderId="0" applyFill="0" applyBorder="0" applyAlignment="0"/>
    <xf numFmtId="266" fontId="91" fillId="0" borderId="0" applyFill="0" applyBorder="0" applyAlignment="0"/>
    <xf numFmtId="247"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66"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47" fontId="91" fillId="0" borderId="0" applyFill="0" applyBorder="0" applyAlignment="0"/>
    <xf numFmtId="267" fontId="16" fillId="0" borderId="0" applyFill="0" applyBorder="0" applyAlignment="0"/>
    <xf numFmtId="267" fontId="16" fillId="0" borderId="0" applyFill="0" applyBorder="0" applyAlignment="0"/>
    <xf numFmtId="267" fontId="16" fillId="0" borderId="0" applyFill="0" applyBorder="0" applyAlignment="0"/>
    <xf numFmtId="267" fontId="16" fillId="0" borderId="0" applyFill="0" applyBorder="0" applyAlignment="0"/>
    <xf numFmtId="267" fontId="16" fillId="0" borderId="0" applyFill="0" applyBorder="0" applyAlignment="0"/>
    <xf numFmtId="267" fontId="16" fillId="0" borderId="0" applyFill="0" applyBorder="0" applyAlignment="0"/>
    <xf numFmtId="267" fontId="16" fillId="0" borderId="0" applyFill="0" applyBorder="0" applyAlignment="0"/>
    <xf numFmtId="267" fontId="16" fillId="0" borderId="0" applyFill="0" applyBorder="0" applyAlignment="0"/>
    <xf numFmtId="267" fontId="16" fillId="0" borderId="0" applyFill="0" applyBorder="0" applyAlignment="0"/>
    <xf numFmtId="0" fontId="91" fillId="0" borderId="0" applyFill="0" applyBorder="0" applyAlignment="0"/>
    <xf numFmtId="247"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0" fontId="91" fillId="0" borderId="0" applyFill="0" applyBorder="0" applyAlignment="0"/>
    <xf numFmtId="247"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0"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0"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7" fontId="16" fillId="0" borderId="0" applyFill="0" applyBorder="0" applyAlignment="0"/>
    <xf numFmtId="267" fontId="16" fillId="0" borderId="0" applyFill="0" applyBorder="0" applyAlignment="0"/>
    <xf numFmtId="267" fontId="16" fillId="0" borderId="0" applyFill="0" applyBorder="0" applyAlignment="0"/>
    <xf numFmtId="267" fontId="16" fillId="0" borderId="0" applyFill="0" applyBorder="0" applyAlignment="0"/>
    <xf numFmtId="267" fontId="16" fillId="0" borderId="0" applyFill="0" applyBorder="0" applyAlignment="0"/>
    <xf numFmtId="267" fontId="16" fillId="0" borderId="0" applyFill="0" applyBorder="0" applyAlignment="0"/>
    <xf numFmtId="267" fontId="16" fillId="0" borderId="0" applyFill="0" applyBorder="0" applyAlignment="0"/>
    <xf numFmtId="267" fontId="16" fillId="0" borderId="0" applyFill="0" applyBorder="0" applyAlignment="0"/>
    <xf numFmtId="267" fontId="16"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66"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47" fontId="91" fillId="0" borderId="0" applyFill="0" applyBorder="0" applyAlignment="0"/>
    <xf numFmtId="266" fontId="91" fillId="0" borderId="0" applyFill="0" applyBorder="0" applyAlignment="0"/>
    <xf numFmtId="0" fontId="16" fillId="0" borderId="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47"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47" fontId="16" fillId="0" borderId="0" applyFill="0" applyBorder="0" applyAlignment="0"/>
    <xf numFmtId="268" fontId="16" fillId="0" borderId="0" applyFill="0" applyBorder="0" applyAlignment="0"/>
    <xf numFmtId="268" fontId="16" fillId="0" borderId="0" applyFill="0" applyBorder="0" applyAlignment="0"/>
    <xf numFmtId="247"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0"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0"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0" fontId="16" fillId="0" borderId="0" applyFill="0" applyBorder="0" applyAlignment="0"/>
    <xf numFmtId="247" fontId="16" fillId="0" borderId="0" applyFill="0" applyBorder="0" applyAlignment="0"/>
    <xf numFmtId="268" fontId="16" fillId="0" borderId="0" applyFill="0" applyBorder="0" applyAlignment="0"/>
    <xf numFmtId="247"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0"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0"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0"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0"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47"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268" fontId="16" fillId="0" borderId="0" applyFill="0" applyBorder="0" applyAlignment="0"/>
    <xf numFmtId="0" fontId="16" fillId="0" borderId="0" applyFill="0" applyBorder="0" applyAlignment="0"/>
    <xf numFmtId="0" fontId="16" fillId="0" borderId="0" applyFill="0" applyBorder="0" applyAlignment="0"/>
    <xf numFmtId="268"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47" fontId="16" fillId="0" borderId="0" applyFill="0" applyBorder="0" applyAlignment="0"/>
    <xf numFmtId="268"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8"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0"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0"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8" fontId="16" fillId="0" borderId="0" applyFill="0" applyBorder="0" applyAlignment="0"/>
    <xf numFmtId="247" fontId="16" fillId="0" borderId="0" applyFill="0" applyBorder="0" applyAlignment="0"/>
    <xf numFmtId="268" fontId="16" fillId="0" borderId="0" applyFill="0" applyBorder="0" applyAlignment="0"/>
    <xf numFmtId="268" fontId="16" fillId="0" borderId="0" applyFill="0" applyBorder="0" applyAlignment="0"/>
    <xf numFmtId="247"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47"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47"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268" fontId="16" fillId="0" borderId="0" applyFill="0" applyBorder="0" applyAlignment="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92" fillId="43" borderId="28" applyNumberFormat="0" applyAlignment="0" applyProtection="0"/>
    <xf numFmtId="0" fontId="92" fillId="43" borderId="28" applyNumberFormat="0" applyAlignment="0" applyProtection="0"/>
    <xf numFmtId="0" fontId="16" fillId="0" borderId="0"/>
    <xf numFmtId="0" fontId="92" fillId="43" borderId="28" applyNumberFormat="0" applyAlignment="0" applyProtection="0"/>
    <xf numFmtId="0" fontId="92" fillId="43" borderId="2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269" fontId="16" fillId="0" borderId="0" applyNumberFormat="0" applyFont="0" applyBorder="0" applyAlignment="0">
      <protection locked="0"/>
    </xf>
    <xf numFmtId="270" fontId="25" fillId="0" borderId="0" applyFill="0" applyBorder="0" applyProtection="0"/>
    <xf numFmtId="270" fontId="25" fillId="0" borderId="0" applyFill="0" applyBorder="0" applyProtection="0"/>
    <xf numFmtId="270" fontId="16" fillId="0" borderId="0" applyFill="0" applyBorder="0" applyProtection="0"/>
    <xf numFmtId="270" fontId="25" fillId="0" borderId="0" applyFill="0" applyBorder="0" applyProtection="0"/>
    <xf numFmtId="270" fontId="25" fillId="0" borderId="0" applyFill="0" applyBorder="0" applyProtection="0"/>
    <xf numFmtId="270" fontId="25" fillId="0" borderId="0" applyFill="0" applyBorder="0" applyProtection="0"/>
    <xf numFmtId="0" fontId="16" fillId="0" borderId="0"/>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93" fillId="61" borderId="29"/>
    <xf numFmtId="0" fontId="16" fillId="0" borderId="0"/>
    <xf numFmtId="0" fontId="16" fillId="0" borderId="0"/>
    <xf numFmtId="0" fontId="16" fillId="0" borderId="0"/>
    <xf numFmtId="0" fontId="16" fillId="0" borderId="0"/>
    <xf numFmtId="0" fontId="20" fillId="0" borderId="3" applyBorder="0">
      <alignment horizontal="centerContinuous"/>
    </xf>
    <xf numFmtId="0" fontId="20" fillId="0" borderId="3" applyBorder="0">
      <alignment horizontal="centerContinuous"/>
    </xf>
    <xf numFmtId="0" fontId="20" fillId="0" borderId="3" applyBorder="0">
      <alignment horizontal="centerContinuous"/>
    </xf>
    <xf numFmtId="0" fontId="16" fillId="0" borderId="0"/>
    <xf numFmtId="0" fontId="16" fillId="0" borderId="0"/>
    <xf numFmtId="0" fontId="16" fillId="0" borderId="0" applyFill="0" applyBorder="0" applyProtection="0">
      <alignment horizontal="center"/>
      <protection locked="0"/>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94" fillId="0" borderId="0" applyAlignment="0"/>
    <xf numFmtId="0" fontId="16" fillId="0" borderId="0"/>
    <xf numFmtId="0" fontId="16" fillId="0" borderId="0"/>
    <xf numFmtId="0" fontId="16" fillId="0" borderId="0" applyNumberFormat="0" applyFill="0" applyBorder="0" applyAlignment="0" applyProtection="0"/>
    <xf numFmtId="0" fontId="16" fillId="0" borderId="0"/>
    <xf numFmtId="0" fontId="16" fillId="0" borderId="0"/>
    <xf numFmtId="0" fontId="16" fillId="0" borderId="0"/>
    <xf numFmtId="0" fontId="16" fillId="0" borderId="0"/>
    <xf numFmtId="38" fontId="95" fillId="0" borderId="30"/>
    <xf numFmtId="38" fontId="16" fillId="0" borderId="0"/>
    <xf numFmtId="0" fontId="96" fillId="0" borderId="18">
      <alignment horizontal="center"/>
    </xf>
    <xf numFmtId="0" fontId="16" fillId="0" borderId="0">
      <alignment horizontal="center"/>
    </xf>
    <xf numFmtId="0" fontId="16" fillId="0" borderId="0"/>
    <xf numFmtId="0" fontId="80" fillId="0" borderId="31">
      <alignment horizontal="center"/>
    </xf>
    <xf numFmtId="0" fontId="16" fillId="0" borderId="0"/>
    <xf numFmtId="0" fontId="16" fillId="0" borderId="0" applyNumberFormat="0" applyFill="0" applyBorder="0" applyProtection="0">
      <alignment wrapText="1"/>
    </xf>
    <xf numFmtId="0" fontId="16" fillId="0" borderId="0"/>
    <xf numFmtId="0" fontId="16" fillId="0" borderId="0" applyNumberFormat="0" applyFill="0" applyBorder="0" applyProtection="0"/>
    <xf numFmtId="0" fontId="16" fillId="0" borderId="0"/>
    <xf numFmtId="0" fontId="97" fillId="0" borderId="0" applyNumberFormat="0" applyFill="0" applyBorder="0" applyProtection="0">
      <alignment horizontal="center" wrapText="1"/>
    </xf>
    <xf numFmtId="0" fontId="16" fillId="0" borderId="0" applyNumberFormat="0" applyFill="0" applyBorder="0" applyProtection="0">
      <alignment horizontal="center" wrapText="1"/>
    </xf>
    <xf numFmtId="0" fontId="97" fillId="0" borderId="0" applyNumberFormat="0" applyFill="0" applyBorder="0" applyProtection="0">
      <alignment horizontal="center" wrapText="1"/>
    </xf>
    <xf numFmtId="0" fontId="97" fillId="0" borderId="0" applyNumberFormat="0" applyFill="0" applyBorder="0" applyProtection="0">
      <alignment horizontal="center" wrapText="1"/>
    </xf>
    <xf numFmtId="0" fontId="97" fillId="0" borderId="0" applyNumberFormat="0" applyFill="0" applyBorder="0" applyProtection="0">
      <alignment horizontal="center" wrapText="1"/>
    </xf>
    <xf numFmtId="0" fontId="16" fillId="0" borderId="0"/>
    <xf numFmtId="0" fontId="16" fillId="0" borderId="0"/>
    <xf numFmtId="0" fontId="80" fillId="0" borderId="3" applyNumberFormat="0" applyFill="0" applyProtection="0">
      <alignment horizontal="right" wrapText="1"/>
    </xf>
    <xf numFmtId="0" fontId="16" fillId="0" borderId="0"/>
    <xf numFmtId="0" fontId="16" fillId="0" borderId="0"/>
    <xf numFmtId="0" fontId="80" fillId="0" borderId="3" applyNumberFormat="0" applyFill="0" applyProtection="0">
      <alignment horizontal="left" wrapText="1"/>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271" fontId="16" fillId="0" borderId="0" applyFont="0" applyFill="0" applyBorder="0" applyAlignment="0" applyProtection="0"/>
    <xf numFmtId="184" fontId="20" fillId="0" borderId="0"/>
    <xf numFmtId="184" fontId="20" fillId="0" borderId="0"/>
    <xf numFmtId="184" fontId="16" fillId="0" borderId="0"/>
    <xf numFmtId="184" fontId="20" fillId="0" borderId="0"/>
    <xf numFmtId="184" fontId="20" fillId="0" borderId="0"/>
    <xf numFmtId="184" fontId="20" fillId="0" borderId="0"/>
    <xf numFmtId="0" fontId="16" fillId="0" borderId="0"/>
    <xf numFmtId="0" fontId="16" fillId="0" borderId="0"/>
    <xf numFmtId="41" fontId="16" fillId="0" borderId="0" applyFont="0" applyFill="0" applyBorder="0" applyAlignment="0" applyProtection="0"/>
    <xf numFmtId="272" fontId="98" fillId="0" borderId="0" applyFont="0" applyFill="0" applyBorder="0" applyAlignment="0" applyProtection="0"/>
    <xf numFmtId="272" fontId="16" fillId="0" borderId="0" applyFont="0" applyFill="0" applyBorder="0" applyAlignment="0" applyProtection="0"/>
    <xf numFmtId="273" fontId="16" fillId="0" borderId="0" applyFont="0" applyFill="0" applyBorder="0" applyAlignment="0" applyProtection="0">
      <alignment vertical="center"/>
    </xf>
    <xf numFmtId="244" fontId="16" fillId="0" borderId="0" applyFont="0" applyFill="0" applyBorder="0" applyAlignment="0" applyProtection="0">
      <alignment vertical="center"/>
    </xf>
    <xf numFmtId="0" fontId="16" fillId="0" borderId="0"/>
    <xf numFmtId="0" fontId="16" fillId="0" borderId="0"/>
    <xf numFmtId="38" fontId="16" fillId="0" borderId="0">
      <alignment horizontal="center"/>
      <protection locked="0"/>
    </xf>
    <xf numFmtId="0" fontId="16" fillId="0" borderId="0"/>
    <xf numFmtId="40" fontId="16" fillId="0" borderId="0" applyFont="0" applyFill="0" applyBorder="0" applyAlignment="0" applyProtection="0">
      <alignment horizontal="center"/>
    </xf>
    <xf numFmtId="0" fontId="16" fillId="0" borderId="0"/>
    <xf numFmtId="274" fontId="16" fillId="0" borderId="0" applyFont="0" applyFill="0" applyBorder="0" applyAlignment="0" applyProtection="0">
      <alignment horizontal="center"/>
    </xf>
    <xf numFmtId="0" fontId="16" fillId="0" borderId="0"/>
    <xf numFmtId="0" fontId="16" fillId="0" borderId="0"/>
    <xf numFmtId="0" fontId="16" fillId="0" borderId="0"/>
    <xf numFmtId="275" fontId="16" fillId="0" borderId="0" applyFont="0" applyFill="0" applyBorder="0" applyAlignment="0" applyProtection="0"/>
    <xf numFmtId="276" fontId="23" fillId="0" borderId="0" applyFont="0" applyFill="0" applyBorder="0" applyAlignment="0" applyProtection="0"/>
    <xf numFmtId="276" fontId="16" fillId="0" borderId="0" applyFont="0" applyFill="0" applyBorder="0" applyAlignment="0" applyProtection="0"/>
    <xf numFmtId="277" fontId="23" fillId="0" borderId="0" applyFont="0" applyFill="0" applyBorder="0" applyAlignment="0" applyProtection="0"/>
    <xf numFmtId="277" fontId="16" fillId="0" borderId="0" applyFont="0" applyFill="0" applyBorder="0" applyAlignment="0" applyProtection="0"/>
    <xf numFmtId="278" fontId="20" fillId="0" borderId="0" applyFont="0" applyFill="0" applyBorder="0" applyAlignment="0" applyProtection="0"/>
    <xf numFmtId="278" fontId="16" fillId="0" borderId="0" applyFont="0" applyFill="0" applyBorder="0" applyAlignment="0" applyProtection="0"/>
    <xf numFmtId="279" fontId="23" fillId="0" borderId="0" applyFont="0" applyFill="0" applyBorder="0" applyAlignment="0" applyProtection="0"/>
    <xf numFmtId="279" fontId="16" fillId="0" borderId="0" applyFont="0" applyFill="0" applyBorder="0" applyAlignment="0" applyProtection="0"/>
    <xf numFmtId="280" fontId="23" fillId="0" borderId="0" applyFont="0" applyFill="0" applyBorder="0" applyAlignment="0" applyProtection="0"/>
    <xf numFmtId="185" fontId="20" fillId="0" borderId="0" applyFont="0" applyFill="0" applyBorder="0" applyAlignment="0" applyProtection="0"/>
    <xf numFmtId="185" fontId="16" fillId="0" borderId="0" applyFont="0" applyFill="0" applyBorder="0" applyAlignment="0" applyProtection="0"/>
    <xf numFmtId="281" fontId="23" fillId="0" borderId="0" applyFont="0" applyFill="0" applyBorder="0" applyAlignment="0" applyProtection="0"/>
    <xf numFmtId="281" fontId="16" fillId="0" borderId="0" applyFont="0" applyFill="0" applyBorder="0" applyAlignment="0" applyProtection="0"/>
    <xf numFmtId="282" fontId="23" fillId="0" borderId="0" applyFont="0" applyFill="0" applyBorder="0" applyAlignment="0" applyProtection="0"/>
    <xf numFmtId="0" fontId="16" fillId="0" borderId="0"/>
    <xf numFmtId="0" fontId="16" fillId="0" borderId="0"/>
    <xf numFmtId="0" fontId="16" fillId="0" borderId="0"/>
    <xf numFmtId="0" fontId="16" fillId="0" borderId="0"/>
    <xf numFmtId="43" fontId="99" fillId="0" borderId="0" applyFont="0" applyFill="0" applyBorder="0" applyAlignment="0" applyProtection="0"/>
    <xf numFmtId="43" fontId="16" fillId="0" borderId="0" applyFont="0" applyFill="0" applyBorder="0" applyAlignment="0" applyProtection="0"/>
    <xf numFmtId="0" fontId="16" fillId="0" borderId="0"/>
    <xf numFmtId="43" fontId="16" fillId="0" borderId="0" applyFont="0" applyFill="0" applyBorder="0" applyAlignment="0" applyProtection="0"/>
    <xf numFmtId="0" fontId="16" fillId="0" borderId="0"/>
    <xf numFmtId="43" fontId="16" fillId="0" borderId="0" applyFont="0" applyFill="0" applyBorder="0" applyAlignment="0" applyProtection="0"/>
    <xf numFmtId="43" fontId="11" fillId="0" borderId="0" applyFont="0" applyFill="0" applyBorder="0" applyAlignment="0" applyProtection="0"/>
    <xf numFmtId="0" fontId="16" fillId="0" borderId="0"/>
    <xf numFmtId="43" fontId="16" fillId="0" borderId="0" applyFont="0" applyFill="0" applyBorder="0" applyAlignment="0" applyProtection="0"/>
    <xf numFmtId="0" fontId="16" fillId="0" borderId="0"/>
    <xf numFmtId="43" fontId="16" fillId="0" borderId="0" applyFont="0" applyFill="0" applyBorder="0" applyAlignment="0" applyProtection="0"/>
    <xf numFmtId="43" fontId="16" fillId="0" borderId="0" applyFont="0" applyFill="0" applyBorder="0" applyAlignment="0" applyProtection="0"/>
    <xf numFmtId="0" fontId="16" fillId="0" borderId="0"/>
    <xf numFmtId="283" fontId="16" fillId="0" borderId="0" applyFont="0" applyFill="0" applyBorder="0" applyAlignment="0" applyProtection="0"/>
    <xf numFmtId="43" fontId="20" fillId="0" borderId="0" applyFont="0" applyFill="0" applyBorder="0" applyAlignment="0" applyProtection="0"/>
    <xf numFmtId="43" fontId="11" fillId="0" borderId="0" applyFont="0" applyFill="0" applyBorder="0" applyAlignment="0" applyProtection="0"/>
    <xf numFmtId="0" fontId="16" fillId="0" borderId="0"/>
    <xf numFmtId="43" fontId="16"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0" fontId="16" fillId="0" borderId="0"/>
    <xf numFmtId="0" fontId="16" fillId="0" borderId="0"/>
    <xf numFmtId="43" fontId="100" fillId="0" borderId="0" applyFont="0" applyFill="0" applyBorder="0" applyAlignment="0" applyProtection="0"/>
    <xf numFmtId="0" fontId="16" fillId="0" borderId="0"/>
    <xf numFmtId="43" fontId="16" fillId="0" borderId="0" applyFont="0" applyFill="0" applyBorder="0" applyAlignment="0" applyProtection="0"/>
    <xf numFmtId="0" fontId="16" fillId="0" borderId="0"/>
    <xf numFmtId="43" fontId="11" fillId="0" borderId="0" applyFont="0" applyFill="0" applyBorder="0" applyAlignment="0" applyProtection="0"/>
    <xf numFmtId="43" fontId="16" fillId="0" borderId="0" applyFont="0" applyFill="0" applyBorder="0" applyAlignment="0" applyProtection="0"/>
    <xf numFmtId="0" fontId="16" fillId="0" borderId="0"/>
    <xf numFmtId="43" fontId="11" fillId="0" borderId="0" applyFont="0" applyFill="0" applyBorder="0" applyAlignment="0" applyProtection="0"/>
    <xf numFmtId="43" fontId="11" fillId="0" borderId="0" applyFont="0" applyFill="0" applyBorder="0" applyAlignment="0" applyProtection="0"/>
    <xf numFmtId="0" fontId="16" fillId="0" borderId="0"/>
    <xf numFmtId="0" fontId="16" fillId="0" borderId="0"/>
    <xf numFmtId="0" fontId="16" fillId="0" borderId="0"/>
    <xf numFmtId="37" fontId="25" fillId="0" borderId="0" applyFill="0" applyBorder="0" applyAlignment="0" applyProtection="0"/>
    <xf numFmtId="37" fontId="16" fillId="0" borderId="0" applyFill="0" applyBorder="0" applyAlignment="0" applyProtection="0"/>
    <xf numFmtId="37" fontId="25" fillId="0" borderId="0" applyFill="0" applyBorder="0" applyAlignment="0" applyProtection="0"/>
    <xf numFmtId="37" fontId="25" fillId="0" borderId="0" applyFill="0" applyBorder="0" applyAlignment="0" applyProtection="0"/>
    <xf numFmtId="37" fontId="25" fillId="0" borderId="0" applyFill="0" applyBorder="0" applyAlignment="0" applyProtection="0"/>
    <xf numFmtId="0" fontId="16" fillId="0" borderId="0"/>
    <xf numFmtId="0" fontId="16" fillId="0" borderId="0"/>
    <xf numFmtId="0" fontId="16" fillId="0" borderId="0"/>
    <xf numFmtId="0" fontId="101" fillId="0" borderId="0"/>
    <xf numFmtId="0" fontId="16" fillId="0" borderId="0"/>
    <xf numFmtId="0" fontId="16" fillId="0" borderId="0"/>
    <xf numFmtId="0" fontId="16" fillId="0" borderId="0"/>
    <xf numFmtId="0" fontId="16" fillId="0" borderId="0"/>
    <xf numFmtId="0" fontId="16" fillId="0" borderId="0"/>
    <xf numFmtId="0" fontId="16" fillId="0" borderId="0"/>
    <xf numFmtId="38" fontId="16" fillId="0" borderId="0" applyFont="0" applyFill="0" applyBorder="0" applyAlignment="0" applyProtection="0"/>
    <xf numFmtId="0" fontId="16" fillId="0" borderId="0"/>
    <xf numFmtId="192" fontId="102" fillId="0" borderId="0" applyFont="0" applyFill="0" applyBorder="0" applyAlignment="0" applyProtection="0"/>
    <xf numFmtId="0" fontId="101" fillId="0" borderId="0"/>
    <xf numFmtId="0" fontId="16" fillId="0" borderId="0"/>
    <xf numFmtId="0" fontId="91" fillId="0" borderId="0"/>
    <xf numFmtId="0" fontId="16" fillId="0" borderId="0"/>
    <xf numFmtId="192" fontId="16" fillId="0" borderId="0" applyFont="0" applyFill="0" applyBorder="0" applyAlignment="0" applyProtection="0"/>
    <xf numFmtId="39" fontId="102" fillId="0" borderId="0" applyFont="0" applyFill="0" applyBorder="0" applyAlignment="0" applyProtection="0"/>
    <xf numFmtId="39" fontId="16" fillId="0" borderId="0" applyFont="0" applyFill="0" applyBorder="0" applyAlignment="0" applyProtection="0"/>
    <xf numFmtId="0" fontId="16" fillId="0" borderId="0"/>
    <xf numFmtId="0" fontId="103" fillId="62" borderId="0">
      <alignment horizontal="center" vertical="center" wrapText="1"/>
    </xf>
    <xf numFmtId="0" fontId="16" fillId="0" borderId="0">
      <alignment horizontal="center" vertical="center" wrapText="1"/>
    </xf>
    <xf numFmtId="0" fontId="16" fillId="0" borderId="0"/>
    <xf numFmtId="0" fontId="16" fillId="0" borderId="0" applyFill="0" applyBorder="0" applyAlignment="0" applyProtection="0">
      <protection locked="0"/>
    </xf>
    <xf numFmtId="0" fontId="103" fillId="62" borderId="0">
      <alignment horizontal="center" vertical="center" wrapText="1"/>
    </xf>
    <xf numFmtId="0" fontId="16" fillId="0" borderId="0"/>
    <xf numFmtId="284" fontId="16" fillId="0" borderId="0" applyFill="0" applyBorder="0">
      <alignment horizontal="left"/>
    </xf>
    <xf numFmtId="0" fontId="16" fillId="0" borderId="0"/>
    <xf numFmtId="0" fontId="16" fillId="0" borderId="0"/>
    <xf numFmtId="0" fontId="16" fillId="0" borderId="0" applyNumberFormat="0" applyAlignment="0">
      <alignment horizontal="left"/>
    </xf>
    <xf numFmtId="0" fontId="16" fillId="0" borderId="0"/>
    <xf numFmtId="0" fontId="16" fillId="0" borderId="0"/>
    <xf numFmtId="285" fontId="23" fillId="0" borderId="0" applyFill="0" applyBorder="0" applyProtection="0"/>
    <xf numFmtId="285" fontId="16" fillId="0" borderId="0" applyFill="0" applyBorder="0" applyProtection="0"/>
    <xf numFmtId="286" fontId="23" fillId="0" borderId="0" applyFont="0" applyFill="0" applyBorder="0" applyAlignment="0" applyProtection="0"/>
    <xf numFmtId="286"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287" fontId="16" fillId="0" borderId="0" applyFill="0" applyBorder="0">
      <alignment horizontal="right"/>
      <protection locked="0"/>
    </xf>
    <xf numFmtId="0" fontId="101" fillId="0" borderId="0"/>
    <xf numFmtId="0" fontId="16" fillId="0" borderId="0"/>
    <xf numFmtId="0" fontId="16" fillId="0" borderId="0"/>
    <xf numFmtId="288" fontId="23" fillId="0" borderId="0" applyFont="0" applyFill="0" applyBorder="0" applyAlignment="0" applyProtection="0"/>
    <xf numFmtId="288" fontId="16" fillId="0" borderId="0" applyFont="0" applyFill="0" applyBorder="0" applyAlignment="0" applyProtection="0"/>
    <xf numFmtId="0" fontId="16" fillId="0" borderId="0"/>
    <xf numFmtId="0" fontId="16" fillId="0" borderId="0"/>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0" fontId="104" fillId="0" borderId="29"/>
    <xf numFmtId="42" fontId="69" fillId="0" borderId="0" applyFont="0" applyFill="0" applyBorder="0" applyAlignment="0" applyProtection="0"/>
    <xf numFmtId="42" fontId="16" fillId="0" borderId="0" applyFont="0" applyFill="0" applyBorder="0" applyAlignment="0" applyProtection="0"/>
    <xf numFmtId="0" fontId="16" fillId="0" borderId="0"/>
    <xf numFmtId="0" fontId="16" fillId="0" borderId="0"/>
    <xf numFmtId="289" fontId="46" fillId="0" borderId="0" applyFont="0" applyFill="0" applyBorder="0" applyAlignment="0"/>
    <xf numFmtId="289" fontId="16" fillId="0" borderId="0" applyFont="0" applyFill="0" applyBorder="0" applyAlignment="0"/>
    <xf numFmtId="289" fontId="46" fillId="0" borderId="0" applyFont="0" applyFill="0" applyBorder="0" applyAlignment="0"/>
    <xf numFmtId="289" fontId="46" fillId="0" borderId="0" applyFont="0" applyFill="0" applyBorder="0" applyAlignment="0"/>
    <xf numFmtId="289" fontId="46" fillId="0" borderId="0" applyFont="0" applyFill="0" applyBorder="0" applyAlignment="0"/>
    <xf numFmtId="0" fontId="16" fillId="0" borderId="0"/>
    <xf numFmtId="0" fontId="16" fillId="0" borderId="0"/>
    <xf numFmtId="177" fontId="16" fillId="0" borderId="0" applyFont="0" applyFill="0" applyBorder="0" applyAlignment="0" applyProtection="0"/>
    <xf numFmtId="0" fontId="16" fillId="0" borderId="0"/>
    <xf numFmtId="0" fontId="16" fillId="0" borderId="0"/>
    <xf numFmtId="290" fontId="16" fillId="0" borderId="0" applyFont="0" applyFill="0" applyBorder="0" applyAlignment="0" applyProtection="0">
      <alignment horizontal="right"/>
    </xf>
    <xf numFmtId="291" fontId="16" fillId="0" borderId="0" applyFont="0" applyFill="0" applyBorder="0" applyAlignment="0" applyProtection="0"/>
    <xf numFmtId="292" fontId="23" fillId="0" borderId="0" applyFont="0" applyFill="0" applyBorder="0" applyAlignment="0" applyProtection="0"/>
    <xf numFmtId="292" fontId="16" fillId="0" borderId="0" applyFont="0" applyFill="0" applyBorder="0" applyAlignment="0" applyProtection="0"/>
    <xf numFmtId="293" fontId="16" fillId="0" borderId="0" applyFont="0" applyFill="0" applyBorder="0" applyAlignment="0" applyProtection="0"/>
    <xf numFmtId="294" fontId="23" fillId="0" borderId="0" applyFont="0" applyFill="0" applyBorder="0" applyAlignment="0" applyProtection="0"/>
    <xf numFmtId="294" fontId="16" fillId="0" borderId="0" applyFont="0" applyFill="0" applyBorder="0" applyAlignment="0" applyProtection="0"/>
    <xf numFmtId="295" fontId="16" fillId="0" borderId="0" applyFont="0" applyFill="0" applyBorder="0" applyAlignment="0" applyProtection="0"/>
    <xf numFmtId="296" fontId="23" fillId="0" borderId="0" applyFont="0" applyFill="0" applyBorder="0" applyAlignment="0" applyProtection="0"/>
    <xf numFmtId="296" fontId="16" fillId="0" borderId="0" applyFont="0" applyFill="0" applyBorder="0" applyAlignment="0" applyProtection="0"/>
    <xf numFmtId="0" fontId="16" fillId="0" borderId="0"/>
    <xf numFmtId="44" fontId="16"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0" fontId="16" fillId="0" borderId="0"/>
    <xf numFmtId="44" fontId="16" fillId="0" borderId="0" applyFont="0" applyFill="0" applyBorder="0" applyAlignment="0" applyProtection="0"/>
    <xf numFmtId="0" fontId="16" fillId="0" borderId="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0" fontId="16" fillId="0" borderId="0"/>
    <xf numFmtId="44" fontId="71" fillId="0" borderId="0" applyFont="0" applyFill="0" applyBorder="0" applyAlignment="0" applyProtection="0"/>
    <xf numFmtId="0" fontId="16" fillId="0" borderId="0"/>
    <xf numFmtId="8" fontId="22" fillId="0" borderId="0" applyFont="0" applyFill="0" applyBorder="0" applyAlignment="0" applyProtection="0"/>
    <xf numFmtId="0" fontId="16" fillId="0" borderId="0"/>
    <xf numFmtId="183" fontId="16" fillId="0" borderId="0" applyFont="0" applyFill="0" applyBorder="0" applyAlignment="0" applyProtection="0"/>
    <xf numFmtId="0" fontId="16" fillId="0" borderId="0"/>
    <xf numFmtId="44" fontId="105" fillId="0" borderId="0" applyFont="0" applyFill="0" applyBorder="0" applyAlignment="0" applyProtection="0">
      <alignment vertical="top"/>
    </xf>
    <xf numFmtId="44" fontId="11" fillId="0" borderId="0" applyFont="0" applyFill="0" applyBorder="0" applyAlignment="0" applyProtection="0"/>
    <xf numFmtId="44" fontId="11" fillId="0" borderId="0" applyFont="0" applyFill="0" applyBorder="0" applyAlignment="0" applyProtection="0"/>
    <xf numFmtId="0" fontId="16" fillId="0" borderId="0"/>
    <xf numFmtId="44" fontId="11" fillId="0" borderId="0" applyFont="0" applyFill="0" applyBorder="0" applyAlignment="0" applyProtection="0"/>
    <xf numFmtId="0" fontId="16" fillId="0" borderId="0"/>
    <xf numFmtId="8" fontId="16" fillId="0" borderId="0">
      <alignment horizontal="right"/>
    </xf>
    <xf numFmtId="0" fontId="16" fillId="0" borderId="0"/>
    <xf numFmtId="0" fontId="16" fillId="0" borderId="0"/>
    <xf numFmtId="6" fontId="16" fillId="0" borderId="0" applyFont="0" applyFill="0" applyBorder="0" applyAlignment="0" applyProtection="0"/>
    <xf numFmtId="0" fontId="16" fillId="0" borderId="0"/>
    <xf numFmtId="0" fontId="16" fillId="0" borderId="0"/>
    <xf numFmtId="0" fontId="16" fillId="0" borderId="0"/>
    <xf numFmtId="274" fontId="20" fillId="29" borderId="0" applyFont="0" applyBorder="0"/>
    <xf numFmtId="0" fontId="16" fillId="0" borderId="0"/>
    <xf numFmtId="14" fontId="16" fillId="0" borderId="0" applyFont="0" applyFill="0" applyBorder="0" applyAlignment="0" applyProtection="0">
      <alignment horizontal="center"/>
    </xf>
    <xf numFmtId="0" fontId="16" fillId="0" borderId="0"/>
    <xf numFmtId="192" fontId="106" fillId="0" borderId="0"/>
    <xf numFmtId="0" fontId="16" fillId="0" borderId="0"/>
    <xf numFmtId="192" fontId="16" fillId="0" borderId="0" applyNumberFormat="0" applyAlignment="0">
      <alignment horizontal="left"/>
      <protection locked="0"/>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5" fontId="80" fillId="0" borderId="0" applyFill="0" applyBorder="0" applyAlignment="0"/>
    <xf numFmtId="297" fontId="80" fillId="36" borderId="0" applyFont="0" applyFill="0" applyBorder="0" applyAlignment="0" applyProtection="0"/>
    <xf numFmtId="298" fontId="14" fillId="36" borderId="32" applyFont="0" applyFill="0" applyBorder="0" applyAlignment="0" applyProtection="0"/>
    <xf numFmtId="298" fontId="14" fillId="36" borderId="32" applyFont="0" applyFill="0" applyBorder="0" applyAlignment="0" applyProtection="0"/>
    <xf numFmtId="297" fontId="46" fillId="36"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299" fontId="16" fillId="0" borderId="0" applyFont="0" applyFill="0" applyBorder="0" applyAlignment="0" applyProtection="0">
      <alignment horizontal="center"/>
    </xf>
    <xf numFmtId="300" fontId="23"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17" fontId="16" fillId="0" borderId="0" applyFont="0" applyFill="0" applyBorder="0" applyAlignment="0" applyProtection="0">
      <alignment horizontal="center"/>
    </xf>
    <xf numFmtId="0" fontId="16" fillId="0" borderId="0"/>
    <xf numFmtId="0" fontId="16" fillId="0" borderId="0"/>
    <xf numFmtId="0" fontId="16" fillId="0" borderId="0"/>
    <xf numFmtId="301" fontId="86" fillId="0" borderId="0" applyFont="0" applyFill="0" applyBorder="0" applyAlignment="0" applyProtection="0">
      <alignment horizontal="center"/>
    </xf>
    <xf numFmtId="302" fontId="86" fillId="0" borderId="33" applyFont="0" applyFill="0" applyBorder="0" applyAlignment="0" applyProtection="0">
      <alignment horizontal="center"/>
    </xf>
    <xf numFmtId="302" fontId="86" fillId="0" borderId="33" applyFont="0" applyFill="0" applyBorder="0" applyAlignment="0" applyProtection="0">
      <alignment horizontal="center"/>
    </xf>
    <xf numFmtId="302" fontId="86" fillId="0" borderId="33" applyFont="0" applyFill="0" applyBorder="0" applyAlignment="0" applyProtection="0">
      <alignment horizontal="center"/>
    </xf>
    <xf numFmtId="302" fontId="86" fillId="0" borderId="33" applyFont="0" applyFill="0" applyBorder="0" applyAlignment="0" applyProtection="0">
      <alignment horizontal="center"/>
    </xf>
    <xf numFmtId="302" fontId="86" fillId="0" borderId="33" applyFont="0" applyFill="0" applyBorder="0" applyAlignment="0" applyProtection="0">
      <alignment horizontal="center"/>
    </xf>
    <xf numFmtId="302" fontId="86" fillId="0" borderId="33" applyFont="0" applyFill="0" applyBorder="0" applyAlignment="0" applyProtection="0">
      <alignment horizontal="center"/>
    </xf>
    <xf numFmtId="186" fontId="46" fillId="0" borderId="33" applyFont="0" applyFill="0" applyBorder="0" applyAlignment="0" applyProtection="0">
      <alignment horizontal="center"/>
    </xf>
    <xf numFmtId="186" fontId="46" fillId="0" borderId="33" applyFont="0" applyFill="0" applyBorder="0" applyAlignment="0" applyProtection="0">
      <alignment horizontal="center"/>
    </xf>
    <xf numFmtId="186" fontId="46" fillId="0" borderId="33" applyFont="0" applyFill="0" applyBorder="0" applyAlignment="0" applyProtection="0">
      <alignment horizontal="center"/>
    </xf>
    <xf numFmtId="186" fontId="46" fillId="0" borderId="33" applyFont="0" applyFill="0" applyBorder="0" applyAlignment="0" applyProtection="0">
      <alignment horizontal="center"/>
    </xf>
    <xf numFmtId="186" fontId="46" fillId="0" borderId="33" applyFont="0" applyFill="0" applyBorder="0" applyAlignment="0" applyProtection="0">
      <alignment horizontal="center"/>
    </xf>
    <xf numFmtId="186" fontId="46" fillId="0" borderId="33" applyFont="0" applyFill="0" applyBorder="0" applyAlignment="0" applyProtection="0">
      <alignment horizontal="center"/>
    </xf>
    <xf numFmtId="14" fontId="107" fillId="0" borderId="0" applyFont="0" applyFill="0" applyBorder="0"/>
    <xf numFmtId="15" fontId="64" fillId="0" borderId="0" applyFont="0" applyFill="0" applyBorder="0" applyAlignment="0" applyProtection="0">
      <alignment horizontal="center"/>
    </xf>
    <xf numFmtId="270" fontId="16" fillId="0" borderId="0" applyFont="0" applyFill="0" applyBorder="0" applyAlignment="0" applyProtection="0">
      <alignment horizontal="center"/>
    </xf>
    <xf numFmtId="270" fontId="108" fillId="0" borderId="0" applyFont="0" applyFill="0" applyBorder="0" applyAlignment="0" applyProtection="0">
      <alignment horizontal="center"/>
    </xf>
    <xf numFmtId="0" fontId="28" fillId="0" borderId="0"/>
    <xf numFmtId="0" fontId="109" fillId="0" borderId="0">
      <protection locked="0"/>
    </xf>
    <xf numFmtId="0" fontId="110" fillId="0" borderId="0">
      <protection locked="0"/>
    </xf>
    <xf numFmtId="0" fontId="110" fillId="0" borderId="0">
      <protection locked="0"/>
    </xf>
    <xf numFmtId="0" fontId="16" fillId="0" borderId="0"/>
    <xf numFmtId="186" fontId="16" fillId="0" borderId="0" applyFont="0" applyFill="0" applyBorder="0" applyAlignment="0" applyProtection="0"/>
    <xf numFmtId="4" fontId="91"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7" fontId="46" fillId="0" borderId="0"/>
    <xf numFmtId="4" fontId="42" fillId="0" borderId="0" applyFont="0" applyFill="0" applyBorder="0" applyAlignment="0" applyProtection="0"/>
    <xf numFmtId="7" fontId="46" fillId="0" borderId="0"/>
    <xf numFmtId="0" fontId="16" fillId="0" borderId="0"/>
    <xf numFmtId="6" fontId="25" fillId="0" borderId="0" applyFont="0" applyFill="0" applyBorder="0" applyAlignment="0" applyProtection="0"/>
    <xf numFmtId="0" fontId="16" fillId="0" borderId="0"/>
    <xf numFmtId="0" fontId="16" fillId="0" borderId="0"/>
    <xf numFmtId="0" fontId="16" fillId="0" borderId="0"/>
    <xf numFmtId="38" fontId="46" fillId="29" borderId="0" applyNumberFormat="0" applyFon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66" fontId="111"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303" fontId="16" fillId="36" borderId="0" applyFont="0" applyFill="0" applyBorder="0" applyAlignment="0"/>
    <xf numFmtId="2" fontId="16" fillId="0" borderId="0" applyFont="0" applyFill="0" applyBorder="0" applyAlignment="0" applyProtection="0"/>
    <xf numFmtId="304" fontId="16" fillId="0" borderId="0" applyFont="0" applyFill="0" applyBorder="0" applyAlignment="0"/>
    <xf numFmtId="0" fontId="16" fillId="0" borderId="0"/>
    <xf numFmtId="0" fontId="16" fillId="0" borderId="0"/>
    <xf numFmtId="0" fontId="16" fillId="0" borderId="0"/>
    <xf numFmtId="0" fontId="16" fillId="0" borderId="0"/>
    <xf numFmtId="0" fontId="112" fillId="0" borderId="0">
      <protection locked="0"/>
    </xf>
    <xf numFmtId="0" fontId="16" fillId="0" borderId="0"/>
    <xf numFmtId="305" fontId="16" fillId="63" borderId="0">
      <alignment horizontal="center"/>
      <protection locked="0"/>
    </xf>
    <xf numFmtId="306" fontId="61" fillId="0" borderId="0">
      <alignment horizontal="right"/>
    </xf>
    <xf numFmtId="0" fontId="16" fillId="0" borderId="0"/>
    <xf numFmtId="0" fontId="16" fillId="0" borderId="0"/>
    <xf numFmtId="0" fontId="16" fillId="0" borderId="0"/>
    <xf numFmtId="0" fontId="16" fillId="0" borderId="0"/>
    <xf numFmtId="0" fontId="16" fillId="0" borderId="0"/>
    <xf numFmtId="2" fontId="16" fillId="36" borderId="34" applyFill="0" applyBorder="0" applyProtection="0">
      <alignment horizontal="center"/>
    </xf>
    <xf numFmtId="2" fontId="16" fillId="36" borderId="34" applyFill="0" applyBorder="0" applyProtection="0">
      <alignment horizontal="center"/>
    </xf>
    <xf numFmtId="2" fontId="16" fillId="36" borderId="34" applyFill="0" applyBorder="0" applyProtection="0">
      <alignment horizontal="center"/>
    </xf>
    <xf numFmtId="2" fontId="16" fillId="36" borderId="34" applyFill="0" applyBorder="0" applyProtection="0">
      <alignment horizontal="center"/>
    </xf>
    <xf numFmtId="2" fontId="16" fillId="36" borderId="34" applyFill="0" applyBorder="0" applyProtection="0">
      <alignment horizontal="center"/>
    </xf>
    <xf numFmtId="2" fontId="16" fillId="36" borderId="34" applyFill="0" applyBorder="0" applyProtection="0">
      <alignment horizontal="center"/>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72" fontId="46" fillId="0" borderId="0" applyFill="0" applyBorder="0" applyAlignment="0" applyProtection="0">
      <alignment horizontal="right"/>
    </xf>
    <xf numFmtId="172" fontId="46" fillId="0" borderId="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13" fillId="0" borderId="0">
      <protection locked="0"/>
    </xf>
    <xf numFmtId="0" fontId="16" fillId="0" borderId="0"/>
    <xf numFmtId="0" fontId="16" fillId="0" borderId="0"/>
    <xf numFmtId="0" fontId="114" fillId="0" borderId="35">
      <alignment horizontal="left" vertical="center"/>
    </xf>
    <xf numFmtId="0" fontId="114" fillId="0" borderId="35">
      <alignment horizontal="left" vertical="center"/>
    </xf>
    <xf numFmtId="0" fontId="114" fillId="0" borderId="35">
      <alignment horizontal="left" vertical="center"/>
    </xf>
    <xf numFmtId="0" fontId="114" fillId="0" borderId="35">
      <alignment horizontal="left" vertical="center"/>
    </xf>
    <xf numFmtId="0" fontId="16" fillId="0" borderId="0"/>
    <xf numFmtId="0" fontId="115" fillId="58" borderId="36" applyNumberFormat="0" applyBorder="0">
      <alignment horizontal="left" vertical="center" indent="1"/>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49" fontId="116" fillId="0" borderId="0">
      <alignment horizontal="centerContinuous"/>
    </xf>
    <xf numFmtId="0" fontId="16" fillId="0" borderId="0"/>
    <xf numFmtId="0" fontId="117" fillId="0" borderId="3" applyFill="0" applyAlignment="0" applyProtection="0">
      <protection locked="0"/>
    </xf>
    <xf numFmtId="0" fontId="117" fillId="0" borderId="3" applyFill="0" applyAlignment="0" applyProtection="0">
      <protection locked="0"/>
    </xf>
    <xf numFmtId="0" fontId="117" fillId="0" borderId="3" applyFill="0" applyAlignment="0" applyProtection="0">
      <protection locked="0"/>
    </xf>
    <xf numFmtId="0" fontId="16" fillId="0" borderId="0"/>
    <xf numFmtId="0" fontId="16" fillId="0" borderId="0"/>
    <xf numFmtId="0" fontId="16" fillId="0" borderId="0"/>
    <xf numFmtId="0" fontId="16" fillId="0" borderId="0"/>
    <xf numFmtId="0" fontId="118" fillId="64" borderId="37">
      <alignment horizontal="left" vertical="center"/>
    </xf>
    <xf numFmtId="0" fontId="118" fillId="64" borderId="37">
      <alignment horizontal="left" vertical="center"/>
    </xf>
    <xf numFmtId="0" fontId="118" fillId="64" borderId="37">
      <alignment horizontal="left" vertical="center"/>
    </xf>
    <xf numFmtId="0" fontId="118" fillId="64" borderId="37">
      <alignment horizontal="left" vertical="center"/>
    </xf>
    <xf numFmtId="0" fontId="118" fillId="64" borderId="37">
      <alignment horizontal="left" vertical="center"/>
    </xf>
    <xf numFmtId="0" fontId="118" fillId="64" borderId="37">
      <alignment horizontal="left" vertical="center"/>
    </xf>
    <xf numFmtId="0" fontId="118" fillId="64" borderId="38" applyBorder="0">
      <alignment horizontal="center" vertical="center" wrapText="1"/>
    </xf>
    <xf numFmtId="0" fontId="118" fillId="64" borderId="38" applyBorder="0">
      <alignment horizontal="center" vertical="center" wrapText="1"/>
    </xf>
    <xf numFmtId="0" fontId="118" fillId="64" borderId="38" applyBorder="0">
      <alignment horizontal="center" vertical="center" wrapText="1"/>
    </xf>
    <xf numFmtId="0" fontId="118" fillId="64" borderId="38" applyBorder="0">
      <alignment horizontal="center" vertical="center" wrapText="1"/>
    </xf>
    <xf numFmtId="0" fontId="118" fillId="64" borderId="38" applyBorder="0">
      <alignment horizontal="center" vertical="center" wrapText="1"/>
    </xf>
    <xf numFmtId="0" fontId="118" fillId="64" borderId="38" applyBorder="0">
      <alignment horizontal="center" vertical="center" wrapText="1"/>
    </xf>
    <xf numFmtId="0" fontId="16" fillId="0" borderId="0"/>
    <xf numFmtId="0" fontId="16" fillId="0" borderId="0"/>
    <xf numFmtId="0" fontId="16" fillId="0" borderId="0"/>
    <xf numFmtId="0" fontId="16" fillId="0" borderId="0"/>
    <xf numFmtId="0" fontId="16" fillId="0" borderId="0"/>
    <xf numFmtId="0" fontId="119" fillId="0" borderId="0" applyNumberFormat="0" applyFill="0" applyBorder="0" applyAlignment="0" applyProtection="0">
      <alignment vertical="top"/>
      <protection locked="0"/>
    </xf>
    <xf numFmtId="0" fontId="120" fillId="0" borderId="0"/>
    <xf numFmtId="0" fontId="31" fillId="0" borderId="0"/>
    <xf numFmtId="270" fontId="25" fillId="0" borderId="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8" fontId="46" fillId="36" borderId="0" applyFont="0" applyBorder="0" applyAlignment="0" applyProtection="0">
      <protection locked="0"/>
    </xf>
    <xf numFmtId="298" fontId="46" fillId="36" borderId="0" applyFont="0" applyBorder="0" applyAlignment="0" applyProtection="0">
      <protection locked="0"/>
    </xf>
    <xf numFmtId="303" fontId="46" fillId="36" borderId="0" applyFont="0" applyBorder="0" applyAlignment="0">
      <protection locked="0"/>
    </xf>
    <xf numFmtId="270" fontId="46" fillId="36" borderId="0">
      <protection locked="0"/>
    </xf>
    <xf numFmtId="307" fontId="46" fillId="36" borderId="0" applyFont="0" applyBorder="0" applyAlignment="0">
      <protection locked="0"/>
    </xf>
    <xf numFmtId="10" fontId="46" fillId="36" borderId="0">
      <protection locked="0"/>
    </xf>
    <xf numFmtId="270" fontId="121" fillId="36" borderId="0" applyNumberFormat="0" applyBorder="0" applyAlignment="0">
      <protection locked="0"/>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2" fillId="0" borderId="0" applyNumberFormat="0" applyFill="0" applyBorder="0" applyAlignment="0">
      <protection locked="0"/>
    </xf>
    <xf numFmtId="8" fontId="123" fillId="0" borderId="31" applyNumberFormat="0" applyFill="0" applyBorder="0" applyAlignment="0" applyProtection="0"/>
    <xf numFmtId="8" fontId="123" fillId="0" borderId="31" applyNumberFormat="0" applyFill="0" applyBorder="0" applyAlignment="0" applyProtection="0"/>
    <xf numFmtId="8" fontId="123" fillId="0" borderId="31" applyNumberFormat="0" applyFill="0" applyBorder="0" applyAlignment="0" applyProtection="0"/>
    <xf numFmtId="8" fontId="123" fillId="0" borderId="31" applyNumberFormat="0" applyFill="0" applyBorder="0" applyAlignment="0" applyProtection="0"/>
    <xf numFmtId="8" fontId="123" fillId="0" borderId="31" applyNumberFormat="0" applyFill="0" applyBorder="0" applyAlignment="0" applyProtection="0"/>
    <xf numFmtId="8" fontId="123" fillId="0" borderId="31" applyNumberFormat="0" applyFill="0" applyBorder="0" applyAlignment="0" applyProtection="0"/>
    <xf numFmtId="270" fontId="46" fillId="36" borderId="0" applyNumberFormat="0" applyFont="0" applyBorder="0" applyAlignment="0" applyProtection="0">
      <alignment horizontal="center"/>
      <protection locked="0"/>
    </xf>
    <xf numFmtId="0" fontId="124" fillId="0" borderId="0" applyNumberFormat="0" applyFill="0" applyBorder="0" applyAlignment="0">
      <protection locked="0"/>
    </xf>
    <xf numFmtId="308" fontId="16" fillId="0" borderId="0" applyFill="0" applyBorder="0" applyAlignment="0">
      <protection locked="0"/>
    </xf>
    <xf numFmtId="0" fontId="16" fillId="0" borderId="0"/>
    <xf numFmtId="0" fontId="16" fillId="0" borderId="0"/>
    <xf numFmtId="0" fontId="16" fillId="0" borderId="0"/>
    <xf numFmtId="0" fontId="16" fillId="0" borderId="0"/>
    <xf numFmtId="309" fontId="16" fillId="0" borderId="0" applyFill="0" applyBorder="0">
      <alignment horizontal="right"/>
      <protection locked="0"/>
    </xf>
    <xf numFmtId="0" fontId="40" fillId="65" borderId="37">
      <alignment horizontal="left" vertical="center" wrapText="1"/>
    </xf>
    <xf numFmtId="0" fontId="40" fillId="65" borderId="37">
      <alignment horizontal="left" vertical="center" wrapText="1"/>
    </xf>
    <xf numFmtId="0" fontId="40" fillId="65" borderId="37">
      <alignment horizontal="left" vertical="center" wrapText="1"/>
    </xf>
    <xf numFmtId="0" fontId="40" fillId="65" borderId="37">
      <alignment horizontal="left" vertical="center" wrapText="1"/>
    </xf>
    <xf numFmtId="0" fontId="40" fillId="65" borderId="37">
      <alignment horizontal="left" vertical="center" wrapText="1"/>
    </xf>
    <xf numFmtId="0" fontId="40" fillId="65" borderId="37">
      <alignment horizontal="left" vertical="center" wrapText="1"/>
    </xf>
    <xf numFmtId="0" fontId="16" fillId="0" borderId="0"/>
    <xf numFmtId="0" fontId="16" fillId="0" borderId="0"/>
    <xf numFmtId="0" fontId="16" fillId="0" borderId="0"/>
    <xf numFmtId="0" fontId="16" fillId="0" borderId="0"/>
    <xf numFmtId="0" fontId="16" fillId="0" borderId="0" applyFont="0" applyFill="0" applyBorder="0" applyAlignment="0" applyProtection="0"/>
    <xf numFmtId="177" fontId="19" fillId="29" borderId="0" applyFont="0">
      <alignment horizontal="center"/>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0" fillId="0" borderId="0" applyNumberFormat="0" applyFont="0" applyFill="0" applyBorder="0" applyProtection="0">
      <alignment horizontal="left" vertical="center"/>
    </xf>
    <xf numFmtId="0" fontId="16" fillId="0" borderId="0"/>
    <xf numFmtId="0" fontId="16" fillId="0" borderId="0"/>
    <xf numFmtId="0" fontId="16" fillId="0" borderId="0"/>
    <xf numFmtId="0" fontId="16" fillId="0" borderId="0"/>
    <xf numFmtId="0" fontId="125" fillId="0" borderId="0" applyNumberFormat="0" applyFill="0" applyBorder="0" applyAlignment="0" applyProtection="0">
      <alignment vertical="top"/>
      <protection locked="0"/>
    </xf>
    <xf numFmtId="1" fontId="46" fillId="0" borderId="3" applyNumberFormat="0" applyFont="0" applyFill="0" applyAlignment="0" applyProtection="0">
      <alignment horizontal="center"/>
    </xf>
    <xf numFmtId="1" fontId="46" fillId="0" borderId="3" applyNumberFormat="0" applyFont="0" applyFill="0" applyAlignment="0" applyProtection="0">
      <alignment horizontal="center"/>
    </xf>
    <xf numFmtId="1" fontId="46" fillId="0" borderId="3" applyNumberFormat="0" applyFont="0" applyFill="0" applyAlignment="0" applyProtection="0">
      <alignment horizontal="center"/>
    </xf>
    <xf numFmtId="0" fontId="16" fillId="0" borderId="0"/>
    <xf numFmtId="2" fontId="16" fillId="0" borderId="0" applyNumberFormat="0" applyBorder="0">
      <alignment horizontal="left"/>
    </xf>
    <xf numFmtId="1" fontId="46" fillId="0" borderId="33" applyNumberFormat="0" applyFont="0" applyFill="0" applyProtection="0">
      <alignment horizontal="center"/>
    </xf>
    <xf numFmtId="1" fontId="46" fillId="0" borderId="33" applyNumberFormat="0" applyFont="0" applyFill="0" applyProtection="0">
      <alignment horizontal="center"/>
    </xf>
    <xf numFmtId="1" fontId="46" fillId="0" borderId="33" applyNumberFormat="0" applyFont="0" applyFill="0" applyProtection="0">
      <alignment horizontal="center"/>
    </xf>
    <xf numFmtId="1" fontId="46" fillId="0" borderId="33" applyNumberFormat="0" applyFont="0" applyFill="0" applyProtection="0">
      <alignment horizontal="center"/>
    </xf>
    <xf numFmtId="1" fontId="46" fillId="0" borderId="33" applyNumberFormat="0" applyFont="0" applyFill="0" applyProtection="0">
      <alignment horizontal="center"/>
    </xf>
    <xf numFmtId="1" fontId="46" fillId="0" borderId="33" applyNumberFormat="0" applyFont="0" applyFill="0" applyProtection="0">
      <alignment horizontal="center"/>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7" fontId="20" fillId="0" borderId="0"/>
    <xf numFmtId="310" fontId="114" fillId="66" borderId="39" applyBorder="0">
      <protection locked="0"/>
    </xf>
    <xf numFmtId="0" fontId="20" fillId="0" borderId="0" applyNumberFormat="0" applyFill="0" applyBorder="0" applyAlignment="0" applyProtection="0"/>
    <xf numFmtId="0" fontId="20" fillId="0" borderId="0" applyNumberFormat="0" applyFill="0" applyBorder="0" applyAlignment="0" applyProtection="0"/>
    <xf numFmtId="0" fontId="126" fillId="0" borderId="0" applyNumberFormat="0" applyFill="0" applyBorder="0" applyAlignment="0" applyProtection="0"/>
    <xf numFmtId="270" fontId="46" fillId="0" borderId="0" applyFill="0" applyBorder="0" applyAlignment="0" applyProtection="0"/>
    <xf numFmtId="0" fontId="16" fillId="0" borderId="0"/>
    <xf numFmtId="0" fontId="16" fillId="0" borderId="0"/>
    <xf numFmtId="0" fontId="20" fillId="0" borderId="0"/>
    <xf numFmtId="311"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312" fontId="16" fillId="0" borderId="3" applyFont="0" applyFill="0" applyBorder="0" applyAlignment="0" applyProtection="0">
      <protection locked="0"/>
    </xf>
    <xf numFmtId="312" fontId="16" fillId="0" borderId="3" applyFont="0" applyFill="0" applyBorder="0" applyAlignment="0" applyProtection="0">
      <protection locked="0"/>
    </xf>
    <xf numFmtId="312" fontId="16" fillId="0" borderId="3" applyFont="0" applyFill="0" applyBorder="0" applyAlignment="0" applyProtection="0">
      <protection locked="0"/>
    </xf>
    <xf numFmtId="0" fontId="16" fillId="0" borderId="0"/>
    <xf numFmtId="0" fontId="16" fillId="0" borderId="0"/>
    <xf numFmtId="0" fontId="16" fillId="0" borderId="0"/>
    <xf numFmtId="243" fontId="16" fillId="0" borderId="0" applyFont="0" applyFill="0" applyBorder="0" applyAlignment="0" applyProtection="0"/>
    <xf numFmtId="243" fontId="16" fillId="0" borderId="0" applyFont="0" applyFill="0" applyBorder="0" applyAlignment="0" applyProtection="0"/>
    <xf numFmtId="313" fontId="16" fillId="0" borderId="0" applyFont="0" applyFill="0" applyBorder="0" applyAlignment="0" applyProtection="0"/>
    <xf numFmtId="278" fontId="16" fillId="0" borderId="0" applyFont="0" applyFill="0" applyBorder="0" applyAlignment="0" applyProtection="0"/>
    <xf numFmtId="314"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7" fontId="107" fillId="0" borderId="0" applyFont="0" applyFill="0" applyBorder="0">
      <alignment horizontal="right"/>
    </xf>
    <xf numFmtId="17" fontId="64" fillId="0" borderId="0" applyFont="0" applyFill="0" applyBorder="0" applyAlignment="0" applyProtection="0">
      <alignment horizontal="center"/>
    </xf>
    <xf numFmtId="315" fontId="20" fillId="0" borderId="3" applyFont="0" applyFill="0" applyBorder="0" applyProtection="0"/>
    <xf numFmtId="315" fontId="20" fillId="0" borderId="3" applyFont="0" applyFill="0" applyBorder="0" applyProtection="0"/>
    <xf numFmtId="315" fontId="20" fillId="0" borderId="3" applyFont="0" applyFill="0" applyBorder="0" applyProtection="0"/>
    <xf numFmtId="316" fontId="20" fillId="0" borderId="3" applyFont="0" applyFill="0" applyBorder="0" applyAlignment="0" applyProtection="0"/>
    <xf numFmtId="316" fontId="20" fillId="0" borderId="3" applyFont="0" applyFill="0" applyBorder="0" applyAlignment="0" applyProtection="0"/>
    <xf numFmtId="316" fontId="20" fillId="0" borderId="3" applyFont="0" applyFill="0" applyBorder="0" applyAlignment="0" applyProtection="0"/>
    <xf numFmtId="0" fontId="16" fillId="0" borderId="0"/>
    <xf numFmtId="315" fontId="20" fillId="0" borderId="0" applyFont="0" applyFill="0" applyBorder="0" applyAlignment="0" applyProtection="0"/>
    <xf numFmtId="316" fontId="20" fillId="0" borderId="0" applyFont="0" applyFill="0" applyBorder="0" applyAlignment="0" applyProtection="0"/>
    <xf numFmtId="317" fontId="42" fillId="0" borderId="0" applyFont="0" applyFill="0" applyBorder="0" applyAlignment="0" applyProtection="0"/>
    <xf numFmtId="318" fontId="25" fillId="0" borderId="0" applyFont="0" applyFill="0" applyBorder="0" applyAlignment="0" applyProtection="0"/>
    <xf numFmtId="319" fontId="42" fillId="0" borderId="0" applyFont="0" applyFill="0" applyBorder="0" applyAlignment="0" applyProtection="0"/>
    <xf numFmtId="0" fontId="16" fillId="0" borderId="0"/>
    <xf numFmtId="320" fontId="42"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167" fontId="46" fillId="29" borderId="0" applyFont="0" applyBorder="0" applyAlignment="0" applyProtection="0">
      <alignment horizontal="right"/>
      <protection hidden="1"/>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40" fontId="40" fillId="0" borderId="0" applyFont="0" applyFill="0" applyBorder="0" applyAlignment="0" applyProtection="0">
      <alignment horizontal="center"/>
    </xf>
    <xf numFmtId="0" fontId="16" fillId="0" borderId="0"/>
    <xf numFmtId="321" fontId="20" fillId="0" borderId="0"/>
    <xf numFmtId="0" fontId="16" fillId="0" borderId="0"/>
    <xf numFmtId="0" fontId="16" fillId="0" borderId="0"/>
    <xf numFmtId="0" fontId="61" fillId="0" borderId="0" applyNumberFormat="0" applyFill="0" applyAlignment="0" applyProtection="0"/>
    <xf numFmtId="0" fontId="16" fillId="0" borderId="0"/>
    <xf numFmtId="0" fontId="16" fillId="0" borderId="0"/>
    <xf numFmtId="322" fontId="16" fillId="0" borderId="0"/>
    <xf numFmtId="0" fontId="16" fillId="0" borderId="0"/>
    <xf numFmtId="0" fontId="2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38" fontId="46" fillId="0" borderId="0" applyFont="0" applyFill="0" applyBorder="0" applyAlignment="0"/>
    <xf numFmtId="270" fontId="16" fillId="0" borderId="0" applyFont="0" applyFill="0" applyBorder="0" applyAlignment="0"/>
    <xf numFmtId="40" fontId="46" fillId="0" borderId="0" applyFont="0" applyFill="0" applyBorder="0" applyAlignment="0"/>
    <xf numFmtId="274" fontId="46" fillId="0" borderId="0" applyFont="0" applyFill="0" applyBorder="0" applyAlignment="0"/>
    <xf numFmtId="0" fontId="16" fillId="0" borderId="0"/>
    <xf numFmtId="0" fontId="11" fillId="0" borderId="0"/>
    <xf numFmtId="0" fontId="16" fillId="0" borderId="0"/>
    <xf numFmtId="0" fontId="16" fillId="0" borderId="0"/>
    <xf numFmtId="0" fontId="16" fillId="0" borderId="0"/>
    <xf numFmtId="0" fontId="16" fillId="0" borderId="0"/>
    <xf numFmtId="0" fontId="16" fillId="0" borderId="0"/>
    <xf numFmtId="0" fontId="16" fillId="0" borderId="0"/>
    <xf numFmtId="0" fontId="11" fillId="0" borderId="0"/>
    <xf numFmtId="0" fontId="16" fillId="0" borderId="0"/>
    <xf numFmtId="0" fontId="16" fillId="0" borderId="0"/>
    <xf numFmtId="0" fontId="16" fillId="0" borderId="0"/>
    <xf numFmtId="0" fontId="11" fillId="0" borderId="0"/>
    <xf numFmtId="0" fontId="16" fillId="0" borderId="0"/>
    <xf numFmtId="0" fontId="11" fillId="0" borderId="0"/>
    <xf numFmtId="0" fontId="16" fillId="0" borderId="0"/>
    <xf numFmtId="0" fontId="11" fillId="0" borderId="0"/>
    <xf numFmtId="0" fontId="16" fillId="0" borderId="0"/>
    <xf numFmtId="0" fontId="11" fillId="0" borderId="0"/>
    <xf numFmtId="0" fontId="16" fillId="0" borderId="0"/>
    <xf numFmtId="0" fontId="16" fillId="0" borderId="0"/>
    <xf numFmtId="0" fontId="11" fillId="0" borderId="0"/>
    <xf numFmtId="0" fontId="16" fillId="0" borderId="0"/>
    <xf numFmtId="0" fontId="11" fillId="0" borderId="0"/>
    <xf numFmtId="0" fontId="11" fillId="0" borderId="0"/>
    <xf numFmtId="0" fontId="16" fillId="0" borderId="0"/>
    <xf numFmtId="0" fontId="16" fillId="0" borderId="0"/>
    <xf numFmtId="0" fontId="16" fillId="0" borderId="0"/>
    <xf numFmtId="0" fontId="16" fillId="0" borderId="0"/>
    <xf numFmtId="0" fontId="16" fillId="0" borderId="0"/>
    <xf numFmtId="0" fontId="99" fillId="0" borderId="0"/>
    <xf numFmtId="0" fontId="16" fillId="0" borderId="0"/>
    <xf numFmtId="0" fontId="16" fillId="0" borderId="0"/>
    <xf numFmtId="0" fontId="19"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247" fontId="11"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1" fillId="0" borderId="0"/>
    <xf numFmtId="0" fontId="99" fillId="0" borderId="0"/>
    <xf numFmtId="0" fontId="99"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99" fillId="0" borderId="0"/>
    <xf numFmtId="0" fontId="99" fillId="0" borderId="0"/>
    <xf numFmtId="0" fontId="11"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1" fillId="0" borderId="0"/>
    <xf numFmtId="0" fontId="16" fillId="0" borderId="0"/>
    <xf numFmtId="0" fontId="11" fillId="0" borderId="0"/>
    <xf numFmtId="0" fontId="16" fillId="0" borderId="0"/>
    <xf numFmtId="323" fontId="32" fillId="0" borderId="0">
      <alignment horizontal="right"/>
    </xf>
    <xf numFmtId="323" fontId="32" fillId="0" borderId="0">
      <alignment horizontal="right"/>
    </xf>
    <xf numFmtId="0" fontId="16" fillId="0" borderId="0"/>
    <xf numFmtId="1" fontId="64" fillId="0" borderId="0" applyFont="0" applyFill="0" applyBorder="0" applyAlignment="0" applyProtection="0">
      <alignment horizontal="center"/>
    </xf>
    <xf numFmtId="324" fontId="46" fillId="0" borderId="0" applyFont="0" applyFill="0" applyBorder="0" applyAlignment="0" applyProtection="0"/>
    <xf numFmtId="41" fontId="127" fillId="0" borderId="0"/>
    <xf numFmtId="270" fontId="16" fillId="0" borderId="0">
      <alignment horizontal="right"/>
    </xf>
    <xf numFmtId="270" fontId="46" fillId="0" borderId="0"/>
    <xf numFmtId="0" fontId="16" fillId="0" borderId="0"/>
    <xf numFmtId="40" fontId="46" fillId="0" borderId="0"/>
    <xf numFmtId="325" fontId="16" fillId="0" borderId="0"/>
    <xf numFmtId="38" fontId="16" fillId="0" borderId="0"/>
    <xf numFmtId="0" fontId="16" fillId="0" borderId="0"/>
    <xf numFmtId="0" fontId="16" fillId="0" borderId="0"/>
    <xf numFmtId="0" fontId="16" fillId="0" borderId="0"/>
    <xf numFmtId="0" fontId="16" fillId="0" borderId="0"/>
    <xf numFmtId="269" fontId="128" fillId="0" borderId="0">
      <alignment horizontal="right"/>
    </xf>
    <xf numFmtId="0" fontId="16" fillId="0" borderId="0"/>
    <xf numFmtId="0" fontId="16" fillId="0" borderId="0"/>
    <xf numFmtId="0" fontId="16" fillId="0" borderId="0"/>
    <xf numFmtId="39" fontId="46" fillId="0" borderId="0"/>
    <xf numFmtId="0" fontId="16" fillId="0" borderId="0"/>
    <xf numFmtId="40" fontId="16" fillId="0" borderId="0" applyBorder="0">
      <alignment horizontal="right"/>
    </xf>
    <xf numFmtId="0" fontId="16" fillId="0" borderId="0"/>
    <xf numFmtId="0" fontId="11" fillId="3" borderId="1" applyNumberFormat="0" applyFont="0" applyAlignment="0" applyProtection="0"/>
    <xf numFmtId="0" fontId="16" fillId="0" borderId="0"/>
    <xf numFmtId="0" fontId="11" fillId="3" borderId="1" applyNumberFormat="0" applyFont="0" applyAlignment="0" applyProtection="0"/>
    <xf numFmtId="0" fontId="16" fillId="0" borderId="0"/>
    <xf numFmtId="0" fontId="11" fillId="3" borderId="1" applyNumberFormat="0" applyFont="0" applyAlignment="0" applyProtection="0"/>
    <xf numFmtId="0" fontId="16" fillId="0" borderId="0"/>
    <xf numFmtId="0" fontId="11" fillId="3" borderId="1" applyNumberFormat="0" applyFont="0" applyAlignment="0" applyProtection="0"/>
    <xf numFmtId="0" fontId="16" fillId="0" borderId="0"/>
    <xf numFmtId="0" fontId="16" fillId="0" borderId="0"/>
    <xf numFmtId="0" fontId="16" fillId="0" borderId="0"/>
    <xf numFmtId="0" fontId="11" fillId="3" borderId="1" applyNumberFormat="0" applyFont="0" applyAlignment="0" applyProtection="0"/>
    <xf numFmtId="0" fontId="16" fillId="0" borderId="0"/>
    <xf numFmtId="0" fontId="11" fillId="3" borderId="1" applyNumberFormat="0" applyFont="0" applyAlignment="0" applyProtection="0"/>
    <xf numFmtId="0" fontId="16" fillId="0" borderId="0"/>
    <xf numFmtId="0" fontId="11" fillId="3" borderId="1" applyNumberFormat="0" applyFont="0" applyAlignment="0" applyProtection="0"/>
    <xf numFmtId="0" fontId="16" fillId="0" borderId="0"/>
    <xf numFmtId="0" fontId="11" fillId="3" borderId="1" applyNumberFormat="0" applyFont="0" applyAlignment="0" applyProtection="0"/>
    <xf numFmtId="0" fontId="16" fillId="0" borderId="0"/>
    <xf numFmtId="0" fontId="11" fillId="3" borderId="1" applyNumberFormat="0" applyFont="0" applyAlignment="0" applyProtection="0"/>
    <xf numFmtId="0" fontId="16" fillId="0" borderId="0"/>
    <xf numFmtId="0" fontId="11" fillId="3" borderId="1" applyNumberFormat="0" applyFont="0" applyAlignment="0" applyProtection="0"/>
    <xf numFmtId="0" fontId="16" fillId="0" borderId="0"/>
    <xf numFmtId="0" fontId="11" fillId="3" borderId="1" applyNumberFormat="0" applyFont="0" applyAlignment="0" applyProtection="0"/>
    <xf numFmtId="0" fontId="16" fillId="0" borderId="0"/>
    <xf numFmtId="0" fontId="11" fillId="3" borderId="1" applyNumberFormat="0" applyFont="0" applyAlignment="0" applyProtection="0"/>
    <xf numFmtId="270" fontId="4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40" fontId="16" fillId="0" borderId="0" applyFont="0" applyFill="0" applyBorder="0" applyAlignment="0" applyProtection="0">
      <alignment horizontal="center"/>
    </xf>
    <xf numFmtId="0" fontId="16" fillId="0" borderId="0"/>
    <xf numFmtId="0" fontId="16" fillId="0" borderId="0"/>
    <xf numFmtId="0" fontId="16" fillId="0" borderId="0"/>
    <xf numFmtId="0" fontId="16" fillId="0" borderId="0"/>
    <xf numFmtId="43" fontId="20" fillId="0" borderId="0" applyFont="0" applyFill="0" applyBorder="0" applyAlignment="0" applyProtection="0"/>
    <xf numFmtId="0" fontId="16" fillId="0" borderId="0"/>
    <xf numFmtId="0" fontId="16" fillId="0" borderId="0"/>
    <xf numFmtId="0" fontId="16" fillId="0" borderId="0"/>
    <xf numFmtId="0" fontId="129" fillId="0" borderId="0">
      <alignment horizontal="left" vertical="top"/>
      <protection locked="0"/>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30" fillId="0" borderId="3" applyNumberFormat="0" applyFill="0" applyBorder="0" applyAlignment="0">
      <protection locked="0"/>
    </xf>
    <xf numFmtId="0" fontId="130" fillId="0" borderId="3" applyNumberFormat="0" applyFill="0" applyBorder="0" applyAlignment="0">
      <protection locked="0"/>
    </xf>
    <xf numFmtId="0" fontId="130" fillId="0" borderId="3" applyNumberFormat="0" applyFill="0" applyBorder="0" applyAlignment="0">
      <protection locked="0"/>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64" fillId="0" borderId="0" applyNumberFormat="0" applyFill="0" applyBorder="0" applyAlignment="0" applyProtection="0"/>
    <xf numFmtId="326" fontId="46" fillId="0" borderId="0"/>
    <xf numFmtId="0" fontId="16" fillId="0" borderId="0"/>
    <xf numFmtId="0" fontId="16" fillId="0" borderId="0"/>
    <xf numFmtId="0" fontId="16" fillId="0" borderId="0"/>
    <xf numFmtId="0" fontId="16" fillId="0" borderId="0"/>
    <xf numFmtId="0" fontId="101" fillId="0" borderId="0"/>
    <xf numFmtId="327" fontId="16" fillId="0" borderId="0" applyFont="0" applyFill="0" applyBorder="0" applyAlignment="0" applyProtection="0"/>
    <xf numFmtId="328"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329" fontId="42" fillId="0" borderId="0" applyFont="0" applyFill="0" applyBorder="0" applyAlignment="0" applyProtection="0"/>
    <xf numFmtId="165" fontId="131" fillId="0" borderId="0" applyFont="0" applyFill="0" applyBorder="0" applyAlignment="0" applyProtection="0"/>
    <xf numFmtId="0" fontId="16" fillId="0" borderId="0"/>
    <xf numFmtId="0" fontId="16" fillId="0" borderId="0"/>
    <xf numFmtId="0" fontId="16" fillId="0" borderId="0"/>
    <xf numFmtId="330" fontId="16" fillId="0" borderId="0" applyFont="0" applyFill="0" applyBorder="0" applyAlignment="0" applyProtection="0"/>
    <xf numFmtId="331" fontId="16" fillId="0" borderId="0" applyFont="0" applyFill="0" applyBorder="0" applyAlignment="0" applyProtection="0"/>
    <xf numFmtId="276" fontId="16" fillId="0" borderId="0" applyFont="0" applyFill="0" applyBorder="0" applyAlignment="0" applyProtection="0"/>
    <xf numFmtId="278" fontId="20" fillId="0" borderId="0" applyFont="0" applyFill="0" applyBorder="0" applyAlignment="0" applyProtection="0"/>
    <xf numFmtId="185" fontId="20" fillId="0" borderId="0" applyFont="0" applyFill="0" applyBorder="0" applyAlignment="0" applyProtection="0"/>
    <xf numFmtId="332" fontId="20" fillId="0" borderId="0" applyFont="0" applyFill="0" applyBorder="0" applyAlignment="0" applyProtection="0"/>
    <xf numFmtId="282" fontId="16" fillId="0" borderId="0" applyFont="0" applyFill="0" applyBorder="0" applyAlignment="0" applyProtection="0"/>
    <xf numFmtId="0" fontId="16" fillId="0" borderId="0"/>
    <xf numFmtId="0" fontId="16" fillId="0" borderId="0"/>
    <xf numFmtId="0" fontId="16" fillId="0" borderId="0"/>
    <xf numFmtId="9" fontId="11" fillId="0" borderId="0" applyFont="0" applyFill="0" applyBorder="0" applyAlignment="0" applyProtection="0"/>
    <xf numFmtId="9" fontId="99" fillId="0" borderId="0" applyFont="0" applyFill="0" applyBorder="0" applyAlignment="0" applyProtection="0"/>
    <xf numFmtId="9" fontId="16" fillId="0" borderId="0" applyFont="0" applyFill="0" applyBorder="0" applyAlignment="0" applyProtection="0"/>
    <xf numFmtId="9" fontId="11" fillId="0" borderId="0" applyFont="0" applyFill="0" applyBorder="0" applyAlignment="0" applyProtection="0"/>
    <xf numFmtId="0" fontId="16" fillId="0" borderId="0"/>
    <xf numFmtId="9" fontId="16" fillId="0" borderId="0" applyFont="0" applyFill="0" applyBorder="0" applyAlignment="0" applyProtection="0"/>
    <xf numFmtId="0" fontId="16" fillId="0" borderId="0"/>
    <xf numFmtId="9" fontId="16" fillId="0" borderId="0" applyFont="0" applyFill="0" applyBorder="0" applyAlignment="0" applyProtection="0"/>
    <xf numFmtId="0" fontId="16" fillId="0" borderId="0"/>
    <xf numFmtId="9" fontId="16" fillId="0" borderId="0" applyFont="0" applyFill="0" applyBorder="0" applyAlignment="0" applyProtection="0"/>
    <xf numFmtId="0" fontId="16" fillId="0" borderId="0"/>
    <xf numFmtId="9" fontId="16" fillId="0" borderId="0" applyFont="0" applyFill="0" applyBorder="0" applyAlignment="0" applyProtection="0"/>
    <xf numFmtId="9" fontId="16" fillId="0" borderId="0" applyFont="0" applyFill="0" applyBorder="0" applyAlignment="0" applyProtection="0"/>
    <xf numFmtId="0" fontId="16" fillId="0" borderId="0"/>
    <xf numFmtId="9" fontId="16" fillId="0" borderId="0" applyFont="0" applyFill="0" applyBorder="0" applyAlignment="0" applyProtection="0"/>
    <xf numFmtId="9" fontId="22" fillId="0" borderId="0" applyFont="0" applyFill="0" applyBorder="0" applyAlignment="0" applyProtection="0"/>
    <xf numFmtId="0" fontId="16" fillId="0" borderId="0"/>
    <xf numFmtId="9" fontId="16" fillId="0" borderId="0" applyFont="0" applyFill="0" applyBorder="0" applyAlignment="0" applyProtection="0"/>
    <xf numFmtId="0" fontId="16" fillId="0" borderId="0"/>
    <xf numFmtId="9" fontId="78" fillId="0" borderId="0" applyFont="0" applyFill="0" applyBorder="0" applyAlignment="0" applyProtection="0"/>
    <xf numFmtId="0" fontId="16" fillId="0" borderId="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307" fontId="64" fillId="0" borderId="0" applyFont="0" applyFill="0" applyBorder="0" applyAlignment="0" applyProtection="0">
      <alignment horizontal="center"/>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333" fontId="16" fillId="0" borderId="0" applyFill="0" applyBorder="0">
      <alignment horizontal="right"/>
      <protection locked="0"/>
    </xf>
    <xf numFmtId="334" fontId="132" fillId="0" borderId="0" applyFont="0" applyFill="0" applyBorder="0" applyAlignment="0" applyProtection="0">
      <protection locked="0"/>
    </xf>
    <xf numFmtId="0" fontId="16" fillId="0" borderId="0"/>
    <xf numFmtId="0" fontId="16" fillId="0" borderId="0"/>
    <xf numFmtId="335" fontId="46" fillId="0" borderId="0" applyFont="0" applyFill="0" applyBorder="0" applyAlignment="0" applyProtection="0"/>
    <xf numFmtId="336" fontId="46" fillId="0" borderId="0" applyFont="0" applyFill="0" applyBorder="0" applyAlignment="0" applyProtection="0"/>
    <xf numFmtId="0" fontId="16" fillId="0" borderId="0"/>
    <xf numFmtId="0" fontId="16" fillId="0" borderId="0"/>
    <xf numFmtId="0" fontId="16" fillId="0" borderId="0"/>
    <xf numFmtId="0" fontId="16" fillId="0" borderId="0"/>
    <xf numFmtId="337" fontId="2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8" fontId="133" fillId="0" borderId="40">
      <alignment horizontal="right"/>
    </xf>
    <xf numFmtId="0" fontId="16" fillId="0" borderId="0"/>
    <xf numFmtId="0" fontId="16" fillId="0" borderId="0"/>
    <xf numFmtId="0" fontId="16" fillId="0" borderId="0"/>
    <xf numFmtId="0" fontId="16" fillId="0" borderId="0"/>
    <xf numFmtId="0" fontId="134" fillId="0" borderId="0"/>
    <xf numFmtId="0" fontId="134" fillId="0" borderId="41">
      <alignment horizontal="right"/>
    </xf>
    <xf numFmtId="0" fontId="134"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35" fillId="0" borderId="0"/>
    <xf numFmtId="0" fontId="16" fillId="0" borderId="0"/>
    <xf numFmtId="0" fontId="16" fillId="0" borderId="0"/>
    <xf numFmtId="0" fontId="16" fillId="0" borderId="0"/>
    <xf numFmtId="338" fontId="16" fillId="0" borderId="0">
      <alignment horizontal="right"/>
      <protection locked="0"/>
    </xf>
    <xf numFmtId="0" fontId="16" fillId="0" borderId="0"/>
    <xf numFmtId="0" fontId="16" fillId="0" borderId="0"/>
    <xf numFmtId="0" fontId="16" fillId="0" borderId="0"/>
    <xf numFmtId="0" fontId="16" fillId="0" borderId="0"/>
    <xf numFmtId="0" fontId="16" fillId="0" borderId="0"/>
    <xf numFmtId="270" fontId="136" fillId="0" borderId="0" applyNumberFormat="0" applyFill="0" applyBorder="0" applyAlignment="0" applyProtection="0">
      <alignment horizontal="left"/>
    </xf>
    <xf numFmtId="0" fontId="16" fillId="0" borderId="0"/>
    <xf numFmtId="0" fontId="16" fillId="0" borderId="0"/>
    <xf numFmtId="192" fontId="20" fillId="0" borderId="0">
      <alignment horizontal="right"/>
    </xf>
    <xf numFmtId="0" fontId="16" fillId="0" borderId="0"/>
    <xf numFmtId="339" fontId="16" fillId="0" borderId="42" applyBorder="0">
      <alignment horizontal="right"/>
    </xf>
    <xf numFmtId="339" fontId="16" fillId="0" borderId="42" applyBorder="0">
      <alignment horizontal="right"/>
    </xf>
    <xf numFmtId="339" fontId="16" fillId="0" borderId="42" applyBorder="0">
      <alignment horizontal="right"/>
    </xf>
    <xf numFmtId="339" fontId="16" fillId="0" borderId="42" applyBorder="0">
      <alignment horizontal="right"/>
    </xf>
    <xf numFmtId="0" fontId="16" fillId="0" borderId="0"/>
    <xf numFmtId="0" fontId="16" fillId="0" borderId="0"/>
    <xf numFmtId="0" fontId="16" fillId="0" borderId="0"/>
    <xf numFmtId="0" fontId="16" fillId="0" borderId="0"/>
    <xf numFmtId="0" fontId="16" fillId="0" borderId="0"/>
    <xf numFmtId="0" fontId="16" fillId="0" borderId="0"/>
    <xf numFmtId="0" fontId="137" fillId="0" borderId="0">
      <alignment horizontal="right"/>
    </xf>
    <xf numFmtId="0" fontId="138" fillId="0" borderId="0">
      <alignment horizontal="right"/>
    </xf>
    <xf numFmtId="0" fontId="3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39" fillId="0" borderId="43"/>
    <xf numFmtId="0" fontId="139" fillId="0" borderId="43"/>
    <xf numFmtId="0" fontId="139" fillId="0" borderId="43"/>
    <xf numFmtId="0" fontId="139" fillId="0" borderId="43"/>
    <xf numFmtId="0" fontId="139" fillId="0" borderId="43"/>
    <xf numFmtId="0" fontId="139" fillId="0" borderId="43"/>
    <xf numFmtId="0" fontId="16" fillId="0" borderId="0"/>
    <xf numFmtId="0" fontId="114" fillId="62" borderId="29">
      <alignment horizontal="center" vertical="center" wrapText="1"/>
      <protection hidden="1"/>
    </xf>
    <xf numFmtId="0" fontId="114" fillId="62" borderId="29">
      <alignment horizontal="center" vertical="center" wrapText="1"/>
      <protection hidden="1"/>
    </xf>
    <xf numFmtId="0" fontId="114" fillId="62" borderId="29">
      <alignment horizontal="center" vertical="center" wrapText="1"/>
      <protection hidden="1"/>
    </xf>
    <xf numFmtId="0" fontId="114" fillId="62" borderId="29">
      <alignment horizontal="center" vertical="center" wrapText="1"/>
      <protection hidden="1"/>
    </xf>
    <xf numFmtId="0" fontId="114" fillId="62" borderId="29">
      <alignment horizontal="center" vertical="center" wrapText="1"/>
      <protection hidden="1"/>
    </xf>
    <xf numFmtId="0" fontId="114" fillId="62" borderId="29">
      <alignment horizontal="center" vertical="center" wrapText="1"/>
      <protection hidden="1"/>
    </xf>
    <xf numFmtId="340" fontId="20" fillId="0" borderId="0" applyFont="0" applyFill="0" applyBorder="0" applyAlignment="0" applyProtection="0">
      <alignment vertical="center"/>
    </xf>
    <xf numFmtId="0" fontId="16" fillId="0" borderId="0"/>
    <xf numFmtId="0" fontId="16" fillId="0" borderId="0"/>
    <xf numFmtId="0" fontId="140" fillId="1" borderId="35" applyNumberFormat="0" applyFont="0" applyAlignment="0">
      <alignment horizontal="center"/>
    </xf>
    <xf numFmtId="0" fontId="140" fillId="1" borderId="35" applyNumberFormat="0" applyFont="0" applyAlignment="0">
      <alignment horizontal="center"/>
    </xf>
    <xf numFmtId="0" fontId="140" fillId="1" borderId="35" applyNumberFormat="0" applyFont="0" applyAlignment="0">
      <alignment horizontal="center"/>
    </xf>
    <xf numFmtId="0" fontId="140" fillId="1" borderId="35" applyNumberFormat="0" applyFont="0" applyAlignment="0">
      <alignment horizontal="center"/>
    </xf>
    <xf numFmtId="0" fontId="16" fillId="0" borderId="0"/>
    <xf numFmtId="274" fontId="25" fillId="0" borderId="0" applyFont="0" applyFill="0" applyBorder="0" applyAlignment="0" applyProtection="0"/>
    <xf numFmtId="37" fontId="16" fillId="0" borderId="29" applyBorder="0">
      <alignment horizontal="right"/>
      <protection locked="0"/>
    </xf>
    <xf numFmtId="37" fontId="16" fillId="0" borderId="29" applyBorder="0">
      <alignment horizontal="right"/>
      <protection locked="0"/>
    </xf>
    <xf numFmtId="37" fontId="16" fillId="0" borderId="29" applyBorder="0">
      <alignment horizontal="right"/>
      <protection locked="0"/>
    </xf>
    <xf numFmtId="37" fontId="16" fillId="0" borderId="29" applyBorder="0">
      <alignment horizontal="right"/>
      <protection locked="0"/>
    </xf>
    <xf numFmtId="37" fontId="16" fillId="0" borderId="29" applyBorder="0">
      <alignment horizontal="right"/>
      <protection locked="0"/>
    </xf>
    <xf numFmtId="37" fontId="16" fillId="0" borderId="29" applyBorder="0">
      <alignment horizontal="right"/>
      <protection locked="0"/>
    </xf>
    <xf numFmtId="0" fontId="16" fillId="0" borderId="0"/>
    <xf numFmtId="1" fontId="16" fillId="0" borderId="0"/>
    <xf numFmtId="0" fontId="16" fillId="0" borderId="0"/>
    <xf numFmtId="0" fontId="16" fillId="0" borderId="0"/>
    <xf numFmtId="0" fontId="61" fillId="0" borderId="3" applyNumberFormat="0" applyFill="0" applyAlignment="0" applyProtection="0"/>
    <xf numFmtId="0" fontId="61" fillId="0" borderId="3" applyNumberFormat="0" applyFill="0" applyAlignment="0" applyProtection="0"/>
    <xf numFmtId="0" fontId="61" fillId="0" borderId="3" applyNumberFormat="0" applyFill="0" applyAlignment="0" applyProtection="0"/>
    <xf numFmtId="1" fontId="16" fillId="0" borderId="0" applyNumberFormat="0" applyFill="0" applyBorder="0" applyAlignment="0" applyProtection="0">
      <alignment horizontal="center"/>
    </xf>
    <xf numFmtId="1" fontId="19" fillId="0" borderId="0" applyNumberFormat="0" applyFill="0" applyBorder="0" applyAlignment="0" applyProtection="0">
      <alignment horizontal="center"/>
    </xf>
    <xf numFmtId="0" fontId="16" fillId="0" borderId="0"/>
    <xf numFmtId="0" fontId="16" fillId="0" borderId="0"/>
    <xf numFmtId="0" fontId="16" fillId="0" borderId="0"/>
    <xf numFmtId="289" fontId="20" fillId="0" borderId="0">
      <alignment horizontal="center"/>
    </xf>
    <xf numFmtId="6" fontId="24" fillId="0" borderId="0">
      <alignment horizontal="right" vertical="center"/>
    </xf>
    <xf numFmtId="37" fontId="24" fillId="31" borderId="17">
      <alignment horizontal="right" vertical="center"/>
    </xf>
    <xf numFmtId="38" fontId="24" fillId="0" borderId="0">
      <alignment horizontal="right" vertical="center"/>
    </xf>
    <xf numFmtId="9" fontId="24" fillId="0" borderId="0">
      <alignment horizontal="right" vertical="center"/>
    </xf>
    <xf numFmtId="0" fontId="24" fillId="0" borderId="0"/>
    <xf numFmtId="270" fontId="46" fillId="66" borderId="0" applyNumberFormat="0" applyFont="0" applyBorder="0" applyAlignment="0">
      <protection hidden="1"/>
    </xf>
    <xf numFmtId="0" fontId="16" fillId="0" borderId="0"/>
    <xf numFmtId="0" fontId="42" fillId="0" borderId="44"/>
    <xf numFmtId="0" fontId="42" fillId="0" borderId="44"/>
    <xf numFmtId="0" fontId="16" fillId="0" borderId="0"/>
    <xf numFmtId="0" fontId="16" fillId="0" borderId="0">
      <alignment vertical="top"/>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8" fillId="0" borderId="0">
      <alignment vertical="top"/>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alignment vertical="top"/>
    </xf>
    <xf numFmtId="0" fontId="16" fillId="0" borderId="0"/>
    <xf numFmtId="0" fontId="16" fillId="0" borderId="0"/>
    <xf numFmtId="0" fontId="16" fillId="0" borderId="0"/>
    <xf numFmtId="0" fontId="80" fillId="0" borderId="45" applyNumberFormat="0" applyFill="0" applyProtection="0">
      <alignment horizontal="right" wrapText="1"/>
    </xf>
    <xf numFmtId="0" fontId="80" fillId="0" borderId="45" applyNumberFormat="0" applyFill="0" applyProtection="0">
      <alignment horizontal="right" wrapText="1"/>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46" fillId="0" borderId="0" applyNumberFormat="0" applyFill="0" applyBorder="0" applyAlignment="0" applyProtection="0"/>
    <xf numFmtId="0" fontId="46" fillId="0" borderId="0" applyNumberFormat="0" applyFill="0" applyBorder="0" applyAlignment="0" applyProtection="0"/>
    <xf numFmtId="0" fontId="16" fillId="0" borderId="0"/>
    <xf numFmtId="0" fontId="46" fillId="0" borderId="0" applyNumberFormat="0" applyFill="0" applyBorder="0" applyAlignment="0" applyProtection="0"/>
    <xf numFmtId="0" fontId="46" fillId="0" borderId="0" applyNumberForma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41" fillId="0" borderId="0"/>
    <xf numFmtId="270" fontId="25" fillId="0" borderId="0" applyFill="0" applyBorder="0" applyAlignment="0" applyProtection="0"/>
    <xf numFmtId="0" fontId="16" fillId="0" borderId="0"/>
    <xf numFmtId="0" fontId="35" fillId="0" borderId="46"/>
    <xf numFmtId="0" fontId="14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341" fontId="143" fillId="0" borderId="45" applyBorder="0" applyProtection="0">
      <alignment horizontal="right" vertical="center"/>
    </xf>
    <xf numFmtId="341" fontId="143" fillId="0" borderId="45" applyBorder="0" applyProtection="0">
      <alignment horizontal="right" vertical="center"/>
    </xf>
    <xf numFmtId="0" fontId="16" fillId="0" borderId="0"/>
    <xf numFmtId="0" fontId="16" fillId="0" borderId="0"/>
    <xf numFmtId="0" fontId="144" fillId="34" borderId="45" applyBorder="0" applyProtection="0">
      <alignment horizontal="centerContinuous" vertical="center"/>
    </xf>
    <xf numFmtId="0" fontId="144" fillId="34" borderId="45" applyBorder="0" applyProtection="0">
      <alignment horizontal="centerContinuous" vertical="center"/>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47" applyAlignment="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5" fontId="145" fillId="0" borderId="0"/>
    <xf numFmtId="270" fontId="16" fillId="67" borderId="0" applyNumberFormat="0" applyFon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265" fontId="16" fillId="0" borderId="0" applyFont="0" applyFill="0" applyBorder="0" applyAlignment="0" applyProtection="0">
      <alignment horizontal="center"/>
    </xf>
    <xf numFmtId="0" fontId="146" fillId="0" borderId="2" applyNumberFormat="0" applyFill="0" applyAlignment="0" applyProtection="0"/>
    <xf numFmtId="0" fontId="147" fillId="0" borderId="0" applyNumberFormat="0" applyFill="0" applyBorder="0" applyAlignment="0" applyProtection="0"/>
    <xf numFmtId="0" fontId="153" fillId="0" borderId="0"/>
    <xf numFmtId="9" fontId="155" fillId="0" borderId="0" applyFont="0" applyFill="0" applyBorder="0" applyAlignment="0" applyProtection="0"/>
    <xf numFmtId="44" fontId="157" fillId="0" borderId="0" applyFont="0" applyFill="0" applyBorder="0" applyAlignment="0" applyProtection="0"/>
    <xf numFmtId="9" fontId="157" fillId="0" borderId="0" applyFont="0" applyFill="0" applyBorder="0" applyAlignment="0" applyProtection="0"/>
    <xf numFmtId="43" fontId="157" fillId="0" borderId="0" applyFont="0" applyFill="0" applyBorder="0" applyAlignment="0" applyProtection="0"/>
    <xf numFmtId="43" fontId="155" fillId="0" borderId="0" applyFont="0" applyFill="0" applyBorder="0" applyAlignment="0" applyProtection="0"/>
    <xf numFmtId="43" fontId="155"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44" fontId="10" fillId="0" borderId="0" applyFont="0" applyFill="0" applyBorder="0" applyAlignment="0" applyProtection="0"/>
    <xf numFmtId="0" fontId="44" fillId="32" borderId="72">
      <alignment horizontal="center"/>
    </xf>
    <xf numFmtId="0" fontId="45" fillId="35" borderId="72">
      <alignment horizontal="center" vertical="center"/>
    </xf>
    <xf numFmtId="3" fontId="46" fillId="0" borderId="72"/>
    <xf numFmtId="4" fontId="46" fillId="0" borderId="72"/>
    <xf numFmtId="219" fontId="16" fillId="0" borderId="72">
      <alignment horizontal="center" vertical="center"/>
    </xf>
    <xf numFmtId="0" fontId="47" fillId="0" borderId="72">
      <alignment horizontal="center"/>
    </xf>
    <xf numFmtId="0" fontId="48" fillId="36" borderId="72">
      <alignment horizontal="center"/>
    </xf>
    <xf numFmtId="0" fontId="44" fillId="32" borderId="72"/>
    <xf numFmtId="0" fontId="45" fillId="35" borderId="72">
      <alignment horizontal="center" vertical="center"/>
    </xf>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1"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25"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2" borderId="0" applyNumberFormat="0" applyBorder="0" applyAlignment="0" applyProtection="0"/>
    <xf numFmtId="0" fontId="10" fillId="26" borderId="0" applyNumberFormat="0" applyBorder="0" applyAlignment="0" applyProtection="0"/>
    <xf numFmtId="0" fontId="10" fillId="26" borderId="0" applyNumberFormat="0" applyBorder="0" applyAlignment="0" applyProtection="0"/>
    <xf numFmtId="0" fontId="10" fillId="26" borderId="0" applyNumberFormat="0" applyBorder="0" applyAlignment="0" applyProtection="0"/>
    <xf numFmtId="0" fontId="10" fillId="26" borderId="0" applyNumberFormat="0" applyBorder="0" applyAlignment="0" applyProtection="0"/>
    <xf numFmtId="37" fontId="45" fillId="1" borderId="73">
      <alignment horizontal="centerContinuous" vertical="center"/>
    </xf>
    <xf numFmtId="37" fontId="45" fillId="1" borderId="73">
      <alignment horizontal="centerContinuous"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37" fontId="77" fillId="58" borderId="68" applyBorder="0" applyProtection="0">
      <alignment vertical="center"/>
    </xf>
    <xf numFmtId="177" fontId="25" fillId="0" borderId="73"/>
    <xf numFmtId="177" fontId="25" fillId="0" borderId="73"/>
    <xf numFmtId="177" fontId="25" fillId="0" borderId="73"/>
    <xf numFmtId="177" fontId="25" fillId="0" borderId="73"/>
    <xf numFmtId="177" fontId="25" fillId="0" borderId="73"/>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5" fontId="56" fillId="0" borderId="73" applyAlignment="0" applyProtection="0"/>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0" fontId="93" fillId="61" borderId="72"/>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0" fontId="104" fillId="0" borderId="72"/>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302" fontId="86" fillId="0" borderId="73" applyFont="0" applyFill="0" applyBorder="0" applyAlignment="0" applyProtection="0">
      <alignment horizontal="center"/>
    </xf>
    <xf numFmtId="302" fontId="86" fillId="0" borderId="73" applyFont="0" applyFill="0" applyBorder="0" applyAlignment="0" applyProtection="0">
      <alignment horizontal="center"/>
    </xf>
    <xf numFmtId="302" fontId="86" fillId="0" borderId="73" applyFont="0" applyFill="0" applyBorder="0" applyAlignment="0" applyProtection="0">
      <alignment horizontal="center"/>
    </xf>
    <xf numFmtId="302" fontId="86" fillId="0" borderId="73" applyFont="0" applyFill="0" applyBorder="0" applyAlignment="0" applyProtection="0">
      <alignment horizontal="center"/>
    </xf>
    <xf numFmtId="302" fontId="86" fillId="0" borderId="73" applyFont="0" applyFill="0" applyBorder="0" applyAlignment="0" applyProtection="0">
      <alignment horizontal="center"/>
    </xf>
    <xf numFmtId="302" fontId="86" fillId="0" borderId="73" applyFont="0" applyFill="0" applyBorder="0" applyAlignment="0" applyProtection="0">
      <alignment horizontal="center"/>
    </xf>
    <xf numFmtId="186" fontId="46" fillId="0" borderId="73" applyFont="0" applyFill="0" applyBorder="0" applyAlignment="0" applyProtection="0">
      <alignment horizontal="center"/>
    </xf>
    <xf numFmtId="186" fontId="46" fillId="0" borderId="73" applyFont="0" applyFill="0" applyBorder="0" applyAlignment="0" applyProtection="0">
      <alignment horizontal="center"/>
    </xf>
    <xf numFmtId="186" fontId="46" fillId="0" borderId="73" applyFont="0" applyFill="0" applyBorder="0" applyAlignment="0" applyProtection="0">
      <alignment horizontal="center"/>
    </xf>
    <xf numFmtId="186" fontId="46" fillId="0" borderId="73" applyFont="0" applyFill="0" applyBorder="0" applyAlignment="0" applyProtection="0">
      <alignment horizontal="center"/>
    </xf>
    <xf numFmtId="186" fontId="46" fillId="0" borderId="73" applyFont="0" applyFill="0" applyBorder="0" applyAlignment="0" applyProtection="0">
      <alignment horizontal="center"/>
    </xf>
    <xf numFmtId="186" fontId="46" fillId="0" borderId="73" applyFont="0" applyFill="0" applyBorder="0" applyAlignment="0" applyProtection="0">
      <alignment horizontal="center"/>
    </xf>
    <xf numFmtId="2" fontId="16" fillId="36" borderId="68" applyFill="0" applyBorder="0" applyProtection="0">
      <alignment horizontal="center"/>
    </xf>
    <xf numFmtId="2" fontId="16" fillId="36" borderId="68" applyFill="0" applyBorder="0" applyProtection="0">
      <alignment horizontal="center"/>
    </xf>
    <xf numFmtId="2" fontId="16" fillId="36" borderId="68" applyFill="0" applyBorder="0" applyProtection="0">
      <alignment horizontal="center"/>
    </xf>
    <xf numFmtId="2" fontId="16" fillId="36" borderId="68" applyFill="0" applyBorder="0" applyProtection="0">
      <alignment horizontal="center"/>
    </xf>
    <xf numFmtId="2" fontId="16" fillId="36" borderId="68" applyFill="0" applyBorder="0" applyProtection="0">
      <alignment horizontal="center"/>
    </xf>
    <xf numFmtId="2" fontId="16" fillId="36" borderId="68" applyFill="0" applyBorder="0" applyProtection="0">
      <alignment horizontal="center"/>
    </xf>
    <xf numFmtId="0" fontId="114" fillId="0" borderId="74">
      <alignment horizontal="left" vertical="center"/>
    </xf>
    <xf numFmtId="0" fontId="114" fillId="0" borderId="74">
      <alignment horizontal="left" vertical="center"/>
    </xf>
    <xf numFmtId="0" fontId="114" fillId="0" borderId="74">
      <alignment horizontal="left" vertical="center"/>
    </xf>
    <xf numFmtId="0" fontId="114" fillId="0" borderId="74">
      <alignment horizontal="left" vertical="center"/>
    </xf>
    <xf numFmtId="1" fontId="46" fillId="0" borderId="73" applyNumberFormat="0" applyFont="0" applyFill="0" applyProtection="0">
      <alignment horizontal="center"/>
    </xf>
    <xf numFmtId="1" fontId="46" fillId="0" borderId="73" applyNumberFormat="0" applyFont="0" applyFill="0" applyProtection="0">
      <alignment horizontal="center"/>
    </xf>
    <xf numFmtId="1" fontId="46" fillId="0" borderId="73" applyNumberFormat="0" applyFont="0" applyFill="0" applyProtection="0">
      <alignment horizontal="center"/>
    </xf>
    <xf numFmtId="1" fontId="46" fillId="0" borderId="73" applyNumberFormat="0" applyFont="0" applyFill="0" applyProtection="0">
      <alignment horizontal="center"/>
    </xf>
    <xf numFmtId="1" fontId="46" fillId="0" borderId="73" applyNumberFormat="0" applyFont="0" applyFill="0" applyProtection="0">
      <alignment horizontal="center"/>
    </xf>
    <xf numFmtId="1" fontId="46" fillId="0" borderId="73" applyNumberFormat="0" applyFont="0" applyFill="0" applyProtection="0">
      <alignment horizontal="center"/>
    </xf>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247" fontId="10" fillId="0" borderId="0"/>
    <xf numFmtId="0" fontId="10" fillId="0" borderId="0"/>
    <xf numFmtId="0" fontId="10" fillId="0" borderId="0"/>
    <xf numFmtId="0" fontId="10" fillId="0" borderId="0"/>
    <xf numFmtId="0" fontId="10" fillId="0" borderId="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0" fontId="10" fillId="3" borderId="1" applyNumberFormat="0" applyFont="0" applyAlignment="0" applyProtection="0"/>
    <xf numFmtId="9" fontId="10" fillId="0" borderId="0" applyFont="0" applyFill="0" applyBorder="0" applyAlignment="0" applyProtection="0"/>
    <xf numFmtId="9" fontId="10" fillId="0" borderId="0" applyFont="0" applyFill="0" applyBorder="0" applyAlignment="0" applyProtection="0"/>
    <xf numFmtId="339" fontId="16" fillId="0" borderId="69" applyBorder="0">
      <alignment horizontal="right"/>
    </xf>
    <xf numFmtId="339" fontId="16" fillId="0" borderId="69" applyBorder="0">
      <alignment horizontal="right"/>
    </xf>
    <xf numFmtId="339" fontId="16" fillId="0" borderId="69" applyBorder="0">
      <alignment horizontal="right"/>
    </xf>
    <xf numFmtId="339" fontId="16" fillId="0" borderId="69" applyBorder="0">
      <alignment horizontal="right"/>
    </xf>
    <xf numFmtId="0" fontId="114" fillId="62" borderId="72">
      <alignment horizontal="center" vertical="center" wrapText="1"/>
      <protection hidden="1"/>
    </xf>
    <xf numFmtId="0" fontId="114" fillId="62" borderId="72">
      <alignment horizontal="center" vertical="center" wrapText="1"/>
      <protection hidden="1"/>
    </xf>
    <xf numFmtId="0" fontId="114" fillId="62" borderId="72">
      <alignment horizontal="center" vertical="center" wrapText="1"/>
      <protection hidden="1"/>
    </xf>
    <xf numFmtId="0" fontId="114" fillId="62" borderId="72">
      <alignment horizontal="center" vertical="center" wrapText="1"/>
      <protection hidden="1"/>
    </xf>
    <xf numFmtId="0" fontId="114" fillId="62" borderId="72">
      <alignment horizontal="center" vertical="center" wrapText="1"/>
      <protection hidden="1"/>
    </xf>
    <xf numFmtId="0" fontId="114" fillId="62" borderId="72">
      <alignment horizontal="center" vertical="center" wrapText="1"/>
      <protection hidden="1"/>
    </xf>
    <xf numFmtId="0" fontId="140" fillId="1" borderId="74" applyNumberFormat="0" applyFont="0" applyAlignment="0">
      <alignment horizontal="center"/>
    </xf>
    <xf numFmtId="0" fontId="140" fillId="1" borderId="74" applyNumberFormat="0" applyFont="0" applyAlignment="0">
      <alignment horizontal="center"/>
    </xf>
    <xf numFmtId="0" fontId="140" fillId="1" borderId="74" applyNumberFormat="0" applyFont="0" applyAlignment="0">
      <alignment horizontal="center"/>
    </xf>
    <xf numFmtId="0" fontId="140" fillId="1" borderId="74" applyNumberFormat="0" applyFont="0" applyAlignment="0">
      <alignment horizontal="center"/>
    </xf>
    <xf numFmtId="37" fontId="16" fillId="0" borderId="72" applyBorder="0">
      <alignment horizontal="right"/>
      <protection locked="0"/>
    </xf>
    <xf numFmtId="37" fontId="16" fillId="0" borderId="72" applyBorder="0">
      <alignment horizontal="right"/>
      <protection locked="0"/>
    </xf>
    <xf numFmtId="37" fontId="16" fillId="0" borderId="72" applyBorder="0">
      <alignment horizontal="right"/>
      <protection locked="0"/>
    </xf>
    <xf numFmtId="37" fontId="16" fillId="0" borderId="72" applyBorder="0">
      <alignment horizontal="right"/>
      <protection locked="0"/>
    </xf>
    <xf numFmtId="37" fontId="16" fillId="0" borderId="72" applyBorder="0">
      <alignment horizontal="right"/>
      <protection locked="0"/>
    </xf>
    <xf numFmtId="37" fontId="16" fillId="0" borderId="72" applyBorder="0">
      <alignment horizontal="right"/>
      <protection locked="0"/>
    </xf>
    <xf numFmtId="0" fontId="158" fillId="0" borderId="0"/>
    <xf numFmtId="43" fontId="158" fillId="0" borderId="0" applyFont="0" applyFill="0" applyBorder="0" applyAlignment="0" applyProtection="0"/>
    <xf numFmtId="44" fontId="158" fillId="0" borderId="0" applyFont="0" applyFill="0" applyBorder="0" applyAlignment="0" applyProtection="0"/>
    <xf numFmtId="0" fontId="10" fillId="0" borderId="0"/>
    <xf numFmtId="0" fontId="42" fillId="0" borderId="0"/>
    <xf numFmtId="0" fontId="25" fillId="0" borderId="0">
      <alignment horizontal="right"/>
    </xf>
    <xf numFmtId="346" fontId="159" fillId="0" borderId="0">
      <alignment horizontal="right"/>
    </xf>
    <xf numFmtId="0" fontId="160" fillId="0" borderId="0"/>
    <xf numFmtId="0" fontId="16" fillId="0" borderId="0"/>
    <xf numFmtId="0" fontId="160" fillId="0" borderId="0"/>
    <xf numFmtId="0" fontId="16" fillId="0" borderId="0"/>
    <xf numFmtId="0" fontId="16" fillId="0" borderId="0"/>
    <xf numFmtId="0" fontId="16" fillId="0" borderId="0"/>
    <xf numFmtId="0" fontId="160" fillId="0" borderId="0"/>
    <xf numFmtId="0" fontId="160" fillId="0" borderId="0"/>
    <xf numFmtId="0" fontId="16" fillId="0" borderId="0"/>
    <xf numFmtId="0" fontId="16" fillId="0" borderId="0"/>
    <xf numFmtId="0" fontId="20" fillId="0" borderId="0">
      <alignment horizontal="right"/>
    </xf>
    <xf numFmtId="0" fontId="20" fillId="29" borderId="0"/>
    <xf numFmtId="0" fontId="16" fillId="29" borderId="0"/>
    <xf numFmtId="0" fontId="161" fillId="29" borderId="0"/>
    <xf numFmtId="0" fontId="161" fillId="29" borderId="0"/>
    <xf numFmtId="0" fontId="20" fillId="29" borderId="0">
      <alignment horizontal="right"/>
    </xf>
    <xf numFmtId="7" fontId="16" fillId="0" borderId="0">
      <alignment horizontal="right"/>
    </xf>
    <xf numFmtId="9" fontId="23" fillId="0" borderId="0" applyFont="0" applyFill="0" applyBorder="0" applyAlignment="0" applyProtection="0"/>
    <xf numFmtId="9" fontId="16" fillId="0" borderId="0"/>
    <xf numFmtId="0" fontId="69" fillId="37" borderId="0" applyNumberFormat="0" applyBorder="0" applyAlignment="0" applyProtection="0"/>
    <xf numFmtId="0" fontId="69" fillId="38" borderId="0" applyNumberFormat="0" applyBorder="0" applyAlignment="0" applyProtection="0"/>
    <xf numFmtId="0" fontId="69" fillId="39" borderId="0" applyNumberFormat="0" applyBorder="0" applyAlignment="0" applyProtection="0"/>
    <xf numFmtId="0" fontId="69" fillId="40" borderId="0" applyNumberFormat="0" applyBorder="0" applyAlignment="0" applyProtection="0"/>
    <xf numFmtId="0" fontId="69" fillId="41" borderId="0" applyNumberFormat="0" applyBorder="0" applyAlignment="0" applyProtection="0"/>
    <xf numFmtId="0" fontId="69" fillId="42" borderId="0" applyNumberFormat="0" applyBorder="0" applyAlignment="0" applyProtection="0"/>
    <xf numFmtId="0" fontId="69" fillId="45" borderId="0" applyNumberFormat="0" applyBorder="0" applyAlignment="0" applyProtection="0"/>
    <xf numFmtId="0" fontId="69" fillId="46" borderId="0" applyNumberFormat="0" applyBorder="0" applyAlignment="0" applyProtection="0"/>
    <xf numFmtId="0" fontId="69" fillId="47" borderId="0" applyNumberFormat="0" applyBorder="0" applyAlignment="0" applyProtection="0"/>
    <xf numFmtId="0" fontId="69" fillId="40" borderId="0" applyNumberFormat="0" applyBorder="0" applyAlignment="0" applyProtection="0"/>
    <xf numFmtId="0" fontId="69" fillId="45" borderId="0" applyNumberFormat="0" applyBorder="0" applyAlignment="0" applyProtection="0"/>
    <xf numFmtId="0" fontId="69" fillId="48" borderId="0" applyNumberFormat="0" applyBorder="0" applyAlignment="0" applyProtection="0"/>
    <xf numFmtId="0" fontId="73" fillId="49" borderId="0" applyNumberFormat="0" applyBorder="0" applyAlignment="0" applyProtection="0"/>
    <xf numFmtId="0" fontId="73" fillId="46" borderId="0" applyNumberFormat="0" applyBorder="0" applyAlignment="0" applyProtection="0"/>
    <xf numFmtId="0" fontId="73" fillId="47" borderId="0" applyNumberFormat="0" applyBorder="0" applyAlignment="0" applyProtection="0"/>
    <xf numFmtId="0" fontId="73" fillId="50" borderId="0" applyNumberFormat="0" applyBorder="0" applyAlignment="0" applyProtection="0"/>
    <xf numFmtId="0" fontId="73" fillId="51" borderId="0" applyNumberFormat="0" applyBorder="0" applyAlignment="0" applyProtection="0"/>
    <xf numFmtId="0" fontId="73" fillId="52" borderId="0" applyNumberFormat="0" applyBorder="0" applyAlignment="0" applyProtection="0"/>
    <xf numFmtId="39" fontId="16" fillId="0" borderId="0" applyFont="0" applyFill="0" applyBorder="0" applyAlignment="0" applyProtection="0"/>
    <xf numFmtId="38" fontId="16" fillId="0" borderId="0"/>
    <xf numFmtId="347" fontId="16" fillId="0" borderId="0" applyFont="0" applyFill="0" applyBorder="0" applyAlignment="0" applyProtection="0"/>
    <xf numFmtId="0" fontId="16" fillId="0" borderId="0"/>
    <xf numFmtId="0" fontId="46" fillId="0" borderId="0"/>
    <xf numFmtId="348" fontId="16" fillId="0" borderId="0" applyFont="0" applyFill="0" applyBorder="0" applyAlignment="0" applyProtection="0"/>
    <xf numFmtId="349" fontId="16" fillId="0" borderId="0" applyFont="0" applyFill="0" applyBorder="0" applyAlignment="0" applyProtection="0"/>
    <xf numFmtId="270" fontId="46" fillId="0" borderId="0"/>
    <xf numFmtId="0" fontId="30" fillId="0" borderId="0">
      <alignment vertical="center"/>
    </xf>
    <xf numFmtId="0" fontId="16" fillId="0" borderId="0" applyNumberFormat="0" applyFill="0" applyBorder="0" applyAlignment="0" applyProtection="0"/>
    <xf numFmtId="0" fontId="162" fillId="0" borderId="0"/>
    <xf numFmtId="0" fontId="16" fillId="0" borderId="0"/>
    <xf numFmtId="0" fontId="163" fillId="0" borderId="0"/>
    <xf numFmtId="0" fontId="16" fillId="0" borderId="0">
      <alignment horizontal="left" wrapText="1"/>
    </xf>
    <xf numFmtId="0" fontId="20" fillId="0" borderId="0" applyFont="0" applyFill="0" applyBorder="0" applyAlignment="0" applyProtection="0"/>
    <xf numFmtId="0" fontId="46" fillId="0" borderId="0" applyFont="0" applyFill="0" applyBorder="0" applyAlignment="0" applyProtection="0"/>
    <xf numFmtId="0" fontId="91" fillId="0" borderId="0"/>
    <xf numFmtId="0" fontId="20" fillId="0" borderId="0"/>
    <xf numFmtId="0" fontId="16" fillId="29" borderId="0"/>
    <xf numFmtId="0" fontId="164" fillId="77" borderId="0"/>
    <xf numFmtId="0" fontId="165" fillId="78" borderId="0"/>
    <xf numFmtId="0" fontId="166" fillId="79" borderId="0"/>
    <xf numFmtId="0" fontId="167" fillId="0" borderId="0"/>
    <xf numFmtId="0" fontId="35" fillId="0" borderId="0"/>
    <xf numFmtId="0" fontId="20" fillId="0" borderId="0"/>
    <xf numFmtId="0" fontId="42" fillId="0" borderId="0" applyFont="0" applyFill="0" applyBorder="0" applyAlignment="0" applyProtection="0"/>
    <xf numFmtId="350" fontId="16" fillId="0" borderId="0" applyFont="0" applyFill="0" applyBorder="0" applyAlignment="0" applyProtection="0"/>
    <xf numFmtId="192" fontId="16" fillId="0" borderId="0" applyFont="0" applyFill="0" applyBorder="0" applyAlignment="0" applyProtection="0"/>
    <xf numFmtId="39" fontId="16" fillId="0" borderId="0" applyFont="0" applyFill="0" applyBorder="0" applyAlignment="0" applyProtection="0"/>
    <xf numFmtId="39" fontId="16" fillId="0" borderId="0" applyFont="0" applyFill="0" applyBorder="0" applyAlignment="0" applyProtection="0"/>
    <xf numFmtId="192" fontId="16" fillId="0" borderId="0" applyFont="0" applyFill="0" applyBorder="0" applyAlignment="0" applyProtection="0"/>
    <xf numFmtId="39" fontId="16" fillId="0" borderId="0" applyFont="0" applyFill="0" applyBorder="0" applyAlignment="0" applyProtection="0"/>
    <xf numFmtId="4" fontId="16" fillId="36" borderId="0"/>
    <xf numFmtId="0" fontId="16" fillId="0" borderId="0" applyFont="0" applyFill="0" applyBorder="0" applyAlignment="0" applyProtection="0"/>
    <xf numFmtId="192" fontId="16" fillId="0" borderId="0" applyFont="0" applyFill="0" applyBorder="0" applyAlignment="0" applyProtection="0"/>
    <xf numFmtId="347" fontId="16" fillId="0" borderId="0" applyFont="0" applyFill="0" applyBorder="0" applyAlignment="0" applyProtection="0"/>
    <xf numFmtId="0" fontId="16" fillId="0" borderId="0">
      <alignment horizontal="right"/>
    </xf>
    <xf numFmtId="0" fontId="16" fillId="0" borderId="0"/>
    <xf numFmtId="184" fontId="20" fillId="0" borderId="0" applyFont="0" applyFill="0" applyBorder="0" applyAlignment="0"/>
    <xf numFmtId="0" fontId="16" fillId="0" borderId="0"/>
    <xf numFmtId="347" fontId="16" fillId="0" borderId="0" applyFont="0" applyFill="0" applyBorder="0" applyAlignment="0" applyProtection="0"/>
    <xf numFmtId="192" fontId="16" fillId="0" borderId="0" applyFont="0" applyFill="0" applyBorder="0" applyAlignment="0" applyProtection="0"/>
    <xf numFmtId="0" fontId="16" fillId="0" borderId="0">
      <alignment horizontal="right"/>
    </xf>
    <xf numFmtId="332" fontId="16" fillId="0" borderId="0" applyFont="0" applyFill="0" applyBorder="0" applyAlignment="0" applyProtection="0"/>
    <xf numFmtId="0" fontId="49" fillId="80" borderId="0"/>
    <xf numFmtId="0" fontId="37" fillId="0" borderId="0" applyNumberFormat="0" applyFill="0" applyBorder="0" applyAlignment="0" applyProtection="0"/>
    <xf numFmtId="0" fontId="37" fillId="0" borderId="0" applyNumberFormat="0" applyFill="0" applyBorder="0" applyAlignment="0" applyProtection="0"/>
    <xf numFmtId="0" fontId="168" fillId="0" borderId="0" applyFont="0" applyFill="0" applyBorder="0" applyAlignment="0" applyProtection="0"/>
    <xf numFmtId="0" fontId="104" fillId="0" borderId="0" applyFont="0" applyFill="0" applyBorder="0" applyAlignment="0" applyProtection="0"/>
    <xf numFmtId="165" fontId="16" fillId="0" borderId="0" applyFont="0" applyFill="0" applyBorder="0" applyAlignment="0" applyProtection="0"/>
    <xf numFmtId="0" fontId="22" fillId="0" borderId="0"/>
    <xf numFmtId="345"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213" fontId="16" fillId="0" borderId="0" applyFont="0" applyFill="0" applyBorder="0" applyAlignment="0" applyProtection="0"/>
    <xf numFmtId="0" fontId="16" fillId="0" borderId="0" applyFont="0" applyFill="0" applyBorder="0" applyProtection="0">
      <alignment horizontal="right"/>
    </xf>
    <xf numFmtId="0" fontId="31" fillId="0" borderId="0" applyFont="0" applyFill="0" applyBorder="0" applyProtection="0">
      <alignment horizontal="right"/>
    </xf>
    <xf numFmtId="0" fontId="16" fillId="0" borderId="0">
      <alignment horizontal="left" wrapText="1"/>
    </xf>
    <xf numFmtId="0" fontId="16" fillId="0" borderId="0">
      <alignment horizontal="left" wrapText="1"/>
    </xf>
    <xf numFmtId="220" fontId="16" fillId="0" borderId="0">
      <alignment horizontal="left" wrapText="1"/>
    </xf>
    <xf numFmtId="0" fontId="42" fillId="0" borderId="0"/>
    <xf numFmtId="184" fontId="20" fillId="0" borderId="0" applyFont="0" applyFill="0" applyBorder="0" applyAlignment="0"/>
    <xf numFmtId="0" fontId="16" fillId="0" borderId="0"/>
    <xf numFmtId="347" fontId="16" fillId="0" borderId="0" applyFont="0" applyFill="0" applyBorder="0" applyAlignment="0" applyProtection="0"/>
    <xf numFmtId="192" fontId="16" fillId="0" borderId="0" applyFont="0" applyFill="0" applyBorder="0" applyAlignment="0" applyProtection="0"/>
    <xf numFmtId="0" fontId="16" fillId="0" borderId="0">
      <alignment horizontal="right"/>
    </xf>
    <xf numFmtId="0" fontId="51" fillId="0" borderId="22" applyNumberFormat="0" applyFill="0" applyProtection="0">
      <alignment horizontal="center"/>
    </xf>
    <xf numFmtId="0" fontId="16" fillId="0" borderId="44" applyNumberFormat="0" applyFont="0" applyFill="0" applyAlignment="0" applyProtection="0"/>
    <xf numFmtId="0" fontId="51" fillId="0" borderId="0" applyNumberFormat="0" applyFill="0" applyBorder="0" applyProtection="0">
      <alignment horizontal="left"/>
    </xf>
    <xf numFmtId="0" fontId="54" fillId="0" borderId="0" applyNumberFormat="0" applyFill="0" applyBorder="0" applyProtection="0">
      <alignment horizontal="centerContinuous"/>
    </xf>
    <xf numFmtId="0" fontId="41" fillId="0" borderId="0" applyNumberFormat="0" applyFill="0" applyBorder="0" applyAlignment="0" applyProtection="0"/>
    <xf numFmtId="351" fontId="16" fillId="0" borderId="0"/>
    <xf numFmtId="352" fontId="16" fillId="0" borderId="0"/>
    <xf numFmtId="0" fontId="16" fillId="0" borderId="0"/>
    <xf numFmtId="353" fontId="16" fillId="0" borderId="0"/>
    <xf numFmtId="354" fontId="16" fillId="0" borderId="0"/>
    <xf numFmtId="191" fontId="15" fillId="0" borderId="0">
      <alignment horizontal="right"/>
    </xf>
    <xf numFmtId="165" fontId="15" fillId="0" borderId="0"/>
    <xf numFmtId="355" fontId="20" fillId="0" borderId="0"/>
    <xf numFmtId="2" fontId="169" fillId="0" borderId="0" applyNumberFormat="0" applyFill="0" applyBorder="0" applyAlignment="0" applyProtection="0"/>
    <xf numFmtId="2" fontId="170" fillId="0" borderId="0" applyNumberFormat="0" applyFill="0" applyBorder="0" applyAlignment="0" applyProtection="0"/>
    <xf numFmtId="0" fontId="160" fillId="0" borderId="0"/>
    <xf numFmtId="9" fontId="168" fillId="0" borderId="0" applyFont="0" applyFill="0" applyBorder="0" applyAlignment="0" applyProtection="0"/>
    <xf numFmtId="0" fontId="31" fillId="81" borderId="0"/>
    <xf numFmtId="0" fontId="171" fillId="0" borderId="75" applyNumberFormat="0" applyFont="0" applyFill="0" applyAlignment="0" applyProtection="0">
      <alignment horizontal="left"/>
      <protection locked="0"/>
    </xf>
    <xf numFmtId="356" fontId="172" fillId="0" borderId="0"/>
    <xf numFmtId="0" fontId="42" fillId="0" borderId="0" applyBorder="0">
      <alignment horizontal="right"/>
    </xf>
    <xf numFmtId="6" fontId="171" fillId="0" borderId="76" applyNumberFormat="0" applyFont="0" applyFill="0" applyAlignment="0" applyProtection="0">
      <alignment horizontal="left"/>
      <protection locked="0"/>
    </xf>
    <xf numFmtId="0" fontId="173" fillId="0" borderId="30" applyNumberFormat="0" applyFont="0" applyBorder="0" applyAlignment="0" applyProtection="0">
      <alignment horizontal="right"/>
    </xf>
    <xf numFmtId="357" fontId="28" fillId="0" borderId="0" applyFill="0" applyProtection="0"/>
    <xf numFmtId="358" fontId="35" fillId="0" borderId="0"/>
    <xf numFmtId="272" fontId="28" fillId="0" borderId="0" applyFont="0" applyFill="0" applyBorder="0" applyProtection="0"/>
    <xf numFmtId="0" fontId="28" fillId="0" borderId="0" applyFill="0" applyProtection="0"/>
    <xf numFmtId="0" fontId="122" fillId="0" borderId="0" applyFont="0" applyFill="0" applyBorder="0" applyAlignment="0" applyProtection="0"/>
    <xf numFmtId="0" fontId="174" fillId="0" borderId="0" applyNumberFormat="0" applyFill="0" applyBorder="0" applyAlignment="0" applyProtection="0"/>
    <xf numFmtId="0" fontId="175" fillId="0" borderId="0" applyNumberFormat="0" applyFont="0" applyFill="0" applyBorder="0" applyProtection="0">
      <alignment horizontal="centerContinuous"/>
    </xf>
    <xf numFmtId="37" fontId="176" fillId="30" borderId="0" applyNumberFormat="0" applyFont="0" applyBorder="0" applyAlignment="0"/>
    <xf numFmtId="0" fontId="177" fillId="0" borderId="0" applyNumberFormat="0" applyFill="0" applyBorder="0" applyAlignment="0" applyProtection="0"/>
    <xf numFmtId="0" fontId="178" fillId="0" borderId="0"/>
    <xf numFmtId="0" fontId="179" fillId="0" borderId="0" applyNumberFormat="0" applyProtection="0"/>
    <xf numFmtId="359" fontId="16" fillId="82" borderId="0" applyNumberFormat="0" applyFont="0" applyBorder="0" applyAlignment="0" applyProtection="0"/>
    <xf numFmtId="360" fontId="16" fillId="0" borderId="0" applyFont="0" applyFill="0" applyBorder="0" applyAlignment="0" applyProtection="0"/>
    <xf numFmtId="361" fontId="104" fillId="0" borderId="0" applyFont="0" applyFill="0" applyBorder="0" applyAlignment="0" applyProtection="0"/>
    <xf numFmtId="2" fontId="180" fillId="83" borderId="0" applyNumberFormat="0" applyFont="0" applyBorder="0" applyAlignment="0" applyProtection="0"/>
    <xf numFmtId="2" fontId="180" fillId="84" borderId="0" applyNumberFormat="0" applyFont="0" applyBorder="0" applyAlignment="0" applyProtection="0"/>
    <xf numFmtId="0" fontId="56" fillId="0" borderId="0" applyNumberFormat="0" applyFill="0" applyBorder="0" applyAlignment="0" applyProtection="0"/>
    <xf numFmtId="0" fontId="181" fillId="0" borderId="77" applyNumberFormat="0" applyFill="0" applyAlignment="0" applyProtection="0"/>
    <xf numFmtId="0" fontId="25" fillId="0" borderId="0" applyFont="0" applyFill="0" applyBorder="0" applyAlignment="0" applyProtection="0"/>
    <xf numFmtId="362" fontId="16" fillId="0" borderId="0"/>
    <xf numFmtId="0" fontId="182" fillId="85" borderId="0" applyNumberFormat="0">
      <alignment horizontal="left"/>
    </xf>
    <xf numFmtId="0" fontId="132" fillId="0" borderId="0" applyFont="0" applyFill="0" applyBorder="0" applyAlignment="0" applyProtection="0"/>
    <xf numFmtId="332" fontId="132" fillId="0" borderId="0" applyFont="0" applyFill="0" applyBorder="0" applyAlignment="0" applyProtection="0"/>
    <xf numFmtId="0" fontId="132" fillId="0" borderId="0" applyFont="0" applyFill="0" applyBorder="0" applyAlignment="0" applyProtection="0">
      <alignment horizontal="right"/>
    </xf>
    <xf numFmtId="0" fontId="183" fillId="0" borderId="78" applyNumberFormat="0" applyFill="0" applyAlignment="0" applyProtection="0"/>
    <xf numFmtId="0" fontId="184" fillId="0" borderId="79" applyNumberFormat="0" applyFill="0" applyAlignment="0" applyProtection="0"/>
    <xf numFmtId="0" fontId="185" fillId="0" borderId="80" applyNumberFormat="0" applyFill="0" applyAlignment="0" applyProtection="0"/>
    <xf numFmtId="0" fontId="185" fillId="0" borderId="0" applyNumberFormat="0" applyFill="0" applyBorder="0" applyAlignment="0" applyProtection="0"/>
    <xf numFmtId="0" fontId="186" fillId="0" borderId="0">
      <alignment horizontal="left"/>
    </xf>
    <xf numFmtId="0" fontId="187" fillId="0" borderId="0">
      <alignment horizontal="left" wrapText="1"/>
    </xf>
    <xf numFmtId="0" fontId="25" fillId="0" borderId="73" applyFont="0" applyFill="0" applyBorder="0" applyAlignment="0" applyProtection="0">
      <alignment horizontal="right"/>
    </xf>
    <xf numFmtId="0" fontId="25" fillId="0" borderId="0" applyFont="0" applyFill="0" applyBorder="0" applyAlignment="0" applyProtection="0"/>
    <xf numFmtId="0" fontId="63" fillId="0" borderId="0" applyNumberFormat="0" applyFill="0" applyBorder="0" applyAlignment="0" applyProtection="0">
      <alignment vertical="top"/>
      <protection locked="0"/>
    </xf>
    <xf numFmtId="0" fontId="10" fillId="0" borderId="0"/>
    <xf numFmtId="0" fontId="46" fillId="0" borderId="0"/>
    <xf numFmtId="43" fontId="9" fillId="0" borderId="0" applyFont="0" applyFill="0" applyBorder="0" applyAlignment="0" applyProtection="0"/>
    <xf numFmtId="9" fontId="9" fillId="0" borderId="0" applyFont="0" applyFill="0" applyBorder="0" applyAlignment="0" applyProtection="0"/>
    <xf numFmtId="44" fontId="9" fillId="0" borderId="0" applyFont="0" applyFill="0" applyBorder="0" applyAlignment="0" applyProtection="0"/>
    <xf numFmtId="0" fontId="41" fillId="0" borderId="85" applyNumberFormat="0" applyFill="0" applyAlignment="0" applyProtection="0"/>
    <xf numFmtId="0" fontId="41" fillId="0" borderId="85" applyNumberFormat="0" applyFill="0" applyAlignment="0" applyProtection="0"/>
    <xf numFmtId="0" fontId="41" fillId="0" borderId="85" applyNumberFormat="0" applyFill="0" applyAlignment="0" applyProtection="0"/>
    <xf numFmtId="0" fontId="41" fillId="0" borderId="85" applyNumberFormat="0" applyFill="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17"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0"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0" fontId="9" fillId="26" borderId="0" applyNumberFormat="0" applyBorder="0" applyAlignment="0" applyProtection="0"/>
    <xf numFmtId="37" fontId="45" fillId="1" borderId="84">
      <alignment horizontal="centerContinuous" vertical="center"/>
    </xf>
    <xf numFmtId="37" fontId="45" fillId="1" borderId="84">
      <alignment horizontal="centerContinuous"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37" fontId="77" fillId="58" borderId="82" applyBorder="0" applyProtection="0">
      <alignment vertical="center"/>
    </xf>
    <xf numFmtId="0" fontId="79" fillId="0" borderId="86" applyNumberFormat="0" applyFill="0" applyBorder="0" applyAlignment="0" applyProtection="0"/>
    <xf numFmtId="0" fontId="79" fillId="0" borderId="86" applyNumberFormat="0" applyFill="0" applyBorder="0" applyAlignment="0" applyProtection="0"/>
    <xf numFmtId="0" fontId="79" fillId="0" borderId="86" applyNumberFormat="0" applyFill="0" applyBorder="0" applyAlignment="0" applyProtection="0"/>
    <xf numFmtId="0" fontId="79" fillId="0" borderId="86" applyNumberFormat="0" applyFill="0" applyBorder="0" applyAlignment="0" applyProtection="0"/>
    <xf numFmtId="0" fontId="79" fillId="0" borderId="86" applyNumberFormat="0" applyFill="0" applyBorder="0" applyAlignment="0" applyProtection="0"/>
    <xf numFmtId="0" fontId="79" fillId="0" borderId="86" applyNumberFormat="0" applyFill="0" applyBorder="0" applyAlignment="0" applyProtection="0"/>
    <xf numFmtId="0" fontId="79" fillId="0" borderId="86" applyNumberFormat="0" applyFill="0" applyBorder="0" applyAlignment="0" applyProtection="0"/>
    <xf numFmtId="0" fontId="79" fillId="0" borderId="86" applyNumberFormat="0" applyFill="0" applyBorder="0" applyAlignment="0" applyProtection="0"/>
    <xf numFmtId="0" fontId="79" fillId="0" borderId="86" applyNumberFormat="0" applyFill="0" applyBorder="0" applyAlignment="0" applyProtection="0"/>
    <xf numFmtId="0" fontId="79" fillId="0" borderId="86" applyNumberFormat="0" applyFill="0" applyBorder="0" applyAlignment="0" applyProtection="0"/>
    <xf numFmtId="0" fontId="79" fillId="0" borderId="86" applyNumberFormat="0" applyFill="0" applyBorder="0" applyAlignment="0" applyProtection="0"/>
    <xf numFmtId="0" fontId="79" fillId="0" borderId="86" applyNumberFormat="0" applyFill="0" applyBorder="0" applyAlignment="0" applyProtection="0"/>
    <xf numFmtId="0" fontId="80" fillId="0" borderId="86" applyNumberFormat="0" applyFill="0" applyBorder="0" applyAlignment="0" applyProtection="0"/>
    <xf numFmtId="0" fontId="80" fillId="0" borderId="86" applyNumberFormat="0" applyFill="0" applyBorder="0" applyAlignment="0" applyProtection="0"/>
    <xf numFmtId="0" fontId="80" fillId="0" borderId="86" applyNumberFormat="0" applyFill="0" applyBorder="0" applyAlignment="0" applyProtection="0"/>
    <xf numFmtId="0" fontId="80" fillId="0" borderId="86" applyNumberFormat="0" applyFill="0" applyBorder="0" applyAlignment="0" applyProtection="0"/>
    <xf numFmtId="0" fontId="80" fillId="0" borderId="86" applyNumberFormat="0" applyFill="0" applyBorder="0" applyAlignment="0" applyProtection="0"/>
    <xf numFmtId="0" fontId="80" fillId="0" borderId="86" applyNumberFormat="0" applyFill="0" applyBorder="0" applyAlignment="0" applyProtection="0"/>
    <xf numFmtId="0" fontId="80" fillId="0" borderId="86" applyNumberFormat="0" applyFill="0" applyBorder="0" applyAlignment="0" applyProtection="0"/>
    <xf numFmtId="0" fontId="80" fillId="0" borderId="86" applyNumberFormat="0" applyFill="0" applyBorder="0" applyAlignment="0" applyProtection="0"/>
    <xf numFmtId="0" fontId="80" fillId="0" borderId="86" applyNumberFormat="0" applyFill="0" applyBorder="0" applyAlignment="0" applyProtection="0"/>
    <xf numFmtId="0" fontId="80" fillId="0" borderId="86" applyNumberFormat="0" applyFill="0" applyBorder="0" applyAlignment="0" applyProtection="0"/>
    <xf numFmtId="0" fontId="80" fillId="0" borderId="86" applyNumberFormat="0" applyFill="0" applyBorder="0" applyAlignment="0" applyProtection="0"/>
    <xf numFmtId="0" fontId="80" fillId="0" borderId="86" applyNumberFormat="0" applyFill="0" applyBorder="0" applyAlignment="0" applyProtection="0"/>
    <xf numFmtId="0" fontId="47" fillId="0" borderId="86" applyNumberFormat="0" applyFill="0" applyBorder="0" applyAlignment="0" applyProtection="0"/>
    <xf numFmtId="0" fontId="47" fillId="0" borderId="86" applyNumberFormat="0" applyFill="0" applyBorder="0" applyAlignment="0" applyProtection="0"/>
    <xf numFmtId="0" fontId="47" fillId="0" borderId="86" applyNumberFormat="0" applyFill="0" applyBorder="0" applyAlignment="0" applyProtection="0"/>
    <xf numFmtId="0" fontId="47" fillId="0" borderId="86" applyNumberFormat="0" applyFill="0" applyBorder="0" applyAlignment="0" applyProtection="0"/>
    <xf numFmtId="0" fontId="47" fillId="0" borderId="86" applyNumberFormat="0" applyFill="0" applyBorder="0" applyAlignment="0" applyProtection="0"/>
    <xf numFmtId="0" fontId="47" fillId="0" borderId="86" applyNumberFormat="0" applyFill="0" applyBorder="0" applyAlignment="0" applyProtection="0"/>
    <xf numFmtId="0" fontId="47" fillId="0" borderId="86" applyNumberFormat="0" applyFill="0" applyBorder="0" applyAlignment="0" applyProtection="0"/>
    <xf numFmtId="0" fontId="47" fillId="0" borderId="86" applyNumberFormat="0" applyFill="0" applyBorder="0" applyAlignment="0" applyProtection="0"/>
    <xf numFmtId="0" fontId="47" fillId="0" borderId="86" applyNumberFormat="0" applyFill="0" applyBorder="0" applyAlignment="0" applyProtection="0"/>
    <xf numFmtId="0" fontId="47" fillId="0" borderId="86" applyNumberFormat="0" applyFill="0" applyBorder="0" applyAlignment="0" applyProtection="0"/>
    <xf numFmtId="0" fontId="47" fillId="0" borderId="86" applyNumberFormat="0" applyFill="0" applyBorder="0" applyAlignment="0" applyProtection="0"/>
    <xf numFmtId="0" fontId="47" fillId="0" borderId="86" applyNumberFormat="0" applyFill="0" applyBorder="0" applyAlignment="0" applyProtection="0"/>
    <xf numFmtId="0" fontId="46" fillId="0" borderId="86" applyNumberFormat="0" applyFill="0" applyAlignment="0" applyProtection="0"/>
    <xf numFmtId="0" fontId="46" fillId="0" borderId="86" applyNumberFormat="0" applyFill="0" applyAlignment="0" applyProtection="0"/>
    <xf numFmtId="0" fontId="46" fillId="0" borderId="86" applyNumberFormat="0" applyFill="0" applyAlignment="0" applyProtection="0"/>
    <xf numFmtId="0" fontId="46" fillId="0" borderId="86" applyNumberFormat="0" applyFill="0" applyAlignment="0" applyProtection="0"/>
    <xf numFmtId="0" fontId="46" fillId="0" borderId="86" applyNumberFormat="0" applyFill="0" applyAlignment="0" applyProtection="0"/>
    <xf numFmtId="0" fontId="46" fillId="0" borderId="86" applyNumberFormat="0" applyFill="0" applyAlignment="0" applyProtection="0"/>
    <xf numFmtId="0" fontId="46" fillId="0" borderId="86" applyNumberFormat="0" applyFill="0" applyAlignment="0" applyProtection="0"/>
    <xf numFmtId="0" fontId="46" fillId="0" borderId="86" applyNumberFormat="0" applyFill="0" applyAlignment="0" applyProtection="0"/>
    <xf numFmtId="177" fontId="25" fillId="0" borderId="84"/>
    <xf numFmtId="177" fontId="25" fillId="0" borderId="84"/>
    <xf numFmtId="177" fontId="25" fillId="0" borderId="84"/>
    <xf numFmtId="177" fontId="25" fillId="0" borderId="84"/>
    <xf numFmtId="177" fontId="25" fillId="0" borderId="84"/>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5" fontId="56" fillId="0" borderId="84" applyAlignment="0" applyProtection="0"/>
    <xf numFmtId="0" fontId="92" fillId="43" borderId="87" applyNumberFormat="0" applyAlignment="0" applyProtection="0"/>
    <xf numFmtId="0" fontId="92" fillId="43" borderId="87" applyNumberFormat="0" applyAlignment="0" applyProtection="0"/>
    <xf numFmtId="0" fontId="92" fillId="43" borderId="87" applyNumberFormat="0" applyAlignment="0" applyProtection="0"/>
    <xf numFmtId="0" fontId="92" fillId="43" borderId="87" applyNumberFormat="0" applyAlignment="0" applyProtection="0"/>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0" fontId="93" fillId="61" borderId="88"/>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0" fontId="104" fillId="0" borderId="88"/>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302" fontId="86" fillId="0" borderId="90" applyFont="0" applyFill="0" applyBorder="0" applyAlignment="0" applyProtection="0">
      <alignment horizontal="center"/>
    </xf>
    <xf numFmtId="302" fontId="86" fillId="0" borderId="90" applyFont="0" applyFill="0" applyBorder="0" applyAlignment="0" applyProtection="0">
      <alignment horizontal="center"/>
    </xf>
    <xf numFmtId="302" fontId="86" fillId="0" borderId="90" applyFont="0" applyFill="0" applyBorder="0" applyAlignment="0" applyProtection="0">
      <alignment horizontal="center"/>
    </xf>
    <xf numFmtId="302" fontId="86" fillId="0" borderId="90" applyFont="0" applyFill="0" applyBorder="0" applyAlignment="0" applyProtection="0">
      <alignment horizontal="center"/>
    </xf>
    <xf numFmtId="302" fontId="86" fillId="0" borderId="90" applyFont="0" applyFill="0" applyBorder="0" applyAlignment="0" applyProtection="0">
      <alignment horizontal="center"/>
    </xf>
    <xf numFmtId="302" fontId="86" fillId="0" borderId="90" applyFont="0" applyFill="0" applyBorder="0" applyAlignment="0" applyProtection="0">
      <alignment horizontal="center"/>
    </xf>
    <xf numFmtId="186" fontId="46" fillId="0" borderId="90" applyFont="0" applyFill="0" applyBorder="0" applyAlignment="0" applyProtection="0">
      <alignment horizontal="center"/>
    </xf>
    <xf numFmtId="186" fontId="46" fillId="0" borderId="90" applyFont="0" applyFill="0" applyBorder="0" applyAlignment="0" applyProtection="0">
      <alignment horizontal="center"/>
    </xf>
    <xf numFmtId="186" fontId="46" fillId="0" borderId="90" applyFont="0" applyFill="0" applyBorder="0" applyAlignment="0" applyProtection="0">
      <alignment horizontal="center"/>
    </xf>
    <xf numFmtId="186" fontId="46" fillId="0" borderId="90" applyFont="0" applyFill="0" applyBorder="0" applyAlignment="0" applyProtection="0">
      <alignment horizontal="center"/>
    </xf>
    <xf numFmtId="186" fontId="46" fillId="0" borderId="90" applyFont="0" applyFill="0" applyBorder="0" applyAlignment="0" applyProtection="0">
      <alignment horizontal="center"/>
    </xf>
    <xf numFmtId="186" fontId="46" fillId="0" borderId="90" applyFont="0" applyFill="0" applyBorder="0" applyAlignment="0" applyProtection="0">
      <alignment horizontal="center"/>
    </xf>
    <xf numFmtId="2" fontId="16" fillId="36" borderId="91" applyFill="0" applyBorder="0" applyProtection="0">
      <alignment horizontal="center"/>
    </xf>
    <xf numFmtId="2" fontId="16" fillId="36" borderId="91" applyFill="0" applyBorder="0" applyProtection="0">
      <alignment horizontal="center"/>
    </xf>
    <xf numFmtId="2" fontId="16" fillId="36" borderId="91" applyFill="0" applyBorder="0" applyProtection="0">
      <alignment horizontal="center"/>
    </xf>
    <xf numFmtId="2" fontId="16" fillId="36" borderId="91" applyFill="0" applyBorder="0" applyProtection="0">
      <alignment horizontal="center"/>
    </xf>
    <xf numFmtId="2" fontId="16" fillId="36" borderId="91" applyFill="0" applyBorder="0" applyProtection="0">
      <alignment horizontal="center"/>
    </xf>
    <xf numFmtId="2" fontId="16" fillId="36" borderId="91" applyFill="0" applyBorder="0" applyProtection="0">
      <alignment horizontal="center"/>
    </xf>
    <xf numFmtId="0" fontId="114" fillId="0" borderId="92">
      <alignment horizontal="left" vertical="center"/>
    </xf>
    <xf numFmtId="0" fontId="114" fillId="0" borderId="92">
      <alignment horizontal="left" vertical="center"/>
    </xf>
    <xf numFmtId="0" fontId="114" fillId="0" borderId="92">
      <alignment horizontal="left" vertical="center"/>
    </xf>
    <xf numFmtId="0" fontId="114" fillId="0" borderId="92">
      <alignment horizontal="left" vertical="center"/>
    </xf>
    <xf numFmtId="0" fontId="118" fillId="64" borderId="93">
      <alignment horizontal="left" vertical="center"/>
    </xf>
    <xf numFmtId="0" fontId="118" fillId="64" borderId="93">
      <alignment horizontal="left" vertical="center"/>
    </xf>
    <xf numFmtId="0" fontId="118" fillId="64" borderId="93">
      <alignment horizontal="left" vertical="center"/>
    </xf>
    <xf numFmtId="0" fontId="118" fillId="64" borderId="93">
      <alignment horizontal="left" vertical="center"/>
    </xf>
    <xf numFmtId="0" fontId="118" fillId="64" borderId="93">
      <alignment horizontal="left" vertical="center"/>
    </xf>
    <xf numFmtId="0" fontId="118" fillId="64" borderId="93">
      <alignment horizontal="left" vertical="center"/>
    </xf>
    <xf numFmtId="0" fontId="118" fillId="64" borderId="94" applyBorder="0">
      <alignment horizontal="center" vertical="center" wrapText="1"/>
    </xf>
    <xf numFmtId="0" fontId="118" fillId="64" borderId="94" applyBorder="0">
      <alignment horizontal="center" vertical="center" wrapText="1"/>
    </xf>
    <xf numFmtId="0" fontId="118" fillId="64" borderId="94" applyBorder="0">
      <alignment horizontal="center" vertical="center" wrapText="1"/>
    </xf>
    <xf numFmtId="0" fontId="118" fillId="64" borderId="94" applyBorder="0">
      <alignment horizontal="center" vertical="center" wrapText="1"/>
    </xf>
    <xf numFmtId="0" fontId="118" fillId="64" borderId="94" applyBorder="0">
      <alignment horizontal="center" vertical="center" wrapText="1"/>
    </xf>
    <xf numFmtId="0" fontId="118" fillId="64" borderId="94" applyBorder="0">
      <alignment horizontal="center" vertical="center" wrapText="1"/>
    </xf>
    <xf numFmtId="8" fontId="123" fillId="0" borderId="89" applyNumberFormat="0" applyFill="0" applyBorder="0" applyAlignment="0" applyProtection="0"/>
    <xf numFmtId="8" fontId="123" fillId="0" borderId="89" applyNumberFormat="0" applyFill="0" applyBorder="0" applyAlignment="0" applyProtection="0"/>
    <xf numFmtId="8" fontId="123" fillId="0" borderId="89" applyNumberFormat="0" applyFill="0" applyBorder="0" applyAlignment="0" applyProtection="0"/>
    <xf numFmtId="8" fontId="123" fillId="0" borderId="89" applyNumberFormat="0" applyFill="0" applyBorder="0" applyAlignment="0" applyProtection="0"/>
    <xf numFmtId="8" fontId="123" fillId="0" borderId="89" applyNumberFormat="0" applyFill="0" applyBorder="0" applyAlignment="0" applyProtection="0"/>
    <xf numFmtId="8" fontId="123" fillId="0" borderId="89" applyNumberFormat="0" applyFill="0" applyBorder="0" applyAlignment="0" applyProtection="0"/>
    <xf numFmtId="0" fontId="40" fillId="65" borderId="93">
      <alignment horizontal="left" vertical="center" wrapText="1"/>
    </xf>
    <xf numFmtId="0" fontId="40" fillId="65" borderId="93">
      <alignment horizontal="left" vertical="center" wrapText="1"/>
    </xf>
    <xf numFmtId="0" fontId="40" fillId="65" borderId="93">
      <alignment horizontal="left" vertical="center" wrapText="1"/>
    </xf>
    <xf numFmtId="0" fontId="40" fillId="65" borderId="93">
      <alignment horizontal="left" vertical="center" wrapText="1"/>
    </xf>
    <xf numFmtId="0" fontId="40" fillId="65" borderId="93">
      <alignment horizontal="left" vertical="center" wrapText="1"/>
    </xf>
    <xf numFmtId="0" fontId="40" fillId="65" borderId="93">
      <alignment horizontal="left" vertical="center" wrapText="1"/>
    </xf>
    <xf numFmtId="1" fontId="46" fillId="0" borderId="90" applyNumberFormat="0" applyFont="0" applyFill="0" applyProtection="0">
      <alignment horizontal="center"/>
    </xf>
    <xf numFmtId="1" fontId="46" fillId="0" borderId="90" applyNumberFormat="0" applyFont="0" applyFill="0" applyProtection="0">
      <alignment horizontal="center"/>
    </xf>
    <xf numFmtId="1" fontId="46" fillId="0" borderId="90" applyNumberFormat="0" applyFont="0" applyFill="0" applyProtection="0">
      <alignment horizontal="center"/>
    </xf>
    <xf numFmtId="1" fontId="46" fillId="0" borderId="90" applyNumberFormat="0" applyFont="0" applyFill="0" applyProtection="0">
      <alignment horizontal="center"/>
    </xf>
    <xf numFmtId="1" fontId="46" fillId="0" borderId="90" applyNumberFormat="0" applyFont="0" applyFill="0" applyProtection="0">
      <alignment horizontal="center"/>
    </xf>
    <xf numFmtId="1" fontId="46" fillId="0" borderId="90" applyNumberFormat="0" applyFont="0" applyFill="0" applyProtection="0">
      <alignment horizontal="center"/>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247" fontId="9" fillId="0" borderId="0"/>
    <xf numFmtId="0" fontId="9" fillId="0" borderId="0"/>
    <xf numFmtId="0" fontId="9" fillId="0" borderId="0"/>
    <xf numFmtId="0" fontId="9" fillId="0" borderId="0"/>
    <xf numFmtId="0" fontId="9" fillId="0" borderId="0"/>
    <xf numFmtId="0" fontId="9" fillId="3" borderId="1" applyNumberFormat="0" applyFont="0" applyAlignment="0" applyProtection="0"/>
    <xf numFmtId="0" fontId="9" fillId="3" borderId="1" applyNumberFormat="0" applyFont="0" applyAlignment="0" applyProtection="0"/>
    <xf numFmtId="0" fontId="9" fillId="3" borderId="1" applyNumberFormat="0" applyFont="0" applyAlignment="0" applyProtection="0"/>
    <xf numFmtId="0" fontId="9" fillId="3" borderId="1" applyNumberFormat="0" applyFont="0" applyAlignment="0" applyProtection="0"/>
    <xf numFmtId="0" fontId="9" fillId="3" borderId="1" applyNumberFormat="0" applyFont="0" applyAlignment="0" applyProtection="0"/>
    <xf numFmtId="0" fontId="9" fillId="3" borderId="1" applyNumberFormat="0" applyFont="0" applyAlignment="0" applyProtection="0"/>
    <xf numFmtId="0" fontId="9" fillId="3" borderId="1" applyNumberFormat="0" applyFont="0" applyAlignment="0" applyProtection="0"/>
    <xf numFmtId="0" fontId="9" fillId="3" borderId="1" applyNumberFormat="0" applyFont="0" applyAlignment="0" applyProtection="0"/>
    <xf numFmtId="0" fontId="9" fillId="3" borderId="1" applyNumberFormat="0" applyFont="0" applyAlignment="0" applyProtection="0"/>
    <xf numFmtId="0" fontId="9" fillId="3" borderId="1" applyNumberFormat="0" applyFont="0" applyAlignment="0" applyProtection="0"/>
    <xf numFmtId="0" fontId="9" fillId="3" borderId="1" applyNumberFormat="0" applyFont="0" applyAlignment="0" applyProtection="0"/>
    <xf numFmtId="0" fontId="9" fillId="3" borderId="1" applyNumberFormat="0" applyFont="0" applyAlignment="0" applyProtection="0"/>
    <xf numFmtId="9" fontId="9" fillId="0" borderId="0" applyFont="0" applyFill="0" applyBorder="0" applyAlignment="0" applyProtection="0"/>
    <xf numFmtId="9" fontId="9" fillId="0" borderId="0" applyFont="0" applyFill="0" applyBorder="0" applyAlignment="0" applyProtection="0"/>
    <xf numFmtId="339" fontId="16" fillId="0" borderId="95" applyBorder="0">
      <alignment horizontal="right"/>
    </xf>
    <xf numFmtId="339" fontId="16" fillId="0" borderId="95" applyBorder="0">
      <alignment horizontal="right"/>
    </xf>
    <xf numFmtId="339" fontId="16" fillId="0" borderId="95" applyBorder="0">
      <alignment horizontal="right"/>
    </xf>
    <xf numFmtId="339" fontId="16" fillId="0" borderId="95" applyBorder="0">
      <alignment horizontal="right"/>
    </xf>
    <xf numFmtId="0" fontId="139" fillId="0" borderId="96"/>
    <xf numFmtId="0" fontId="139" fillId="0" borderId="96"/>
    <xf numFmtId="0" fontId="139" fillId="0" borderId="96"/>
    <xf numFmtId="0" fontId="139" fillId="0" borderId="96"/>
    <xf numFmtId="0" fontId="139" fillId="0" borderId="96"/>
    <xf numFmtId="0" fontId="139" fillId="0" borderId="96"/>
    <xf numFmtId="0" fontId="114" fillId="62" borderId="88">
      <alignment horizontal="center" vertical="center" wrapText="1"/>
      <protection hidden="1"/>
    </xf>
    <xf numFmtId="0" fontId="114" fillId="62" borderId="88">
      <alignment horizontal="center" vertical="center" wrapText="1"/>
      <protection hidden="1"/>
    </xf>
    <xf numFmtId="0" fontId="114" fillId="62" borderId="88">
      <alignment horizontal="center" vertical="center" wrapText="1"/>
      <protection hidden="1"/>
    </xf>
    <xf numFmtId="0" fontId="114" fillId="62" borderId="88">
      <alignment horizontal="center" vertical="center" wrapText="1"/>
      <protection hidden="1"/>
    </xf>
    <xf numFmtId="0" fontId="114" fillId="62" borderId="88">
      <alignment horizontal="center" vertical="center" wrapText="1"/>
      <protection hidden="1"/>
    </xf>
    <xf numFmtId="0" fontId="114" fillId="62" borderId="88">
      <alignment horizontal="center" vertical="center" wrapText="1"/>
      <protection hidden="1"/>
    </xf>
    <xf numFmtId="0" fontId="140" fillId="1" borderId="92" applyNumberFormat="0" applyFont="0" applyAlignment="0">
      <alignment horizontal="center"/>
    </xf>
    <xf numFmtId="0" fontId="140" fillId="1" borderId="92" applyNumberFormat="0" applyFont="0" applyAlignment="0">
      <alignment horizontal="center"/>
    </xf>
    <xf numFmtId="0" fontId="140" fillId="1" borderId="92" applyNumberFormat="0" applyFont="0" applyAlignment="0">
      <alignment horizontal="center"/>
    </xf>
    <xf numFmtId="0" fontId="140" fillId="1" borderId="92" applyNumberFormat="0" applyFont="0" applyAlignment="0">
      <alignment horizontal="center"/>
    </xf>
    <xf numFmtId="37" fontId="16" fillId="0" borderId="88" applyBorder="0">
      <alignment horizontal="right"/>
      <protection locked="0"/>
    </xf>
    <xf numFmtId="37" fontId="16" fillId="0" borderId="88" applyBorder="0">
      <alignment horizontal="right"/>
      <protection locked="0"/>
    </xf>
    <xf numFmtId="37" fontId="16" fillId="0" borderId="88" applyBorder="0">
      <alignment horizontal="right"/>
      <protection locked="0"/>
    </xf>
    <xf numFmtId="37" fontId="16" fillId="0" borderId="88" applyBorder="0">
      <alignment horizontal="right"/>
      <protection locked="0"/>
    </xf>
    <xf numFmtId="37" fontId="16" fillId="0" borderId="88" applyBorder="0">
      <alignment horizontal="right"/>
      <protection locked="0"/>
    </xf>
    <xf numFmtId="37" fontId="16" fillId="0" borderId="88" applyBorder="0">
      <alignment horizontal="right"/>
      <protection locked="0"/>
    </xf>
    <xf numFmtId="248" fontId="20" fillId="0" borderId="45"/>
    <xf numFmtId="248" fontId="20" fillId="0" borderId="45"/>
    <xf numFmtId="248" fontId="20" fillId="0" borderId="45"/>
    <xf numFmtId="248" fontId="20" fillId="0" borderId="45"/>
    <xf numFmtId="248" fontId="20" fillId="0" borderId="45"/>
    <xf numFmtId="250" fontId="20" fillId="0" borderId="45"/>
    <xf numFmtId="250" fontId="20" fillId="0" borderId="45"/>
    <xf numFmtId="250" fontId="20" fillId="0" borderId="45"/>
    <xf numFmtId="250" fontId="20" fillId="0" borderId="45"/>
    <xf numFmtId="250" fontId="20" fillId="0" borderId="45"/>
    <xf numFmtId="164" fontId="83" fillId="60" borderId="45">
      <alignment horizontal="center" vertical="center" wrapText="1"/>
    </xf>
    <xf numFmtId="164" fontId="83" fillId="60" borderId="45">
      <alignment horizontal="center" vertical="center" wrapText="1"/>
    </xf>
    <xf numFmtId="164" fontId="83" fillId="60" borderId="45">
      <alignment horizontal="center" vertical="center" wrapText="1"/>
    </xf>
    <xf numFmtId="0" fontId="90" fillId="0" borderId="45" applyNumberFormat="0" applyFill="0" applyAlignment="0" applyProtection="0"/>
    <xf numFmtId="263" fontId="61" fillId="0" borderId="45" applyFill="0" applyAlignment="0" applyProtection="0">
      <alignment horizontal="center"/>
    </xf>
    <xf numFmtId="263" fontId="61" fillId="0" borderId="45" applyFill="0" applyAlignment="0" applyProtection="0">
      <alignment horizontal="center"/>
    </xf>
    <xf numFmtId="263" fontId="61" fillId="0" borderId="45" applyFill="0" applyAlignment="0" applyProtection="0">
      <alignment horizontal="center"/>
    </xf>
    <xf numFmtId="263" fontId="61" fillId="0" borderId="45" applyFill="0" applyAlignment="0" applyProtection="0">
      <alignment horizontal="center"/>
    </xf>
    <xf numFmtId="0" fontId="20" fillId="0" borderId="45" applyBorder="0">
      <alignment horizontal="centerContinuous"/>
    </xf>
    <xf numFmtId="0" fontId="20" fillId="0" borderId="45" applyBorder="0">
      <alignment horizontal="centerContinuous"/>
    </xf>
    <xf numFmtId="0" fontId="20" fillId="0" borderId="45" applyBorder="0">
      <alignment horizontal="centerContinuous"/>
    </xf>
    <xf numFmtId="0" fontId="80" fillId="0" borderId="45" applyNumberFormat="0" applyFill="0" applyProtection="0">
      <alignment horizontal="right" wrapText="1"/>
    </xf>
    <xf numFmtId="0" fontId="80" fillId="0" borderId="45" applyNumberFormat="0" applyFill="0" applyProtection="0">
      <alignment horizontal="left" wrapText="1"/>
    </xf>
    <xf numFmtId="43" fontId="1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9"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0" fontId="117" fillId="0" borderId="45" applyFill="0" applyAlignment="0" applyProtection="0">
      <protection locked="0"/>
    </xf>
    <xf numFmtId="0" fontId="117" fillId="0" borderId="45" applyFill="0" applyAlignment="0" applyProtection="0">
      <protection locked="0"/>
    </xf>
    <xf numFmtId="0" fontId="117" fillId="0" borderId="45" applyFill="0" applyAlignment="0" applyProtection="0">
      <protection locked="0"/>
    </xf>
    <xf numFmtId="1" fontId="46" fillId="0" borderId="45" applyNumberFormat="0" applyFont="0" applyFill="0" applyAlignment="0" applyProtection="0">
      <alignment horizontal="center"/>
    </xf>
    <xf numFmtId="1" fontId="46" fillId="0" borderId="45" applyNumberFormat="0" applyFont="0" applyFill="0" applyAlignment="0" applyProtection="0">
      <alignment horizontal="center"/>
    </xf>
    <xf numFmtId="1" fontId="46" fillId="0" borderId="45" applyNumberFormat="0" applyFont="0" applyFill="0" applyAlignment="0" applyProtection="0">
      <alignment horizontal="center"/>
    </xf>
    <xf numFmtId="312" fontId="16" fillId="0" borderId="45" applyFont="0" applyFill="0" applyBorder="0" applyAlignment="0" applyProtection="0">
      <protection locked="0"/>
    </xf>
    <xf numFmtId="312" fontId="16" fillId="0" borderId="45" applyFont="0" applyFill="0" applyBorder="0" applyAlignment="0" applyProtection="0">
      <protection locked="0"/>
    </xf>
    <xf numFmtId="312" fontId="16" fillId="0" borderId="45" applyFont="0" applyFill="0" applyBorder="0" applyAlignment="0" applyProtection="0">
      <protection locked="0"/>
    </xf>
    <xf numFmtId="315" fontId="20" fillId="0" borderId="45" applyFont="0" applyFill="0" applyBorder="0" applyProtection="0"/>
    <xf numFmtId="315" fontId="20" fillId="0" borderId="45" applyFont="0" applyFill="0" applyBorder="0" applyProtection="0"/>
    <xf numFmtId="315" fontId="20" fillId="0" borderId="45" applyFont="0" applyFill="0" applyBorder="0" applyProtection="0"/>
    <xf numFmtId="316" fontId="20" fillId="0" borderId="45" applyFont="0" applyFill="0" applyBorder="0" applyAlignment="0" applyProtection="0"/>
    <xf numFmtId="316" fontId="20" fillId="0" borderId="45" applyFont="0" applyFill="0" applyBorder="0" applyAlignment="0" applyProtection="0"/>
    <xf numFmtId="316" fontId="20" fillId="0" borderId="45" applyFont="0" applyFill="0" applyBorder="0" applyAlignment="0" applyProtection="0"/>
    <xf numFmtId="0" fontId="188" fillId="0" borderId="0">
      <alignment wrapText="1"/>
    </xf>
    <xf numFmtId="0" fontId="8" fillId="0" borderId="0"/>
    <xf numFmtId="0" fontId="8" fillId="0" borderId="0"/>
    <xf numFmtId="0" fontId="189" fillId="0" borderId="0"/>
    <xf numFmtId="0" fontId="8" fillId="0" borderId="0"/>
    <xf numFmtId="0" fontId="8" fillId="0" borderId="0"/>
    <xf numFmtId="0" fontId="130" fillId="0" borderId="45" applyNumberFormat="0" applyFill="0" applyBorder="0" applyAlignment="0">
      <protection locked="0"/>
    </xf>
    <xf numFmtId="0" fontId="130" fillId="0" borderId="45" applyNumberFormat="0" applyFill="0" applyBorder="0" applyAlignment="0">
      <protection locked="0"/>
    </xf>
    <xf numFmtId="0" fontId="130" fillId="0" borderId="45" applyNumberFormat="0" applyFill="0" applyBorder="0" applyAlignment="0">
      <protection locked="0"/>
    </xf>
    <xf numFmtId="9" fontId="69" fillId="0" borderId="0" applyFont="0" applyFill="0" applyBorder="0" applyAlignment="0" applyProtection="0"/>
    <xf numFmtId="0" fontId="61" fillId="0" borderId="45" applyNumberFormat="0" applyFill="0" applyAlignment="0" applyProtection="0"/>
    <xf numFmtId="0" fontId="61" fillId="0" borderId="45" applyNumberFormat="0" applyFill="0" applyAlignment="0" applyProtection="0"/>
    <xf numFmtId="0" fontId="61" fillId="0" borderId="45" applyNumberFormat="0" applyFill="0" applyAlignment="0" applyProtection="0"/>
    <xf numFmtId="0" fontId="190" fillId="0" borderId="0" applyAlignment="0"/>
    <xf numFmtId="0" fontId="177" fillId="0" borderId="0" applyNumberFormat="0" applyFill="0" applyBorder="0" applyAlignment="0" applyProtection="0"/>
    <xf numFmtId="44" fontId="155" fillId="0" borderId="0" applyFont="0" applyFill="0" applyBorder="0" applyAlignment="0" applyProtection="0"/>
    <xf numFmtId="0" fontId="157" fillId="0" borderId="0"/>
    <xf numFmtId="0" fontId="7" fillId="0" borderId="0"/>
    <xf numFmtId="0" fontId="46" fillId="0" borderId="0"/>
    <xf numFmtId="9" fontId="16" fillId="0" borderId="0" applyFont="0" applyFill="0" applyBorder="0" applyAlignment="0" applyProtection="0"/>
    <xf numFmtId="0" fontId="7" fillId="0" borderId="0"/>
    <xf numFmtId="44" fontId="7" fillId="0" borderId="0" applyFont="0" applyFill="0" applyBorder="0" applyAlignment="0" applyProtection="0"/>
    <xf numFmtId="15" fontId="80" fillId="0" borderId="0" applyFill="0" applyBorder="0" applyAlignment="0"/>
    <xf numFmtId="297" fontId="80" fillId="36" borderId="0" applyFont="0" applyFill="0" applyBorder="0" applyAlignment="0" applyProtection="0"/>
    <xf numFmtId="17" fontId="80" fillId="0" borderId="0" applyFill="0" applyBorder="0">
      <alignment horizontal="right"/>
    </xf>
    <xf numFmtId="14" fontId="105" fillId="0" borderId="0" applyFill="0" applyBorder="0" applyAlignment="0"/>
    <xf numFmtId="17" fontId="16" fillId="0" borderId="0" applyFont="0" applyFill="0" applyBorder="0" applyAlignment="0" applyProtection="0">
      <alignment horizontal="center"/>
    </xf>
    <xf numFmtId="8" fontId="25" fillId="0" borderId="0" applyFill="0" applyBorder="0" applyProtection="0"/>
    <xf numFmtId="7" fontId="46" fillId="0" borderId="0"/>
    <xf numFmtId="7" fontId="46" fillId="0" borderId="0"/>
    <xf numFmtId="6" fontId="25" fillId="0" borderId="0" applyFont="0" applyFill="0" applyBorder="0" applyAlignment="0" applyProtection="0"/>
    <xf numFmtId="38" fontId="46" fillId="29" borderId="0" applyNumberFormat="0" applyFont="0" applyBorder="0" applyAlignment="0" applyProtection="0"/>
    <xf numFmtId="364" fontId="46" fillId="0" borderId="0">
      <alignment horizontal="left"/>
    </xf>
    <xf numFmtId="0" fontId="19" fillId="0" borderId="0" applyNumberFormat="0" applyFill="0" applyBorder="0" applyProtection="0">
      <alignment wrapText="1"/>
    </xf>
    <xf numFmtId="172" fontId="46" fillId="0" borderId="0" applyFill="0" applyBorder="0" applyAlignment="0" applyProtection="0">
      <alignment horizontal="right"/>
    </xf>
    <xf numFmtId="172" fontId="46" fillId="0" borderId="0" applyFill="0" applyBorder="0" applyAlignment="0" applyProtection="0"/>
    <xf numFmtId="37" fontId="194" fillId="34" borderId="64" applyBorder="0">
      <alignment horizontal="left" vertical="center" indent="1"/>
    </xf>
    <xf numFmtId="0" fontId="114" fillId="0" borderId="104" applyNumberFormat="0" applyAlignment="0" applyProtection="0">
      <alignment horizontal="left" vertical="center"/>
    </xf>
    <xf numFmtId="184" fontId="25" fillId="43" borderId="0" applyFont="0" applyFill="0" applyBorder="0" applyAlignment="0" applyProtection="0">
      <alignment horizontal="left"/>
    </xf>
    <xf numFmtId="270" fontId="25" fillId="0" borderId="0" applyFill="0" applyBorder="0" applyAlignment="0" applyProtection="0"/>
    <xf numFmtId="8" fontId="46" fillId="36" borderId="0" applyFont="0" applyBorder="0" applyAlignment="0" applyProtection="0">
      <protection locked="0"/>
    </xf>
    <xf numFmtId="298" fontId="46" fillId="36" borderId="0" applyFont="0" applyBorder="0" applyAlignment="0" applyProtection="0">
      <protection locked="0"/>
    </xf>
    <xf numFmtId="303" fontId="46" fillId="36" borderId="0" applyFont="0" applyBorder="0" applyAlignment="0">
      <protection locked="0"/>
    </xf>
    <xf numFmtId="270" fontId="46" fillId="36" borderId="0">
      <protection locked="0"/>
    </xf>
    <xf numFmtId="10" fontId="46" fillId="36" borderId="0">
      <protection locked="0"/>
    </xf>
    <xf numFmtId="307" fontId="46" fillId="36" borderId="0" applyFont="0" applyBorder="0" applyAlignment="0">
      <protection locked="0"/>
    </xf>
    <xf numFmtId="307" fontId="46" fillId="36" borderId="0" applyFont="0" applyBorder="0" applyAlignment="0">
      <protection locked="0"/>
    </xf>
    <xf numFmtId="270" fontId="46" fillId="36" borderId="0" applyNumberFormat="0" applyFont="0" applyBorder="0" applyAlignment="0" applyProtection="0">
      <alignment horizontal="center"/>
      <protection locked="0"/>
    </xf>
    <xf numFmtId="177" fontId="19" fillId="29" borderId="0" applyFont="0">
      <alignment horizontal="center"/>
    </xf>
    <xf numFmtId="0" fontId="20" fillId="0" borderId="0" applyNumberFormat="0" applyFont="0" applyFill="0" applyBorder="0" applyProtection="0">
      <alignment horizontal="left" vertical="center"/>
    </xf>
    <xf numFmtId="2" fontId="16" fillId="0" borderId="0" applyNumberFormat="0" applyBorder="0">
      <alignment horizontal="left"/>
    </xf>
    <xf numFmtId="310" fontId="114" fillId="66" borderId="39" applyBorder="0">
      <protection locked="0"/>
    </xf>
    <xf numFmtId="270" fontId="46" fillId="0" borderId="0" applyFill="0" applyBorder="0" applyAlignment="0" applyProtection="0"/>
    <xf numFmtId="167" fontId="46" fillId="29" borderId="0" applyFont="0" applyBorder="0" applyAlignment="0" applyProtection="0">
      <alignment horizontal="right"/>
      <protection hidden="1"/>
    </xf>
    <xf numFmtId="321" fontId="20" fillId="0" borderId="0"/>
    <xf numFmtId="0" fontId="36" fillId="86" borderId="0"/>
    <xf numFmtId="0" fontId="61" fillId="0" borderId="0" applyNumberFormat="0" applyFill="0" applyAlignment="0" applyProtection="0"/>
    <xf numFmtId="0" fontId="27" fillId="0" borderId="0"/>
    <xf numFmtId="38" fontId="46" fillId="0" borderId="0" applyFont="0" applyFill="0" applyBorder="0" applyAlignment="0"/>
    <xf numFmtId="40" fontId="46" fillId="0" borderId="0" applyFont="0" applyFill="0" applyBorder="0" applyAlignment="0"/>
    <xf numFmtId="274" fontId="46" fillId="0" borderId="0" applyFont="0" applyFill="0" applyBorder="0" applyAlignment="0"/>
    <xf numFmtId="0" fontId="16" fillId="0" borderId="0"/>
    <xf numFmtId="270" fontId="80" fillId="0" borderId="0" applyNumberFormat="0" applyFill="0" applyBorder="0" applyAlignment="0" applyProtection="0"/>
    <xf numFmtId="324" fontId="46" fillId="0" borderId="0" applyFont="0" applyFill="0" applyBorder="0" applyAlignment="0" applyProtection="0"/>
    <xf numFmtId="270" fontId="16" fillId="0" borderId="0">
      <alignment horizontal="right"/>
    </xf>
    <xf numFmtId="270" fontId="46" fillId="0" borderId="0"/>
    <xf numFmtId="40" fontId="46" fillId="0" borderId="0"/>
    <xf numFmtId="40" fontId="80" fillId="0" borderId="0">
      <alignment horizontal="left"/>
    </xf>
    <xf numFmtId="0" fontId="64" fillId="0" borderId="0"/>
    <xf numFmtId="40" fontId="16" fillId="0" borderId="0" applyBorder="0">
      <alignment horizontal="right"/>
    </xf>
    <xf numFmtId="270" fontId="46" fillId="0" borderId="0" applyFont="0" applyFill="0" applyBorder="0" applyAlignment="0" applyProtection="0"/>
    <xf numFmtId="365" fontId="61" fillId="0" borderId="0" applyFill="0" applyBorder="0" applyProtection="0">
      <alignment horizontal="center"/>
    </xf>
    <xf numFmtId="40" fontId="16" fillId="0" borderId="0" applyFont="0" applyFill="0" applyBorder="0" applyAlignment="0" applyProtection="0">
      <alignment horizontal="center"/>
    </xf>
    <xf numFmtId="326" fontId="46" fillId="0" borderId="0"/>
    <xf numFmtId="14" fontId="25" fillId="0" borderId="0">
      <alignment horizontal="center" wrapText="1"/>
      <protection locked="0"/>
    </xf>
    <xf numFmtId="307" fontId="46" fillId="0" borderId="0" applyFont="0" applyFill="0" applyBorder="0" applyAlignment="0"/>
    <xf numFmtId="9" fontId="7" fillId="0" borderId="0" applyFont="0" applyFill="0" applyBorder="0" applyAlignment="0" applyProtection="0"/>
    <xf numFmtId="366" fontId="25" fillId="0" borderId="0" applyFont="0" applyFill="0" applyBorder="0" applyProtection="0">
      <alignment horizontal="right"/>
    </xf>
    <xf numFmtId="0" fontId="25" fillId="0" borderId="0" applyFill="0" applyBorder="0" applyAlignment="0" applyProtection="0"/>
    <xf numFmtId="335" fontId="46" fillId="0" borderId="0" applyFont="0" applyFill="0" applyBorder="0" applyAlignment="0" applyProtection="0"/>
    <xf numFmtId="337" fontId="20" fillId="0" borderId="0"/>
    <xf numFmtId="0" fontId="56" fillId="0" borderId="18">
      <alignment horizontal="center"/>
    </xf>
    <xf numFmtId="340" fontId="20" fillId="0" borderId="0" applyFont="0" applyFill="0" applyBorder="0" applyAlignment="0" applyProtection="0">
      <alignment vertical="center"/>
    </xf>
    <xf numFmtId="274" fontId="25" fillId="0" borderId="0" applyFont="0" applyFill="0" applyBorder="0" applyAlignment="0" applyProtection="0"/>
    <xf numFmtId="1" fontId="16" fillId="0" borderId="0" applyNumberFormat="0" applyFill="0" applyBorder="0" applyAlignment="0" applyProtection="0">
      <alignment horizontal="center"/>
    </xf>
    <xf numFmtId="1" fontId="19" fillId="0" borderId="0" applyNumberFormat="0" applyFill="0" applyBorder="0" applyAlignment="0" applyProtection="0">
      <alignment horizontal="center"/>
    </xf>
    <xf numFmtId="270" fontId="46" fillId="66" borderId="0" applyNumberFormat="0" applyFont="0" applyBorder="0" applyAlignment="0">
      <protection hidden="1"/>
    </xf>
    <xf numFmtId="367" fontId="121" fillId="0" borderId="0" applyFill="0" applyBorder="0" applyProtection="0">
      <alignment horizontal="center" wrapText="1"/>
    </xf>
    <xf numFmtId="368" fontId="121" fillId="0" borderId="0" applyFill="0" applyBorder="0" applyProtection="0">
      <alignment horizontal="right" wrapText="1"/>
    </xf>
    <xf numFmtId="0" fontId="16" fillId="0" borderId="0"/>
    <xf numFmtId="0" fontId="6" fillId="0" borderId="0"/>
    <xf numFmtId="0" fontId="6" fillId="0" borderId="0"/>
    <xf numFmtId="0" fontId="155" fillId="0" borderId="0"/>
    <xf numFmtId="9" fontId="155" fillId="0" borderId="0" applyFont="0" applyFill="0" applyBorder="0" applyAlignment="0" applyProtection="0"/>
    <xf numFmtId="9" fontId="16" fillId="0" borderId="0"/>
    <xf numFmtId="0" fontId="197" fillId="0" borderId="0" applyNumberFormat="0" applyFill="0" applyBorder="0" applyAlignment="0" applyProtection="0"/>
    <xf numFmtId="0" fontId="5" fillId="0" borderId="0"/>
    <xf numFmtId="43" fontId="5" fillId="0" borderId="0" applyFont="0" applyFill="0" applyBorder="0" applyAlignment="0" applyProtection="0"/>
    <xf numFmtId="0" fontId="5" fillId="0" borderId="0"/>
    <xf numFmtId="0" fontId="4" fillId="0" borderId="0"/>
    <xf numFmtId="0" fontId="4" fillId="0" borderId="0"/>
    <xf numFmtId="0" fontId="16" fillId="0" borderId="0"/>
    <xf numFmtId="0" fontId="3" fillId="0" borderId="0"/>
    <xf numFmtId="0" fontId="42" fillId="0" borderId="0"/>
    <xf numFmtId="43" fontId="69" fillId="0" borderId="0" applyFont="0" applyFill="0" applyBorder="0" applyAlignment="0" applyProtection="0"/>
    <xf numFmtId="43" fontId="198" fillId="0" borderId="0" applyFont="0" applyFill="0" applyBorder="0" applyAlignment="0" applyProtection="0"/>
    <xf numFmtId="44" fontId="3"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155" fillId="0" borderId="0"/>
    <xf numFmtId="0" fontId="1" fillId="0" borderId="0"/>
    <xf numFmtId="0" fontId="1" fillId="0" borderId="0"/>
    <xf numFmtId="43" fontId="1" fillId="0" borderId="0" applyFont="0" applyFill="0" applyBorder="0" applyAlignment="0" applyProtection="0"/>
  </cellStyleXfs>
  <cellXfs count="2122">
    <xf numFmtId="0" fontId="0" fillId="0" borderId="0" xfId="0"/>
    <xf numFmtId="0" fontId="149" fillId="0" borderId="0" xfId="0" applyFont="1"/>
    <xf numFmtId="0" fontId="148" fillId="0" borderId="0" xfId="0" applyFont="1" applyAlignment="1">
      <alignment wrapText="1"/>
    </xf>
    <xf numFmtId="0" fontId="151" fillId="0" borderId="0" xfId="0" applyFont="1"/>
    <xf numFmtId="43" fontId="152" fillId="68" borderId="56" xfId="11155" applyFont="1" applyFill="1" applyBorder="1" applyAlignment="1"/>
    <xf numFmtId="43" fontId="152" fillId="68" borderId="0" xfId="11155" applyFont="1" applyFill="1" applyBorder="1" applyAlignment="1"/>
    <xf numFmtId="43" fontId="152" fillId="68" borderId="57" xfId="11155" applyFont="1" applyFill="1" applyBorder="1" applyAlignment="1"/>
    <xf numFmtId="43" fontId="152" fillId="68" borderId="57" xfId="11155" applyFont="1" applyFill="1" applyBorder="1" applyAlignment="1">
      <alignment horizontal="right"/>
    </xf>
    <xf numFmtId="0" fontId="148" fillId="0" borderId="0" xfId="0" applyFont="1" applyBorder="1"/>
    <xf numFmtId="0" fontId="20" fillId="0" borderId="0" xfId="0" applyFont="1" applyFill="1"/>
    <xf numFmtId="0" fontId="154" fillId="72" borderId="34" xfId="0" applyFont="1" applyFill="1" applyBorder="1" applyAlignment="1">
      <alignment horizontal="centerContinuous"/>
    </xf>
    <xf numFmtId="0" fontId="154" fillId="72" borderId="35" xfId="0" applyFont="1" applyFill="1" applyBorder="1" applyAlignment="1">
      <alignment horizontal="centerContinuous"/>
    </xf>
    <xf numFmtId="0" fontId="154" fillId="72" borderId="42" xfId="0" applyFont="1" applyFill="1" applyBorder="1" applyAlignment="1">
      <alignment horizontal="centerContinuous"/>
    </xf>
    <xf numFmtId="0" fontId="122" fillId="0" borderId="0" xfId="0" applyFont="1" applyAlignment="1">
      <alignment horizontal="center"/>
    </xf>
    <xf numFmtId="0" fontId="148" fillId="71" borderId="0" xfId="0" applyFont="1" applyFill="1" applyBorder="1"/>
    <xf numFmtId="0" fontId="148" fillId="71" borderId="54" xfId="0" applyFont="1" applyFill="1" applyBorder="1"/>
    <xf numFmtId="0" fontId="148" fillId="71" borderId="13" xfId="0" applyFont="1" applyFill="1" applyBorder="1"/>
    <xf numFmtId="0" fontId="149" fillId="71" borderId="49" xfId="0" applyFont="1" applyFill="1" applyBorder="1"/>
    <xf numFmtId="169" fontId="149" fillId="71" borderId="45" xfId="0" applyNumberFormat="1" applyFont="1" applyFill="1" applyBorder="1"/>
    <xf numFmtId="0" fontId="148" fillId="0" borderId="10" xfId="0" applyFont="1" applyBorder="1"/>
    <xf numFmtId="234" fontId="149" fillId="71" borderId="33" xfId="0" applyNumberFormat="1" applyFont="1" applyFill="1" applyBorder="1"/>
    <xf numFmtId="0" fontId="149" fillId="71" borderId="12" xfId="0" applyFont="1" applyFill="1" applyBorder="1"/>
    <xf numFmtId="234" fontId="149" fillId="71" borderId="0" xfId="0" applyNumberFormat="1" applyFont="1" applyFill="1" applyBorder="1"/>
    <xf numFmtId="169" fontId="149" fillId="71" borderId="0" xfId="0" applyNumberFormat="1" applyFont="1" applyFill="1" applyBorder="1"/>
    <xf numFmtId="0" fontId="149" fillId="71" borderId="10" xfId="0" applyFont="1" applyFill="1" applyBorder="1"/>
    <xf numFmtId="234" fontId="149" fillId="71" borderId="45" xfId="0" applyNumberFormat="1" applyFont="1" applyFill="1" applyBorder="1"/>
    <xf numFmtId="0" fontId="150" fillId="0" borderId="10" xfId="0" applyFont="1" applyFill="1" applyBorder="1" applyAlignment="1">
      <alignment horizontal="center" wrapText="1"/>
    </xf>
    <xf numFmtId="0" fontId="150" fillId="0" borderId="32" xfId="0" applyFont="1" applyFill="1" applyBorder="1" applyAlignment="1">
      <alignment horizontal="center" wrapText="1"/>
    </xf>
    <xf numFmtId="0" fontId="150" fillId="0" borderId="0" xfId="0" applyFont="1" applyFill="1" applyBorder="1" applyAlignment="1">
      <alignment horizontal="center" wrapText="1"/>
    </xf>
    <xf numFmtId="0" fontId="150" fillId="0" borderId="35" xfId="0" applyFont="1" applyFill="1" applyBorder="1" applyAlignment="1">
      <alignment horizontal="center" wrapText="1"/>
    </xf>
    <xf numFmtId="0" fontId="150" fillId="0" borderId="42" xfId="0" applyFont="1" applyFill="1" applyBorder="1" applyAlignment="1">
      <alignment horizontal="center" wrapText="1"/>
    </xf>
    <xf numFmtId="0" fontId="150" fillId="0" borderId="34" xfId="0" applyFont="1" applyFill="1" applyBorder="1" applyAlignment="1">
      <alignment horizontal="center" wrapText="1"/>
    </xf>
    <xf numFmtId="169" fontId="149" fillId="71" borderId="33" xfId="0" applyNumberFormat="1" applyFont="1" applyFill="1" applyBorder="1"/>
    <xf numFmtId="165" fontId="149" fillId="71" borderId="33" xfId="0" applyNumberFormat="1" applyFont="1" applyFill="1" applyBorder="1"/>
    <xf numFmtId="165" fontId="149" fillId="71" borderId="50" xfId="0" applyNumberFormat="1" applyFont="1" applyFill="1" applyBorder="1"/>
    <xf numFmtId="165" fontId="149" fillId="71" borderId="0" xfId="0" applyNumberFormat="1" applyFont="1" applyFill="1" applyBorder="1"/>
    <xf numFmtId="165" fontId="149" fillId="71" borderId="13" xfId="0" applyNumberFormat="1" applyFont="1" applyFill="1" applyBorder="1"/>
    <xf numFmtId="165" fontId="149" fillId="71" borderId="45" xfId="0" applyNumberFormat="1" applyFont="1" applyFill="1" applyBorder="1"/>
    <xf numFmtId="165" fontId="149" fillId="71" borderId="11" xfId="0" applyNumberFormat="1" applyFont="1" applyFill="1" applyBorder="1"/>
    <xf numFmtId="164" fontId="148" fillId="0" borderId="0" xfId="0" applyNumberFormat="1" applyFont="1" applyAlignment="1">
      <alignment horizontal="center" vertical="top" wrapText="1"/>
    </xf>
    <xf numFmtId="0" fontId="148" fillId="0" borderId="0" xfId="0" applyFont="1" applyAlignment="1">
      <alignment vertical="top" wrapText="1"/>
    </xf>
    <xf numFmtId="165" fontId="148" fillId="0" borderId="0" xfId="0" applyNumberFormat="1" applyFont="1" applyAlignment="1">
      <alignment horizontal="center" vertical="top" wrapText="1"/>
    </xf>
    <xf numFmtId="0" fontId="148" fillId="0" borderId="0" xfId="0" applyFont="1" applyAlignment="1">
      <alignment horizontal="center" vertical="top" wrapText="1"/>
    </xf>
    <xf numFmtId="169" fontId="148" fillId="0" borderId="0" xfId="0" applyNumberFormat="1" applyFont="1" applyAlignment="1">
      <alignment horizontal="right" vertical="top"/>
    </xf>
    <xf numFmtId="0" fontId="148" fillId="0" borderId="0" xfId="0" applyFont="1" applyAlignment="1">
      <alignment horizontal="right" vertical="top"/>
    </xf>
    <xf numFmtId="234" fontId="148" fillId="0" borderId="0" xfId="0" applyNumberFormat="1" applyFont="1" applyAlignment="1">
      <alignment horizontal="right" vertical="top"/>
    </xf>
    <xf numFmtId="165" fontId="148" fillId="0" borderId="0" xfId="0" applyNumberFormat="1" applyFont="1" applyAlignment="1">
      <alignment vertical="top" wrapText="1"/>
    </xf>
    <xf numFmtId="0" fontId="148" fillId="71" borderId="33" xfId="0" applyFont="1" applyFill="1" applyBorder="1"/>
    <xf numFmtId="0" fontId="148" fillId="71" borderId="45" xfId="0" applyFont="1" applyFill="1" applyBorder="1"/>
    <xf numFmtId="0" fontId="20" fillId="0" borderId="0" xfId="0" applyFont="1" applyFill="1" applyAlignment="1">
      <alignment horizontal="right"/>
    </xf>
    <xf numFmtId="0" fontId="148" fillId="0" borderId="0" xfId="0" applyFont="1" applyAlignment="1">
      <alignment horizontal="right"/>
    </xf>
    <xf numFmtId="0" fontId="148" fillId="0" borderId="12" xfId="0" applyFont="1" applyBorder="1"/>
    <xf numFmtId="0" fontId="148" fillId="0" borderId="53" xfId="0" applyFont="1" applyBorder="1"/>
    <xf numFmtId="14" fontId="148" fillId="0" borderId="55" xfId="0" applyNumberFormat="1" applyFont="1" applyBorder="1" applyAlignment="1">
      <alignment horizontal="right"/>
    </xf>
    <xf numFmtId="0" fontId="148" fillId="0" borderId="11" xfId="0" applyFont="1" applyBorder="1" applyAlignment="1">
      <alignment horizontal="right"/>
    </xf>
    <xf numFmtId="0" fontId="148" fillId="0" borderId="13" xfId="0" applyFont="1" applyBorder="1" applyAlignment="1">
      <alignment horizontal="right"/>
    </xf>
    <xf numFmtId="169" fontId="149" fillId="71" borderId="54" xfId="0" applyNumberFormat="1" applyFont="1" applyFill="1" applyBorder="1"/>
    <xf numFmtId="0" fontId="156" fillId="0" borderId="0" xfId="0" applyFont="1"/>
    <xf numFmtId="0" fontId="154" fillId="72" borderId="58" xfId="0" applyFont="1" applyFill="1" applyBorder="1" applyAlignment="1">
      <alignment horizontal="centerContinuous"/>
    </xf>
    <xf numFmtId="0" fontId="148" fillId="0" borderId="64" xfId="0" applyFont="1" applyBorder="1"/>
    <xf numFmtId="0" fontId="154" fillId="72" borderId="59" xfId="0" applyFont="1" applyFill="1" applyBorder="1" applyAlignment="1">
      <alignment horizontal="centerContinuous"/>
    </xf>
    <xf numFmtId="0" fontId="154" fillId="72" borderId="60" xfId="0" applyFont="1" applyFill="1" applyBorder="1" applyAlignment="1">
      <alignment horizontal="centerContinuous"/>
    </xf>
    <xf numFmtId="0" fontId="148" fillId="0" borderId="0" xfId="0" applyFont="1"/>
    <xf numFmtId="0" fontId="154" fillId="72" borderId="81" xfId="0" applyFont="1" applyFill="1" applyBorder="1" applyAlignment="1">
      <alignment horizontal="centerContinuous"/>
    </xf>
    <xf numFmtId="0" fontId="148" fillId="0" borderId="0" xfId="0" applyFont="1" applyAlignment="1">
      <alignment horizontal="center"/>
    </xf>
    <xf numFmtId="0" fontId="154" fillId="72" borderId="69" xfId="0" applyFont="1" applyFill="1" applyBorder="1" applyAlignment="1">
      <alignment horizontal="centerContinuous"/>
    </xf>
    <xf numFmtId="0" fontId="150" fillId="0" borderId="69" xfId="0" applyFont="1" applyFill="1" applyBorder="1" applyAlignment="1">
      <alignment horizontal="center" wrapText="1"/>
    </xf>
    <xf numFmtId="0" fontId="148" fillId="71" borderId="98" xfId="0" applyFont="1" applyFill="1" applyBorder="1"/>
    <xf numFmtId="0" fontId="148" fillId="71" borderId="99" xfId="0" applyFont="1" applyFill="1" applyBorder="1"/>
    <xf numFmtId="0" fontId="156" fillId="0" borderId="0" xfId="0" applyFont="1" applyAlignment="1">
      <alignment horizontal="center" vertical="top" wrapText="1"/>
    </xf>
    <xf numFmtId="0" fontId="25" fillId="76" borderId="0" xfId="11828" applyFont="1" applyFill="1"/>
    <xf numFmtId="0" fontId="25" fillId="76" borderId="0" xfId="11828" applyFont="1" applyFill="1" applyAlignment="1">
      <alignment horizontal="right"/>
    </xf>
    <xf numFmtId="0" fontId="192" fillId="76" borderId="0" xfId="11828" applyFont="1" applyFill="1" applyAlignment="1">
      <alignment horizontal="right"/>
    </xf>
    <xf numFmtId="0" fontId="25" fillId="0" borderId="0" xfId="11828" applyFont="1"/>
    <xf numFmtId="0" fontId="25" fillId="0" borderId="0" xfId="11828" applyFont="1" applyAlignment="1">
      <alignment horizontal="right"/>
    </xf>
    <xf numFmtId="0" fontId="25" fillId="0" borderId="0" xfId="11828" applyFont="1" applyFill="1" applyAlignment="1">
      <alignment horizontal="right"/>
    </xf>
    <xf numFmtId="14" fontId="25" fillId="0" borderId="0" xfId="11828" applyNumberFormat="1" applyFont="1" applyAlignment="1">
      <alignment horizontal="right"/>
    </xf>
    <xf numFmtId="0" fontId="25" fillId="0" borderId="0" xfId="11828" applyFont="1" applyFill="1"/>
    <xf numFmtId="165" fontId="25" fillId="0" borderId="0" xfId="12424" applyNumberFormat="1" applyFont="1" applyAlignment="1">
      <alignment horizontal="right"/>
    </xf>
    <xf numFmtId="363" fontId="25" fillId="0" borderId="0" xfId="11828" applyNumberFormat="1" applyFont="1" applyAlignment="1">
      <alignment horizontal="right"/>
    </xf>
    <xf numFmtId="10" fontId="20" fillId="0" borderId="10" xfId="20309" applyNumberFormat="1" applyFont="1" applyFill="1" applyBorder="1" applyAlignment="1">
      <alignment horizontal="right"/>
    </xf>
    <xf numFmtId="0" fontId="20" fillId="0" borderId="0" xfId="0" applyFont="1"/>
    <xf numFmtId="0" fontId="20" fillId="0" borderId="0" xfId="0" applyFont="1" applyAlignment="1">
      <alignment horizontal="right"/>
    </xf>
    <xf numFmtId="234" fontId="148" fillId="74" borderId="0" xfId="0" applyNumberFormat="1" applyFont="1" applyFill="1" applyAlignment="1">
      <alignment horizontal="right" vertical="top"/>
    </xf>
    <xf numFmtId="0" fontId="148" fillId="74" borderId="0" xfId="0" applyFont="1" applyFill="1" applyAlignment="1">
      <alignment vertical="top" wrapText="1"/>
    </xf>
    <xf numFmtId="165" fontId="148" fillId="74" borderId="0" xfId="0" applyNumberFormat="1" applyFont="1" applyFill="1" applyAlignment="1">
      <alignment vertical="top" wrapText="1"/>
    </xf>
    <xf numFmtId="169" fontId="148" fillId="74" borderId="0" xfId="0" applyNumberFormat="1" applyFont="1" applyFill="1" applyAlignment="1">
      <alignment horizontal="right" vertical="top"/>
    </xf>
    <xf numFmtId="0" fontId="148" fillId="74" borderId="0" xfId="0" applyFont="1" applyFill="1" applyAlignment="1">
      <alignment horizontal="center" vertical="top" wrapText="1"/>
    </xf>
    <xf numFmtId="165" fontId="148" fillId="74" borderId="0" xfId="0" applyNumberFormat="1" applyFont="1" applyFill="1" applyAlignment="1">
      <alignment horizontal="center" vertical="top" wrapText="1"/>
    </xf>
    <xf numFmtId="164" fontId="148" fillId="74" borderId="0" xfId="0" applyNumberFormat="1" applyFont="1" applyFill="1" applyAlignment="1">
      <alignment horizontal="center" vertical="top" wrapText="1"/>
    </xf>
    <xf numFmtId="10" fontId="20" fillId="0" borderId="64" xfId="20309" applyNumberFormat="1" applyFont="1" applyFill="1" applyBorder="1" applyAlignment="1">
      <alignment horizontal="right"/>
    </xf>
    <xf numFmtId="0" fontId="195" fillId="0" borderId="0" xfId="0" applyFont="1" applyAlignment="1">
      <alignment horizontal="center" wrapText="1"/>
    </xf>
    <xf numFmtId="14" fontId="25" fillId="0" borderId="0" xfId="11828" applyNumberFormat="1" applyFont="1" applyFill="1" applyAlignment="1">
      <alignment horizontal="left"/>
    </xf>
    <xf numFmtId="14" fontId="25" fillId="0" borderId="0" xfId="11828" applyNumberFormat="1" applyFont="1" applyFill="1"/>
    <xf numFmtId="0" fontId="25" fillId="0" borderId="108" xfId="11828" applyFont="1" applyFill="1" applyBorder="1" applyAlignment="1">
      <alignment horizontal="right"/>
    </xf>
    <xf numFmtId="14" fontId="25" fillId="0" borderId="109" xfId="11828" applyNumberFormat="1" applyFont="1" applyFill="1" applyBorder="1" applyAlignment="1">
      <alignment horizontal="right"/>
    </xf>
    <xf numFmtId="0" fontId="25" fillId="0" borderId="64" xfId="11828" applyFont="1" applyFill="1" applyBorder="1" applyAlignment="1">
      <alignment horizontal="right"/>
    </xf>
    <xf numFmtId="0" fontId="25" fillId="0" borderId="13" xfId="11828" applyFont="1" applyFill="1" applyBorder="1" applyAlignment="1">
      <alignment horizontal="right"/>
    </xf>
    <xf numFmtId="0" fontId="25" fillId="0" borderId="10" xfId="11828" applyFont="1" applyFill="1" applyBorder="1" applyAlignment="1">
      <alignment horizontal="right"/>
    </xf>
    <xf numFmtId="0" fontId="25" fillId="0" borderId="99" xfId="11828" applyFont="1" applyFill="1" applyBorder="1" applyAlignment="1">
      <alignment horizontal="right"/>
    </xf>
    <xf numFmtId="0" fontId="25" fillId="0" borderId="0" xfId="11828" applyFont="1" applyFill="1" applyBorder="1" applyAlignment="1">
      <alignment horizontal="right"/>
    </xf>
    <xf numFmtId="0" fontId="196" fillId="0" borderId="0" xfId="11828" applyFont="1" applyFill="1" applyBorder="1" applyAlignment="1">
      <alignment horizontal="right"/>
    </xf>
    <xf numFmtId="0" fontId="193" fillId="0" borderId="0" xfId="11828" applyFont="1" applyFill="1"/>
    <xf numFmtId="14" fontId="25" fillId="0" borderId="0" xfId="11828" applyNumberFormat="1" applyFont="1" applyFill="1" applyAlignment="1">
      <alignment horizontal="right"/>
    </xf>
    <xf numFmtId="0" fontId="25" fillId="0" borderId="0" xfId="11828" applyNumberFormat="1" applyFont="1" applyFill="1" applyAlignment="1">
      <alignment horizontal="right"/>
    </xf>
    <xf numFmtId="167" fontId="25" fillId="0" borderId="0" xfId="12425" applyNumberFormat="1" applyFont="1" applyFill="1" applyAlignment="1">
      <alignment horizontal="right"/>
    </xf>
    <xf numFmtId="165" fontId="25" fillId="0" borderId="0" xfId="12424" applyNumberFormat="1" applyFont="1" applyFill="1" applyAlignment="1">
      <alignment horizontal="right"/>
    </xf>
    <xf numFmtId="0" fontId="25" fillId="0" borderId="0" xfId="11828" applyFont="1" applyFill="1" applyAlignment="1"/>
    <xf numFmtId="255" fontId="25" fillId="0" borderId="0" xfId="11828" applyNumberFormat="1" applyFont="1" applyFill="1" applyAlignment="1">
      <alignment horizontal="right"/>
    </xf>
    <xf numFmtId="165" fontId="25" fillId="74" borderId="0" xfId="12424" applyNumberFormat="1" applyFont="1" applyFill="1" applyAlignment="1">
      <alignment horizontal="right"/>
    </xf>
    <xf numFmtId="14" fontId="25" fillId="0" borderId="0" xfId="11828" applyNumberFormat="1" applyFont="1"/>
    <xf numFmtId="0" fontId="150" fillId="0" borderId="81" xfId="11826" applyFont="1" applyFill="1" applyBorder="1" applyAlignment="1">
      <alignment horizontal="left"/>
    </xf>
    <xf numFmtId="0" fontId="150" fillId="0" borderId="81" xfId="11826" applyFont="1" applyFill="1" applyBorder="1" applyAlignment="1">
      <alignment horizontal="right"/>
    </xf>
    <xf numFmtId="0" fontId="150" fillId="0" borderId="105" xfId="11826" applyFont="1" applyFill="1" applyBorder="1" applyAlignment="1">
      <alignment horizontal="right"/>
    </xf>
    <xf numFmtId="0" fontId="150" fillId="0" borderId="105" xfId="11826" applyFont="1" applyFill="1" applyBorder="1" applyAlignment="1">
      <alignment horizontal="centerContinuous"/>
    </xf>
    <xf numFmtId="0" fontId="150" fillId="0" borderId="106" xfId="11826" applyFont="1" applyFill="1" applyBorder="1" applyAlignment="1">
      <alignment horizontal="centerContinuous"/>
    </xf>
    <xf numFmtId="0" fontId="25" fillId="0" borderId="106" xfId="11828" applyFont="1" applyFill="1" applyBorder="1" applyAlignment="1">
      <alignment horizontal="centerContinuous"/>
    </xf>
    <xf numFmtId="0" fontId="25" fillId="0" borderId="107" xfId="11828" applyFont="1" applyFill="1" applyBorder="1" applyAlignment="1">
      <alignment horizontal="centerContinuous"/>
    </xf>
    <xf numFmtId="0" fontId="20" fillId="0" borderId="110" xfId="20308" applyFont="1" applyFill="1" applyBorder="1" applyAlignment="1">
      <alignment horizontal="left"/>
    </xf>
    <xf numFmtId="2" fontId="20" fillId="0" borderId="110" xfId="11826" applyNumberFormat="1" applyFont="1" applyFill="1" applyBorder="1" applyAlignment="1">
      <alignment horizontal="right"/>
    </xf>
    <xf numFmtId="10" fontId="20" fillId="0" borderId="108" xfId="20309" applyNumberFormat="1" applyFont="1" applyFill="1" applyBorder="1" applyAlignment="1">
      <alignment horizontal="right"/>
    </xf>
    <xf numFmtId="0" fontId="20" fillId="0" borderId="64" xfId="11826" applyFont="1" applyFill="1" applyBorder="1" applyAlignment="1">
      <alignment horizontal="centerContinuous"/>
    </xf>
    <xf numFmtId="0" fontId="20" fillId="0" borderId="0" xfId="11826" applyFont="1" applyFill="1" applyBorder="1" applyAlignment="1">
      <alignment horizontal="centerContinuous"/>
    </xf>
    <xf numFmtId="0" fontId="25" fillId="0" borderId="0" xfId="11828" applyFont="1" applyFill="1" applyBorder="1" applyAlignment="1">
      <alignment horizontal="centerContinuous"/>
    </xf>
    <xf numFmtId="0" fontId="25" fillId="0" borderId="13" xfId="11828" applyFont="1" applyFill="1" applyBorder="1" applyAlignment="1">
      <alignment horizontal="centerContinuous"/>
    </xf>
    <xf numFmtId="14" fontId="148" fillId="0" borderId="51" xfId="16168" applyNumberFormat="1" applyFont="1" applyFill="1" applyBorder="1" applyAlignment="1">
      <alignment horizontal="left"/>
    </xf>
    <xf numFmtId="2" fontId="20" fillId="0" borderId="51" xfId="11826" applyNumberFormat="1" applyFont="1" applyFill="1" applyBorder="1" applyAlignment="1">
      <alignment horizontal="right"/>
    </xf>
    <xf numFmtId="14" fontId="148" fillId="0" borderId="32" xfId="16168" applyNumberFormat="1" applyFont="1" applyFill="1" applyBorder="1" applyAlignment="1">
      <alignment horizontal="left"/>
    </xf>
    <xf numFmtId="2" fontId="20" fillId="0" borderId="32" xfId="11826" applyNumberFormat="1" applyFont="1" applyFill="1" applyBorder="1" applyAlignment="1">
      <alignment horizontal="right"/>
    </xf>
    <xf numFmtId="0" fontId="20" fillId="0" borderId="10" xfId="11826" applyFont="1" applyFill="1" applyBorder="1" applyAlignment="1">
      <alignment horizontal="centerContinuous"/>
    </xf>
    <xf numFmtId="0" fontId="20" fillId="0" borderId="45" xfId="11826" applyFont="1" applyFill="1" applyBorder="1" applyAlignment="1">
      <alignment horizontal="centerContinuous"/>
    </xf>
    <xf numFmtId="0" fontId="25" fillId="0" borderId="45" xfId="11828" applyFont="1" applyFill="1" applyBorder="1" applyAlignment="1">
      <alignment horizontal="centerContinuous"/>
    </xf>
    <xf numFmtId="0" fontId="25" fillId="0" borderId="99" xfId="11828" applyFont="1" applyFill="1" applyBorder="1" applyAlignment="1">
      <alignment horizontal="centerContinuous"/>
    </xf>
    <xf numFmtId="0" fontId="86" fillId="0" borderId="0" xfId="11828" applyFont="1" applyFill="1"/>
    <xf numFmtId="14" fontId="148" fillId="0" borderId="81" xfId="16168" applyNumberFormat="1" applyFont="1" applyFill="1" applyBorder="1" applyAlignment="1">
      <alignment horizontal="left"/>
    </xf>
    <xf numFmtId="10" fontId="25" fillId="0" borderId="81" xfId="12424" applyNumberFormat="1" applyFont="1" applyFill="1" applyBorder="1" applyAlignment="1">
      <alignment horizontal="right"/>
    </xf>
    <xf numFmtId="0" fontId="25" fillId="0" borderId="106" xfId="11828" applyFont="1" applyFill="1" applyBorder="1" applyAlignment="1">
      <alignment horizontal="left"/>
    </xf>
    <xf numFmtId="0" fontId="25" fillId="0" borderId="106" xfId="11828" applyFont="1" applyFill="1" applyBorder="1" applyAlignment="1">
      <alignment horizontal="right"/>
    </xf>
    <xf numFmtId="0" fontId="25" fillId="0" borderId="107" xfId="11828" applyFont="1" applyFill="1" applyBorder="1" applyAlignment="1">
      <alignment horizontal="right"/>
    </xf>
    <xf numFmtId="0" fontId="148" fillId="0" borderId="114" xfId="0" applyFont="1" applyBorder="1"/>
    <xf numFmtId="0" fontId="25" fillId="0" borderId="114" xfId="11828" applyFont="1" applyFill="1" applyBorder="1" applyAlignment="1">
      <alignment horizontal="right"/>
    </xf>
    <xf numFmtId="14" fontId="25" fillId="0" borderId="115" xfId="11828" applyNumberFormat="1" applyFont="1" applyFill="1" applyBorder="1" applyAlignment="1">
      <alignment horizontal="right"/>
    </xf>
    <xf numFmtId="0" fontId="20" fillId="0" borderId="0" xfId="20306" applyFont="1" applyFill="1"/>
    <xf numFmtId="0" fontId="20" fillId="0" borderId="0" xfId="20306" applyFont="1" applyFill="1" applyAlignment="1">
      <alignment horizontal="right"/>
    </xf>
    <xf numFmtId="0" fontId="20" fillId="0" borderId="0" xfId="20306" applyFont="1" applyAlignment="1">
      <alignment horizontal="right"/>
    </xf>
    <xf numFmtId="0" fontId="20" fillId="0" borderId="0" xfId="20306" applyFont="1"/>
    <xf numFmtId="0" fontId="25" fillId="0" borderId="111" xfId="11828" applyFont="1" applyFill="1" applyBorder="1" applyAlignment="1">
      <alignment horizontal="centerContinuous"/>
    </xf>
    <xf numFmtId="0" fontId="25" fillId="0" borderId="112" xfId="11828" applyFont="1" applyFill="1" applyBorder="1" applyAlignment="1">
      <alignment horizontal="centerContinuous"/>
    </xf>
    <xf numFmtId="0" fontId="25" fillId="0" borderId="113" xfId="11828" applyFont="1" applyFill="1" applyBorder="1" applyAlignment="1">
      <alignment horizontal="centerContinuous"/>
    </xf>
    <xf numFmtId="0" fontId="122" fillId="0" borderId="0" xfId="20306" applyFont="1" applyAlignment="1">
      <alignment horizontal="center"/>
    </xf>
    <xf numFmtId="0" fontId="150" fillId="0" borderId="81" xfId="20380" applyFont="1" applyFill="1" applyBorder="1" applyAlignment="1">
      <alignment horizontal="left"/>
    </xf>
    <xf numFmtId="0" fontId="150" fillId="0" borderId="81" xfId="20380" applyFont="1" applyFill="1" applyBorder="1" applyAlignment="1">
      <alignment horizontal="right"/>
    </xf>
    <xf numFmtId="0" fontId="150" fillId="0" borderId="111" xfId="20380" applyFont="1" applyFill="1" applyBorder="1" applyAlignment="1">
      <alignment horizontal="right"/>
    </xf>
    <xf numFmtId="0" fontId="150" fillId="0" borderId="111" xfId="20380" applyFont="1" applyFill="1" applyBorder="1" applyAlignment="1">
      <alignment horizontal="centerContinuous"/>
    </xf>
    <xf numFmtId="0" fontId="150" fillId="0" borderId="112" xfId="20380" applyFont="1" applyFill="1" applyBorder="1" applyAlignment="1">
      <alignment horizontal="centerContinuous"/>
    </xf>
    <xf numFmtId="2" fontId="20" fillId="0" borderId="110" xfId="20380" applyNumberFormat="1" applyFont="1" applyFill="1" applyBorder="1" applyAlignment="1">
      <alignment horizontal="right"/>
    </xf>
    <xf numFmtId="10" fontId="20" fillId="0" borderId="114" xfId="20309" applyNumberFormat="1" applyFont="1" applyFill="1" applyBorder="1" applyAlignment="1">
      <alignment horizontal="right"/>
    </xf>
    <xf numFmtId="0" fontId="20" fillId="0" borderId="64" xfId="20380" applyFont="1" applyFill="1" applyBorder="1" applyAlignment="1">
      <alignment horizontal="centerContinuous"/>
    </xf>
    <xf numFmtId="0" fontId="20" fillId="0" borderId="0" xfId="20380" applyFont="1" applyFill="1" applyBorder="1" applyAlignment="1">
      <alignment horizontal="centerContinuous"/>
    </xf>
    <xf numFmtId="14" fontId="148" fillId="0" borderId="51" xfId="20381" applyNumberFormat="1" applyFont="1" applyFill="1" applyBorder="1" applyAlignment="1">
      <alignment horizontal="left"/>
    </xf>
    <xf numFmtId="2" fontId="20" fillId="0" borderId="51" xfId="20380" applyNumberFormat="1" applyFont="1" applyFill="1" applyBorder="1" applyAlignment="1">
      <alignment horizontal="right"/>
    </xf>
    <xf numFmtId="14" fontId="148" fillId="0" borderId="32" xfId="20381" applyNumberFormat="1" applyFont="1" applyFill="1" applyBorder="1" applyAlignment="1">
      <alignment horizontal="left"/>
    </xf>
    <xf numFmtId="2" fontId="20" fillId="0" borderId="32" xfId="20380" applyNumberFormat="1" applyFont="1" applyFill="1" applyBorder="1" applyAlignment="1">
      <alignment horizontal="right"/>
    </xf>
    <xf numFmtId="0" fontId="20" fillId="0" borderId="10" xfId="20380" applyFont="1" applyFill="1" applyBorder="1" applyAlignment="1">
      <alignment horizontal="centerContinuous"/>
    </xf>
    <xf numFmtId="0" fontId="20" fillId="0" borderId="45" xfId="20380" applyFont="1" applyFill="1" applyBorder="1" applyAlignment="1">
      <alignment horizontal="centerContinuous"/>
    </xf>
    <xf numFmtId="14" fontId="148" fillId="0" borderId="81" xfId="20381" applyNumberFormat="1" applyFont="1" applyFill="1" applyBorder="1" applyAlignment="1">
      <alignment horizontal="left"/>
    </xf>
    <xf numFmtId="0" fontId="25" fillId="0" borderId="112" xfId="11828" applyFont="1" applyFill="1" applyBorder="1" applyAlignment="1">
      <alignment horizontal="left"/>
    </xf>
    <xf numFmtId="0" fontId="25" fillId="0" borderId="112" xfId="11828" applyFont="1" applyFill="1" applyBorder="1" applyAlignment="1">
      <alignment horizontal="right"/>
    </xf>
    <xf numFmtId="0" fontId="25" fillId="0" borderId="113" xfId="11828" applyFont="1" applyFill="1" applyBorder="1" applyAlignment="1">
      <alignment horizontal="right"/>
    </xf>
    <xf numFmtId="14" fontId="148" fillId="0" borderId="117" xfId="0" applyNumberFormat="1" applyFont="1" applyBorder="1" applyAlignment="1">
      <alignment horizontal="right"/>
    </xf>
    <xf numFmtId="0" fontId="148" fillId="0" borderId="99" xfId="0" applyFont="1" applyBorder="1" applyAlignment="1">
      <alignment horizontal="right"/>
    </xf>
    <xf numFmtId="0" fontId="148" fillId="0" borderId="0" xfId="20306" applyFont="1"/>
    <xf numFmtId="0" fontId="191" fillId="0" borderId="0" xfId="20306" applyFont="1"/>
    <xf numFmtId="0" fontId="154" fillId="72" borderId="111" xfId="20306" applyFont="1" applyFill="1" applyBorder="1" applyAlignment="1">
      <alignment horizontal="centerContinuous"/>
    </xf>
    <xf numFmtId="0" fontId="154" fillId="72" borderId="113" xfId="20306" applyFont="1" applyFill="1" applyBorder="1" applyAlignment="1">
      <alignment horizontal="centerContinuous"/>
    </xf>
    <xf numFmtId="0" fontId="154" fillId="72" borderId="112" xfId="20306" applyFont="1" applyFill="1" applyBorder="1" applyAlignment="1">
      <alignment horizontal="centerContinuous"/>
    </xf>
    <xf numFmtId="0" fontId="154" fillId="72" borderId="81" xfId="20306" applyFont="1" applyFill="1" applyBorder="1" applyAlignment="1">
      <alignment horizontal="centerContinuous"/>
    </xf>
    <xf numFmtId="0" fontId="150" fillId="0" borderId="111" xfId="20306" applyFont="1" applyFill="1" applyBorder="1" applyAlignment="1">
      <alignment horizontal="center" wrapText="1"/>
    </xf>
    <xf numFmtId="0" fontId="150" fillId="0" borderId="112" xfId="20306" applyFont="1" applyFill="1" applyBorder="1" applyAlignment="1">
      <alignment horizontal="center" wrapText="1"/>
    </xf>
    <xf numFmtId="0" fontId="150" fillId="0" borderId="113" xfId="20306" applyFont="1" applyFill="1" applyBorder="1" applyAlignment="1">
      <alignment horizontal="center" wrapText="1"/>
    </xf>
    <xf numFmtId="0" fontId="148" fillId="0" borderId="0" xfId="20306" applyFont="1" applyAlignment="1">
      <alignment wrapText="1"/>
    </xf>
    <xf numFmtId="0" fontId="150" fillId="0" borderId="0" xfId="20306" applyFont="1" applyFill="1" applyBorder="1" applyAlignment="1">
      <alignment horizontal="center" wrapText="1"/>
    </xf>
    <xf numFmtId="0" fontId="150" fillId="0" borderId="10" xfId="20306" applyFont="1" applyFill="1" applyBorder="1" applyAlignment="1">
      <alignment horizontal="center" wrapText="1"/>
    </xf>
    <xf numFmtId="0" fontId="150" fillId="0" borderId="32" xfId="20306" applyFont="1" applyFill="1" applyBorder="1" applyAlignment="1">
      <alignment horizontal="center" wrapText="1"/>
    </xf>
    <xf numFmtId="0" fontId="149" fillId="0" borderId="0" xfId="20306" applyFont="1" applyAlignment="1">
      <alignment horizontal="center" wrapText="1"/>
    </xf>
    <xf numFmtId="164" fontId="148" fillId="0" borderId="0" xfId="20306" applyNumberFormat="1" applyFont="1" applyAlignment="1">
      <alignment horizontal="center" vertical="top" wrapText="1"/>
    </xf>
    <xf numFmtId="0" fontId="148" fillId="0" borderId="0" xfId="20306" applyFont="1" applyAlignment="1">
      <alignment vertical="top" wrapText="1"/>
    </xf>
    <xf numFmtId="165" fontId="148" fillId="0" borderId="0" xfId="20306" applyNumberFormat="1" applyFont="1" applyAlignment="1">
      <alignment horizontal="center" vertical="top" wrapText="1"/>
    </xf>
    <xf numFmtId="0" fontId="148" fillId="0" borderId="0" xfId="20306" applyFont="1" applyAlignment="1">
      <alignment horizontal="center" vertical="top" wrapText="1"/>
    </xf>
    <xf numFmtId="169" fontId="148" fillId="0" borderId="0" xfId="20306" applyNumberFormat="1" applyFont="1" applyAlignment="1">
      <alignment horizontal="right" vertical="top"/>
    </xf>
    <xf numFmtId="0" fontId="148" fillId="0" borderId="0" xfId="20306" applyFont="1" applyAlignment="1">
      <alignment horizontal="right" vertical="top"/>
    </xf>
    <xf numFmtId="234" fontId="148" fillId="0" borderId="0" xfId="20306" applyNumberFormat="1" applyFont="1" applyAlignment="1">
      <alignment horizontal="right" vertical="top"/>
    </xf>
    <xf numFmtId="165" fontId="148" fillId="0" borderId="0" xfId="20306" applyNumberFormat="1" applyFont="1" applyAlignment="1">
      <alignment vertical="top" wrapText="1"/>
    </xf>
    <xf numFmtId="0" fontId="156" fillId="0" borderId="0" xfId="20306" applyFont="1"/>
    <xf numFmtId="0" fontId="149" fillId="71" borderId="114" xfId="20306" applyFont="1" applyFill="1" applyBorder="1"/>
    <xf numFmtId="0" fontId="148" fillId="71" borderId="116" xfId="20306" applyFont="1" applyFill="1" applyBorder="1"/>
    <xf numFmtId="169" fontId="149" fillId="71" borderId="116" xfId="20306" applyNumberFormat="1" applyFont="1" applyFill="1" applyBorder="1"/>
    <xf numFmtId="0" fontId="148" fillId="71" borderId="117" xfId="20306" applyFont="1" applyFill="1" applyBorder="1"/>
    <xf numFmtId="234" fontId="149" fillId="71" borderId="116" xfId="20306" applyNumberFormat="1" applyFont="1" applyFill="1" applyBorder="1"/>
    <xf numFmtId="165" fontId="149" fillId="71" borderId="116" xfId="20306" applyNumberFormat="1" applyFont="1" applyFill="1" applyBorder="1"/>
    <xf numFmtId="165" fontId="149" fillId="71" borderId="117" xfId="20306" applyNumberFormat="1" applyFont="1" applyFill="1" applyBorder="1"/>
    <xf numFmtId="0" fontId="149" fillId="71" borderId="64" xfId="20306" applyFont="1" applyFill="1" applyBorder="1"/>
    <xf numFmtId="0" fontId="148" fillId="71" borderId="0" xfId="20306" applyFont="1" applyFill="1" applyBorder="1"/>
    <xf numFmtId="169" fontId="149" fillId="71" borderId="0" xfId="20306" applyNumberFormat="1" applyFont="1" applyFill="1" applyBorder="1"/>
    <xf numFmtId="0" fontId="148" fillId="71" borderId="13" xfId="20306" applyFont="1" applyFill="1" applyBorder="1"/>
    <xf numFmtId="234" fontId="149" fillId="71" borderId="0" xfId="20306" applyNumberFormat="1" applyFont="1" applyFill="1" applyBorder="1"/>
    <xf numFmtId="165" fontId="149" fillId="71" borderId="0" xfId="20306" applyNumberFormat="1" applyFont="1" applyFill="1" applyBorder="1"/>
    <xf numFmtId="165" fontId="149" fillId="71" borderId="13" xfId="20306" applyNumberFormat="1" applyFont="1" applyFill="1" applyBorder="1"/>
    <xf numFmtId="0" fontId="149" fillId="71" borderId="10" xfId="20306" applyFont="1" applyFill="1" applyBorder="1"/>
    <xf numFmtId="0" fontId="148" fillId="71" borderId="45" xfId="20306" applyFont="1" applyFill="1" applyBorder="1"/>
    <xf numFmtId="169" fontId="149" fillId="71" borderId="45" xfId="20306" applyNumberFormat="1" applyFont="1" applyFill="1" applyBorder="1"/>
    <xf numFmtId="0" fontId="148" fillId="71" borderId="99" xfId="20306" applyFont="1" applyFill="1" applyBorder="1"/>
    <xf numFmtId="234" fontId="149" fillId="71" borderId="45" xfId="20306" applyNumberFormat="1" applyFont="1" applyFill="1" applyBorder="1"/>
    <xf numFmtId="165" fontId="149" fillId="71" borderId="45" xfId="20306" applyNumberFormat="1" applyFont="1" applyFill="1" applyBorder="1"/>
    <xf numFmtId="165" fontId="149" fillId="71" borderId="99" xfId="20306" applyNumberFormat="1" applyFont="1" applyFill="1" applyBorder="1"/>
    <xf numFmtId="0" fontId="151" fillId="0" borderId="0" xfId="20306" applyFont="1"/>
    <xf numFmtId="234" fontId="148" fillId="0" borderId="0" xfId="20306" applyNumberFormat="1" applyFont="1" applyFill="1" applyAlignment="1">
      <alignment horizontal="right" vertical="top"/>
    </xf>
    <xf numFmtId="0" fontId="154" fillId="72" borderId="159" xfId="0" applyFont="1" applyFill="1" applyBorder="1" applyAlignment="1">
      <alignment horizontal="centerContinuous"/>
    </xf>
    <xf numFmtId="0" fontId="150" fillId="0" borderId="159" xfId="0" applyFont="1" applyFill="1" applyBorder="1" applyAlignment="1">
      <alignment horizontal="center" wrapText="1"/>
    </xf>
    <xf numFmtId="169" fontId="149" fillId="71" borderId="168" xfId="0" applyNumberFormat="1" applyFont="1" applyFill="1" applyBorder="1"/>
    <xf numFmtId="0" fontId="148" fillId="71" borderId="168" xfId="0" applyFont="1" applyFill="1" applyBorder="1"/>
    <xf numFmtId="234" fontId="149" fillId="71" borderId="168" xfId="0" applyNumberFormat="1" applyFont="1" applyFill="1" applyBorder="1"/>
    <xf numFmtId="0" fontId="154" fillId="72" borderId="159" xfId="20306" applyFont="1" applyFill="1" applyBorder="1" applyAlignment="1">
      <alignment horizontal="centerContinuous"/>
    </xf>
    <xf numFmtId="0" fontId="150" fillId="0" borderId="159" xfId="20306" applyFont="1" applyFill="1" applyBorder="1" applyAlignment="1">
      <alignment horizontal="center" wrapText="1"/>
    </xf>
    <xf numFmtId="169" fontId="149" fillId="71" borderId="168" xfId="20306" applyNumberFormat="1" applyFont="1" applyFill="1" applyBorder="1"/>
    <xf numFmtId="0" fontId="199" fillId="0" borderId="0" xfId="12421" applyFont="1" applyBorder="1"/>
    <xf numFmtId="0" fontId="200" fillId="0" borderId="0" xfId="12421" applyFont="1" applyBorder="1"/>
    <xf numFmtId="0" fontId="199" fillId="0" borderId="0" xfId="12421" applyFont="1"/>
    <xf numFmtId="0" fontId="200" fillId="69" borderId="56" xfId="12421" applyFont="1" applyFill="1" applyBorder="1"/>
    <xf numFmtId="0" fontId="199" fillId="69" borderId="56" xfId="12421" applyFont="1" applyFill="1" applyBorder="1"/>
    <xf numFmtId="0" fontId="201" fillId="69" borderId="56" xfId="12421" applyFont="1" applyFill="1" applyBorder="1" applyAlignment="1">
      <alignment horizontal="center"/>
    </xf>
    <xf numFmtId="0" fontId="202" fillId="69" borderId="0" xfId="12421" applyFont="1" applyFill="1" applyBorder="1"/>
    <xf numFmtId="0" fontId="203" fillId="69" borderId="0" xfId="12421" applyFont="1" applyFill="1" applyBorder="1" applyAlignment="1">
      <alignment horizontal="center"/>
    </xf>
    <xf numFmtId="0" fontId="204" fillId="69" borderId="0" xfId="12421" applyFont="1" applyFill="1" applyBorder="1"/>
    <xf numFmtId="0" fontId="204" fillId="0" borderId="0" xfId="12421" applyFont="1"/>
    <xf numFmtId="0" fontId="205" fillId="74" borderId="0" xfId="12421" applyFont="1" applyFill="1"/>
    <xf numFmtId="0" fontId="200" fillId="69" borderId="0" xfId="12421" applyFont="1" applyFill="1" applyBorder="1"/>
    <xf numFmtId="0" fontId="199" fillId="69" borderId="0" xfId="12421" applyFont="1" applyFill="1" applyBorder="1"/>
    <xf numFmtId="0" fontId="206" fillId="69" borderId="0" xfId="12421" applyFont="1" applyFill="1" applyBorder="1" applyAlignment="1">
      <alignment horizontal="center"/>
    </xf>
    <xf numFmtId="0" fontId="207" fillId="69" borderId="0" xfId="12421" applyFont="1" applyFill="1" applyBorder="1" applyAlignment="1">
      <alignment horizontal="center"/>
    </xf>
    <xf numFmtId="0" fontId="208" fillId="69" borderId="0" xfId="12421" applyFont="1" applyFill="1" applyBorder="1" applyAlignment="1">
      <alignment horizontal="center"/>
    </xf>
    <xf numFmtId="0" fontId="200" fillId="69" borderId="57" xfId="12421" applyFont="1" applyFill="1" applyBorder="1"/>
    <xf numFmtId="0" fontId="199" fillId="69" borderId="57" xfId="12421" applyFont="1" applyFill="1" applyBorder="1"/>
    <xf numFmtId="0" fontId="201" fillId="69" borderId="57" xfId="12421" applyFont="1" applyFill="1" applyBorder="1" applyAlignment="1">
      <alignment horizontal="center"/>
    </xf>
    <xf numFmtId="0" fontId="199" fillId="0" borderId="0" xfId="12421" applyFont="1" applyAlignment="1">
      <alignment horizontal="center"/>
    </xf>
    <xf numFmtId="0" fontId="209" fillId="0" borderId="0" xfId="12421" applyFont="1" applyBorder="1" applyAlignment="1">
      <alignment horizontal="center"/>
    </xf>
    <xf numFmtId="343" fontId="210" fillId="0" borderId="0" xfId="12421" applyNumberFormat="1" applyFont="1" applyAlignment="1">
      <alignment horizontal="center"/>
    </xf>
    <xf numFmtId="0" fontId="211" fillId="0" borderId="0" xfId="12421" applyFont="1" applyAlignment="1">
      <alignment horizontal="center"/>
    </xf>
    <xf numFmtId="0" fontId="212" fillId="0" borderId="0" xfId="12421" applyFont="1" applyAlignment="1">
      <alignment horizontal="center"/>
    </xf>
    <xf numFmtId="0" fontId="213" fillId="0" borderId="0" xfId="12421" applyFont="1" applyAlignment="1">
      <alignment horizontal="center" wrapText="1"/>
    </xf>
    <xf numFmtId="0" fontId="214" fillId="0" borderId="0" xfId="0" applyFont="1"/>
    <xf numFmtId="0" fontId="214" fillId="0" borderId="0" xfId="0" applyFont="1" applyAlignment="1">
      <alignment horizontal="center"/>
    </xf>
    <xf numFmtId="0" fontId="215" fillId="0" borderId="0" xfId="0" applyFont="1" applyAlignment="1">
      <alignment horizontal="center"/>
    </xf>
    <xf numFmtId="0" fontId="215" fillId="0" borderId="0" xfId="0" applyFont="1"/>
    <xf numFmtId="0" fontId="215" fillId="0" borderId="0" xfId="0" applyFont="1" applyAlignment="1">
      <alignment horizontal="center" vertical="center"/>
    </xf>
    <xf numFmtId="43" fontId="214" fillId="0" borderId="0" xfId="0" applyNumberFormat="1" applyFont="1" applyAlignment="1">
      <alignment horizontal="center" vertical="center"/>
    </xf>
    <xf numFmtId="43" fontId="214" fillId="0" borderId="0" xfId="0" applyNumberFormat="1" applyFont="1" applyAlignment="1">
      <alignment horizontal="center"/>
    </xf>
    <xf numFmtId="0" fontId="199" fillId="0" borderId="0" xfId="0" applyFont="1"/>
    <xf numFmtId="43" fontId="217" fillId="68" borderId="56" xfId="11155" applyFont="1" applyFill="1" applyBorder="1" applyAlignment="1"/>
    <xf numFmtId="43" fontId="217" fillId="68" borderId="0" xfId="11155" applyFont="1" applyFill="1" applyBorder="1" applyAlignment="1"/>
    <xf numFmtId="0" fontId="218" fillId="69" borderId="0" xfId="12421" applyFont="1" applyFill="1" applyBorder="1" applyAlignment="1">
      <alignment horizontal="center"/>
    </xf>
    <xf numFmtId="43" fontId="217" fillId="0" borderId="0" xfId="11155" applyFont="1" applyFill="1" applyBorder="1" applyAlignment="1"/>
    <xf numFmtId="43" fontId="217" fillId="68" borderId="56" xfId="11155" applyFont="1" applyFill="1" applyBorder="1" applyAlignment="1">
      <alignment horizontal="center"/>
    </xf>
    <xf numFmtId="43" fontId="217" fillId="68" borderId="57" xfId="11155" applyFont="1" applyFill="1" applyBorder="1" applyAlignment="1">
      <alignment horizontal="center"/>
    </xf>
    <xf numFmtId="0" fontId="215" fillId="0" borderId="163" xfId="0" applyFont="1" applyBorder="1"/>
    <xf numFmtId="0" fontId="215" fillId="0" borderId="158" xfId="0" applyFont="1" applyBorder="1" applyAlignment="1">
      <alignment horizontal="center"/>
    </xf>
    <xf numFmtId="0" fontId="215" fillId="0" borderId="159" xfId="0" applyFont="1" applyBorder="1" applyAlignment="1">
      <alignment horizontal="center"/>
    </xf>
    <xf numFmtId="0" fontId="215" fillId="0" borderId="160" xfId="0" applyFont="1" applyBorder="1" applyAlignment="1">
      <alignment horizontal="right"/>
    </xf>
    <xf numFmtId="43" fontId="215" fillId="0" borderId="0" xfId="0" applyNumberFormat="1" applyFont="1" applyAlignment="1">
      <alignment horizontal="center" vertical="center"/>
    </xf>
    <xf numFmtId="43" fontId="216" fillId="0" borderId="0" xfId="0" applyNumberFormat="1" applyFont="1" applyAlignment="1">
      <alignment horizontal="center" vertical="center"/>
    </xf>
    <xf numFmtId="43" fontId="214" fillId="74" borderId="0" xfId="0" applyNumberFormat="1" applyFont="1" applyFill="1" applyAlignment="1">
      <alignment horizontal="center" vertical="center"/>
    </xf>
    <xf numFmtId="0" fontId="220" fillId="0" borderId="0" xfId="0" applyFont="1"/>
    <xf numFmtId="0" fontId="214" fillId="0" borderId="0" xfId="0" applyFont="1" applyAlignment="1">
      <alignment wrapText="1"/>
    </xf>
    <xf numFmtId="0" fontId="221" fillId="0" borderId="0" xfId="0" applyFont="1"/>
    <xf numFmtId="0" fontId="214" fillId="0" borderId="0" xfId="0" applyFont="1" applyAlignment="1">
      <alignment horizontal="left"/>
    </xf>
    <xf numFmtId="0" fontId="214" fillId="0" borderId="0" xfId="0" applyFont="1" applyAlignment="1">
      <alignment horizontal="right"/>
    </xf>
    <xf numFmtId="164" fontId="215" fillId="73" borderId="0" xfId="0" applyNumberFormat="1" applyFont="1" applyFill="1" applyProtection="1"/>
    <xf numFmtId="0" fontId="221" fillId="70" borderId="0" xfId="0" applyFont="1" applyFill="1" applyAlignment="1">
      <alignment horizontal="right"/>
    </xf>
    <xf numFmtId="164" fontId="221" fillId="70" borderId="0" xfId="0" applyNumberFormat="1" applyFont="1" applyFill="1" applyAlignment="1">
      <alignment horizontal="right"/>
    </xf>
    <xf numFmtId="165" fontId="221" fillId="70" borderId="0" xfId="12422" applyNumberFormat="1" applyFont="1" applyFill="1" applyAlignment="1">
      <alignment horizontal="right"/>
    </xf>
    <xf numFmtId="0" fontId="215" fillId="0" borderId="0" xfId="0" applyFont="1" applyAlignment="1">
      <alignment horizontal="right"/>
    </xf>
    <xf numFmtId="0" fontId="215" fillId="0" borderId="34" xfId="0" applyFont="1" applyBorder="1" applyAlignment="1">
      <alignment horizontal="center"/>
    </xf>
    <xf numFmtId="0" fontId="215" fillId="0" borderId="35" xfId="0" applyFont="1" applyBorder="1" applyAlignment="1">
      <alignment horizontal="left"/>
    </xf>
    <xf numFmtId="0" fontId="222" fillId="0" borderId="35" xfId="0" applyFont="1" applyBorder="1" applyAlignment="1">
      <alignment horizontal="center"/>
    </xf>
    <xf numFmtId="0" fontId="214" fillId="0" borderId="42" xfId="0" applyFont="1" applyBorder="1" applyAlignment="1">
      <alignment horizontal="right"/>
    </xf>
    <xf numFmtId="0" fontId="214" fillId="0" borderId="114" xfId="0" applyFont="1" applyBorder="1" applyAlignment="1">
      <alignment horizontal="center"/>
    </xf>
    <xf numFmtId="0" fontId="223" fillId="70" borderId="116" xfId="0" applyFont="1" applyFill="1" applyBorder="1"/>
    <xf numFmtId="0" fontId="214" fillId="73" borderId="116" xfId="0" applyFont="1" applyFill="1" applyBorder="1" applyAlignment="1">
      <alignment horizontal="center"/>
    </xf>
    <xf numFmtId="342" fontId="214" fillId="73" borderId="117" xfId="0" applyNumberFormat="1" applyFont="1" applyFill="1" applyBorder="1" applyAlignment="1">
      <alignment horizontal="right"/>
    </xf>
    <xf numFmtId="0" fontId="214" fillId="0" borderId="64" xfId="0" applyFont="1" applyBorder="1" applyAlignment="1">
      <alignment horizontal="center"/>
    </xf>
    <xf numFmtId="0" fontId="223" fillId="70" borderId="0" xfId="0" applyFont="1" applyFill="1" applyBorder="1"/>
    <xf numFmtId="0" fontId="214" fillId="73" borderId="0" xfId="0" applyFont="1" applyFill="1" applyBorder="1" applyAlignment="1">
      <alignment horizontal="center"/>
    </xf>
    <xf numFmtId="342" fontId="214" fillId="73" borderId="13" xfId="0" applyNumberFormat="1" applyFont="1" applyFill="1" applyBorder="1" applyAlignment="1">
      <alignment horizontal="right"/>
    </xf>
    <xf numFmtId="0" fontId="214" fillId="0" borderId="10" xfId="0" applyFont="1" applyBorder="1" applyAlignment="1">
      <alignment horizontal="center"/>
    </xf>
    <xf numFmtId="0" fontId="223" fillId="70" borderId="45" xfId="0" applyFont="1" applyFill="1" applyBorder="1"/>
    <xf numFmtId="0" fontId="214" fillId="73" borderId="45" xfId="0" applyFont="1" applyFill="1" applyBorder="1" applyAlignment="1">
      <alignment horizontal="center"/>
    </xf>
    <xf numFmtId="342" fontId="214" fillId="73" borderId="99" xfId="0" applyNumberFormat="1" applyFont="1" applyFill="1" applyBorder="1" applyAlignment="1">
      <alignment horizontal="right"/>
    </xf>
    <xf numFmtId="22" fontId="214" fillId="0" borderId="0" xfId="0" applyNumberFormat="1" applyFont="1" applyAlignment="1">
      <alignment horizontal="left"/>
    </xf>
    <xf numFmtId="0" fontId="215" fillId="0" borderId="81" xfId="0" applyFont="1" applyBorder="1"/>
    <xf numFmtId="0" fontId="214" fillId="0" borderId="81" xfId="0" applyFont="1" applyBorder="1"/>
    <xf numFmtId="164" fontId="214" fillId="0" borderId="81" xfId="0" applyNumberFormat="1" applyFont="1" applyBorder="1"/>
    <xf numFmtId="0" fontId="214" fillId="0" borderId="81" xfId="0" applyFont="1" applyBorder="1" applyAlignment="1">
      <alignment wrapText="1"/>
    </xf>
    <xf numFmtId="14" fontId="214" fillId="0" borderId="81" xfId="0" applyNumberFormat="1" applyFont="1" applyBorder="1"/>
    <xf numFmtId="0" fontId="214" fillId="0" borderId="0" xfId="12421" applyFont="1"/>
    <xf numFmtId="14" fontId="214" fillId="0" borderId="0" xfId="12421" applyNumberFormat="1" applyFont="1"/>
    <xf numFmtId="43" fontId="224" fillId="68" borderId="56" xfId="11155" applyFont="1" applyFill="1" applyBorder="1" applyAlignment="1"/>
    <xf numFmtId="43" fontId="224" fillId="68" borderId="56" xfId="11155" applyFont="1" applyFill="1" applyBorder="1" applyAlignment="1">
      <alignment horizontal="center"/>
    </xf>
    <xf numFmtId="43" fontId="224" fillId="68" borderId="57" xfId="11155" applyFont="1" applyFill="1" applyBorder="1" applyAlignment="1">
      <alignment horizontal="center"/>
    </xf>
    <xf numFmtId="43" fontId="214" fillId="74" borderId="0" xfId="0" applyNumberFormat="1" applyFont="1" applyFill="1" applyAlignment="1">
      <alignment horizontal="center"/>
    </xf>
    <xf numFmtId="43" fontId="214" fillId="0" borderId="0" xfId="0" applyNumberFormat="1" applyFont="1" applyFill="1" applyAlignment="1">
      <alignment horizontal="center"/>
    </xf>
    <xf numFmtId="0" fontId="214" fillId="0" borderId="111" xfId="0" applyFont="1" applyBorder="1" applyAlignment="1">
      <alignment horizontal="centerContinuous"/>
    </xf>
    <xf numFmtId="0" fontId="214" fillId="0" borderId="112" xfId="0" applyFont="1" applyBorder="1" applyAlignment="1">
      <alignment horizontal="centerContinuous"/>
    </xf>
    <xf numFmtId="0" fontId="214" fillId="0" borderId="113" xfId="0" applyFont="1" applyBorder="1" applyAlignment="1">
      <alignment horizontal="centerContinuous"/>
    </xf>
    <xf numFmtId="43" fontId="224" fillId="68" borderId="0" xfId="11155" applyFont="1" applyFill="1" applyBorder="1" applyAlignment="1"/>
    <xf numFmtId="43" fontId="214" fillId="0" borderId="114" xfId="0" applyNumberFormat="1" applyFont="1" applyBorder="1" applyAlignment="1">
      <alignment horizontal="center"/>
    </xf>
    <xf numFmtId="43" fontId="214" fillId="0" borderId="116" xfId="0" applyNumberFormat="1" applyFont="1" applyBorder="1" applyAlignment="1">
      <alignment horizontal="center"/>
    </xf>
    <xf numFmtId="0" fontId="214" fillId="0" borderId="117" xfId="0" applyFont="1" applyBorder="1" applyAlignment="1">
      <alignment horizontal="center"/>
    </xf>
    <xf numFmtId="0" fontId="225" fillId="0" borderId="163" xfId="0" applyFont="1" applyBorder="1"/>
    <xf numFmtId="0" fontId="214" fillId="0" borderId="0" xfId="0" applyFont="1" applyBorder="1" applyAlignment="1">
      <alignment horizontal="center"/>
    </xf>
    <xf numFmtId="0" fontId="214" fillId="0" borderId="13" xfId="0" applyFont="1" applyBorder="1" applyAlignment="1">
      <alignment horizontal="center"/>
    </xf>
    <xf numFmtId="0" fontId="214" fillId="0" borderId="45" xfId="0" applyFont="1" applyBorder="1" applyAlignment="1">
      <alignment horizontal="center"/>
    </xf>
    <xf numFmtId="0" fontId="214" fillId="0" borderId="99" xfId="0" applyFont="1" applyBorder="1" applyAlignment="1">
      <alignment horizontal="center"/>
    </xf>
    <xf numFmtId="0" fontId="226" fillId="72" borderId="29" xfId="0" applyFont="1" applyFill="1" applyBorder="1" applyAlignment="1">
      <alignment horizontal="left"/>
    </xf>
    <xf numFmtId="0" fontId="226" fillId="72" borderId="29" xfId="0" applyFont="1" applyFill="1" applyBorder="1" applyAlignment="1">
      <alignment horizontal="right"/>
    </xf>
    <xf numFmtId="0" fontId="226" fillId="72" borderId="29" xfId="0" applyFont="1" applyFill="1" applyBorder="1" applyAlignment="1">
      <alignment horizontal="center"/>
    </xf>
    <xf numFmtId="0" fontId="214" fillId="0" borderId="169" xfId="0" applyFont="1" applyBorder="1"/>
    <xf numFmtId="165" fontId="216" fillId="0" borderId="163" xfId="0" applyNumberFormat="1" applyFont="1" applyBorder="1"/>
    <xf numFmtId="0" fontId="215" fillId="0" borderId="0" xfId="0" applyFont="1" applyAlignment="1"/>
    <xf numFmtId="0" fontId="214" fillId="0" borderId="0" xfId="0" applyFont="1" applyAlignment="1">
      <alignment horizontal="left" indent="1"/>
    </xf>
    <xf numFmtId="169" fontId="227" fillId="0" borderId="0" xfId="0" applyNumberFormat="1" applyFont="1" applyAlignment="1">
      <alignment horizontal="right"/>
    </xf>
    <xf numFmtId="0" fontId="214" fillId="0" borderId="0" xfId="0" quotePrefix="1" applyFont="1" applyAlignment="1">
      <alignment horizontal="center"/>
    </xf>
    <xf numFmtId="169" fontId="214" fillId="0" borderId="0" xfId="0" applyNumberFormat="1" applyFont="1"/>
    <xf numFmtId="165" fontId="221" fillId="0" borderId="0" xfId="12422" applyNumberFormat="1" applyFont="1"/>
    <xf numFmtId="165" fontId="214" fillId="0" borderId="0" xfId="0" applyNumberFormat="1" applyFont="1"/>
    <xf numFmtId="10" fontId="227" fillId="0" borderId="0" xfId="0" applyNumberFormat="1" applyFont="1" applyAlignment="1">
      <alignment horizontal="center" wrapText="1"/>
    </xf>
    <xf numFmtId="10" fontId="221" fillId="0" borderId="0" xfId="0" applyNumberFormat="1" applyFont="1" applyAlignment="1">
      <alignment wrapText="1"/>
    </xf>
    <xf numFmtId="0" fontId="216" fillId="0" borderId="176" xfId="0" applyFont="1" applyBorder="1" applyAlignment="1">
      <alignment horizontal="center"/>
    </xf>
    <xf numFmtId="169" fontId="227" fillId="0" borderId="0" xfId="0" applyNumberFormat="1" applyFont="1"/>
    <xf numFmtId="0" fontId="215" fillId="71" borderId="48" xfId="0" applyFont="1" applyFill="1" applyBorder="1"/>
    <xf numFmtId="0" fontId="214" fillId="71" borderId="48" xfId="0" quotePrefix="1" applyFont="1" applyFill="1" applyBorder="1"/>
    <xf numFmtId="0" fontId="214" fillId="71" borderId="48" xfId="0" applyFont="1" applyFill="1" applyBorder="1"/>
    <xf numFmtId="169" fontId="215" fillId="71" borderId="48" xfId="0" applyNumberFormat="1" applyFont="1" applyFill="1" applyBorder="1"/>
    <xf numFmtId="165" fontId="215" fillId="71" borderId="48" xfId="12422" applyNumberFormat="1" applyFont="1" applyFill="1" applyBorder="1"/>
    <xf numFmtId="0" fontId="214" fillId="0" borderId="0" xfId="0" quotePrefix="1" applyFont="1" applyFill="1" applyAlignment="1">
      <alignment horizontal="center"/>
    </xf>
    <xf numFmtId="167" fontId="227" fillId="0" borderId="0" xfId="12427" applyNumberFormat="1" applyFont="1"/>
    <xf numFmtId="169" fontId="228" fillId="0" borderId="0" xfId="0" applyNumberFormat="1" applyFont="1"/>
    <xf numFmtId="0" fontId="214" fillId="0" borderId="45" xfId="0" applyFont="1" applyBorder="1"/>
    <xf numFmtId="0" fontId="214" fillId="0" borderId="0" xfId="0" applyFont="1" applyAlignment="1">
      <alignment horizontal="right" wrapText="1"/>
    </xf>
    <xf numFmtId="0" fontId="214" fillId="74" borderId="0" xfId="0" applyFont="1" applyFill="1" applyAlignment="1">
      <alignment wrapText="1"/>
    </xf>
    <xf numFmtId="8" fontId="227" fillId="0" borderId="0" xfId="0" applyNumberFormat="1" applyFont="1"/>
    <xf numFmtId="0" fontId="214" fillId="0" borderId="163" xfId="0" applyFont="1" applyBorder="1"/>
    <xf numFmtId="0" fontId="215" fillId="71" borderId="34" xfId="0" applyFont="1" applyFill="1" applyBorder="1"/>
    <xf numFmtId="0" fontId="215" fillId="71" borderId="35" xfId="0" applyFont="1" applyFill="1" applyBorder="1"/>
    <xf numFmtId="8" fontId="215" fillId="71" borderId="42" xfId="0" applyNumberFormat="1" applyFont="1" applyFill="1" applyBorder="1"/>
    <xf numFmtId="0" fontId="214" fillId="0" borderId="72" xfId="0" applyFont="1" applyBorder="1"/>
    <xf numFmtId="0" fontId="216" fillId="0" borderId="163" xfId="0" applyFont="1" applyBorder="1"/>
    <xf numFmtId="0" fontId="229" fillId="0" borderId="0" xfId="0" applyFont="1"/>
    <xf numFmtId="0" fontId="214" fillId="0" borderId="0" xfId="0" quotePrefix="1" applyFont="1" applyAlignment="1">
      <alignment horizontal="right"/>
    </xf>
    <xf numFmtId="0" fontId="214" fillId="74" borderId="0" xfId="0" quotePrefix="1" applyFont="1" applyFill="1" applyAlignment="1">
      <alignment horizontal="left"/>
    </xf>
    <xf numFmtId="0" fontId="214" fillId="74" borderId="0" xfId="0" applyFont="1" applyFill="1"/>
    <xf numFmtId="43" fontId="214" fillId="0" borderId="0" xfId="0" applyNumberFormat="1" applyFont="1"/>
    <xf numFmtId="0" fontId="214" fillId="0" borderId="176" xfId="0" applyFont="1" applyBorder="1" applyAlignment="1">
      <alignment horizontal="center"/>
    </xf>
    <xf numFmtId="165" fontId="230" fillId="0" borderId="52" xfId="12422" applyNumberFormat="1" applyFont="1" applyBorder="1"/>
    <xf numFmtId="0" fontId="214" fillId="0" borderId="0" xfId="12421" applyFont="1" applyAlignment="1">
      <alignment horizontal="center"/>
    </xf>
    <xf numFmtId="0" fontId="214" fillId="0" borderId="0" xfId="12421" applyFont="1" applyBorder="1"/>
    <xf numFmtId="0" fontId="215" fillId="0" borderId="0" xfId="12421" applyFont="1" applyBorder="1"/>
    <xf numFmtId="0" fontId="215" fillId="0" borderId="0" xfId="12421" applyFont="1" applyBorder="1" applyAlignment="1">
      <alignment horizontal="center"/>
    </xf>
    <xf numFmtId="0" fontId="226" fillId="72" borderId="34" xfId="0" applyFont="1" applyFill="1" applyBorder="1" applyAlignment="1">
      <alignment horizontal="center" wrapText="1"/>
    </xf>
    <xf numFmtId="0" fontId="226" fillId="72" borderId="35" xfId="0" applyFont="1" applyFill="1" applyBorder="1" applyAlignment="1">
      <alignment horizontal="center" wrapText="1"/>
    </xf>
    <xf numFmtId="0" fontId="226" fillId="72" borderId="42" xfId="0" applyFont="1" applyFill="1" applyBorder="1" applyAlignment="1">
      <alignment horizontal="center" wrapText="1"/>
    </xf>
    <xf numFmtId="0" fontId="215" fillId="0" borderId="186" xfId="0" applyFont="1" applyBorder="1" applyAlignment="1">
      <alignment horizontal="centerContinuous"/>
    </xf>
    <xf numFmtId="0" fontId="215" fillId="0" borderId="187" xfId="0" applyFont="1" applyBorder="1" applyAlignment="1">
      <alignment horizontal="centerContinuous"/>
    </xf>
    <xf numFmtId="0" fontId="223" fillId="0" borderId="0" xfId="0" applyNumberFormat="1" applyFont="1" applyAlignment="1">
      <alignment horizontal="center" vertical="center" wrapText="1"/>
    </xf>
    <xf numFmtId="0" fontId="223" fillId="0" borderId="186" xfId="0" applyFont="1" applyBorder="1" applyAlignment="1">
      <alignment horizontal="left" wrapText="1"/>
    </xf>
    <xf numFmtId="0" fontId="223" fillId="0" borderId="187" xfId="0" applyFont="1" applyBorder="1" applyAlignment="1">
      <alignment horizontal="left" wrapText="1"/>
    </xf>
    <xf numFmtId="0" fontId="215" fillId="0" borderId="34" xfId="0" applyFont="1" applyFill="1" applyBorder="1"/>
    <xf numFmtId="0" fontId="231" fillId="0" borderId="35" xfId="0" applyFont="1" applyFill="1" applyBorder="1"/>
    <xf numFmtId="0" fontId="216" fillId="74" borderId="83" xfId="0" applyFont="1" applyFill="1" applyBorder="1"/>
    <xf numFmtId="0" fontId="231" fillId="74" borderId="35" xfId="0" applyFont="1" applyFill="1" applyBorder="1"/>
    <xf numFmtId="0" fontId="231" fillId="0" borderId="42" xfId="0" applyFont="1" applyFill="1" applyBorder="1"/>
    <xf numFmtId="164" fontId="214" fillId="0" borderId="0" xfId="0" applyNumberFormat="1" applyFont="1" applyAlignment="1">
      <alignment horizontal="right"/>
    </xf>
    <xf numFmtId="169" fontId="232" fillId="0" borderId="0" xfId="0" applyNumberFormat="1" applyFont="1"/>
    <xf numFmtId="0" fontId="215" fillId="0" borderId="0" xfId="0" applyFont="1" applyAlignment="1">
      <alignment horizontal="left"/>
    </xf>
    <xf numFmtId="164" fontId="233" fillId="0" borderId="0" xfId="0" applyNumberFormat="1" applyFont="1" applyAlignment="1">
      <alignment horizontal="right"/>
    </xf>
    <xf numFmtId="0" fontId="231" fillId="0" borderId="34" xfId="0" applyFont="1" applyFill="1" applyBorder="1"/>
    <xf numFmtId="169" fontId="216" fillId="74" borderId="0" xfId="0" applyNumberFormat="1" applyFont="1" applyFill="1"/>
    <xf numFmtId="0" fontId="223" fillId="74" borderId="0" xfId="0" applyFont="1" applyFill="1" applyAlignment="1">
      <alignment horizontal="center" wrapText="1"/>
    </xf>
    <xf numFmtId="0" fontId="234" fillId="0" borderId="82" xfId="0" applyFont="1" applyBorder="1" applyAlignment="1">
      <alignment horizontal="centerContinuous"/>
    </xf>
    <xf numFmtId="0" fontId="214" fillId="0" borderId="147" xfId="0" applyFont="1" applyBorder="1" applyAlignment="1">
      <alignment horizontal="centerContinuous"/>
    </xf>
    <xf numFmtId="0" fontId="214" fillId="0" borderId="64" xfId="0" applyFont="1" applyBorder="1" applyAlignment="1">
      <alignment horizontal="right"/>
    </xf>
    <xf numFmtId="8" fontId="215" fillId="0" borderId="13" xfId="0" applyNumberFormat="1" applyFont="1" applyBorder="1" applyAlignment="1">
      <alignment horizontal="right"/>
    </xf>
    <xf numFmtId="0" fontId="214" fillId="0" borderId="82" xfId="0" applyFont="1" applyBorder="1" applyAlignment="1">
      <alignment horizontal="centerContinuous"/>
    </xf>
    <xf numFmtId="0" fontId="214" fillId="0" borderId="158" xfId="0" applyFont="1" applyBorder="1" applyAlignment="1">
      <alignment horizontal="right"/>
    </xf>
    <xf numFmtId="0" fontId="214" fillId="0" borderId="160" xfId="0" applyFont="1" applyBorder="1"/>
    <xf numFmtId="234" fontId="232" fillId="0" borderId="0" xfId="0" applyNumberFormat="1" applyFont="1" applyAlignment="1">
      <alignment horizontal="right"/>
    </xf>
    <xf numFmtId="0" fontId="214" fillId="0" borderId="141" xfId="0" applyFont="1" applyBorder="1" applyAlignment="1">
      <alignment horizontal="right"/>
    </xf>
    <xf numFmtId="8" fontId="215" fillId="0" borderId="99" xfId="0" applyNumberFormat="1" applyFont="1" applyBorder="1" applyAlignment="1">
      <alignment horizontal="right"/>
    </xf>
    <xf numFmtId="8" fontId="214" fillId="0" borderId="160" xfId="0" applyNumberFormat="1" applyFont="1" applyBorder="1"/>
    <xf numFmtId="169" fontId="230" fillId="0" borderId="0" xfId="0" applyNumberFormat="1" applyFont="1"/>
    <xf numFmtId="0" fontId="215" fillId="30" borderId="0" xfId="0" applyFont="1" applyFill="1"/>
    <xf numFmtId="0" fontId="215" fillId="0" borderId="70" xfId="0" applyFont="1" applyBorder="1"/>
    <xf numFmtId="0" fontId="214" fillId="0" borderId="71" xfId="0" applyFont="1" applyBorder="1"/>
    <xf numFmtId="164" fontId="232" fillId="0" borderId="0" xfId="0" applyNumberFormat="1" applyFont="1" applyAlignment="1">
      <alignment horizontal="right"/>
    </xf>
    <xf numFmtId="164" fontId="221" fillId="0" borderId="72" xfId="0" applyNumberFormat="1" applyFont="1" applyBorder="1"/>
    <xf numFmtId="167" fontId="221" fillId="0" borderId="72" xfId="12426" applyNumberFormat="1" applyFont="1" applyBorder="1"/>
    <xf numFmtId="165" fontId="232" fillId="0" borderId="0" xfId="0" applyNumberFormat="1" applyFont="1"/>
    <xf numFmtId="165" fontId="227" fillId="0" borderId="72" xfId="12049" applyNumberFormat="1" applyFont="1" applyBorder="1" applyAlignment="1">
      <alignment horizontal="right"/>
    </xf>
    <xf numFmtId="165" fontId="232" fillId="0" borderId="72" xfId="12049" applyNumberFormat="1" applyFont="1" applyBorder="1" applyAlignment="1">
      <alignment horizontal="right"/>
    </xf>
    <xf numFmtId="0" fontId="231" fillId="0" borderId="0" xfId="0" applyFont="1" applyFill="1" applyAlignment="1">
      <alignment horizontal="left"/>
    </xf>
    <xf numFmtId="0" fontId="215" fillId="0" borderId="48" xfId="0" applyFont="1" applyFill="1" applyBorder="1"/>
    <xf numFmtId="0" fontId="214" fillId="0" borderId="48" xfId="0" applyFont="1" applyBorder="1"/>
    <xf numFmtId="169" fontId="215" fillId="0" borderId="48" xfId="0" applyNumberFormat="1" applyFont="1" applyBorder="1"/>
    <xf numFmtId="169" fontId="215" fillId="0" borderId="0" xfId="0" applyNumberFormat="1" applyFont="1"/>
    <xf numFmtId="0" fontId="214" fillId="0" borderId="0" xfId="0" applyFont="1" applyFill="1" applyAlignment="1">
      <alignment horizontal="left" indent="1"/>
    </xf>
    <xf numFmtId="0" fontId="214" fillId="0" borderId="0" xfId="0" applyFont="1" applyFill="1"/>
    <xf numFmtId="169" fontId="214" fillId="0" borderId="0" xfId="0" applyNumberFormat="1" applyFont="1" applyFill="1"/>
    <xf numFmtId="165" fontId="214" fillId="0" borderId="0" xfId="12422" applyNumberFormat="1" applyFont="1"/>
    <xf numFmtId="167" fontId="214" fillId="0" borderId="133" xfId="0" applyNumberFormat="1" applyFont="1" applyBorder="1"/>
    <xf numFmtId="165" fontId="214" fillId="0" borderId="133" xfId="12422" applyNumberFormat="1" applyFont="1" applyBorder="1"/>
    <xf numFmtId="8" fontId="214" fillId="0" borderId="0" xfId="0" applyNumberFormat="1" applyFont="1" applyFill="1" applyAlignment="1">
      <alignment horizontal="left" indent="1"/>
    </xf>
    <xf numFmtId="0" fontId="232" fillId="0" borderId="0" xfId="0" applyFont="1" applyFill="1" applyAlignment="1">
      <alignment horizontal="left" indent="1"/>
    </xf>
    <xf numFmtId="0" fontId="220" fillId="0" borderId="0" xfId="0" applyFont="1" applyAlignment="1">
      <alignment horizontal="right"/>
    </xf>
    <xf numFmtId="0" fontId="221" fillId="0" borderId="31" xfId="0" applyFont="1" applyBorder="1"/>
    <xf numFmtId="0" fontId="221" fillId="0" borderId="51" xfId="0" applyFont="1" applyBorder="1"/>
    <xf numFmtId="0" fontId="214" fillId="0" borderId="51" xfId="0" applyFont="1" applyBorder="1"/>
    <xf numFmtId="0" fontId="214" fillId="0" borderId="32" xfId="0" applyFont="1" applyBorder="1"/>
    <xf numFmtId="0" fontId="229" fillId="0" borderId="0" xfId="0" applyFont="1" applyAlignment="1">
      <alignment horizontal="left" indent="1"/>
    </xf>
    <xf numFmtId="0" fontId="235" fillId="0" borderId="0" xfId="0" applyFont="1"/>
    <xf numFmtId="43" fontId="216" fillId="0" borderId="163" xfId="12427" applyFont="1" applyBorder="1"/>
    <xf numFmtId="8" fontId="215" fillId="0" borderId="0" xfId="0" applyNumberFormat="1" applyFont="1" applyAlignment="1">
      <alignment horizontal="right"/>
    </xf>
    <xf numFmtId="165" fontId="227" fillId="0" borderId="0" xfId="0" applyNumberFormat="1" applyFont="1" applyFill="1" applyAlignment="1">
      <alignment horizontal="center"/>
    </xf>
    <xf numFmtId="165" fontId="227" fillId="74" borderId="0" xfId="0" applyNumberFormat="1" applyFont="1" applyFill="1"/>
    <xf numFmtId="165" fontId="232" fillId="74" borderId="0" xfId="0" applyNumberFormat="1" applyFont="1" applyFill="1"/>
    <xf numFmtId="0" fontId="216" fillId="0" borderId="0" xfId="0" applyFont="1"/>
    <xf numFmtId="0" fontId="215" fillId="0" borderId="0" xfId="0" applyFont="1" applyFill="1"/>
    <xf numFmtId="168" fontId="214" fillId="0" borderId="0" xfId="0" applyNumberFormat="1" applyFont="1"/>
    <xf numFmtId="165" fontId="214" fillId="0" borderId="0" xfId="0" applyNumberFormat="1" applyFont="1" applyAlignment="1">
      <alignment horizontal="center"/>
    </xf>
    <xf numFmtId="165" fontId="236" fillId="74" borderId="0" xfId="0" applyNumberFormat="1" applyFont="1" applyFill="1"/>
    <xf numFmtId="0" fontId="215" fillId="0" borderId="31" xfId="0" applyFont="1" applyBorder="1"/>
    <xf numFmtId="0" fontId="216" fillId="74" borderId="0" xfId="0" applyFont="1" applyFill="1"/>
    <xf numFmtId="8" fontId="215" fillId="0" borderId="32" xfId="0" applyNumberFormat="1" applyFont="1" applyBorder="1"/>
    <xf numFmtId="169" fontId="214" fillId="65" borderId="0" xfId="0" applyNumberFormat="1" applyFont="1" applyFill="1"/>
    <xf numFmtId="167" fontId="237" fillId="0" borderId="52" xfId="12427" applyNumberFormat="1" applyFont="1" applyBorder="1"/>
    <xf numFmtId="167" fontId="237" fillId="0" borderId="52" xfId="0" applyNumberFormat="1" applyFont="1" applyBorder="1"/>
    <xf numFmtId="165" fontId="214" fillId="0" borderId="0" xfId="0" applyNumberFormat="1" applyFont="1" applyFill="1" applyAlignment="1">
      <alignment horizontal="center"/>
    </xf>
    <xf numFmtId="0" fontId="231" fillId="0" borderId="53" xfId="0" applyFont="1" applyFill="1" applyBorder="1"/>
    <xf numFmtId="0" fontId="231" fillId="0" borderId="54" xfId="0" applyFont="1" applyFill="1" applyBorder="1"/>
    <xf numFmtId="0" fontId="231" fillId="0" borderId="54" xfId="0" applyFont="1" applyFill="1" applyBorder="1" applyAlignment="1">
      <alignment horizontal="center"/>
    </xf>
    <xf numFmtId="0" fontId="231" fillId="0" borderId="55" xfId="0" applyFont="1" applyFill="1" applyBorder="1" applyAlignment="1">
      <alignment horizontal="center"/>
    </xf>
    <xf numFmtId="0" fontId="231" fillId="0" borderId="10" xfId="0" applyFont="1" applyFill="1" applyBorder="1"/>
    <xf numFmtId="0" fontId="231" fillId="0" borderId="45" xfId="0" applyFont="1" applyFill="1" applyBorder="1"/>
    <xf numFmtId="167" fontId="231" fillId="0" borderId="45" xfId="12427" applyNumberFormat="1" applyFont="1" applyFill="1" applyBorder="1"/>
    <xf numFmtId="169" fontId="231" fillId="74" borderId="45" xfId="0" applyNumberFormat="1" applyFont="1" applyFill="1" applyBorder="1"/>
    <xf numFmtId="8" fontId="231" fillId="0" borderId="11" xfId="0" applyNumberFormat="1" applyFont="1" applyFill="1" applyBorder="1"/>
    <xf numFmtId="0" fontId="238" fillId="0" borderId="0" xfId="0" applyFont="1" applyFill="1"/>
    <xf numFmtId="0" fontId="229" fillId="0" borderId="0" xfId="0" applyFont="1" applyFill="1"/>
    <xf numFmtId="0" fontId="214" fillId="0" borderId="0" xfId="0" quotePrefix="1" applyFont="1" applyFill="1" applyAlignment="1">
      <alignment horizontal="right"/>
    </xf>
    <xf numFmtId="0" fontId="214" fillId="0" borderId="0" xfId="0" quotePrefix="1" applyFont="1" applyFill="1" applyBorder="1" applyAlignment="1">
      <alignment horizontal="left"/>
    </xf>
    <xf numFmtId="0" fontId="214" fillId="0" borderId="0" xfId="0" applyNumberFormat="1" applyFont="1"/>
    <xf numFmtId="0" fontId="216" fillId="0" borderId="188" xfId="0" applyFont="1" applyBorder="1" applyAlignment="1">
      <alignment horizontal="centerContinuous"/>
    </xf>
    <xf numFmtId="0" fontId="214" fillId="0" borderId="189" xfId="0" applyFont="1" applyBorder="1" applyAlignment="1">
      <alignment horizontal="centerContinuous"/>
    </xf>
    <xf numFmtId="0" fontId="214" fillId="0" borderId="190" xfId="0" applyFont="1" applyBorder="1" applyAlignment="1">
      <alignment horizontal="centerContinuous"/>
    </xf>
    <xf numFmtId="0" fontId="230" fillId="0" borderId="188" xfId="0" applyFont="1" applyBorder="1" applyAlignment="1">
      <alignment horizontal="center"/>
    </xf>
    <xf numFmtId="0" fontId="215" fillId="0" borderId="189" xfId="0" applyFont="1" applyBorder="1"/>
    <xf numFmtId="0" fontId="214" fillId="0" borderId="189" xfId="0" applyFont="1" applyBorder="1"/>
    <xf numFmtId="0" fontId="214" fillId="0" borderId="190" xfId="0" applyFont="1" applyBorder="1"/>
    <xf numFmtId="0" fontId="214" fillId="0" borderId="64" xfId="0" applyFont="1" applyBorder="1"/>
    <xf numFmtId="0" fontId="214" fillId="0" borderId="0" xfId="0" applyFont="1" applyBorder="1"/>
    <xf numFmtId="0" fontId="214" fillId="0" borderId="13" xfId="0" applyFont="1" applyBorder="1"/>
    <xf numFmtId="0" fontId="215" fillId="0" borderId="188" xfId="0" applyFont="1" applyBorder="1" applyAlignment="1">
      <alignment horizontal="right"/>
    </xf>
    <xf numFmtId="0" fontId="215" fillId="0" borderId="189" xfId="0" applyFont="1" applyBorder="1" applyAlignment="1">
      <alignment horizontal="right"/>
    </xf>
    <xf numFmtId="0" fontId="215" fillId="0" borderId="190" xfId="0" applyFont="1" applyBorder="1" applyAlignment="1">
      <alignment horizontal="right"/>
    </xf>
    <xf numFmtId="0" fontId="215" fillId="0" borderId="0" xfId="0" applyFont="1" applyAlignment="1">
      <alignment horizontal="left" indent="1"/>
    </xf>
    <xf numFmtId="305" fontId="214" fillId="0" borderId="0" xfId="0" applyNumberFormat="1" applyFont="1" applyFill="1" applyAlignment="1">
      <alignment horizontal="right"/>
    </xf>
    <xf numFmtId="0" fontId="214" fillId="0" borderId="192" xfId="0" applyFont="1" applyBorder="1"/>
    <xf numFmtId="0" fontId="214" fillId="0" borderId="193" xfId="0" applyFont="1" applyBorder="1"/>
    <xf numFmtId="0" fontId="214" fillId="0" borderId="191" xfId="0" applyFont="1" applyBorder="1"/>
    <xf numFmtId="0" fontId="214" fillId="0" borderId="0" xfId="0" applyFont="1" applyAlignment="1">
      <alignment horizontal="left" indent="2"/>
    </xf>
    <xf numFmtId="8" fontId="214" fillId="0" borderId="0" xfId="0" applyNumberFormat="1" applyFont="1"/>
    <xf numFmtId="165" fontId="227" fillId="0" borderId="64" xfId="0" applyNumberFormat="1" applyFont="1" applyBorder="1"/>
    <xf numFmtId="8" fontId="214" fillId="0" borderId="0" xfId="0" applyNumberFormat="1" applyFont="1" applyBorder="1"/>
    <xf numFmtId="167" fontId="214" fillId="0" borderId="0" xfId="0" applyNumberFormat="1" applyFont="1" applyBorder="1"/>
    <xf numFmtId="167" fontId="214" fillId="0" borderId="13" xfId="12427" applyNumberFormat="1" applyFont="1" applyBorder="1"/>
    <xf numFmtId="165" fontId="214" fillId="0" borderId="64" xfId="0" applyNumberFormat="1" applyFont="1" applyBorder="1"/>
    <xf numFmtId="0" fontId="215" fillId="0" borderId="0" xfId="0" applyFont="1" applyBorder="1" applyAlignment="1">
      <alignment horizontal="right"/>
    </xf>
    <xf numFmtId="167" fontId="215" fillId="0" borderId="191" xfId="0" applyNumberFormat="1" applyFont="1" applyBorder="1"/>
    <xf numFmtId="167" fontId="215" fillId="0" borderId="13" xfId="0" applyNumberFormat="1" applyFont="1" applyBorder="1"/>
    <xf numFmtId="0" fontId="214" fillId="0" borderId="141" xfId="0" applyFont="1" applyBorder="1"/>
    <xf numFmtId="0" fontId="237" fillId="0" borderId="45" xfId="0" applyFont="1" applyBorder="1" applyAlignment="1">
      <alignment horizontal="right"/>
    </xf>
    <xf numFmtId="272" fontId="216" fillId="0" borderId="99" xfId="0" applyNumberFormat="1" applyFont="1" applyBorder="1"/>
    <xf numFmtId="0" fontId="215" fillId="0" borderId="188" xfId="0" applyFont="1" applyBorder="1"/>
    <xf numFmtId="10" fontId="214" fillId="0" borderId="0" xfId="0" applyNumberFormat="1" applyFont="1"/>
    <xf numFmtId="43" fontId="224" fillId="0" borderId="0" xfId="11155" applyFont="1" applyFill="1" applyBorder="1" applyAlignment="1"/>
    <xf numFmtId="43" fontId="224" fillId="0" borderId="0" xfId="11155" applyFont="1" applyFill="1" applyBorder="1" applyAlignment="1">
      <alignment horizontal="right"/>
    </xf>
    <xf numFmtId="0" fontId="216" fillId="0" borderId="0" xfId="0" applyFont="1" applyFill="1"/>
    <xf numFmtId="0" fontId="216" fillId="74" borderId="0" xfId="0" applyFont="1" applyFill="1" applyAlignment="1">
      <alignment horizontal="center" wrapText="1"/>
    </xf>
    <xf numFmtId="0" fontId="226" fillId="72" borderId="58" xfId="0" applyFont="1" applyFill="1" applyBorder="1" applyAlignment="1">
      <alignment horizontal="center"/>
    </xf>
    <xf numFmtId="0" fontId="226" fillId="72" borderId="59" xfId="0" applyFont="1" applyFill="1" applyBorder="1" applyAlignment="1">
      <alignment horizontal="right" wrapText="1"/>
    </xf>
    <xf numFmtId="0" fontId="226" fillId="72" borderId="35" xfId="0" applyFont="1" applyFill="1" applyBorder="1" applyAlignment="1">
      <alignment horizontal="right" wrapText="1"/>
    </xf>
    <xf numFmtId="0" fontId="226" fillId="72" borderId="69" xfId="0" applyFont="1" applyFill="1" applyBorder="1" applyAlignment="1">
      <alignment horizontal="right" wrapText="1"/>
    </xf>
    <xf numFmtId="0" fontId="231" fillId="0" borderId="0" xfId="0" applyFont="1" applyFill="1" applyBorder="1" applyAlignment="1">
      <alignment horizontal="center"/>
    </xf>
    <xf numFmtId="0" fontId="215" fillId="0" borderId="125" xfId="0" applyFont="1" applyBorder="1" applyAlignment="1">
      <alignment horizontal="centerContinuous" wrapText="1"/>
    </xf>
    <xf numFmtId="0" fontId="214" fillId="0" borderId="127" xfId="0" applyFont="1" applyBorder="1" applyAlignment="1">
      <alignment horizontal="centerContinuous"/>
    </xf>
    <xf numFmtId="0" fontId="214" fillId="0" borderId="0" xfId="0" applyFont="1" applyFill="1" applyBorder="1" applyAlignment="1">
      <alignment horizontal="center"/>
    </xf>
    <xf numFmtId="0" fontId="214" fillId="0" borderId="0" xfId="0" applyFont="1" applyFill="1" applyAlignment="1"/>
    <xf numFmtId="165" fontId="221" fillId="74" borderId="0" xfId="0" applyNumberFormat="1" applyFont="1" applyFill="1" applyAlignment="1"/>
    <xf numFmtId="165" fontId="232" fillId="0" borderId="0" xfId="0" applyNumberFormat="1" applyFont="1" applyFill="1" applyAlignment="1"/>
    <xf numFmtId="164" fontId="221" fillId="74" borderId="0" xfId="0" applyNumberFormat="1" applyFont="1" applyFill="1" applyAlignment="1">
      <alignment horizontal="right"/>
    </xf>
    <xf numFmtId="0" fontId="214" fillId="0" borderId="0" xfId="0" quotePrefix="1" applyFont="1" applyFill="1" applyBorder="1" applyAlignment="1">
      <alignment horizontal="center"/>
    </xf>
    <xf numFmtId="165" fontId="214" fillId="0" borderId="0" xfId="0" applyNumberFormat="1" applyFont="1" applyFill="1" applyBorder="1" applyAlignment="1">
      <alignment horizontal="center"/>
    </xf>
    <xf numFmtId="0" fontId="214" fillId="0" borderId="128" xfId="0" applyFont="1" applyBorder="1"/>
    <xf numFmtId="165" fontId="214" fillId="0" borderId="130" xfId="12422" applyNumberFormat="1" applyFont="1" applyBorder="1" applyAlignment="1">
      <alignment horizontal="center"/>
    </xf>
    <xf numFmtId="0" fontId="214" fillId="0" borderId="0" xfId="0" applyFont="1" applyFill="1" applyBorder="1"/>
    <xf numFmtId="165" fontId="214" fillId="0" borderId="13" xfId="12422" applyNumberFormat="1" applyFont="1" applyBorder="1" applyAlignment="1">
      <alignment horizontal="center"/>
    </xf>
    <xf numFmtId="165" fontId="221" fillId="0" borderId="0" xfId="0" applyNumberFormat="1" applyFont="1" applyFill="1" applyAlignment="1"/>
    <xf numFmtId="165" fontId="214" fillId="0" borderId="99" xfId="12422" applyNumberFormat="1" applyFont="1" applyBorder="1" applyAlignment="1">
      <alignment horizontal="center"/>
    </xf>
    <xf numFmtId="0" fontId="215" fillId="0" borderId="0" xfId="0" applyFont="1" applyFill="1" applyBorder="1"/>
    <xf numFmtId="0" fontId="215" fillId="0" borderId="0" xfId="0" applyFont="1" applyFill="1" applyBorder="1" applyAlignment="1">
      <alignment horizontal="center"/>
    </xf>
    <xf numFmtId="0" fontId="214" fillId="0" borderId="10" xfId="0" applyFont="1" applyBorder="1"/>
    <xf numFmtId="165" fontId="231" fillId="0" borderId="99" xfId="0" applyNumberFormat="1" applyFont="1" applyFill="1" applyBorder="1" applyAlignment="1">
      <alignment horizontal="center"/>
    </xf>
    <xf numFmtId="0" fontId="237" fillId="0" borderId="45" xfId="0" applyFont="1" applyFill="1" applyBorder="1" applyAlignment="1">
      <alignment horizontal="left"/>
    </xf>
    <xf numFmtId="0" fontId="215" fillId="0" borderId="45" xfId="0" applyFont="1" applyFill="1" applyBorder="1" applyAlignment="1">
      <alignment horizontal="center" wrapText="1"/>
    </xf>
    <xf numFmtId="0" fontId="226" fillId="72" borderId="58" xfId="0" applyFont="1" applyFill="1" applyBorder="1" applyAlignment="1">
      <alignment horizontal="left"/>
    </xf>
    <xf numFmtId="0" fontId="214" fillId="0" borderId="0" xfId="0" applyFont="1" applyFill="1" applyAlignment="1">
      <alignment horizontal="left"/>
    </xf>
    <xf numFmtId="165" fontId="214" fillId="0" borderId="0" xfId="0" applyNumberFormat="1" applyFont="1" applyFill="1" applyAlignment="1"/>
    <xf numFmtId="10" fontId="214" fillId="0" borderId="0" xfId="0" applyNumberFormat="1" applyFont="1" applyFill="1" applyAlignment="1"/>
    <xf numFmtId="165" fontId="214" fillId="0" borderId="0" xfId="0" applyNumberFormat="1" applyFont="1" applyFill="1" applyBorder="1" applyAlignment="1"/>
    <xf numFmtId="165" fontId="214" fillId="73" borderId="0" xfId="0" applyNumberFormat="1" applyFont="1" applyFill="1" applyBorder="1" applyAlignment="1"/>
    <xf numFmtId="165" fontId="214" fillId="0" borderId="0" xfId="0" applyNumberFormat="1" applyFont="1" applyFill="1" applyBorder="1" applyAlignment="1">
      <alignment horizontal="right"/>
    </xf>
    <xf numFmtId="0" fontId="215" fillId="0" borderId="61" xfId="0" applyFont="1" applyFill="1" applyBorder="1"/>
    <xf numFmtId="165" fontId="215" fillId="0" borderId="61" xfId="0" applyNumberFormat="1" applyFont="1" applyFill="1" applyBorder="1" applyAlignment="1"/>
    <xf numFmtId="0" fontId="215" fillId="0" borderId="61" xfId="0" applyFont="1" applyFill="1" applyBorder="1" applyAlignment="1"/>
    <xf numFmtId="0" fontId="215" fillId="0" borderId="45" xfId="0" applyFont="1" applyFill="1" applyBorder="1" applyAlignment="1">
      <alignment horizontal="right" wrapText="1"/>
    </xf>
    <xf numFmtId="165" fontId="214" fillId="0" borderId="0" xfId="0" applyNumberFormat="1" applyFont="1" applyFill="1" applyBorder="1" applyAlignment="1">
      <alignment horizontal="right" indent="1"/>
    </xf>
    <xf numFmtId="165" fontId="215" fillId="0" borderId="0" xfId="0" applyNumberFormat="1" applyFont="1" applyFill="1" applyBorder="1" applyAlignment="1"/>
    <xf numFmtId="0" fontId="215" fillId="0" borderId="0" xfId="0" applyFont="1" applyFill="1" applyBorder="1" applyAlignment="1"/>
    <xf numFmtId="0" fontId="226" fillId="72" borderId="59" xfId="0" applyFont="1" applyFill="1" applyBorder="1" applyAlignment="1">
      <alignment horizontal="center" wrapText="1"/>
    </xf>
    <xf numFmtId="0" fontId="226" fillId="72" borderId="60" xfId="0" applyFont="1" applyFill="1" applyBorder="1" applyAlignment="1">
      <alignment horizontal="center" wrapText="1"/>
    </xf>
    <xf numFmtId="165" fontId="215" fillId="0" borderId="62" xfId="0" applyNumberFormat="1" applyFont="1" applyFill="1" applyBorder="1" applyAlignment="1">
      <alignment horizontal="center"/>
    </xf>
    <xf numFmtId="165" fontId="215" fillId="0" borderId="63" xfId="0" applyNumberFormat="1" applyFont="1" applyFill="1" applyBorder="1" applyAlignment="1">
      <alignment horizontal="center"/>
    </xf>
    <xf numFmtId="165" fontId="215" fillId="0" borderId="61" xfId="0" applyNumberFormat="1" applyFont="1" applyFill="1" applyBorder="1" applyAlignment="1">
      <alignment horizontal="center"/>
    </xf>
    <xf numFmtId="165" fontId="221" fillId="0" borderId="10" xfId="0" applyNumberFormat="1" applyFont="1" applyFill="1" applyBorder="1" applyAlignment="1">
      <alignment horizontal="center"/>
    </xf>
    <xf numFmtId="165" fontId="214" fillId="0" borderId="45" xfId="0" applyNumberFormat="1" applyFont="1" applyFill="1" applyBorder="1" applyAlignment="1">
      <alignment horizontal="center"/>
    </xf>
    <xf numFmtId="165" fontId="214" fillId="0" borderId="11" xfId="0" applyNumberFormat="1" applyFont="1" applyFill="1" applyBorder="1" applyAlignment="1">
      <alignment horizontal="center"/>
    </xf>
    <xf numFmtId="0" fontId="214" fillId="0" borderId="0" xfId="0" quotePrefix="1" applyFont="1" applyFill="1" applyBorder="1" applyAlignment="1">
      <alignment horizontal="left" indent="1"/>
    </xf>
    <xf numFmtId="0" fontId="226" fillId="72" borderId="60" xfId="0" applyFont="1" applyFill="1" applyBorder="1" applyAlignment="1">
      <alignment horizontal="right" wrapText="1"/>
    </xf>
    <xf numFmtId="0" fontId="215" fillId="0" borderId="0" xfId="0" applyFont="1" applyFill="1" applyBorder="1" applyAlignment="1">
      <alignment horizontal="left"/>
    </xf>
    <xf numFmtId="0" fontId="232" fillId="0" borderId="64" xfId="0" applyFont="1" applyFill="1" applyBorder="1"/>
    <xf numFmtId="164" fontId="214" fillId="0" borderId="0" xfId="0" applyNumberFormat="1" applyFont="1" applyFill="1" applyAlignment="1">
      <alignment horizontal="center"/>
    </xf>
    <xf numFmtId="165" fontId="232" fillId="0" borderId="0" xfId="0" applyNumberFormat="1" applyFont="1" applyFill="1" applyBorder="1" applyAlignment="1">
      <alignment horizontal="center"/>
    </xf>
    <xf numFmtId="167" fontId="214" fillId="0" borderId="13" xfId="12427" applyNumberFormat="1" applyFont="1" applyFill="1" applyBorder="1" applyAlignment="1">
      <alignment horizontal="right"/>
    </xf>
    <xf numFmtId="0" fontId="232" fillId="0" borderId="10" xfId="0" applyFont="1" applyFill="1" applyBorder="1"/>
    <xf numFmtId="0" fontId="214" fillId="0" borderId="45" xfId="0" applyFont="1" applyFill="1" applyBorder="1" applyAlignment="1">
      <alignment horizontal="center"/>
    </xf>
    <xf numFmtId="165" fontId="232" fillId="0" borderId="45" xfId="0" applyNumberFormat="1" applyFont="1" applyFill="1" applyBorder="1" applyAlignment="1">
      <alignment horizontal="center"/>
    </xf>
    <xf numFmtId="167" fontId="214" fillId="0" borderId="11" xfId="12427" applyNumberFormat="1" applyFont="1" applyFill="1" applyBorder="1" applyAlignment="1">
      <alignment horizontal="right"/>
    </xf>
    <xf numFmtId="0" fontId="215" fillId="0" borderId="0" xfId="0" quotePrefix="1" applyFont="1" applyFill="1" applyBorder="1" applyAlignment="1">
      <alignment horizontal="left" indent="1"/>
    </xf>
    <xf numFmtId="165" fontId="215" fillId="0" borderId="0" xfId="0" applyNumberFormat="1" applyFont="1" applyFill="1" applyBorder="1" applyAlignment="1">
      <alignment horizontal="right"/>
    </xf>
    <xf numFmtId="0" fontId="229" fillId="74" borderId="0" xfId="0" applyFont="1" applyFill="1"/>
    <xf numFmtId="0" fontId="214" fillId="74" borderId="0" xfId="0" quotePrefix="1" applyFont="1" applyFill="1" applyBorder="1" applyAlignment="1">
      <alignment horizontal="left"/>
    </xf>
    <xf numFmtId="0" fontId="237" fillId="0" borderId="0" xfId="0" applyFont="1" applyFill="1"/>
    <xf numFmtId="0" fontId="214" fillId="0" borderId="0" xfId="20382" applyFont="1"/>
    <xf numFmtId="0" fontId="226" fillId="72" borderId="125" xfId="20389" applyFont="1" applyFill="1" applyBorder="1" applyAlignment="1">
      <alignment horizontal="right" wrapText="1"/>
    </xf>
    <xf numFmtId="0" fontId="226" fillId="72" borderId="132" xfId="20389" applyFont="1" applyFill="1" applyBorder="1" applyAlignment="1">
      <alignment horizontal="right" wrapText="1"/>
    </xf>
    <xf numFmtId="0" fontId="226" fillId="72" borderId="131" xfId="20389" applyFont="1" applyFill="1" applyBorder="1" applyAlignment="1">
      <alignment horizontal="right" wrapText="1"/>
    </xf>
    <xf numFmtId="0" fontId="215" fillId="0" borderId="0" xfId="20389" applyFont="1" applyFill="1" applyAlignment="1">
      <alignment vertical="center"/>
    </xf>
    <xf numFmtId="165" fontId="221" fillId="0" borderId="0" xfId="20389" applyNumberFormat="1" applyFont="1" applyFill="1" applyAlignment="1">
      <alignment vertical="center"/>
    </xf>
    <xf numFmtId="0" fontId="214" fillId="0" borderId="0" xfId="20389" applyFont="1" applyAlignment="1">
      <alignment horizontal="left" vertical="center"/>
    </xf>
    <xf numFmtId="165" fontId="214" fillId="0" borderId="0" xfId="20389" applyNumberFormat="1" applyFont="1" applyFill="1" applyAlignment="1">
      <alignment vertical="center"/>
    </xf>
    <xf numFmtId="0" fontId="239" fillId="0" borderId="0" xfId="20382" applyFont="1" applyAlignment="1">
      <alignment horizontal="right"/>
    </xf>
    <xf numFmtId="165" fontId="214" fillId="0" borderId="0" xfId="20389" applyNumberFormat="1" applyFont="1" applyFill="1" applyAlignment="1">
      <alignment horizontal="right" vertical="center"/>
    </xf>
    <xf numFmtId="165" fontId="221" fillId="0" borderId="0" xfId="20382" applyNumberFormat="1" applyFont="1" applyFill="1"/>
    <xf numFmtId="0" fontId="214" fillId="0" borderId="0" xfId="20382" applyFont="1" applyAlignment="1">
      <alignment horizontal="right"/>
    </xf>
    <xf numFmtId="0" fontId="221" fillId="0" borderId="0" xfId="20382" applyFont="1"/>
    <xf numFmtId="0" fontId="214" fillId="0" borderId="0" xfId="20389" applyFont="1" applyAlignment="1">
      <alignment vertical="center"/>
    </xf>
    <xf numFmtId="0" fontId="227" fillId="0" borderId="0" xfId="20382" applyFont="1"/>
    <xf numFmtId="165" fontId="239" fillId="0" borderId="0" xfId="20389" applyNumberFormat="1" applyFont="1" applyFill="1" applyAlignment="1">
      <alignment vertical="center"/>
    </xf>
    <xf numFmtId="0" fontId="226" fillId="72" borderId="125" xfId="20390" applyFont="1" applyFill="1" applyBorder="1" applyAlignment="1">
      <alignment horizontal="right" wrapText="1"/>
    </xf>
    <xf numFmtId="0" fontId="226" fillId="72" borderId="132" xfId="20390" applyFont="1" applyFill="1" applyBorder="1" applyAlignment="1">
      <alignment horizontal="right" wrapText="1"/>
    </xf>
    <xf numFmtId="0" fontId="226" fillId="72" borderId="131" xfId="20390" applyFont="1" applyFill="1" applyBorder="1" applyAlignment="1">
      <alignment horizontal="right"/>
    </xf>
    <xf numFmtId="0" fontId="215" fillId="0" borderId="0" xfId="20390" applyFont="1" applyFill="1" applyAlignment="1">
      <alignment vertical="center"/>
    </xf>
    <xf numFmtId="165" fontId="221" fillId="0" borderId="0" xfId="20390" applyNumberFormat="1" applyFont="1" applyFill="1" applyAlignment="1">
      <alignment vertical="center"/>
    </xf>
    <xf numFmtId="0" fontId="214" fillId="0" borderId="0" xfId="20390" applyFont="1" applyAlignment="1">
      <alignment horizontal="left" vertical="center"/>
    </xf>
    <xf numFmtId="165" fontId="214" fillId="0" borderId="0" xfId="20390" applyNumberFormat="1" applyFont="1" applyFill="1" applyAlignment="1">
      <alignment vertical="center"/>
    </xf>
    <xf numFmtId="165" fontId="221" fillId="0" borderId="0" xfId="20390" applyNumberFormat="1" applyFont="1" applyFill="1" applyAlignment="1">
      <alignment horizontal="right" vertical="center"/>
    </xf>
    <xf numFmtId="165" fontId="221" fillId="0" borderId="0" xfId="0" applyNumberFormat="1" applyFont="1" applyFill="1" applyAlignment="1">
      <alignment horizontal="right" vertical="center"/>
    </xf>
    <xf numFmtId="165" fontId="232" fillId="0" borderId="0" xfId="0" applyNumberFormat="1" applyFont="1" applyFill="1" applyAlignment="1">
      <alignment horizontal="right" vertical="center"/>
    </xf>
    <xf numFmtId="165" fontId="214" fillId="0" borderId="0" xfId="20390" applyNumberFormat="1" applyFont="1" applyFill="1" applyAlignment="1">
      <alignment horizontal="right" vertical="center"/>
    </xf>
    <xf numFmtId="165" fontId="214" fillId="0" borderId="0" xfId="0" applyNumberFormat="1" applyFont="1" applyFill="1" applyAlignment="1">
      <alignment horizontal="right" vertical="center"/>
    </xf>
    <xf numFmtId="0" fontId="214" fillId="0" borderId="0" xfId="20390" applyFont="1" applyAlignment="1">
      <alignment vertical="center"/>
    </xf>
    <xf numFmtId="165" fontId="214" fillId="0" borderId="0" xfId="20382" applyNumberFormat="1" applyFont="1"/>
    <xf numFmtId="165" fontId="232" fillId="0" borderId="0" xfId="20390" applyNumberFormat="1" applyFont="1" applyFill="1" applyAlignment="1">
      <alignment vertical="center"/>
    </xf>
    <xf numFmtId="0" fontId="237" fillId="0" borderId="0" xfId="0" applyFont="1"/>
    <xf numFmtId="0" fontId="226" fillId="72" borderId="134" xfId="0" applyFont="1" applyFill="1" applyBorder="1" applyAlignment="1">
      <alignment horizontal="left" vertical="center" wrapText="1"/>
    </xf>
    <xf numFmtId="0" fontId="226" fillId="72" borderId="135" xfId="0" applyFont="1" applyFill="1" applyBorder="1" applyAlignment="1">
      <alignment horizontal="right" vertical="center" wrapText="1"/>
    </xf>
    <xf numFmtId="0" fontId="226" fillId="72" borderId="136" xfId="0" applyFont="1" applyFill="1" applyBorder="1" applyAlignment="1">
      <alignment horizontal="right" vertical="center" wrapText="1"/>
    </xf>
    <xf numFmtId="165" fontId="223" fillId="0" borderId="0" xfId="0" applyNumberFormat="1" applyFont="1" applyFill="1" applyAlignment="1">
      <alignment horizontal="right"/>
    </xf>
    <xf numFmtId="164" fontId="221" fillId="0" borderId="0" xfId="0" applyNumberFormat="1" applyFont="1" applyFill="1" applyAlignment="1">
      <alignment horizontal="right"/>
    </xf>
    <xf numFmtId="165" fontId="223" fillId="0" borderId="0" xfId="0" applyNumberFormat="1" applyFont="1" applyFill="1" applyAlignment="1"/>
    <xf numFmtId="273" fontId="214" fillId="0" borderId="0" xfId="0" applyNumberFormat="1" applyFont="1"/>
    <xf numFmtId="0" fontId="215" fillId="0" borderId="64" xfId="0" applyNumberFormat="1" applyFont="1" applyFill="1" applyBorder="1" applyAlignment="1">
      <alignment horizontal="center"/>
    </xf>
    <xf numFmtId="0" fontId="226" fillId="0" borderId="0" xfId="0" applyFont="1" applyFill="1" applyBorder="1" applyAlignment="1">
      <alignment horizontal="left" vertical="center" wrapText="1"/>
    </xf>
    <xf numFmtId="0" fontId="226" fillId="0" borderId="0" xfId="0" applyFont="1" applyFill="1" applyBorder="1" applyAlignment="1">
      <alignment horizontal="right" vertical="center" wrapText="1"/>
    </xf>
    <xf numFmtId="0" fontId="214" fillId="0" borderId="0" xfId="0" applyFont="1" applyAlignment="1">
      <alignment vertical="center"/>
    </xf>
    <xf numFmtId="165" fontId="223" fillId="0" borderId="0" xfId="0" applyNumberFormat="1" applyFont="1" applyFill="1" applyAlignment="1">
      <alignment horizontal="right" vertical="center"/>
    </xf>
    <xf numFmtId="0" fontId="215" fillId="0" borderId="0" xfId="0" applyFont="1" applyFill="1" applyBorder="1" applyAlignment="1">
      <alignment horizontal="center" wrapText="1"/>
    </xf>
    <xf numFmtId="165" fontId="214" fillId="0" borderId="0" xfId="0" applyNumberFormat="1" applyFont="1" applyFill="1" applyAlignment="1">
      <alignment horizontal="right"/>
    </xf>
    <xf numFmtId="165" fontId="214" fillId="29" borderId="0" xfId="0" applyNumberFormat="1" applyFont="1" applyFill="1" applyBorder="1" applyAlignment="1"/>
    <xf numFmtId="0" fontId="215" fillId="0" borderId="137" xfId="0" applyFont="1" applyFill="1" applyBorder="1"/>
    <xf numFmtId="165" fontId="215" fillId="0" borderId="137" xfId="0" applyNumberFormat="1" applyFont="1" applyFill="1" applyBorder="1" applyAlignment="1"/>
    <xf numFmtId="0" fontId="215" fillId="0" borderId="137" xfId="0" applyFont="1" applyFill="1" applyBorder="1" applyAlignment="1"/>
    <xf numFmtId="0" fontId="237" fillId="0" borderId="134" xfId="0" applyFont="1" applyFill="1" applyBorder="1" applyAlignment="1">
      <alignment horizontal="centerContinuous"/>
    </xf>
    <xf numFmtId="0" fontId="215" fillId="0" borderId="136" xfId="0" applyFont="1" applyFill="1" applyBorder="1" applyAlignment="1">
      <alignment horizontal="centerContinuous"/>
    </xf>
    <xf numFmtId="0" fontId="215" fillId="0" borderId="135" xfId="0" applyFont="1" applyFill="1" applyBorder="1" applyAlignment="1">
      <alignment horizontal="centerContinuous"/>
    </xf>
    <xf numFmtId="0" fontId="226" fillId="72" borderId="134" xfId="0" applyFont="1" applyFill="1" applyBorder="1" applyAlignment="1">
      <alignment horizontal="centerContinuous" vertical="center" wrapText="1"/>
    </xf>
    <xf numFmtId="0" fontId="226" fillId="72" borderId="136" xfId="0" applyFont="1" applyFill="1" applyBorder="1" applyAlignment="1">
      <alignment horizontal="centerContinuous" wrapText="1"/>
    </xf>
    <xf numFmtId="0" fontId="226" fillId="72" borderId="135" xfId="0" applyFont="1" applyFill="1" applyBorder="1" applyAlignment="1">
      <alignment horizontal="centerContinuous" wrapText="1"/>
    </xf>
    <xf numFmtId="0" fontId="214" fillId="0" borderId="138" xfId="0" applyFont="1" applyBorder="1"/>
    <xf numFmtId="0" fontId="214" fillId="0" borderId="137" xfId="0" applyFont="1" applyBorder="1"/>
    <xf numFmtId="0" fontId="214" fillId="0" borderId="139" xfId="0" applyFont="1" applyBorder="1"/>
    <xf numFmtId="165" fontId="215" fillId="0" borderId="138" xfId="0" applyNumberFormat="1" applyFont="1" applyFill="1" applyBorder="1" applyAlignment="1">
      <alignment horizontal="center"/>
    </xf>
    <xf numFmtId="165" fontId="215" fillId="0" borderId="139" xfId="0" applyNumberFormat="1" applyFont="1" applyFill="1" applyBorder="1" applyAlignment="1">
      <alignment horizontal="center"/>
    </xf>
    <xf numFmtId="165" fontId="215" fillId="0" borderId="134" xfId="0" applyNumberFormat="1" applyFont="1" applyFill="1" applyBorder="1" applyAlignment="1">
      <alignment horizontal="center"/>
    </xf>
    <xf numFmtId="165" fontId="215" fillId="0" borderId="140" xfId="0" applyNumberFormat="1" applyFont="1" applyFill="1" applyBorder="1" applyAlignment="1">
      <alignment horizontal="center"/>
    </xf>
    <xf numFmtId="165" fontId="215" fillId="0" borderId="136" xfId="0" applyNumberFormat="1" applyFont="1" applyFill="1" applyBorder="1" applyAlignment="1">
      <alignment horizontal="center"/>
    </xf>
    <xf numFmtId="165" fontId="221" fillId="0" borderId="141" xfId="0" applyNumberFormat="1" applyFont="1" applyFill="1" applyBorder="1" applyAlignment="1">
      <alignment horizontal="center"/>
    </xf>
    <xf numFmtId="165" fontId="214" fillId="0" borderId="99" xfId="0" applyNumberFormat="1" applyFont="1" applyFill="1" applyBorder="1" applyAlignment="1">
      <alignment horizontal="center"/>
    </xf>
    <xf numFmtId="165" fontId="215" fillId="0" borderId="141" xfId="0" applyNumberFormat="1" applyFont="1" applyFill="1" applyBorder="1" applyAlignment="1">
      <alignment horizontal="center"/>
    </xf>
    <xf numFmtId="165" fontId="215" fillId="0" borderId="142" xfId="0" applyNumberFormat="1" applyFont="1" applyFill="1" applyBorder="1" applyAlignment="1">
      <alignment horizontal="center"/>
    </xf>
    <xf numFmtId="0" fontId="215" fillId="0" borderId="0" xfId="0" applyFont="1" applyFill="1" applyAlignment="1">
      <alignment horizontal="left"/>
    </xf>
    <xf numFmtId="165" fontId="221" fillId="0" borderId="0" xfId="0" applyNumberFormat="1" applyFont="1" applyFill="1" applyBorder="1" applyAlignment="1">
      <alignment horizontal="center"/>
    </xf>
    <xf numFmtId="165" fontId="214" fillId="0" borderId="138" xfId="12422" applyNumberFormat="1" applyFont="1" applyFill="1" applyBorder="1" applyAlignment="1">
      <alignment horizontal="center"/>
    </xf>
    <xf numFmtId="165" fontId="214" fillId="0" borderId="140" xfId="12422" applyNumberFormat="1" applyFont="1" applyFill="1" applyBorder="1" applyAlignment="1">
      <alignment horizontal="center"/>
    </xf>
    <xf numFmtId="165" fontId="232" fillId="0" borderId="134" xfId="0" applyNumberFormat="1" applyFont="1" applyFill="1" applyBorder="1" applyAlignment="1">
      <alignment horizontal="center"/>
    </xf>
    <xf numFmtId="165" fontId="232" fillId="0" borderId="135" xfId="0" applyNumberFormat="1" applyFont="1" applyFill="1" applyBorder="1" applyAlignment="1">
      <alignment horizontal="center"/>
    </xf>
    <xf numFmtId="165" fontId="232" fillId="0" borderId="136" xfId="0" applyNumberFormat="1" applyFont="1" applyFill="1" applyBorder="1" applyAlignment="1">
      <alignment horizontal="center"/>
    </xf>
    <xf numFmtId="0" fontId="214" fillId="0" borderId="0" xfId="0" applyFont="1" applyFill="1" applyBorder="1" applyAlignment="1">
      <alignment horizontal="left"/>
    </xf>
    <xf numFmtId="1" fontId="221" fillId="0" borderId="141" xfId="0" applyNumberFormat="1" applyFont="1" applyFill="1" applyBorder="1" applyAlignment="1">
      <alignment horizontal="center"/>
    </xf>
    <xf numFmtId="1" fontId="221" fillId="0" borderId="45" xfId="0" applyNumberFormat="1" applyFont="1" applyFill="1" applyBorder="1" applyAlignment="1">
      <alignment horizontal="center"/>
    </xf>
    <xf numFmtId="1" fontId="221" fillId="0" borderId="99" xfId="0" applyNumberFormat="1" applyFont="1" applyFill="1" applyBorder="1" applyAlignment="1">
      <alignment horizontal="center"/>
    </xf>
    <xf numFmtId="0" fontId="214" fillId="0" borderId="0" xfId="0" applyFont="1" applyFill="1" applyBorder="1" applyAlignment="1"/>
    <xf numFmtId="1" fontId="221" fillId="0" borderId="0" xfId="0" applyNumberFormat="1" applyFont="1" applyFill="1" applyBorder="1" applyAlignment="1">
      <alignment horizontal="center"/>
    </xf>
    <xf numFmtId="165" fontId="215" fillId="0" borderId="134" xfId="0" applyNumberFormat="1" applyFont="1" applyFill="1" applyBorder="1" applyAlignment="1">
      <alignment horizontal="left"/>
    </xf>
    <xf numFmtId="165" fontId="215" fillId="0" borderId="140" xfId="12422" applyNumberFormat="1" applyFont="1" applyFill="1" applyBorder="1"/>
    <xf numFmtId="0" fontId="214" fillId="0" borderId="134" xfId="0" applyFont="1" applyFill="1" applyBorder="1"/>
    <xf numFmtId="165" fontId="215" fillId="0" borderId="135" xfId="12422" applyNumberFormat="1" applyFont="1" applyFill="1" applyBorder="1"/>
    <xf numFmtId="0" fontId="214" fillId="0" borderId="135" xfId="0" applyFont="1" applyFill="1" applyBorder="1"/>
    <xf numFmtId="165" fontId="215" fillId="0" borderId="136" xfId="12422" applyNumberFormat="1" applyFont="1" applyFill="1" applyBorder="1"/>
    <xf numFmtId="0" fontId="214" fillId="0" borderId="64" xfId="0" applyFont="1" applyFill="1" applyBorder="1" applyAlignment="1">
      <alignment horizontal="left"/>
    </xf>
    <xf numFmtId="165" fontId="214" fillId="0" borderId="143" xfId="0" applyNumberFormat="1" applyFont="1" applyFill="1" applyBorder="1"/>
    <xf numFmtId="165" fontId="214" fillId="0" borderId="0" xfId="0" applyNumberFormat="1" applyFont="1" applyFill="1" applyBorder="1"/>
    <xf numFmtId="165" fontId="214" fillId="0" borderId="13" xfId="0" applyNumberFormat="1" applyFont="1" applyFill="1" applyBorder="1"/>
    <xf numFmtId="165" fontId="214" fillId="0" borderId="51" xfId="12422" applyNumberFormat="1" applyFont="1" applyFill="1" applyBorder="1"/>
    <xf numFmtId="0" fontId="214" fillId="0" borderId="141" xfId="0" applyFont="1" applyFill="1" applyBorder="1" applyAlignment="1">
      <alignment horizontal="left"/>
    </xf>
    <xf numFmtId="165" fontId="232" fillId="0" borderId="142" xfId="12422" applyNumberFormat="1" applyFont="1" applyFill="1" applyBorder="1"/>
    <xf numFmtId="0" fontId="214" fillId="0" borderId="45" xfId="0" applyFont="1" applyFill="1" applyBorder="1"/>
    <xf numFmtId="165" fontId="214" fillId="0" borderId="45" xfId="0" applyNumberFormat="1" applyFont="1" applyFill="1" applyBorder="1"/>
    <xf numFmtId="165" fontId="214" fillId="0" borderId="99" xfId="0" applyNumberFormat="1" applyFont="1" applyFill="1" applyBorder="1"/>
    <xf numFmtId="0" fontId="237" fillId="0" borderId="0" xfId="0" applyFont="1" applyFill="1" applyBorder="1" applyAlignment="1">
      <alignment horizontal="left"/>
    </xf>
    <xf numFmtId="0" fontId="214" fillId="0" borderId="138" xfId="0" applyFont="1" applyFill="1" applyBorder="1"/>
    <xf numFmtId="0" fontId="215" fillId="0" borderId="140" xfId="0" applyFont="1" applyFill="1" applyBorder="1" applyAlignment="1">
      <alignment horizontal="right"/>
    </xf>
    <xf numFmtId="0" fontId="215" fillId="0" borderId="134" xfId="0" applyFont="1" applyFill="1" applyBorder="1" applyAlignment="1"/>
    <xf numFmtId="0" fontId="215" fillId="0" borderId="136" xfId="0" applyFont="1" applyFill="1" applyBorder="1" applyAlignment="1">
      <alignment horizontal="right"/>
    </xf>
    <xf numFmtId="0" fontId="215" fillId="0" borderId="134" xfId="0" applyFont="1" applyFill="1" applyBorder="1" applyAlignment="1">
      <alignment horizontal="centerContinuous"/>
    </xf>
    <xf numFmtId="165" fontId="215" fillId="0" borderId="142" xfId="0" applyNumberFormat="1" applyFont="1" applyFill="1" applyBorder="1" applyAlignment="1">
      <alignment horizontal="left"/>
    </xf>
    <xf numFmtId="0" fontId="215" fillId="0" borderId="0" xfId="0" applyFont="1" applyFill="1" applyBorder="1" applyAlignment="1">
      <alignment horizontal="right"/>
    </xf>
    <xf numFmtId="0" fontId="215" fillId="0" borderId="137" xfId="0" applyFont="1" applyFill="1" applyBorder="1" applyAlignment="1">
      <alignment horizontal="right"/>
    </xf>
    <xf numFmtId="0" fontId="215" fillId="0" borderId="139" xfId="0" applyFont="1" applyFill="1" applyBorder="1" applyAlignment="1">
      <alignment horizontal="right"/>
    </xf>
    <xf numFmtId="0" fontId="237" fillId="0" borderId="64" xfId="0" applyFont="1" applyFill="1" applyBorder="1"/>
    <xf numFmtId="165" fontId="237" fillId="0" borderId="45" xfId="12422" applyNumberFormat="1" applyFont="1" applyFill="1" applyBorder="1"/>
    <xf numFmtId="0" fontId="229" fillId="0" borderId="0" xfId="0" applyFont="1" applyFill="1" applyBorder="1"/>
    <xf numFmtId="165" fontId="237" fillId="0" borderId="99" xfId="12422" applyNumberFormat="1" applyFont="1" applyFill="1" applyBorder="1"/>
    <xf numFmtId="0" fontId="214" fillId="0" borderId="64" xfId="0" quotePrefix="1" applyFont="1" applyFill="1" applyBorder="1"/>
    <xf numFmtId="0" fontId="214" fillId="0" borderId="0" xfId="0" quotePrefix="1" applyFont="1" applyFill="1" applyBorder="1"/>
    <xf numFmtId="165" fontId="214" fillId="0" borderId="13" xfId="0" applyNumberFormat="1" applyFont="1" applyBorder="1"/>
    <xf numFmtId="165" fontId="214" fillId="0" borderId="0" xfId="0" applyNumberFormat="1" applyFont="1" applyBorder="1"/>
    <xf numFmtId="0" fontId="215" fillId="0" borderId="0" xfId="0" applyFont="1" applyBorder="1"/>
    <xf numFmtId="0" fontId="215" fillId="0" borderId="13" xfId="0" applyFont="1" applyFill="1" applyBorder="1" applyAlignment="1">
      <alignment horizontal="right"/>
    </xf>
    <xf numFmtId="0" fontId="237" fillId="0" borderId="0" xfId="0" applyFont="1" applyBorder="1"/>
    <xf numFmtId="0" fontId="215" fillId="0" borderId="64" xfId="0" applyFont="1" applyBorder="1"/>
    <xf numFmtId="0" fontId="237" fillId="0" borderId="0" xfId="20382" applyFont="1"/>
    <xf numFmtId="0" fontId="214" fillId="0" borderId="0" xfId="20382" applyFont="1" applyAlignment="1">
      <alignment horizontal="center"/>
    </xf>
    <xf numFmtId="0" fontId="226" fillId="72" borderId="111" xfId="20382" applyFont="1" applyFill="1" applyBorder="1" applyAlignment="1">
      <alignment horizontal="center"/>
    </xf>
    <xf numFmtId="0" fontId="226" fillId="72" borderId="112" xfId="20382" applyFont="1" applyFill="1" applyBorder="1" applyAlignment="1">
      <alignment horizontal="center" wrapText="1"/>
    </xf>
    <xf numFmtId="0" fontId="226" fillId="72" borderId="113" xfId="20382" applyFont="1" applyFill="1" applyBorder="1" applyAlignment="1">
      <alignment horizontal="center" wrapText="1"/>
    </xf>
    <xf numFmtId="165" fontId="221" fillId="0" borderId="0" xfId="20382" applyNumberFormat="1" applyFont="1" applyFill="1" applyAlignment="1">
      <alignment horizontal="center"/>
    </xf>
    <xf numFmtId="165" fontId="214" fillId="0" borderId="0" xfId="20382" applyNumberFormat="1" applyFont="1" applyFill="1" applyAlignment="1">
      <alignment horizontal="center"/>
    </xf>
    <xf numFmtId="0" fontId="215" fillId="0" borderId="0" xfId="20382" applyFont="1" applyFill="1" applyBorder="1"/>
    <xf numFmtId="0" fontId="215" fillId="0" borderId="0" xfId="20382" applyFont="1" applyFill="1" applyBorder="1" applyAlignment="1">
      <alignment horizontal="center"/>
    </xf>
    <xf numFmtId="0" fontId="237" fillId="0" borderId="0" xfId="20382" applyFont="1" applyFill="1" applyBorder="1" applyAlignment="1">
      <alignment horizontal="left"/>
    </xf>
    <xf numFmtId="0" fontId="215" fillId="0" borderId="0" xfId="20382" applyFont="1" applyFill="1" applyBorder="1" applyAlignment="1">
      <alignment horizontal="center" wrapText="1"/>
    </xf>
    <xf numFmtId="0" fontId="231" fillId="0" borderId="10" xfId="20382" applyFont="1" applyFill="1" applyBorder="1" applyAlignment="1">
      <alignment horizontal="center" wrapText="1"/>
    </xf>
    <xf numFmtId="0" fontId="231" fillId="0" borderId="32" xfId="20382" applyFont="1" applyFill="1" applyBorder="1" applyAlignment="1">
      <alignment horizontal="center" wrapText="1"/>
    </xf>
    <xf numFmtId="165" fontId="221" fillId="0" borderId="0" xfId="20382" applyNumberFormat="1" applyFont="1" applyAlignment="1">
      <alignment horizontal="center"/>
    </xf>
    <xf numFmtId="0" fontId="226" fillId="72" borderId="111" xfId="20382" applyFont="1" applyFill="1" applyBorder="1" applyAlignment="1">
      <alignment horizontal="center" wrapText="1"/>
    </xf>
    <xf numFmtId="165" fontId="231" fillId="0" borderId="0" xfId="20382" applyNumberFormat="1" applyFont="1" applyFill="1" applyBorder="1" applyAlignment="1">
      <alignment horizontal="left"/>
    </xf>
    <xf numFmtId="0" fontId="237" fillId="0" borderId="0" xfId="20382" applyFont="1" applyFill="1"/>
    <xf numFmtId="165" fontId="214" fillId="0" borderId="0" xfId="20382" applyNumberFormat="1" applyFont="1" applyAlignment="1">
      <alignment horizontal="center"/>
    </xf>
    <xf numFmtId="0" fontId="226" fillId="72" borderId="112" xfId="20382" applyFont="1" applyFill="1" applyBorder="1" applyAlignment="1">
      <alignment horizontal="center"/>
    </xf>
    <xf numFmtId="165" fontId="221" fillId="0" borderId="0" xfId="20382" applyNumberFormat="1" applyFont="1" applyFill="1" applyBorder="1" applyAlignment="1">
      <alignment horizontal="center"/>
    </xf>
    <xf numFmtId="165" fontId="221" fillId="0" borderId="0" xfId="20382" applyNumberFormat="1" applyFont="1" applyBorder="1" applyAlignment="1">
      <alignment horizontal="center"/>
    </xf>
    <xf numFmtId="0" fontId="226" fillId="72" borderId="111" xfId="0" applyFont="1" applyFill="1" applyBorder="1" applyAlignment="1">
      <alignment horizontal="center" wrapText="1"/>
    </xf>
    <xf numFmtId="0" fontId="226" fillId="72" borderId="112" xfId="0" applyFont="1" applyFill="1" applyBorder="1" applyAlignment="1">
      <alignment horizontal="center" wrapText="1"/>
    </xf>
    <xf numFmtId="0" fontId="226" fillId="72" borderId="113" xfId="0" applyFont="1" applyFill="1" applyBorder="1" applyAlignment="1">
      <alignment horizontal="center" wrapText="1"/>
    </xf>
    <xf numFmtId="165" fontId="221" fillId="0" borderId="0" xfId="0" applyNumberFormat="1" applyFont="1" applyFill="1" applyAlignment="1">
      <alignment horizontal="center"/>
    </xf>
    <xf numFmtId="165" fontId="221" fillId="0" borderId="0" xfId="20383" applyNumberFormat="1" applyFont="1" applyFill="1" applyAlignment="1">
      <alignment horizontal="center"/>
    </xf>
    <xf numFmtId="165" fontId="214" fillId="0" borderId="0" xfId="20382" applyNumberFormat="1" applyFont="1" applyBorder="1" applyAlignment="1">
      <alignment horizontal="center"/>
    </xf>
    <xf numFmtId="0" fontId="226" fillId="72" borderId="113" xfId="20382" applyFont="1" applyFill="1" applyBorder="1" applyAlignment="1">
      <alignment horizontal="center"/>
    </xf>
    <xf numFmtId="0" fontId="226" fillId="72" borderId="111" xfId="0" applyFont="1" applyFill="1" applyBorder="1" applyAlignment="1">
      <alignment horizontal="center"/>
    </xf>
    <xf numFmtId="0" fontId="226" fillId="72" borderId="112" xfId="0" applyFont="1" applyFill="1" applyBorder="1" applyAlignment="1">
      <alignment horizontal="center"/>
    </xf>
    <xf numFmtId="165" fontId="221" fillId="0" borderId="0" xfId="0" applyNumberFormat="1" applyFont="1" applyBorder="1" applyAlignment="1">
      <alignment horizontal="center"/>
    </xf>
    <xf numFmtId="165" fontId="214" fillId="0" borderId="0" xfId="0" applyNumberFormat="1" applyFont="1" applyBorder="1" applyAlignment="1">
      <alignment horizontal="center"/>
    </xf>
    <xf numFmtId="0" fontId="237" fillId="0" borderId="0" xfId="20382" applyFont="1" applyFill="1" applyAlignment="1">
      <alignment horizontal="center"/>
    </xf>
    <xf numFmtId="0" fontId="226" fillId="72" borderId="131" xfId="20382" applyFont="1" applyFill="1" applyBorder="1" applyAlignment="1">
      <alignment horizontal="center" wrapText="1"/>
    </xf>
    <xf numFmtId="165" fontId="221" fillId="74" borderId="0" xfId="20382" applyNumberFormat="1" applyFont="1" applyFill="1" applyBorder="1" applyAlignment="1">
      <alignment horizontal="center"/>
    </xf>
    <xf numFmtId="165" fontId="216" fillId="0" borderId="0" xfId="20382" applyNumberFormat="1" applyFont="1" applyBorder="1" applyAlignment="1">
      <alignment horizontal="left"/>
    </xf>
    <xf numFmtId="0" fontId="229" fillId="0" borderId="0" xfId="20382" applyFont="1"/>
    <xf numFmtId="0" fontId="214" fillId="0" borderId="0" xfId="20382" quotePrefix="1" applyFont="1" applyAlignment="1">
      <alignment horizontal="right"/>
    </xf>
    <xf numFmtId="0" fontId="214" fillId="0" borderId="0" xfId="20382" quotePrefix="1" applyFont="1" applyAlignment="1">
      <alignment horizontal="right" vertical="top"/>
    </xf>
    <xf numFmtId="0" fontId="214" fillId="0" borderId="0" xfId="0" applyFont="1" applyBorder="1" applyAlignment="1">
      <alignment horizontal="right"/>
    </xf>
    <xf numFmtId="0" fontId="226" fillId="72" borderId="34" xfId="0" applyFont="1" applyFill="1" applyBorder="1"/>
    <xf numFmtId="0" fontId="226" fillId="72" borderId="35" xfId="0" applyFont="1" applyFill="1" applyBorder="1"/>
    <xf numFmtId="43" fontId="240" fillId="87" borderId="170" xfId="0" applyNumberFormat="1" applyFont="1" applyFill="1" applyBorder="1"/>
    <xf numFmtId="0" fontId="226" fillId="72" borderId="42" xfId="0" applyFont="1" applyFill="1" applyBorder="1"/>
    <xf numFmtId="0" fontId="231" fillId="0" borderId="0" xfId="0" applyFont="1" applyFill="1" applyBorder="1"/>
    <xf numFmtId="0" fontId="232" fillId="0" borderId="0" xfId="0" applyFont="1" applyFill="1"/>
    <xf numFmtId="0" fontId="232" fillId="0" borderId="0" xfId="0" applyFont="1" applyFill="1" applyAlignment="1">
      <alignment horizontal="right"/>
    </xf>
    <xf numFmtId="169" fontId="228" fillId="0" borderId="0" xfId="0" applyNumberFormat="1" applyFont="1" applyAlignment="1">
      <alignment horizontal="right"/>
    </xf>
    <xf numFmtId="169" fontId="221" fillId="0" borderId="0" xfId="0" applyNumberFormat="1" applyFont="1" applyAlignment="1">
      <alignment horizontal="right"/>
    </xf>
    <xf numFmtId="169" fontId="223" fillId="0" borderId="0" xfId="0" applyNumberFormat="1" applyFont="1" applyAlignment="1">
      <alignment horizontal="right"/>
    </xf>
    <xf numFmtId="10" fontId="228" fillId="0" borderId="0" xfId="0" applyNumberFormat="1" applyFont="1" applyAlignment="1">
      <alignment horizontal="right"/>
    </xf>
    <xf numFmtId="165" fontId="227" fillId="0" borderId="0" xfId="0" applyNumberFormat="1" applyFont="1" applyAlignment="1">
      <alignment horizontal="right"/>
    </xf>
    <xf numFmtId="0" fontId="238" fillId="0" borderId="0" xfId="0" applyFont="1"/>
    <xf numFmtId="10" fontId="227" fillId="0" borderId="0" xfId="0" applyNumberFormat="1" applyFont="1" applyAlignment="1">
      <alignment horizontal="right"/>
    </xf>
    <xf numFmtId="10" fontId="223" fillId="0" borderId="0" xfId="0" applyNumberFormat="1" applyFont="1" applyAlignment="1">
      <alignment horizontal="right"/>
    </xf>
    <xf numFmtId="0" fontId="231" fillId="0" borderId="34" xfId="0" applyFont="1" applyFill="1" applyBorder="1" applyAlignment="1">
      <alignment horizontal="centerContinuous"/>
    </xf>
    <xf numFmtId="0" fontId="231" fillId="0" borderId="35" xfId="0" applyFont="1" applyFill="1" applyBorder="1" applyAlignment="1">
      <alignment horizontal="centerContinuous"/>
    </xf>
    <xf numFmtId="0" fontId="231" fillId="0" borderId="42" xfId="0" applyFont="1" applyFill="1" applyBorder="1" applyAlignment="1">
      <alignment horizontal="centerContinuous"/>
    </xf>
    <xf numFmtId="0" fontId="226" fillId="72" borderId="29" xfId="0" applyFont="1" applyFill="1" applyBorder="1"/>
    <xf numFmtId="0" fontId="226" fillId="72" borderId="34" xfId="0" applyFont="1" applyFill="1" applyBorder="1" applyAlignment="1">
      <alignment horizontal="right" wrapText="1"/>
    </xf>
    <xf numFmtId="0" fontId="226" fillId="72" borderId="42" xfId="0" applyFont="1" applyFill="1" applyBorder="1" applyAlignment="1">
      <alignment horizontal="right" wrapText="1"/>
    </xf>
    <xf numFmtId="0" fontId="231" fillId="0" borderId="0" xfId="0" applyFont="1" applyFill="1" applyBorder="1" applyAlignment="1">
      <alignment horizontal="center" wrapText="1"/>
    </xf>
    <xf numFmtId="167" fontId="227" fillId="0" borderId="0" xfId="12427" applyNumberFormat="1" applyFont="1" applyAlignment="1">
      <alignment horizontal="right"/>
    </xf>
    <xf numFmtId="169" fontId="221" fillId="0" borderId="0" xfId="0" applyNumberFormat="1" applyFont="1"/>
    <xf numFmtId="342" fontId="214" fillId="0" borderId="31" xfId="0" applyNumberFormat="1" applyFont="1" applyBorder="1" applyAlignment="1">
      <alignment horizontal="right"/>
    </xf>
    <xf numFmtId="342" fontId="214" fillId="0" borderId="51" xfId="0" applyNumberFormat="1" applyFont="1" applyBorder="1" applyAlignment="1">
      <alignment horizontal="right"/>
    </xf>
    <xf numFmtId="342" fontId="214" fillId="0" borderId="32" xfId="0" applyNumberFormat="1" applyFont="1" applyBorder="1" applyAlignment="1">
      <alignment horizontal="right"/>
    </xf>
    <xf numFmtId="342" fontId="214" fillId="0" borderId="0" xfId="0" applyNumberFormat="1" applyFont="1" applyAlignment="1">
      <alignment horizontal="right"/>
    </xf>
    <xf numFmtId="8" fontId="227" fillId="0" borderId="31" xfId="0" applyNumberFormat="1" applyFont="1" applyBorder="1"/>
    <xf numFmtId="8" fontId="227" fillId="0" borderId="51" xfId="0" applyNumberFormat="1" applyFont="1" applyBorder="1"/>
    <xf numFmtId="0" fontId="214" fillId="0" borderId="45" xfId="0" applyFont="1" applyBorder="1" applyAlignment="1">
      <alignment horizontal="right"/>
    </xf>
    <xf numFmtId="0" fontId="235" fillId="0" borderId="17" xfId="0" applyFont="1" applyBorder="1"/>
    <xf numFmtId="8" fontId="228" fillId="74" borderId="0" xfId="0" applyNumberFormat="1" applyFont="1" applyFill="1"/>
    <xf numFmtId="358" fontId="215" fillId="0" borderId="0" xfId="0" applyNumberFormat="1" applyFont="1"/>
    <xf numFmtId="169" fontId="232" fillId="74" borderId="0" xfId="0" applyNumberFormat="1" applyFont="1" applyFill="1"/>
    <xf numFmtId="0" fontId="232" fillId="0" borderId="0" xfId="0" applyFont="1" applyFill="1" applyAlignment="1">
      <alignment wrapText="1"/>
    </xf>
    <xf numFmtId="0" fontId="240" fillId="72" borderId="29" xfId="0" applyFont="1" applyFill="1" applyBorder="1"/>
    <xf numFmtId="0" fontId="240" fillId="72" borderId="34" xfId="0" applyFont="1" applyFill="1" applyBorder="1" applyAlignment="1">
      <alignment horizontal="center" wrapText="1"/>
    </xf>
    <xf numFmtId="0" fontId="240" fillId="72" borderId="35" xfId="0" applyFont="1" applyFill="1" applyBorder="1" applyAlignment="1">
      <alignment horizontal="center" wrapText="1"/>
    </xf>
    <xf numFmtId="0" fontId="240" fillId="72" borderId="42" xfId="0" applyFont="1" applyFill="1" applyBorder="1" applyAlignment="1">
      <alignment horizontal="center" wrapText="1"/>
    </xf>
    <xf numFmtId="169" fontId="214" fillId="0" borderId="0" xfId="0" applyNumberFormat="1" applyFont="1" applyAlignment="1">
      <alignment horizontal="right"/>
    </xf>
    <xf numFmtId="0" fontId="241" fillId="0" borderId="0" xfId="0" applyFont="1" applyAlignment="1">
      <alignment horizontal="center"/>
    </xf>
    <xf numFmtId="0" fontId="232" fillId="0" borderId="45" xfId="0" applyFont="1" applyFill="1" applyBorder="1"/>
    <xf numFmtId="0" fontId="231" fillId="0" borderId="29" xfId="0" applyFont="1" applyFill="1" applyBorder="1" applyAlignment="1">
      <alignment horizontal="center" wrapText="1"/>
    </xf>
    <xf numFmtId="358" fontId="214" fillId="0" borderId="0" xfId="12427" applyNumberFormat="1" applyFont="1"/>
    <xf numFmtId="358" fontId="215" fillId="0" borderId="0" xfId="12427" applyNumberFormat="1" applyFont="1"/>
    <xf numFmtId="168" fontId="242" fillId="0" borderId="0" xfId="0" applyNumberFormat="1" applyFont="1" applyAlignment="1">
      <alignment horizontal="right"/>
    </xf>
    <xf numFmtId="358" fontId="214" fillId="0" borderId="0" xfId="0" applyNumberFormat="1" applyFont="1"/>
    <xf numFmtId="0" fontId="240" fillId="72" borderId="176" xfId="0" applyFont="1" applyFill="1" applyBorder="1"/>
    <xf numFmtId="0" fontId="240" fillId="72" borderId="177" xfId="0" applyFont="1" applyFill="1" applyBorder="1" applyAlignment="1">
      <alignment horizontal="center" wrapText="1"/>
    </xf>
    <xf numFmtId="0" fontId="240" fillId="72" borderId="178" xfId="0" applyFont="1" applyFill="1" applyBorder="1" applyAlignment="1">
      <alignment horizontal="center" wrapText="1"/>
    </xf>
    <xf numFmtId="0" fontId="240" fillId="72" borderId="179" xfId="0" applyFont="1" applyFill="1" applyBorder="1" applyAlignment="1">
      <alignment horizontal="center" wrapText="1"/>
    </xf>
    <xf numFmtId="243" fontId="214" fillId="0" borderId="0" xfId="12422" applyNumberFormat="1" applyFont="1"/>
    <xf numFmtId="165" fontId="235" fillId="0" borderId="0" xfId="12422" applyNumberFormat="1" applyFont="1"/>
    <xf numFmtId="0" fontId="216" fillId="0" borderId="128" xfId="0" applyFont="1" applyBorder="1"/>
    <xf numFmtId="0" fontId="216" fillId="0" borderId="130" xfId="0" applyFont="1" applyBorder="1"/>
    <xf numFmtId="0" fontId="214" fillId="0" borderId="130" xfId="0" applyFont="1" applyBorder="1"/>
    <xf numFmtId="8" fontId="227" fillId="0" borderId="13" xfId="0" applyNumberFormat="1" applyFont="1" applyBorder="1"/>
    <xf numFmtId="8" fontId="214" fillId="0" borderId="13" xfId="0" applyNumberFormat="1" applyFont="1" applyBorder="1"/>
    <xf numFmtId="0" fontId="214" fillId="0" borderId="125" xfId="0" applyFont="1" applyBorder="1"/>
    <xf numFmtId="8" fontId="214" fillId="0" borderId="127" xfId="0" applyNumberFormat="1" applyFont="1" applyBorder="1"/>
    <xf numFmtId="0" fontId="226" fillId="72" borderId="34" xfId="0" applyFont="1" applyFill="1" applyBorder="1" applyAlignment="1">
      <alignment horizontal="left"/>
    </xf>
    <xf numFmtId="0" fontId="226" fillId="72" borderId="35" xfId="0" applyFont="1" applyFill="1" applyBorder="1" applyAlignment="1">
      <alignment horizontal="center"/>
    </xf>
    <xf numFmtId="0" fontId="226" fillId="72" borderId="35" xfId="0" applyFont="1" applyFill="1" applyBorder="1" applyAlignment="1">
      <alignment horizontal="right"/>
    </xf>
    <xf numFmtId="0" fontId="226" fillId="72" borderId="42" xfId="0" applyFont="1" applyFill="1" applyBorder="1" applyAlignment="1">
      <alignment horizontal="right"/>
    </xf>
    <xf numFmtId="167" fontId="221" fillId="0" borderId="99" xfId="12427" applyNumberFormat="1" applyFont="1" applyBorder="1"/>
    <xf numFmtId="169" fontId="232" fillId="0" borderId="0" xfId="0" applyNumberFormat="1" applyFont="1" applyAlignment="1">
      <alignment horizontal="right"/>
    </xf>
    <xf numFmtId="8" fontId="214" fillId="0" borderId="0" xfId="0" applyNumberFormat="1" applyFont="1" applyAlignment="1">
      <alignment horizontal="right"/>
    </xf>
    <xf numFmtId="0" fontId="214" fillId="29" borderId="0" xfId="0" applyFont="1" applyFill="1" applyAlignment="1">
      <alignment horizontal="right"/>
    </xf>
    <xf numFmtId="0" fontId="214" fillId="0" borderId="0" xfId="0" quotePrefix="1" applyFont="1"/>
    <xf numFmtId="8" fontId="214" fillId="74" borderId="0" xfId="0" applyNumberFormat="1" applyFont="1" applyFill="1" applyAlignment="1">
      <alignment horizontal="right"/>
    </xf>
    <xf numFmtId="169" fontId="214" fillId="0" borderId="45" xfId="0" applyNumberFormat="1" applyFont="1" applyBorder="1" applyAlignment="1">
      <alignment horizontal="right"/>
    </xf>
    <xf numFmtId="169" fontId="215" fillId="0" borderId="0" xfId="0" applyNumberFormat="1" applyFont="1" applyAlignment="1">
      <alignment horizontal="right"/>
    </xf>
    <xf numFmtId="0" fontId="214" fillId="0" borderId="0" xfId="0" quotePrefix="1" applyFont="1" applyAlignment="1">
      <alignment horizontal="left"/>
    </xf>
    <xf numFmtId="0" fontId="216" fillId="0" borderId="0" xfId="0" applyFont="1" applyBorder="1"/>
    <xf numFmtId="0" fontId="232" fillId="0" borderId="0" xfId="0" applyFont="1" applyBorder="1" applyAlignment="1">
      <alignment horizontal="center"/>
    </xf>
    <xf numFmtId="0" fontId="221" fillId="0" borderId="0" xfId="0" applyFont="1" applyBorder="1"/>
    <xf numFmtId="165" fontId="221" fillId="0" borderId="0" xfId="0" applyNumberFormat="1" applyFont="1" applyBorder="1"/>
    <xf numFmtId="10" fontId="214" fillId="0" borderId="0" xfId="0" applyNumberFormat="1" applyFont="1" applyBorder="1"/>
    <xf numFmtId="10" fontId="221" fillId="0" borderId="0" xfId="0" applyNumberFormat="1" applyFont="1" applyBorder="1"/>
    <xf numFmtId="0" fontId="226" fillId="72" borderId="34" xfId="0" applyFont="1" applyFill="1" applyBorder="1" applyAlignment="1">
      <alignment horizontal="centerContinuous"/>
    </xf>
    <xf numFmtId="0" fontId="226" fillId="72" borderId="35" xfId="0" applyFont="1" applyFill="1" applyBorder="1" applyAlignment="1">
      <alignment horizontal="centerContinuous"/>
    </xf>
    <xf numFmtId="0" fontId="226" fillId="72" borderId="42" xfId="0" applyFont="1" applyFill="1" applyBorder="1" applyAlignment="1">
      <alignment horizontal="centerContinuous"/>
    </xf>
    <xf numFmtId="0" fontId="215" fillId="0" borderId="34" xfId="0" applyFont="1" applyFill="1" applyBorder="1" applyAlignment="1">
      <alignment horizontal="centerContinuous"/>
    </xf>
    <xf numFmtId="0" fontId="215" fillId="0" borderId="35" xfId="0" applyFont="1" applyFill="1" applyBorder="1" applyAlignment="1">
      <alignment horizontal="centerContinuous"/>
    </xf>
    <xf numFmtId="0" fontId="215" fillId="0" borderId="42" xfId="0" applyFont="1" applyFill="1" applyBorder="1" applyAlignment="1">
      <alignment horizontal="centerContinuous"/>
    </xf>
    <xf numFmtId="1" fontId="231" fillId="0" borderId="10" xfId="0" applyNumberFormat="1" applyFont="1" applyFill="1" applyBorder="1" applyAlignment="1">
      <alignment horizontal="right"/>
    </xf>
    <xf numFmtId="0" fontId="231" fillId="0" borderId="45" xfId="0" applyFont="1" applyFill="1" applyBorder="1" applyAlignment="1">
      <alignment horizontal="right"/>
    </xf>
    <xf numFmtId="0" fontId="231" fillId="0" borderId="11" xfId="0" applyFont="1" applyFill="1" applyBorder="1" applyAlignment="1">
      <alignment horizontal="right"/>
    </xf>
    <xf numFmtId="169" fontId="221" fillId="75" borderId="0" xfId="0" applyNumberFormat="1" applyFont="1" applyFill="1"/>
    <xf numFmtId="169" fontId="232" fillId="75" borderId="0" xfId="0" applyNumberFormat="1" applyFont="1" applyFill="1"/>
    <xf numFmtId="165" fontId="229" fillId="0" borderId="0" xfId="0" applyNumberFormat="1" applyFont="1" applyAlignment="1">
      <alignment horizontal="right"/>
    </xf>
    <xf numFmtId="165" fontId="243" fillId="0" borderId="0" xfId="0" applyNumberFormat="1" applyFont="1" applyAlignment="1">
      <alignment horizontal="right"/>
    </xf>
    <xf numFmtId="169" fontId="221" fillId="0" borderId="0" xfId="0" applyNumberFormat="1" applyFont="1" applyFill="1"/>
    <xf numFmtId="169" fontId="232" fillId="0" borderId="0" xfId="0" applyNumberFormat="1" applyFont="1" applyFill="1"/>
    <xf numFmtId="0" fontId="214" fillId="0" borderId="3" xfId="0" applyFont="1" applyBorder="1"/>
    <xf numFmtId="272" fontId="215" fillId="0" borderId="0" xfId="0" applyNumberFormat="1" applyFont="1" applyBorder="1"/>
    <xf numFmtId="43" fontId="215" fillId="0" borderId="0" xfId="0" applyNumberFormat="1" applyFont="1" applyBorder="1"/>
    <xf numFmtId="0" fontId="214" fillId="65" borderId="0" xfId="0" quotePrefix="1" applyFont="1" applyFill="1" applyAlignment="1">
      <alignment horizontal="center"/>
    </xf>
    <xf numFmtId="169" fontId="223" fillId="74" borderId="0" xfId="0" applyNumberFormat="1" applyFont="1" applyFill="1"/>
    <xf numFmtId="165" fontId="232" fillId="0" borderId="0" xfId="0" applyNumberFormat="1" applyFont="1" applyFill="1" applyAlignment="1">
      <alignment horizontal="center"/>
    </xf>
    <xf numFmtId="0" fontId="216" fillId="74" borderId="45" xfId="0" applyFont="1" applyFill="1" applyBorder="1"/>
    <xf numFmtId="168" fontId="223" fillId="0" borderId="0" xfId="0" applyNumberFormat="1" applyFont="1"/>
    <xf numFmtId="0" fontId="215" fillId="0" borderId="35" xfId="0" applyFont="1" applyBorder="1"/>
    <xf numFmtId="0" fontId="214" fillId="0" borderId="35" xfId="0" applyFont="1" applyBorder="1"/>
    <xf numFmtId="169" fontId="215" fillId="0" borderId="35" xfId="0" applyNumberFormat="1" applyFont="1" applyBorder="1"/>
    <xf numFmtId="0" fontId="215" fillId="71" borderId="53" xfId="0" applyFont="1" applyFill="1" applyBorder="1"/>
    <xf numFmtId="0" fontId="214" fillId="71" borderId="54" xfId="0" applyFont="1" applyFill="1" applyBorder="1"/>
    <xf numFmtId="0" fontId="214" fillId="71" borderId="55" xfId="0" applyFont="1" applyFill="1" applyBorder="1"/>
    <xf numFmtId="165" fontId="244" fillId="0" borderId="0" xfId="0" applyNumberFormat="1" applyFont="1"/>
    <xf numFmtId="0" fontId="215" fillId="0" borderId="0" xfId="0" applyFont="1" applyBorder="1" applyAlignment="1">
      <alignment horizontal="centerContinuous"/>
    </xf>
    <xf numFmtId="0" fontId="214" fillId="71" borderId="12" xfId="0" applyFont="1" applyFill="1" applyBorder="1" applyAlignment="1">
      <alignment horizontal="left" indent="1"/>
    </xf>
    <xf numFmtId="0" fontId="214" fillId="71" borderId="0" xfId="0" applyFont="1" applyFill="1" applyBorder="1"/>
    <xf numFmtId="169" fontId="214" fillId="71" borderId="13" xfId="0" applyNumberFormat="1" applyFont="1" applyFill="1" applyBorder="1"/>
    <xf numFmtId="169" fontId="244" fillId="0" borderId="0" xfId="0" applyNumberFormat="1" applyFont="1"/>
    <xf numFmtId="165" fontId="215" fillId="71" borderId="34" xfId="0" applyNumberFormat="1" applyFont="1" applyFill="1" applyBorder="1" applyAlignment="1">
      <alignment horizontal="center"/>
    </xf>
    <xf numFmtId="165" fontId="215" fillId="71" borderId="35" xfId="0" applyNumberFormat="1" applyFont="1" applyFill="1" applyBorder="1" applyAlignment="1">
      <alignment horizontal="center"/>
    </xf>
    <xf numFmtId="165" fontId="236" fillId="71" borderId="35" xfId="0" applyNumberFormat="1" applyFont="1" applyFill="1" applyBorder="1" applyAlignment="1">
      <alignment horizontal="center"/>
    </xf>
    <xf numFmtId="165" fontId="215" fillId="71" borderId="42" xfId="0" applyNumberFormat="1" applyFont="1" applyFill="1" applyBorder="1" applyAlignment="1">
      <alignment horizontal="center"/>
    </xf>
    <xf numFmtId="165" fontId="223" fillId="71" borderId="13" xfId="0" applyNumberFormat="1" applyFont="1" applyFill="1" applyBorder="1"/>
    <xf numFmtId="0" fontId="242" fillId="0" borderId="0" xfId="0" applyFont="1" applyAlignment="1">
      <alignment horizontal="center"/>
    </xf>
    <xf numFmtId="165" fontId="215" fillId="71" borderId="31" xfId="0" applyNumberFormat="1" applyFont="1" applyFill="1" applyBorder="1"/>
    <xf numFmtId="169" fontId="214" fillId="0" borderId="49" xfId="0" applyNumberFormat="1" applyFont="1" applyBorder="1"/>
    <xf numFmtId="169" fontId="214" fillId="0" borderId="33" xfId="0" applyNumberFormat="1" applyFont="1" applyBorder="1"/>
    <xf numFmtId="169" fontId="214" fillId="0" borderId="50" xfId="0" applyNumberFormat="1" applyFont="1" applyBorder="1"/>
    <xf numFmtId="165" fontId="227" fillId="71" borderId="13" xfId="0" applyNumberFormat="1" applyFont="1" applyFill="1" applyBorder="1"/>
    <xf numFmtId="165" fontId="215" fillId="71" borderId="51" xfId="0" applyNumberFormat="1" applyFont="1" applyFill="1" applyBorder="1"/>
    <xf numFmtId="169" fontId="214" fillId="0" borderId="12" xfId="0" applyNumberFormat="1" applyFont="1" applyBorder="1"/>
    <xf numFmtId="169" fontId="214" fillId="0" borderId="13" xfId="0" applyNumberFormat="1" applyFont="1" applyBorder="1"/>
    <xf numFmtId="234" fontId="214" fillId="71" borderId="13" xfId="0" applyNumberFormat="1" applyFont="1" applyFill="1" applyBorder="1"/>
    <xf numFmtId="165" fontId="236" fillId="71" borderId="51" xfId="0" applyNumberFormat="1" applyFont="1" applyFill="1" applyBorder="1"/>
    <xf numFmtId="169" fontId="214" fillId="0" borderId="0" xfId="0" applyNumberFormat="1" applyFont="1" applyBorder="1"/>
    <xf numFmtId="0" fontId="214" fillId="71" borderId="0" xfId="0" quotePrefix="1" applyFont="1" applyFill="1" applyBorder="1" applyAlignment="1">
      <alignment horizontal="center"/>
    </xf>
    <xf numFmtId="169" fontId="214" fillId="0" borderId="10" xfId="0" applyNumberFormat="1" applyFont="1" applyBorder="1"/>
    <xf numFmtId="169" fontId="214" fillId="0" borderId="45" xfId="0" applyNumberFormat="1" applyFont="1" applyBorder="1"/>
    <xf numFmtId="169" fontId="214" fillId="0" borderId="11" xfId="0" applyNumberFormat="1" applyFont="1" applyBorder="1"/>
    <xf numFmtId="168" fontId="214" fillId="71" borderId="13" xfId="0" applyNumberFormat="1" applyFont="1" applyFill="1" applyBorder="1"/>
    <xf numFmtId="165" fontId="215" fillId="71" borderId="32" xfId="0" applyNumberFormat="1" applyFont="1" applyFill="1" applyBorder="1"/>
    <xf numFmtId="0" fontId="215" fillId="71" borderId="10" xfId="0" applyFont="1" applyFill="1" applyBorder="1" applyAlignment="1">
      <alignment horizontal="left" indent="1"/>
    </xf>
    <xf numFmtId="0" fontId="215" fillId="71" borderId="45" xfId="0" applyFont="1" applyFill="1" applyBorder="1"/>
    <xf numFmtId="169" fontId="215" fillId="71" borderId="11" xfId="0" applyNumberFormat="1" applyFont="1" applyFill="1" applyBorder="1"/>
    <xf numFmtId="0" fontId="215" fillId="71" borderId="49" xfId="0" applyFont="1" applyFill="1" applyBorder="1"/>
    <xf numFmtId="0" fontId="215" fillId="71" borderId="33" xfId="0" applyFont="1" applyFill="1" applyBorder="1"/>
    <xf numFmtId="0" fontId="220" fillId="71" borderId="33" xfId="0" applyFont="1" applyFill="1" applyBorder="1" applyAlignment="1">
      <alignment horizontal="center"/>
    </xf>
    <xf numFmtId="0" fontId="215" fillId="71" borderId="33" xfId="0" applyFont="1" applyFill="1" applyBorder="1" applyAlignment="1">
      <alignment horizontal="center"/>
    </xf>
    <xf numFmtId="0" fontId="220" fillId="71" borderId="50" xfId="0" applyFont="1" applyFill="1" applyBorder="1" applyAlignment="1">
      <alignment horizontal="center"/>
    </xf>
    <xf numFmtId="0" fontId="231" fillId="71" borderId="53" xfId="0" applyFont="1" applyFill="1" applyBorder="1" applyAlignment="1">
      <alignment horizontal="left"/>
    </xf>
    <xf numFmtId="0" fontId="214" fillId="71" borderId="103" xfId="0" applyFont="1" applyFill="1" applyBorder="1"/>
    <xf numFmtId="169" fontId="215" fillId="71" borderId="45" xfId="0" applyNumberFormat="1" applyFont="1" applyFill="1" applyBorder="1"/>
    <xf numFmtId="165" fontId="214" fillId="71" borderId="13" xfId="0" applyNumberFormat="1" applyFont="1" applyFill="1" applyBorder="1"/>
    <xf numFmtId="0" fontId="214" fillId="71" borderId="12" xfId="0" applyFont="1" applyFill="1" applyBorder="1"/>
    <xf numFmtId="0" fontId="214" fillId="71" borderId="13" xfId="0" applyFont="1" applyFill="1" applyBorder="1"/>
    <xf numFmtId="0" fontId="215" fillId="71" borderId="10" xfId="0" applyFont="1" applyFill="1" applyBorder="1" applyAlignment="1">
      <alignment horizontal="left"/>
    </xf>
    <xf numFmtId="0" fontId="214" fillId="71" borderId="3" xfId="0" applyFont="1" applyFill="1" applyBorder="1"/>
    <xf numFmtId="169" fontId="215" fillId="71" borderId="69" xfId="0" applyNumberFormat="1" applyFont="1" applyFill="1" applyBorder="1"/>
    <xf numFmtId="165" fontId="215" fillId="71" borderId="42" xfId="0" applyNumberFormat="1" applyFont="1" applyFill="1" applyBorder="1"/>
    <xf numFmtId="272" fontId="214" fillId="0" borderId="0" xfId="0" applyNumberFormat="1" applyFont="1"/>
    <xf numFmtId="0" fontId="232" fillId="0" borderId="0" xfId="0" quotePrefix="1" applyFont="1" applyFill="1" applyAlignment="1">
      <alignment horizontal="right" vertical="top"/>
    </xf>
    <xf numFmtId="0" fontId="221" fillId="0" borderId="0" xfId="0" applyFont="1" applyAlignment="1">
      <alignment horizontal="center"/>
    </xf>
    <xf numFmtId="43" fontId="215" fillId="0" borderId="45" xfId="12427" applyFont="1" applyBorder="1" applyAlignment="1">
      <alignment horizontal="center"/>
    </xf>
    <xf numFmtId="0" fontId="215" fillId="0" borderId="45" xfId="0" applyFont="1" applyBorder="1" applyAlignment="1">
      <alignment horizontal="center"/>
    </xf>
    <xf numFmtId="1" fontId="215" fillId="0" borderId="45" xfId="0" applyNumberFormat="1" applyFont="1" applyBorder="1"/>
    <xf numFmtId="167" fontId="225" fillId="0" borderId="0" xfId="12427" applyNumberFormat="1" applyFont="1" applyAlignment="1">
      <alignment horizontal="center"/>
    </xf>
    <xf numFmtId="1" fontId="214" fillId="0" borderId="0" xfId="0" applyNumberFormat="1" applyFont="1" applyBorder="1"/>
    <xf numFmtId="41" fontId="214" fillId="0" borderId="0" xfId="0" applyNumberFormat="1" applyFont="1" applyBorder="1"/>
    <xf numFmtId="167" fontId="214" fillId="0" borderId="0" xfId="12427" applyNumberFormat="1" applyFont="1" applyAlignment="1">
      <alignment horizontal="center"/>
    </xf>
    <xf numFmtId="167" fontId="215" fillId="0" borderId="0" xfId="12427" applyNumberFormat="1" applyFont="1" applyBorder="1"/>
    <xf numFmtId="0" fontId="214" fillId="0" borderId="161" xfId="0" applyFont="1" applyBorder="1"/>
    <xf numFmtId="167" fontId="215" fillId="0" borderId="161" xfId="12427" applyNumberFormat="1" applyFont="1" applyBorder="1"/>
    <xf numFmtId="0" fontId="232" fillId="0" borderId="101" xfId="0" applyFont="1" applyFill="1" applyBorder="1" applyAlignment="1">
      <alignment horizontal="right"/>
    </xf>
    <xf numFmtId="0" fontId="214" fillId="0" borderId="102" xfId="0" applyFont="1" applyBorder="1"/>
    <xf numFmtId="167" fontId="214" fillId="0" borderId="102" xfId="12427" applyNumberFormat="1" applyFont="1" applyBorder="1"/>
    <xf numFmtId="0" fontId="214" fillId="0" borderId="103" xfId="0" applyFont="1" applyBorder="1"/>
    <xf numFmtId="0" fontId="232" fillId="0" borderId="64" xfId="0" applyFont="1" applyFill="1" applyBorder="1" applyAlignment="1">
      <alignment horizontal="right"/>
    </xf>
    <xf numFmtId="167" fontId="214" fillId="0" borderId="0" xfId="12427" applyNumberFormat="1" applyFont="1"/>
    <xf numFmtId="272" fontId="214" fillId="0" borderId="0" xfId="0" applyNumberFormat="1" applyFont="1" applyBorder="1"/>
    <xf numFmtId="0" fontId="232" fillId="0" borderId="10" xfId="0" applyFont="1" applyFill="1" applyBorder="1" applyAlignment="1">
      <alignment horizontal="right"/>
    </xf>
    <xf numFmtId="272" fontId="214" fillId="0" borderId="45" xfId="0" applyNumberFormat="1" applyFont="1" applyBorder="1"/>
    <xf numFmtId="0" fontId="214" fillId="0" borderId="99" xfId="0" applyFont="1" applyBorder="1"/>
    <xf numFmtId="9" fontId="214" fillId="0" borderId="0" xfId="12422" applyFont="1"/>
    <xf numFmtId="167" fontId="214" fillId="0" borderId="0" xfId="0" applyNumberFormat="1" applyFont="1"/>
    <xf numFmtId="0" fontId="245" fillId="0" borderId="144" xfId="20391" applyFont="1" applyFill="1" applyBorder="1"/>
    <xf numFmtId="0" fontId="232" fillId="0" borderId="0" xfId="20391" applyFont="1" applyFill="1"/>
    <xf numFmtId="0" fontId="231" fillId="0" borderId="145" xfId="20391" applyFont="1" applyFill="1" applyBorder="1" applyAlignment="1">
      <alignment horizontal="right"/>
    </xf>
    <xf numFmtId="0" fontId="231" fillId="0" borderId="146" xfId="20391" applyFont="1" applyFill="1" applyBorder="1" applyAlignment="1">
      <alignment horizontal="right"/>
    </xf>
    <xf numFmtId="0" fontId="231" fillId="0" borderId="147" xfId="20391" applyFont="1" applyFill="1" applyBorder="1" applyAlignment="1">
      <alignment horizontal="right"/>
    </xf>
    <xf numFmtId="0" fontId="232" fillId="0" borderId="148" xfId="20391" applyFont="1" applyFill="1" applyBorder="1"/>
    <xf numFmtId="165" fontId="232" fillId="0" borderId="149" xfId="20391" applyNumberFormat="1" applyFont="1" applyFill="1" applyBorder="1"/>
    <xf numFmtId="165" fontId="232" fillId="0" borderId="150" xfId="20391" applyNumberFormat="1" applyFont="1" applyFill="1" applyBorder="1"/>
    <xf numFmtId="0" fontId="232" fillId="0" borderId="150" xfId="20391" applyFont="1" applyFill="1" applyBorder="1"/>
    <xf numFmtId="0" fontId="232" fillId="0" borderId="151" xfId="20391" applyFont="1" applyFill="1" applyBorder="1"/>
    <xf numFmtId="0" fontId="232" fillId="0" borderId="51" xfId="20391" applyFont="1" applyFill="1" applyBorder="1"/>
    <xf numFmtId="165" fontId="232" fillId="0" borderId="64" xfId="20391" applyNumberFormat="1" applyFont="1" applyFill="1" applyBorder="1"/>
    <xf numFmtId="165" fontId="232" fillId="0" borderId="0" xfId="20391" applyNumberFormat="1" applyFont="1" applyFill="1" applyBorder="1"/>
    <xf numFmtId="165" fontId="232" fillId="0" borderId="13" xfId="20391" applyNumberFormat="1" applyFont="1" applyFill="1" applyBorder="1"/>
    <xf numFmtId="0" fontId="232" fillId="0" borderId="0" xfId="20391" applyFont="1" applyFill="1" applyBorder="1"/>
    <xf numFmtId="0" fontId="232" fillId="0" borderId="13" xfId="20391" applyFont="1" applyFill="1" applyBorder="1"/>
    <xf numFmtId="0" fontId="232" fillId="0" borderId="142" xfId="20391" applyFont="1" applyFill="1" applyBorder="1"/>
    <xf numFmtId="165" fontId="232" fillId="0" borderId="141" xfId="20391" applyNumberFormat="1" applyFont="1" applyFill="1" applyBorder="1"/>
    <xf numFmtId="165" fontId="232" fillId="0" borderId="45" xfId="20391" applyNumberFormat="1" applyFont="1" applyFill="1" applyBorder="1"/>
    <xf numFmtId="0" fontId="232" fillId="0" borderId="45" xfId="20392" applyFont="1" applyBorder="1"/>
    <xf numFmtId="0" fontId="232" fillId="0" borderId="45" xfId="20391" applyFont="1" applyFill="1" applyBorder="1"/>
    <xf numFmtId="0" fontId="232" fillId="0" borderId="99" xfId="20391" applyFont="1" applyFill="1" applyBorder="1"/>
    <xf numFmtId="0" fontId="246" fillId="0" borderId="0" xfId="12421" applyFont="1" applyBorder="1"/>
    <xf numFmtId="0" fontId="246" fillId="0" borderId="0" xfId="12421" applyFont="1" applyBorder="1" applyAlignment="1">
      <alignment horizontal="center"/>
    </xf>
    <xf numFmtId="43" fontId="217" fillId="68" borderId="57" xfId="11155" applyFont="1" applyFill="1" applyBorder="1" applyAlignment="1"/>
    <xf numFmtId="43" fontId="217" fillId="68" borderId="57" xfId="11155" applyFont="1" applyFill="1" applyBorder="1" applyAlignment="1">
      <alignment horizontal="right"/>
    </xf>
    <xf numFmtId="0" fontId="232" fillId="0" borderId="0" xfId="20392" applyFont="1" applyBorder="1"/>
    <xf numFmtId="0" fontId="232" fillId="0" borderId="0" xfId="20392" applyFont="1"/>
    <xf numFmtId="0" fontId="226" fillId="72" borderId="145" xfId="0" applyFont="1" applyFill="1" applyBorder="1" applyAlignment="1">
      <alignment horizontal="centerContinuous"/>
    </xf>
    <xf numFmtId="0" fontId="226" fillId="72" borderId="146" xfId="0" applyFont="1" applyFill="1" applyBorder="1" applyAlignment="1">
      <alignment horizontal="centerContinuous"/>
    </xf>
    <xf numFmtId="0" fontId="226" fillId="72" borderId="147" xfId="0" applyFont="1" applyFill="1" applyBorder="1" applyAlignment="1">
      <alignment horizontal="centerContinuous"/>
    </xf>
    <xf numFmtId="0" fontId="215" fillId="0" borderId="149" xfId="0" applyFont="1" applyFill="1" applyBorder="1" applyAlignment="1">
      <alignment horizontal="centerContinuous"/>
    </xf>
    <xf numFmtId="0" fontId="215" fillId="0" borderId="150" xfId="0" applyFont="1" applyFill="1" applyBorder="1" applyAlignment="1">
      <alignment horizontal="centerContinuous"/>
    </xf>
    <xf numFmtId="0" fontId="215" fillId="0" borderId="151" xfId="0" applyFont="1" applyFill="1" applyBorder="1" applyAlignment="1">
      <alignment horizontal="centerContinuous"/>
    </xf>
    <xf numFmtId="1" fontId="231" fillId="0" borderId="145" xfId="0" applyNumberFormat="1" applyFont="1" applyFill="1" applyBorder="1" applyAlignment="1">
      <alignment horizontal="right"/>
    </xf>
    <xf numFmtId="0" fontId="231" fillId="0" borderId="146" xfId="0" applyFont="1" applyFill="1" applyBorder="1" applyAlignment="1">
      <alignment horizontal="right"/>
    </xf>
    <xf numFmtId="0" fontId="231" fillId="0" borderId="147" xfId="0" applyFont="1" applyFill="1" applyBorder="1" applyAlignment="1">
      <alignment horizontal="right"/>
    </xf>
    <xf numFmtId="0" fontId="231" fillId="0" borderId="0" xfId="20393" applyFont="1" applyBorder="1"/>
    <xf numFmtId="0" fontId="247" fillId="0" borderId="0" xfId="20391" applyFont="1" applyFill="1" applyBorder="1"/>
    <xf numFmtId="0" fontId="248" fillId="0" borderId="0" xfId="20391" applyFont="1" applyFill="1" applyBorder="1"/>
    <xf numFmtId="248" fontId="248" fillId="0" borderId="0" xfId="20391" applyNumberFormat="1" applyFont="1" applyFill="1" applyBorder="1" applyAlignment="1">
      <alignment horizontal="right"/>
    </xf>
    <xf numFmtId="43" fontId="248" fillId="0" borderId="0" xfId="20391" applyNumberFormat="1" applyFont="1" applyFill="1" applyBorder="1" applyAlignment="1">
      <alignment horizontal="right"/>
    </xf>
    <xf numFmtId="0" fontId="248" fillId="0" borderId="0" xfId="20391" applyFont="1" applyFill="1" applyBorder="1" applyAlignment="1">
      <alignment horizontal="right"/>
    </xf>
    <xf numFmtId="0" fontId="248" fillId="0" borderId="0" xfId="20391" applyFont="1" applyFill="1"/>
    <xf numFmtId="0" fontId="215" fillId="0" borderId="0" xfId="20391" applyFont="1" applyFill="1" applyBorder="1" applyAlignment="1">
      <alignment horizontal="left"/>
    </xf>
    <xf numFmtId="0" fontId="231" fillId="0" borderId="0" xfId="20391" applyFont="1" applyFill="1" applyBorder="1" applyAlignment="1">
      <alignment horizontal="left"/>
    </xf>
    <xf numFmtId="0" fontId="249" fillId="0" borderId="152" xfId="20391" applyFont="1" applyFill="1" applyBorder="1" applyAlignment="1">
      <alignment horizontal="right"/>
    </xf>
    <xf numFmtId="0" fontId="231" fillId="0" borderId="0" xfId="20391" applyFont="1" applyFill="1" applyBorder="1"/>
    <xf numFmtId="1" fontId="231" fillId="0" borderId="149" xfId="20392" applyNumberFormat="1" applyFont="1" applyBorder="1" applyAlignment="1">
      <alignment horizontal="right"/>
    </xf>
    <xf numFmtId="1" fontId="231" fillId="0" borderId="150" xfId="20392" applyNumberFormat="1" applyFont="1" applyBorder="1" applyAlignment="1">
      <alignment horizontal="right"/>
    </xf>
    <xf numFmtId="1" fontId="231" fillId="0" borderId="151" xfId="20392" applyNumberFormat="1" applyFont="1" applyBorder="1" applyAlignment="1">
      <alignment horizontal="right"/>
    </xf>
    <xf numFmtId="1" fontId="231" fillId="0" borderId="0" xfId="20392" applyNumberFormat="1" applyFont="1" applyBorder="1" applyAlignment="1">
      <alignment horizontal="center"/>
    </xf>
    <xf numFmtId="0" fontId="221" fillId="0" borderId="0" xfId="20391" applyFont="1" applyFill="1" applyBorder="1" applyAlignment="1"/>
    <xf numFmtId="165" fontId="249" fillId="93" borderId="148" xfId="20391" applyNumberFormat="1" applyFont="1" applyFill="1" applyBorder="1" applyAlignment="1">
      <alignment horizontal="right"/>
    </xf>
    <xf numFmtId="165" fontId="232" fillId="0" borderId="149" xfId="20391" applyNumberFormat="1" applyFont="1" applyFill="1" applyBorder="1" applyAlignment="1">
      <alignment horizontal="right"/>
    </xf>
    <xf numFmtId="165" fontId="232" fillId="0" borderId="150" xfId="20391" applyNumberFormat="1" applyFont="1" applyFill="1" applyBorder="1" applyAlignment="1">
      <alignment horizontal="right"/>
    </xf>
    <xf numFmtId="165" fontId="232" fillId="0" borderId="151" xfId="20391" applyNumberFormat="1" applyFont="1" applyFill="1" applyBorder="1" applyAlignment="1">
      <alignment horizontal="right"/>
    </xf>
    <xf numFmtId="165" fontId="232" fillId="0" borderId="153" xfId="20391" applyNumberFormat="1" applyFont="1" applyFill="1" applyBorder="1" applyAlignment="1">
      <alignment horizontal="right"/>
    </xf>
    <xf numFmtId="165" fontId="232" fillId="0" borderId="0" xfId="20391" applyNumberFormat="1" applyFont="1" applyFill="1" applyBorder="1" applyAlignment="1">
      <alignment horizontal="center"/>
    </xf>
    <xf numFmtId="0" fontId="250" fillId="0" borderId="0" xfId="20392" applyFont="1" applyAlignment="1">
      <alignment vertical="center"/>
    </xf>
    <xf numFmtId="165" fontId="249" fillId="93" borderId="142" xfId="20391" applyNumberFormat="1" applyFont="1" applyFill="1" applyBorder="1" applyAlignment="1">
      <alignment horizontal="right"/>
    </xf>
    <xf numFmtId="165" fontId="232" fillId="0" borderId="141" xfId="20391" applyNumberFormat="1" applyFont="1" applyFill="1" applyBorder="1" applyAlignment="1">
      <alignment horizontal="right"/>
    </xf>
    <xf numFmtId="165" fontId="232" fillId="0" borderId="45" xfId="20391" applyNumberFormat="1" applyFont="1" applyFill="1" applyBorder="1" applyAlignment="1">
      <alignment horizontal="right"/>
    </xf>
    <xf numFmtId="165" fontId="232" fillId="0" borderId="99" xfId="20391" applyNumberFormat="1" applyFont="1" applyFill="1" applyBorder="1" applyAlignment="1">
      <alignment horizontal="right"/>
    </xf>
    <xf numFmtId="0" fontId="251" fillId="0" borderId="0" xfId="20391" applyFont="1" applyFill="1" applyBorder="1" applyAlignment="1">
      <alignment horizontal="left"/>
    </xf>
    <xf numFmtId="0" fontId="247" fillId="0" borderId="0" xfId="20391" applyFont="1" applyFill="1" applyBorder="1" applyAlignment="1">
      <alignment horizontal="left"/>
    </xf>
    <xf numFmtId="0" fontId="247" fillId="0" borderId="0" xfId="20391" applyFont="1" applyFill="1" applyBorder="1" applyAlignment="1">
      <alignment horizontal="right"/>
    </xf>
    <xf numFmtId="248" fontId="231" fillId="0" borderId="0" xfId="20394" applyNumberFormat="1" applyFont="1" applyFill="1" applyBorder="1" applyAlignment="1">
      <alignment horizontal="right"/>
    </xf>
    <xf numFmtId="248" fontId="231" fillId="0" borderId="0" xfId="20394" applyNumberFormat="1" applyFont="1" applyFill="1" applyBorder="1"/>
    <xf numFmtId="0" fontId="215" fillId="0" borderId="0" xfId="20391" applyFont="1" applyFill="1" applyBorder="1" applyAlignment="1">
      <alignment horizontal="left" indent="1"/>
    </xf>
    <xf numFmtId="10" fontId="230" fillId="0" borderId="0" xfId="20391" applyNumberFormat="1" applyFont="1" applyFill="1" applyBorder="1" applyAlignment="1">
      <alignment horizontal="right"/>
    </xf>
    <xf numFmtId="165" fontId="231" fillId="0" borderId="145" xfId="20391" applyNumberFormat="1" applyFont="1" applyFill="1" applyBorder="1" applyAlignment="1">
      <alignment horizontal="right"/>
    </xf>
    <xf numFmtId="165" fontId="231" fillId="0" borderId="146" xfId="20391" applyNumberFormat="1" applyFont="1" applyFill="1" applyBorder="1" applyAlignment="1">
      <alignment horizontal="right"/>
    </xf>
    <xf numFmtId="165" fontId="231" fillId="0" borderId="147" xfId="20391" applyNumberFormat="1" applyFont="1" applyFill="1" applyBorder="1" applyAlignment="1">
      <alignment horizontal="right"/>
    </xf>
    <xf numFmtId="165" fontId="231" fillId="0" borderId="0" xfId="20391" applyNumberFormat="1" applyFont="1" applyFill="1" applyBorder="1" applyAlignment="1">
      <alignment horizontal="center"/>
    </xf>
    <xf numFmtId="43" fontId="235" fillId="0" borderId="0" xfId="20394" applyFont="1" applyFill="1" applyBorder="1" applyAlignment="1">
      <alignment horizontal="right"/>
    </xf>
    <xf numFmtId="248" fontId="247" fillId="0" borderId="0" xfId="20394" applyNumberFormat="1" applyFont="1" applyFill="1" applyBorder="1" applyAlignment="1">
      <alignment horizontal="right"/>
    </xf>
    <xf numFmtId="248" fontId="247" fillId="0" borderId="0" xfId="20394" applyNumberFormat="1" applyFont="1" applyFill="1" applyBorder="1"/>
    <xf numFmtId="0" fontId="231" fillId="0" borderId="0" xfId="20391" applyFont="1" applyFill="1" applyBorder="1" applyAlignment="1">
      <alignment horizontal="left" indent="1"/>
    </xf>
    <xf numFmtId="0" fontId="231" fillId="0" borderId="149" xfId="20392" applyFont="1" applyBorder="1" applyAlignment="1">
      <alignment horizontal="right"/>
    </xf>
    <xf numFmtId="0" fontId="231" fillId="0" borderId="150" xfId="20392" applyFont="1" applyBorder="1" applyAlignment="1">
      <alignment horizontal="right"/>
    </xf>
    <xf numFmtId="0" fontId="231" fillId="0" borderId="151" xfId="20392" applyFont="1" applyBorder="1" applyAlignment="1">
      <alignment horizontal="right"/>
    </xf>
    <xf numFmtId="0" fontId="232" fillId="0" borderId="0" xfId="20392" applyFont="1" applyBorder="1" applyAlignment="1">
      <alignment horizontal="center"/>
    </xf>
    <xf numFmtId="192" fontId="221" fillId="0" borderId="0" xfId="20392" applyNumberFormat="1" applyFont="1" applyFill="1" applyBorder="1" applyAlignment="1" applyProtection="1">
      <alignment horizontal="right"/>
      <protection locked="0"/>
    </xf>
    <xf numFmtId="0" fontId="232" fillId="0" borderId="64" xfId="20392" applyNumberFormat="1" applyFont="1" applyBorder="1" applyAlignment="1">
      <alignment horizontal="right"/>
    </xf>
    <xf numFmtId="0" fontId="232" fillId="0" borderId="0" xfId="20392" applyNumberFormat="1" applyFont="1" applyBorder="1" applyAlignment="1">
      <alignment horizontal="right"/>
    </xf>
    <xf numFmtId="0" fontId="232" fillId="0" borderId="99" xfId="20392" applyNumberFormat="1" applyFont="1" applyBorder="1" applyAlignment="1">
      <alignment horizontal="right"/>
    </xf>
    <xf numFmtId="0" fontId="232" fillId="0" borderId="0" xfId="20392" applyNumberFormat="1" applyFont="1" applyBorder="1" applyAlignment="1">
      <alignment horizontal="center"/>
    </xf>
    <xf numFmtId="0" fontId="232" fillId="0" borderId="0" xfId="20391" applyFont="1" applyFill="1" applyBorder="1" applyAlignment="1"/>
    <xf numFmtId="167" fontId="227" fillId="0" borderId="0" xfId="12427" applyNumberFormat="1" applyFont="1" applyFill="1" applyBorder="1" applyAlignment="1">
      <alignment horizontal="right"/>
    </xf>
    <xf numFmtId="167" fontId="231" fillId="0" borderId="145" xfId="12427" applyNumberFormat="1" applyFont="1" applyFill="1" applyBorder="1" applyAlignment="1">
      <alignment horizontal="right"/>
    </xf>
    <xf numFmtId="167" fontId="231" fillId="0" borderId="146" xfId="12427" applyNumberFormat="1" applyFont="1" applyFill="1" applyBorder="1" applyAlignment="1">
      <alignment horizontal="right"/>
    </xf>
    <xf numFmtId="167" fontId="231" fillId="0" borderId="154" xfId="12427" applyNumberFormat="1" applyFont="1" applyFill="1" applyBorder="1" applyAlignment="1">
      <alignment horizontal="right"/>
    </xf>
    <xf numFmtId="248" fontId="231" fillId="0" borderId="0" xfId="20394" applyNumberFormat="1" applyFont="1" applyFill="1" applyBorder="1" applyAlignment="1">
      <alignment horizontal="center"/>
    </xf>
    <xf numFmtId="0" fontId="216" fillId="0" borderId="0" xfId="20391" applyFont="1" applyFill="1"/>
    <xf numFmtId="0" fontId="245" fillId="0" borderId="0" xfId="20391" applyFont="1" applyFill="1" applyBorder="1" applyAlignment="1">
      <alignment horizontal="left"/>
    </xf>
    <xf numFmtId="165" fontId="243" fillId="93" borderId="148" xfId="20391" applyNumberFormat="1" applyFont="1" applyFill="1" applyBorder="1" applyAlignment="1">
      <alignment horizontal="right"/>
    </xf>
    <xf numFmtId="165" fontId="243" fillId="93" borderId="51" xfId="20391" applyNumberFormat="1" applyFont="1" applyFill="1" applyBorder="1" applyAlignment="1">
      <alignment horizontal="right"/>
    </xf>
    <xf numFmtId="165" fontId="232" fillId="0" borderId="64" xfId="20391" applyNumberFormat="1" applyFont="1" applyFill="1" applyBorder="1" applyAlignment="1">
      <alignment horizontal="right"/>
    </xf>
    <xf numFmtId="165" fontId="232" fillId="0" borderId="0" xfId="20391" applyNumberFormat="1" applyFont="1" applyFill="1" applyBorder="1" applyAlignment="1">
      <alignment horizontal="right"/>
    </xf>
    <xf numFmtId="165" fontId="232" fillId="0" borderId="13" xfId="20391" applyNumberFormat="1" applyFont="1" applyFill="1" applyBorder="1" applyAlignment="1">
      <alignment horizontal="right"/>
    </xf>
    <xf numFmtId="165" fontId="243" fillId="93" borderId="142" xfId="20391" applyNumberFormat="1" applyFont="1" applyFill="1" applyBorder="1" applyAlignment="1">
      <alignment horizontal="right"/>
    </xf>
    <xf numFmtId="43" fontId="235" fillId="0" borderId="0" xfId="20394" applyFont="1" applyFill="1" applyBorder="1"/>
    <xf numFmtId="10" fontId="230" fillId="0" borderId="0" xfId="20391" applyNumberFormat="1" applyFont="1" applyFill="1" applyBorder="1"/>
    <xf numFmtId="0" fontId="232" fillId="0" borderId="0" xfId="20391" applyFont="1" applyFill="1" applyBorder="1" applyAlignment="1">
      <alignment horizontal="left" indent="1"/>
    </xf>
    <xf numFmtId="0" fontId="232" fillId="0" borderId="0" xfId="20391" applyFont="1" applyFill="1" applyBorder="1" applyAlignment="1">
      <alignment horizontal="right"/>
    </xf>
    <xf numFmtId="44" fontId="248" fillId="0" borderId="0" xfId="20391" applyNumberFormat="1" applyFont="1" applyFill="1" applyBorder="1"/>
    <xf numFmtId="1" fontId="231" fillId="0" borderId="145" xfId="20392" applyNumberFormat="1" applyFont="1" applyBorder="1" applyAlignment="1">
      <alignment horizontal="right"/>
    </xf>
    <xf numFmtId="1" fontId="231" fillId="0" borderId="146" xfId="20392" applyNumberFormat="1" applyFont="1" applyBorder="1" applyAlignment="1">
      <alignment horizontal="right"/>
    </xf>
    <xf numFmtId="1" fontId="231" fillId="0" borderId="147" xfId="20392" applyNumberFormat="1" applyFont="1" applyBorder="1" applyAlignment="1">
      <alignment horizontal="right"/>
    </xf>
    <xf numFmtId="1" fontId="248" fillId="0" borderId="0" xfId="20391" applyNumberFormat="1" applyFont="1" applyFill="1" applyBorder="1" applyAlignment="1">
      <alignment horizontal="left"/>
    </xf>
    <xf numFmtId="1" fontId="232" fillId="0" borderId="0" xfId="20391" applyNumberFormat="1" applyFont="1" applyFill="1" applyBorder="1" applyAlignment="1">
      <alignment horizontal="left"/>
    </xf>
    <xf numFmtId="167" fontId="227" fillId="0" borderId="0" xfId="12427" applyNumberFormat="1" applyFont="1" applyFill="1" applyBorder="1"/>
    <xf numFmtId="272" fontId="248" fillId="0" borderId="0" xfId="20391" applyNumberFormat="1" applyFont="1" applyFill="1" applyBorder="1"/>
    <xf numFmtId="167" fontId="232" fillId="0" borderId="0" xfId="12427" applyNumberFormat="1" applyFont="1" applyFill="1" applyBorder="1" applyAlignment="1">
      <alignment horizontal="right"/>
    </xf>
    <xf numFmtId="248" fontId="232" fillId="0" borderId="0" xfId="20394" applyNumberFormat="1" applyFont="1" applyFill="1" applyBorder="1"/>
    <xf numFmtId="44" fontId="248" fillId="0" borderId="0" xfId="20391" applyNumberFormat="1" applyFont="1" applyFill="1"/>
    <xf numFmtId="167" fontId="227" fillId="0" borderId="0" xfId="20395" applyNumberFormat="1" applyFont="1" applyFill="1" applyBorder="1"/>
    <xf numFmtId="248" fontId="248" fillId="0" borderId="0" xfId="20391" applyNumberFormat="1" applyFont="1" applyFill="1" applyBorder="1"/>
    <xf numFmtId="166" fontId="252" fillId="0" borderId="0" xfId="20396" applyNumberFormat="1" applyFont="1" applyFill="1" applyBorder="1"/>
    <xf numFmtId="0" fontId="248" fillId="0" borderId="0" xfId="20391" applyFont="1" applyFill="1" applyBorder="1" applyAlignment="1">
      <alignment horizontal="left"/>
    </xf>
    <xf numFmtId="0" fontId="232" fillId="0" borderId="0" xfId="20391" applyFont="1" applyFill="1" applyBorder="1" applyAlignment="1">
      <alignment horizontal="left"/>
    </xf>
    <xf numFmtId="41" fontId="232" fillId="0" borderId="0" xfId="20391" applyNumberFormat="1" applyFont="1" applyFill="1" applyBorder="1"/>
    <xf numFmtId="167" fontId="232" fillId="0" borderId="145" xfId="12427" applyNumberFormat="1" applyFont="1" applyFill="1" applyBorder="1" applyAlignment="1">
      <alignment horizontal="right"/>
    </xf>
    <xf numFmtId="167" fontId="232" fillId="0" borderId="146" xfId="12427" applyNumberFormat="1" applyFont="1" applyFill="1" applyBorder="1" applyAlignment="1">
      <alignment horizontal="right"/>
    </xf>
    <xf numFmtId="167" fontId="232" fillId="0" borderId="147" xfId="12427" applyNumberFormat="1" applyFont="1" applyFill="1" applyBorder="1" applyAlignment="1">
      <alignment horizontal="right"/>
    </xf>
    <xf numFmtId="42" fontId="232" fillId="0" borderId="0" xfId="20394" applyNumberFormat="1" applyFont="1" applyFill="1" applyBorder="1"/>
    <xf numFmtId="44" fontId="232" fillId="0" borderId="0" xfId="20391" applyNumberFormat="1" applyFont="1" applyFill="1" applyBorder="1" applyAlignment="1">
      <alignment horizontal="right"/>
    </xf>
    <xf numFmtId="220" fontId="232" fillId="0" borderId="0" xfId="20391" applyNumberFormat="1" applyFont="1" applyFill="1" applyBorder="1" applyAlignment="1">
      <alignment horizontal="right"/>
    </xf>
    <xf numFmtId="167" fontId="231" fillId="0" borderId="158" xfId="12427" applyNumberFormat="1" applyFont="1" applyFill="1" applyBorder="1" applyAlignment="1">
      <alignment horizontal="right"/>
    </xf>
    <xf numFmtId="167" fontId="231" fillId="0" borderId="159" xfId="12427" applyNumberFormat="1" applyFont="1" applyFill="1" applyBorder="1" applyAlignment="1">
      <alignment horizontal="right"/>
    </xf>
    <xf numFmtId="167" fontId="231" fillId="0" borderId="160" xfId="12427" applyNumberFormat="1" applyFont="1" applyFill="1" applyBorder="1" applyAlignment="1">
      <alignment horizontal="right"/>
    </xf>
    <xf numFmtId="167" fontId="231" fillId="0" borderId="147" xfId="12427" applyNumberFormat="1" applyFont="1" applyFill="1" applyBorder="1" applyAlignment="1">
      <alignment horizontal="right"/>
    </xf>
    <xf numFmtId="42" fontId="231" fillId="0" borderId="0" xfId="20394" applyNumberFormat="1" applyFont="1" applyFill="1" applyBorder="1"/>
    <xf numFmtId="0" fontId="232" fillId="0" borderId="0" xfId="20392" quotePrefix="1" applyFont="1" applyBorder="1" applyAlignment="1">
      <alignment vertical="top"/>
    </xf>
    <xf numFmtId="0" fontId="232" fillId="0" borderId="0" xfId="20392" applyFont="1" applyFill="1" applyBorder="1" applyAlignment="1">
      <alignment vertical="top"/>
    </xf>
    <xf numFmtId="0" fontId="232" fillId="0" borderId="0" xfId="20392" applyFont="1" applyFill="1" applyBorder="1" applyAlignment="1">
      <alignment vertical="top" wrapText="1"/>
    </xf>
    <xf numFmtId="0" fontId="232" fillId="0" borderId="0" xfId="20391" applyFont="1" applyFill="1" applyBorder="1" applyAlignment="1">
      <alignment horizontal="left" vertical="top" wrapText="1"/>
    </xf>
    <xf numFmtId="0" fontId="232" fillId="0" borderId="0" xfId="20391" quotePrefix="1" applyFont="1" applyFill="1" applyBorder="1" applyAlignment="1">
      <alignment vertical="top"/>
    </xf>
    <xf numFmtId="41" fontId="248" fillId="0" borderId="0" xfId="20391" applyNumberFormat="1" applyFont="1" applyFill="1" applyBorder="1"/>
    <xf numFmtId="0" fontId="214" fillId="74" borderId="0" xfId="0" quotePrefix="1" applyFont="1" applyFill="1" applyAlignment="1">
      <alignment horizontal="left" indent="1"/>
    </xf>
    <xf numFmtId="41" fontId="248" fillId="0" borderId="0" xfId="20391" applyNumberFormat="1" applyFont="1" applyFill="1"/>
    <xf numFmtId="0" fontId="245" fillId="0" borderId="81" xfId="20391" applyFont="1" applyFill="1" applyBorder="1"/>
    <xf numFmtId="0" fontId="214" fillId="0" borderId="0" xfId="20392" applyFont="1" applyBorder="1"/>
    <xf numFmtId="0" fontId="214" fillId="0" borderId="0" xfId="20392" applyFont="1"/>
    <xf numFmtId="0" fontId="216" fillId="74" borderId="0" xfId="0" applyFont="1" applyFill="1" applyAlignment="1">
      <alignment horizontal="center"/>
    </xf>
    <xf numFmtId="0" fontId="231" fillId="0" borderId="0" xfId="0" applyFont="1" applyFill="1" applyAlignment="1">
      <alignment horizontal="center"/>
    </xf>
    <xf numFmtId="0" fontId="231" fillId="74" borderId="0" xfId="0" applyFont="1" applyFill="1" applyAlignment="1">
      <alignment horizontal="center"/>
    </xf>
    <xf numFmtId="0" fontId="226" fillId="0" borderId="13" xfId="0" applyFont="1" applyFill="1" applyBorder="1" applyAlignment="1">
      <alignment horizontal="centerContinuous"/>
    </xf>
    <xf numFmtId="0" fontId="226" fillId="72" borderId="121" xfId="0" applyFont="1" applyFill="1" applyBorder="1" applyAlignment="1">
      <alignment horizontal="centerContinuous"/>
    </xf>
    <xf numFmtId="0" fontId="226" fillId="72" borderId="83" xfId="0" applyFont="1" applyFill="1" applyBorder="1" applyAlignment="1">
      <alignment horizontal="centerContinuous"/>
    </xf>
    <xf numFmtId="0" fontId="226" fillId="72" borderId="69" xfId="0" applyFont="1" applyFill="1" applyBorder="1" applyAlignment="1">
      <alignment horizontal="centerContinuous"/>
    </xf>
    <xf numFmtId="0" fontId="226" fillId="0" borderId="64" xfId="0" applyFont="1" applyFill="1" applyBorder="1" applyAlignment="1"/>
    <xf numFmtId="0" fontId="226" fillId="72" borderId="81" xfId="0" applyFont="1" applyFill="1" applyBorder="1" applyAlignment="1">
      <alignment horizontal="right"/>
    </xf>
    <xf numFmtId="0" fontId="226" fillId="0" borderId="99" xfId="0" applyFont="1" applyFill="1" applyBorder="1" applyAlignment="1">
      <alignment horizontal="centerContinuous"/>
    </xf>
    <xf numFmtId="0" fontId="226" fillId="0" borderId="0" xfId="0" applyFont="1" applyFill="1" applyBorder="1" applyAlignment="1"/>
    <xf numFmtId="1" fontId="231" fillId="0" borderId="177" xfId="0" applyNumberFormat="1" applyFont="1" applyFill="1" applyBorder="1" applyAlignment="1">
      <alignment horizontal="right"/>
    </xf>
    <xf numFmtId="1" fontId="231" fillId="0" borderId="83" xfId="0" applyNumberFormat="1" applyFont="1" applyFill="1" applyBorder="1" applyAlignment="1">
      <alignment horizontal="right"/>
    </xf>
    <xf numFmtId="164" fontId="231" fillId="0" borderId="69" xfId="0" applyNumberFormat="1" applyFont="1" applyFill="1" applyBorder="1" applyAlignment="1">
      <alignment horizontal="right"/>
    </xf>
    <xf numFmtId="164" fontId="232" fillId="0" borderId="0" xfId="0" applyNumberFormat="1" applyFont="1" applyFill="1" applyBorder="1" applyAlignment="1">
      <alignment horizontal="right"/>
    </xf>
    <xf numFmtId="164" fontId="231" fillId="74" borderId="81" xfId="0" applyNumberFormat="1" applyFont="1" applyFill="1" applyBorder="1" applyAlignment="1">
      <alignment horizontal="right"/>
    </xf>
    <xf numFmtId="0" fontId="231" fillId="0" borderId="82" xfId="0" applyFont="1" applyFill="1" applyBorder="1"/>
    <xf numFmtId="164" fontId="231" fillId="0" borderId="81" xfId="0" applyNumberFormat="1" applyFont="1" applyFill="1" applyBorder="1" applyAlignment="1">
      <alignment horizontal="right"/>
    </xf>
    <xf numFmtId="0" fontId="214" fillId="0" borderId="0" xfId="0" applyFont="1" applyFill="1" applyBorder="1" applyAlignment="1">
      <alignment horizontal="right"/>
    </xf>
    <xf numFmtId="0" fontId="232" fillId="0" borderId="0" xfId="0" applyFont="1" applyAlignment="1">
      <alignment horizontal="right"/>
    </xf>
    <xf numFmtId="0" fontId="232" fillId="0" borderId="0" xfId="0" applyFont="1"/>
    <xf numFmtId="165" fontId="214" fillId="0" borderId="0" xfId="0" applyNumberFormat="1" applyFont="1" applyAlignment="1">
      <alignment horizontal="right"/>
    </xf>
    <xf numFmtId="0" fontId="232" fillId="0" borderId="45" xfId="0" applyFont="1" applyBorder="1"/>
    <xf numFmtId="9" fontId="214" fillId="0" borderId="0" xfId="0" applyNumberFormat="1" applyFont="1" applyAlignment="1">
      <alignment horizontal="right"/>
    </xf>
    <xf numFmtId="272" fontId="231" fillId="0" borderId="0" xfId="0" applyNumberFormat="1" applyFont="1" applyBorder="1"/>
    <xf numFmtId="0" fontId="231" fillId="0" borderId="0" xfId="0" applyNumberFormat="1" applyFont="1" applyBorder="1"/>
    <xf numFmtId="0" fontId="232" fillId="0" borderId="0" xfId="0" applyFont="1" applyBorder="1"/>
    <xf numFmtId="165" fontId="214" fillId="0" borderId="0" xfId="0" applyNumberFormat="1" applyFont="1" applyBorder="1" applyAlignment="1">
      <alignment horizontal="right"/>
    </xf>
    <xf numFmtId="0" fontId="232" fillId="0" borderId="0" xfId="0" applyNumberFormat="1" applyFont="1"/>
    <xf numFmtId="0" fontId="214" fillId="65" borderId="0" xfId="0" quotePrefix="1" applyFont="1" applyFill="1" applyAlignment="1">
      <alignment horizontal="left" indent="1"/>
    </xf>
    <xf numFmtId="0" fontId="226" fillId="72" borderId="53" xfId="0" applyFont="1" applyFill="1" applyBorder="1" applyAlignment="1">
      <alignment horizontal="centerContinuous"/>
    </xf>
    <xf numFmtId="0" fontId="226" fillId="72" borderId="54" xfId="0" applyFont="1" applyFill="1" applyBorder="1" applyAlignment="1">
      <alignment horizontal="centerContinuous"/>
    </xf>
    <xf numFmtId="0" fontId="226" fillId="72" borderId="103" xfId="0" applyFont="1" applyFill="1" applyBorder="1" applyAlignment="1">
      <alignment horizontal="centerContinuous"/>
    </xf>
    <xf numFmtId="0" fontId="226" fillId="72" borderId="31" xfId="0" applyFont="1" applyFill="1" applyBorder="1" applyAlignment="1">
      <alignment horizontal="centerContinuous"/>
    </xf>
    <xf numFmtId="1" fontId="231" fillId="0" borderId="34" xfId="0" applyNumberFormat="1" applyFont="1" applyFill="1" applyBorder="1" applyAlignment="1">
      <alignment horizontal="right"/>
    </xf>
    <xf numFmtId="1" fontId="231" fillId="0" borderId="35" xfId="0" applyNumberFormat="1" applyFont="1" applyFill="1" applyBorder="1" applyAlignment="1">
      <alignment horizontal="right"/>
    </xf>
    <xf numFmtId="1" fontId="231" fillId="0" borderId="69" xfId="0" applyNumberFormat="1" applyFont="1" applyFill="1" applyBorder="1" applyAlignment="1">
      <alignment horizontal="right"/>
    </xf>
    <xf numFmtId="0" fontId="215" fillId="0" borderId="35" xfId="0" applyFont="1" applyFill="1" applyBorder="1"/>
    <xf numFmtId="0" fontId="215" fillId="0" borderId="42" xfId="0" applyFont="1" applyFill="1" applyBorder="1"/>
    <xf numFmtId="0" fontId="214" fillId="0" borderId="35" xfId="0" applyFont="1" applyFill="1" applyBorder="1"/>
    <xf numFmtId="0" fontId="214" fillId="0" borderId="42" xfId="0" applyFont="1" applyFill="1" applyBorder="1"/>
    <xf numFmtId="0" fontId="214" fillId="0" borderId="45" xfId="0" applyFont="1" applyBorder="1" applyAlignment="1">
      <alignment horizontal="left" indent="1"/>
    </xf>
    <xf numFmtId="0" fontId="214" fillId="0" borderId="0" xfId="0" applyFont="1" applyFill="1" applyBorder="1" applyAlignment="1">
      <alignment horizontal="left" indent="1"/>
    </xf>
    <xf numFmtId="169" fontId="231" fillId="0" borderId="0" xfId="0" applyNumberFormat="1" applyFont="1"/>
    <xf numFmtId="0" fontId="231" fillId="0" borderId="0" xfId="0" applyFont="1"/>
    <xf numFmtId="165" fontId="215" fillId="0" borderId="0" xfId="0" applyNumberFormat="1" applyFont="1" applyAlignment="1">
      <alignment horizontal="right"/>
    </xf>
    <xf numFmtId="0" fontId="215" fillId="0" borderId="173" xfId="0" applyFont="1" applyBorder="1"/>
    <xf numFmtId="169" fontId="231" fillId="0" borderId="173" xfId="0" applyNumberFormat="1" applyFont="1" applyBorder="1"/>
    <xf numFmtId="0" fontId="231" fillId="0" borderId="0" xfId="0" applyFont="1" applyBorder="1"/>
    <xf numFmtId="0" fontId="215" fillId="71" borderId="42" xfId="0" applyFont="1" applyFill="1" applyBorder="1"/>
    <xf numFmtId="0" fontId="214" fillId="0" borderId="0" xfId="0" applyFont="1" applyBorder="1" applyAlignment="1">
      <alignment horizontal="left" indent="1"/>
    </xf>
    <xf numFmtId="0" fontId="214" fillId="74" borderId="0" xfId="0" quotePrefix="1" applyFont="1" applyFill="1" applyBorder="1" applyAlignment="1">
      <alignment horizontal="center"/>
    </xf>
    <xf numFmtId="169" fontId="232" fillId="74" borderId="0" xfId="0" applyNumberFormat="1" applyFont="1" applyFill="1" applyBorder="1"/>
    <xf numFmtId="0" fontId="232" fillId="0" borderId="45" xfId="0" applyFont="1" applyFill="1" applyBorder="1" applyAlignment="1">
      <alignment horizontal="left" indent="1"/>
    </xf>
    <xf numFmtId="169" fontId="232" fillId="0" borderId="45" xfId="0" applyNumberFormat="1" applyFont="1" applyFill="1" applyBorder="1"/>
    <xf numFmtId="169" fontId="232" fillId="0" borderId="0" xfId="0" applyNumberFormat="1" applyFont="1" applyFill="1" applyBorder="1"/>
    <xf numFmtId="0" fontId="215" fillId="0" borderId="34" xfId="0" applyFont="1" applyBorder="1"/>
    <xf numFmtId="169" fontId="253" fillId="0" borderId="35" xfId="0" applyNumberFormat="1" applyFont="1" applyBorder="1"/>
    <xf numFmtId="169" fontId="253" fillId="0" borderId="42" xfId="0" applyNumberFormat="1" applyFont="1" applyBorder="1"/>
    <xf numFmtId="0" fontId="234" fillId="0" borderId="163" xfId="0" applyFont="1" applyBorder="1"/>
    <xf numFmtId="0" fontId="234" fillId="0" borderId="163" xfId="0" applyFont="1" applyBorder="1" applyAlignment="1">
      <alignment horizontal="center"/>
    </xf>
    <xf numFmtId="0" fontId="229" fillId="0" borderId="0" xfId="12421" applyFont="1" applyBorder="1" applyAlignment="1">
      <alignment horizontal="center"/>
    </xf>
    <xf numFmtId="0" fontId="240" fillId="72" borderId="81" xfId="0" applyFont="1" applyFill="1" applyBorder="1" applyAlignment="1">
      <alignment horizontal="left"/>
    </xf>
    <xf numFmtId="0" fontId="240" fillId="72" borderId="82" xfId="0" applyFont="1" applyFill="1" applyBorder="1" applyAlignment="1">
      <alignment horizontal="right"/>
    </xf>
    <xf numFmtId="0" fontId="240" fillId="72" borderId="83" xfId="0" applyFont="1" applyFill="1" applyBorder="1" applyAlignment="1">
      <alignment horizontal="right"/>
    </xf>
    <xf numFmtId="0" fontId="240" fillId="72" borderId="69" xfId="0" applyFont="1" applyFill="1" applyBorder="1" applyAlignment="1">
      <alignment horizontal="right"/>
    </xf>
    <xf numFmtId="0" fontId="240" fillId="72" borderId="81" xfId="0" applyFont="1" applyFill="1" applyBorder="1" applyAlignment="1">
      <alignment horizontal="centerContinuous"/>
    </xf>
    <xf numFmtId="0" fontId="214" fillId="72" borderId="45" xfId="0" applyFont="1" applyFill="1" applyBorder="1"/>
    <xf numFmtId="164" fontId="228" fillId="0" borderId="45" xfId="0" applyNumberFormat="1" applyFont="1" applyFill="1" applyBorder="1" applyAlignment="1">
      <alignment horizontal="center"/>
    </xf>
    <xf numFmtId="165" fontId="227" fillId="0" borderId="0" xfId="12422" applyNumberFormat="1" applyFont="1"/>
    <xf numFmtId="10" fontId="214" fillId="0" borderId="45" xfId="0" applyNumberFormat="1" applyFont="1" applyBorder="1"/>
    <xf numFmtId="10" fontId="215" fillId="0" borderId="35" xfId="0" applyNumberFormat="1" applyFont="1" applyFill="1" applyBorder="1"/>
    <xf numFmtId="165" fontId="215" fillId="0" borderId="35" xfId="0" applyNumberFormat="1" applyFont="1" applyFill="1" applyBorder="1"/>
    <xf numFmtId="165" fontId="231" fillId="71" borderId="42" xfId="0" applyNumberFormat="1" applyFont="1" applyFill="1" applyBorder="1"/>
    <xf numFmtId="0" fontId="240" fillId="72" borderId="34" xfId="0" applyFont="1" applyFill="1" applyBorder="1"/>
    <xf numFmtId="0" fontId="244" fillId="72" borderId="35" xfId="0" applyFont="1" applyFill="1" applyBorder="1"/>
    <xf numFmtId="0" fontId="240" fillId="72" borderId="42" xfId="0" applyFont="1" applyFill="1" applyBorder="1" applyAlignment="1">
      <alignment horizontal="centerContinuous" wrapText="1"/>
    </xf>
    <xf numFmtId="165" fontId="223" fillId="0" borderId="0" xfId="0" applyNumberFormat="1" applyFont="1"/>
    <xf numFmtId="0" fontId="232" fillId="0" borderId="0" xfId="0" quotePrefix="1" applyFont="1" applyFill="1" applyAlignment="1">
      <alignment horizontal="center"/>
    </xf>
    <xf numFmtId="165" fontId="227" fillId="0" borderId="0" xfId="0" applyNumberFormat="1" applyFont="1"/>
    <xf numFmtId="234" fontId="227" fillId="0" borderId="0" xfId="0" applyNumberFormat="1" applyFont="1" applyFill="1" applyBorder="1"/>
    <xf numFmtId="0" fontId="232" fillId="0" borderId="0" xfId="0" applyFont="1" applyFill="1" applyAlignment="1">
      <alignment horizontal="center"/>
    </xf>
    <xf numFmtId="234" fontId="232" fillId="0" borderId="0" xfId="0" applyNumberFormat="1" applyFont="1" applyFill="1" applyBorder="1"/>
    <xf numFmtId="165" fontId="223" fillId="74" borderId="0" xfId="0" applyNumberFormat="1" applyFont="1" applyFill="1"/>
    <xf numFmtId="10" fontId="223" fillId="0" borderId="0" xfId="0" applyNumberFormat="1" applyFont="1"/>
    <xf numFmtId="10" fontId="227" fillId="0" borderId="0" xfId="0" applyNumberFormat="1" applyFont="1"/>
    <xf numFmtId="0" fontId="232" fillId="0" borderId="0" xfId="0" quotePrefix="1" applyFont="1" applyFill="1" applyAlignment="1">
      <alignment horizontal="left"/>
    </xf>
    <xf numFmtId="0" fontId="232" fillId="74" borderId="0" xfId="0" quotePrefix="1" applyFont="1" applyFill="1" applyAlignment="1">
      <alignment horizontal="left"/>
    </xf>
    <xf numFmtId="0" fontId="232" fillId="0" borderId="0" xfId="0" quotePrefix="1" applyFont="1" applyFill="1" applyAlignment="1">
      <alignment horizontal="left" indent="1"/>
    </xf>
    <xf numFmtId="0" fontId="231" fillId="0" borderId="91" xfId="20379" applyFont="1" applyFill="1" applyBorder="1" applyAlignment="1" applyProtection="1">
      <alignment horizontal="left"/>
      <protection locked="0"/>
    </xf>
    <xf numFmtId="0" fontId="231" fillId="0" borderId="92" xfId="20379" applyFont="1" applyFill="1" applyBorder="1" applyAlignment="1" applyProtection="1">
      <alignment horizontal="center"/>
      <protection locked="0"/>
    </xf>
    <xf numFmtId="0" fontId="214" fillId="0" borderId="92" xfId="0" applyFont="1" applyBorder="1"/>
    <xf numFmtId="0" fontId="231" fillId="0" borderId="92" xfId="20379" applyFont="1" applyFill="1" applyBorder="1" applyAlignment="1" applyProtection="1">
      <alignment horizontal="right"/>
      <protection locked="0"/>
    </xf>
    <xf numFmtId="0" fontId="231" fillId="0" borderId="95" xfId="20379" applyFont="1" applyFill="1" applyBorder="1" applyAlignment="1" applyProtection="1">
      <alignment horizontal="right"/>
      <protection locked="0"/>
    </xf>
    <xf numFmtId="0" fontId="232" fillId="0" borderId="64" xfId="20379" applyFont="1" applyFill="1" applyBorder="1" applyProtection="1">
      <protection locked="0"/>
    </xf>
    <xf numFmtId="0" fontId="232" fillId="0" borderId="0" xfId="20379" applyFont="1" applyFill="1" applyBorder="1" applyProtection="1">
      <protection locked="0"/>
    </xf>
    <xf numFmtId="369" fontId="232" fillId="0" borderId="0" xfId="11155" applyNumberFormat="1" applyFont="1" applyFill="1" applyBorder="1" applyProtection="1">
      <protection locked="0"/>
    </xf>
    <xf numFmtId="10" fontId="232" fillId="0" borderId="13" xfId="12074" applyNumberFormat="1" applyFont="1" applyFill="1" applyBorder="1" applyAlignment="1" applyProtection="1">
      <alignment horizontal="right"/>
      <protection locked="0"/>
    </xf>
    <xf numFmtId="0" fontId="232" fillId="0" borderId="13" xfId="20379" applyFont="1" applyFill="1" applyBorder="1" applyAlignment="1" applyProtection="1">
      <alignment horizontal="right"/>
      <protection locked="0"/>
    </xf>
    <xf numFmtId="0" fontId="232" fillId="0" borderId="10" xfId="20379" applyFont="1" applyFill="1" applyBorder="1" applyProtection="1">
      <protection locked="0"/>
    </xf>
    <xf numFmtId="0" fontId="232" fillId="0" borderId="45" xfId="20379" applyFont="1" applyFill="1" applyBorder="1" applyProtection="1">
      <protection locked="0"/>
    </xf>
    <xf numFmtId="369" fontId="232" fillId="0" borderId="45" xfId="11155" applyNumberFormat="1" applyFont="1" applyFill="1" applyBorder="1" applyProtection="1">
      <protection locked="0"/>
    </xf>
    <xf numFmtId="10" fontId="232" fillId="0" borderId="99" xfId="12074" applyNumberFormat="1" applyFont="1" applyFill="1" applyBorder="1" applyAlignment="1" applyProtection="1">
      <alignment horizontal="right"/>
      <protection locked="0"/>
    </xf>
    <xf numFmtId="0" fontId="214" fillId="0" borderId="101" xfId="0" applyFont="1" applyBorder="1"/>
    <xf numFmtId="0" fontId="214" fillId="0" borderId="45" xfId="0" applyFont="1" applyBorder="1" applyAlignment="1">
      <alignment wrapText="1"/>
    </xf>
    <xf numFmtId="10" fontId="214" fillId="0" borderId="99" xfId="12422" applyNumberFormat="1" applyFont="1" applyBorder="1"/>
    <xf numFmtId="0" fontId="214" fillId="0" borderId="53" xfId="0" applyFont="1" applyBorder="1"/>
    <xf numFmtId="14" fontId="214" fillId="0" borderId="55" xfId="0" applyNumberFormat="1" applyFont="1" applyBorder="1" applyAlignment="1">
      <alignment horizontal="right"/>
    </xf>
    <xf numFmtId="0" fontId="214" fillId="0" borderId="12" xfId="0" applyFont="1" applyBorder="1"/>
    <xf numFmtId="0" fontId="214" fillId="0" borderId="13" xfId="0" applyFont="1" applyBorder="1" applyAlignment="1">
      <alignment horizontal="right"/>
    </xf>
    <xf numFmtId="0" fontId="214" fillId="0" borderId="11" xfId="0" applyFont="1" applyBorder="1" applyAlignment="1">
      <alignment horizontal="right"/>
    </xf>
    <xf numFmtId="0" fontId="254" fillId="72" borderId="53" xfId="0" applyFont="1" applyFill="1" applyBorder="1" applyAlignment="1">
      <alignment horizontal="centerContinuous"/>
    </xf>
    <xf numFmtId="0" fontId="254" fillId="72" borderId="54" xfId="0" applyFont="1" applyFill="1" applyBorder="1" applyAlignment="1">
      <alignment horizontal="centerContinuous"/>
    </xf>
    <xf numFmtId="0" fontId="254" fillId="72" borderId="55" xfId="0" applyFont="1" applyFill="1" applyBorder="1" applyAlignment="1">
      <alignment horizontal="centerContinuous"/>
    </xf>
    <xf numFmtId="0" fontId="231" fillId="72" borderId="54" xfId="0" applyFont="1" applyFill="1" applyBorder="1" applyAlignment="1">
      <alignment horizontal="centerContinuous"/>
    </xf>
    <xf numFmtId="0" fontId="231" fillId="72" borderId="55" xfId="0" applyFont="1" applyFill="1" applyBorder="1" applyAlignment="1">
      <alignment horizontal="centerContinuous"/>
    </xf>
    <xf numFmtId="165" fontId="228" fillId="0" borderId="0" xfId="0" applyNumberFormat="1" applyFont="1"/>
    <xf numFmtId="0" fontId="231" fillId="0" borderId="52" xfId="0" applyFont="1" applyFill="1" applyBorder="1" applyAlignment="1">
      <alignment horizontal="center" wrapText="1"/>
    </xf>
    <xf numFmtId="0" fontId="231" fillId="0" borderId="34" xfId="0" applyFont="1" applyFill="1" applyBorder="1" applyAlignment="1">
      <alignment horizontal="right" wrapText="1"/>
    </xf>
    <xf numFmtId="0" fontId="231" fillId="0" borderId="35" xfId="0" applyFont="1" applyFill="1" applyBorder="1" applyAlignment="1">
      <alignment horizontal="right" wrapText="1"/>
    </xf>
    <xf numFmtId="0" fontId="214" fillId="0" borderId="35" xfId="0" applyFont="1" applyBorder="1" applyAlignment="1">
      <alignment horizontal="right" wrapText="1"/>
    </xf>
    <xf numFmtId="0" fontId="231" fillId="0" borderId="42" xfId="0" applyFont="1" applyFill="1" applyBorder="1" applyAlignment="1">
      <alignment horizontal="right" wrapText="1"/>
    </xf>
    <xf numFmtId="0" fontId="254" fillId="28" borderId="34" xfId="0" applyFont="1" applyFill="1" applyBorder="1" applyAlignment="1">
      <alignment horizontal="center" wrapText="1"/>
    </xf>
    <xf numFmtId="0" fontId="254" fillId="28" borderId="35" xfId="0" applyFont="1" applyFill="1" applyBorder="1" applyAlignment="1">
      <alignment horizontal="center" wrapText="1"/>
    </xf>
    <xf numFmtId="0" fontId="254" fillId="28" borderId="42" xfId="0" applyFont="1" applyFill="1" applyBorder="1" applyAlignment="1">
      <alignment horizontal="center" wrapText="1"/>
    </xf>
    <xf numFmtId="0" fontId="231" fillId="0" borderId="0" xfId="0" applyFont="1" applyFill="1" applyAlignment="1">
      <alignment horizontal="center" wrapText="1"/>
    </xf>
    <xf numFmtId="0" fontId="215" fillId="0" borderId="0" xfId="0" applyFont="1" applyAlignment="1">
      <alignment horizontal="center" wrapText="1"/>
    </xf>
    <xf numFmtId="0" fontId="234" fillId="0" borderId="163" xfId="0" applyFont="1" applyBorder="1" applyAlignment="1">
      <alignment wrapText="1"/>
    </xf>
    <xf numFmtId="0" fontId="223" fillId="0" borderId="0" xfId="0" applyFont="1" applyAlignment="1">
      <alignment horizontal="center"/>
    </xf>
    <xf numFmtId="234" fontId="214" fillId="0" borderId="0" xfId="0" applyNumberFormat="1" applyFont="1" applyAlignment="1">
      <alignment horizontal="right"/>
    </xf>
    <xf numFmtId="234" fontId="214" fillId="0" borderId="0" xfId="0" quotePrefix="1" applyNumberFormat="1" applyFont="1" applyAlignment="1">
      <alignment horizontal="right"/>
    </xf>
    <xf numFmtId="164" fontId="214" fillId="0" borderId="0" xfId="0" applyNumberFormat="1" applyFont="1" applyAlignment="1">
      <alignment horizontal="center"/>
    </xf>
    <xf numFmtId="0" fontId="228" fillId="0" borderId="0" xfId="0" applyFont="1"/>
    <xf numFmtId="169" fontId="242" fillId="0" borderId="0" xfId="0" applyNumberFormat="1" applyFont="1"/>
    <xf numFmtId="0" fontId="223" fillId="0" borderId="0" xfId="0" applyFont="1"/>
    <xf numFmtId="0" fontId="232" fillId="0" borderId="0" xfId="0" applyFont="1" applyFill="1" applyBorder="1"/>
    <xf numFmtId="0" fontId="215" fillId="71" borderId="128" xfId="0" applyFont="1" applyFill="1" applyBorder="1"/>
    <xf numFmtId="0" fontId="215" fillId="71" borderId="129" xfId="0" applyFont="1" applyFill="1" applyBorder="1"/>
    <xf numFmtId="234" fontId="215" fillId="71" borderId="129" xfId="0" applyNumberFormat="1" applyFont="1" applyFill="1" applyBorder="1"/>
    <xf numFmtId="169" fontId="215" fillId="71" borderId="129" xfId="0" applyNumberFormat="1" applyFont="1" applyFill="1" applyBorder="1"/>
    <xf numFmtId="169" fontId="215" fillId="71" borderId="130" xfId="0" applyNumberFormat="1" applyFont="1" applyFill="1" applyBorder="1"/>
    <xf numFmtId="165" fontId="215" fillId="71" borderId="0" xfId="12422" applyNumberFormat="1" applyFont="1" applyFill="1" applyBorder="1"/>
    <xf numFmtId="0" fontId="215" fillId="71" borderId="64" xfId="0" applyFont="1" applyFill="1" applyBorder="1"/>
    <xf numFmtId="0" fontId="215" fillId="71" borderId="0" xfId="0" applyFont="1" applyFill="1" applyBorder="1"/>
    <xf numFmtId="234" fontId="215" fillId="71" borderId="0" xfId="0" applyNumberFormat="1" applyFont="1" applyFill="1" applyBorder="1"/>
    <xf numFmtId="169" fontId="215" fillId="71" borderId="0" xfId="0" applyNumberFormat="1" applyFont="1" applyFill="1" applyBorder="1"/>
    <xf numFmtId="169" fontId="215" fillId="71" borderId="13" xfId="0" applyNumberFormat="1" applyFont="1" applyFill="1" applyBorder="1"/>
    <xf numFmtId="0" fontId="215" fillId="71" borderId="10" xfId="0" applyFont="1" applyFill="1" applyBorder="1"/>
    <xf numFmtId="234" fontId="215" fillId="71" borderId="45" xfId="0" applyNumberFormat="1" applyFont="1" applyFill="1" applyBorder="1"/>
    <xf numFmtId="169" fontId="215" fillId="71" borderId="99" xfId="0" applyNumberFormat="1" applyFont="1" applyFill="1" applyBorder="1"/>
    <xf numFmtId="0" fontId="254" fillId="72" borderId="82" xfId="0" applyFont="1" applyFill="1" applyBorder="1" applyAlignment="1">
      <alignment horizontal="left"/>
    </xf>
    <xf numFmtId="0" fontId="254" fillId="0" borderId="64" xfId="0" applyFont="1" applyFill="1" applyBorder="1" applyAlignment="1">
      <alignment horizontal="centerContinuous"/>
    </xf>
    <xf numFmtId="0" fontId="254" fillId="72" borderId="82" xfId="0" applyFont="1" applyFill="1" applyBorder="1" applyAlignment="1">
      <alignment horizontal="center"/>
    </xf>
    <xf numFmtId="0" fontId="254" fillId="72" borderId="83" xfId="0" applyFont="1" applyFill="1" applyBorder="1" applyAlignment="1">
      <alignment horizontal="center"/>
    </xf>
    <xf numFmtId="0" fontId="254" fillId="72" borderId="69" xfId="0" applyFont="1" applyFill="1" applyBorder="1" applyAlignment="1">
      <alignment horizontal="center"/>
    </xf>
    <xf numFmtId="0" fontId="254" fillId="0" borderId="0" xfId="0" applyFont="1" applyFill="1" applyBorder="1" applyAlignment="1"/>
    <xf numFmtId="0" fontId="254" fillId="72" borderId="82" xfId="0" applyFont="1" applyFill="1" applyBorder="1" applyAlignment="1">
      <alignment horizontal="centerContinuous"/>
    </xf>
    <xf numFmtId="0" fontId="254" fillId="72" borderId="81" xfId="0" applyFont="1" applyFill="1" applyBorder="1" applyAlignment="1">
      <alignment horizontal="centerContinuous"/>
    </xf>
    <xf numFmtId="0" fontId="214" fillId="76" borderId="0" xfId="0" applyFont="1" applyFill="1" applyAlignment="1">
      <alignment horizontal="right"/>
    </xf>
    <xf numFmtId="0" fontId="214" fillId="0" borderId="0" xfId="0" applyFont="1" applyFill="1" applyAlignment="1">
      <alignment horizontal="right"/>
    </xf>
    <xf numFmtId="165" fontId="223" fillId="0" borderId="0" xfId="0" applyNumberFormat="1" applyFont="1" applyAlignment="1">
      <alignment horizontal="right"/>
    </xf>
    <xf numFmtId="0" fontId="227" fillId="0" borderId="0" xfId="0" applyFont="1" applyAlignment="1">
      <alignment horizontal="right"/>
    </xf>
    <xf numFmtId="43" fontId="214" fillId="0" borderId="0" xfId="0" applyNumberFormat="1" applyFont="1" applyFill="1" applyAlignment="1">
      <alignment horizontal="centerContinuous"/>
    </xf>
    <xf numFmtId="0" fontId="214" fillId="30" borderId="0" xfId="0" applyFont="1" applyFill="1"/>
    <xf numFmtId="8" fontId="256" fillId="0" borderId="0" xfId="0" applyNumberFormat="1" applyFont="1" applyAlignment="1">
      <alignment horizontal="right"/>
    </xf>
    <xf numFmtId="43" fontId="214" fillId="0" borderId="0" xfId="0" applyNumberFormat="1" applyFont="1" applyFill="1"/>
    <xf numFmtId="0" fontId="214" fillId="65" borderId="0" xfId="0" applyFont="1" applyFill="1"/>
    <xf numFmtId="169" fontId="256" fillId="0" borderId="0" xfId="0" applyNumberFormat="1" applyFont="1" applyAlignment="1">
      <alignment horizontal="right"/>
    </xf>
    <xf numFmtId="8" fontId="232" fillId="0" borderId="0" xfId="0" applyNumberFormat="1" applyFont="1" applyAlignment="1">
      <alignment horizontal="right"/>
    </xf>
    <xf numFmtId="0" fontId="231" fillId="71" borderId="34" xfId="0" applyFont="1" applyFill="1" applyBorder="1"/>
    <xf numFmtId="0" fontId="232" fillId="71" borderId="35" xfId="0" applyFont="1" applyFill="1" applyBorder="1"/>
    <xf numFmtId="0" fontId="232" fillId="71" borderId="35" xfId="0" applyFont="1" applyFill="1" applyBorder="1" applyAlignment="1">
      <alignment horizontal="right"/>
    </xf>
    <xf numFmtId="169" fontId="231" fillId="71" borderId="35" xfId="0" applyNumberFormat="1" applyFont="1" applyFill="1" applyBorder="1" applyAlignment="1">
      <alignment horizontal="right"/>
    </xf>
    <xf numFmtId="0" fontId="231" fillId="71" borderId="35" xfId="0" applyFont="1" applyFill="1" applyBorder="1" applyAlignment="1">
      <alignment horizontal="right"/>
    </xf>
    <xf numFmtId="165" fontId="231" fillId="71" borderId="42" xfId="0" applyNumberFormat="1" applyFont="1" applyFill="1" applyBorder="1" applyAlignment="1">
      <alignment horizontal="right"/>
    </xf>
    <xf numFmtId="9" fontId="221" fillId="0" borderId="72" xfId="12422" applyFont="1" applyBorder="1"/>
    <xf numFmtId="0" fontId="215" fillId="71" borderId="35" xfId="0" applyFont="1" applyFill="1" applyBorder="1" applyAlignment="1">
      <alignment horizontal="right"/>
    </xf>
    <xf numFmtId="165" fontId="236" fillId="71" borderId="42" xfId="0" applyNumberFormat="1" applyFont="1" applyFill="1" applyBorder="1" applyAlignment="1">
      <alignment horizontal="right"/>
    </xf>
    <xf numFmtId="0" fontId="232" fillId="65" borderId="0" xfId="0" quotePrefix="1" applyFont="1" applyFill="1" applyAlignment="1"/>
    <xf numFmtId="0" fontId="232" fillId="65" borderId="0" xfId="0" quotePrefix="1" applyFont="1" applyFill="1" applyAlignment="1">
      <alignment horizontal="left" indent="1"/>
    </xf>
    <xf numFmtId="0" fontId="232" fillId="0" borderId="0" xfId="0" quotePrefix="1" applyFont="1" applyFill="1" applyAlignment="1">
      <alignment vertical="top"/>
    </xf>
    <xf numFmtId="0" fontId="214" fillId="0" borderId="0" xfId="0" applyFont="1" applyFill="1" applyAlignment="1">
      <alignment vertical="top"/>
    </xf>
    <xf numFmtId="0" fontId="214" fillId="0" borderId="0" xfId="0" applyFont="1" applyFill="1" applyAlignment="1">
      <alignment horizontal="center" vertical="top"/>
    </xf>
    <xf numFmtId="0" fontId="232" fillId="0" borderId="0" xfId="0" quotePrefix="1" applyFont="1" applyFill="1" applyAlignment="1">
      <alignment horizontal="right"/>
    </xf>
    <xf numFmtId="0" fontId="257" fillId="0" borderId="0" xfId="0" applyFont="1"/>
    <xf numFmtId="0" fontId="226" fillId="72" borderId="82" xfId="0" applyFont="1" applyFill="1" applyBorder="1" applyAlignment="1">
      <alignment horizontal="left"/>
    </xf>
    <xf numFmtId="165" fontId="230" fillId="71" borderId="42" xfId="0" applyNumberFormat="1" applyFont="1" applyFill="1" applyBorder="1" applyAlignment="1">
      <alignment horizontal="center"/>
    </xf>
    <xf numFmtId="165" fontId="258" fillId="0" borderId="0" xfId="0" applyNumberFormat="1" applyFont="1" applyBorder="1"/>
    <xf numFmtId="0" fontId="246" fillId="69" borderId="56" xfId="12421" applyFont="1" applyFill="1" applyBorder="1"/>
    <xf numFmtId="0" fontId="214" fillId="69" borderId="56" xfId="12421" applyFont="1" applyFill="1" applyBorder="1"/>
    <xf numFmtId="0" fontId="246" fillId="69" borderId="0" xfId="12421" applyFont="1" applyFill="1" applyBorder="1"/>
    <xf numFmtId="0" fontId="214" fillId="69" borderId="0" xfId="12421" applyFont="1" applyFill="1" applyBorder="1"/>
    <xf numFmtId="0" fontId="246" fillId="69" borderId="57" xfId="12421" applyFont="1" applyFill="1" applyBorder="1"/>
    <xf numFmtId="0" fontId="214" fillId="69" borderId="57" xfId="12421" applyFont="1" applyFill="1" applyBorder="1"/>
    <xf numFmtId="0" fontId="226" fillId="72" borderId="58" xfId="0" applyFont="1" applyFill="1" applyBorder="1" applyAlignment="1">
      <alignment horizontal="centerContinuous"/>
    </xf>
    <xf numFmtId="0" fontId="226" fillId="72" borderId="59" xfId="0" applyFont="1" applyFill="1" applyBorder="1" applyAlignment="1">
      <alignment horizontal="centerContinuous"/>
    </xf>
    <xf numFmtId="0" fontId="226" fillId="72" borderId="60" xfId="0" applyFont="1" applyFill="1" applyBorder="1" applyAlignment="1">
      <alignment horizontal="centerContinuous"/>
    </xf>
    <xf numFmtId="0" fontId="220" fillId="0" borderId="0" xfId="0" applyFont="1" applyBorder="1"/>
    <xf numFmtId="0" fontId="220" fillId="0" borderId="0" xfId="0" applyFont="1" applyBorder="1" applyAlignment="1">
      <alignment horizontal="centerContinuous"/>
    </xf>
    <xf numFmtId="0" fontId="214" fillId="0" borderId="0" xfId="0" applyFont="1" applyAlignment="1">
      <alignment horizontal="centerContinuous"/>
    </xf>
    <xf numFmtId="0" fontId="220" fillId="0" borderId="0" xfId="0" applyFont="1" applyAlignment="1">
      <alignment horizontal="centerContinuous"/>
    </xf>
    <xf numFmtId="0" fontId="214" fillId="0" borderId="0" xfId="0" applyFont="1" applyBorder="1" applyAlignment="1"/>
    <xf numFmtId="0" fontId="220" fillId="0" borderId="0" xfId="0" applyFont="1" applyBorder="1" applyAlignment="1"/>
    <xf numFmtId="0" fontId="226" fillId="72" borderId="52" xfId="0" applyFont="1" applyFill="1" applyBorder="1" applyAlignment="1">
      <alignment horizontal="centerContinuous"/>
    </xf>
    <xf numFmtId="0" fontId="226" fillId="72" borderId="52" xfId="0" applyFont="1" applyFill="1" applyBorder="1" applyAlignment="1">
      <alignment horizontal="centerContinuous" wrapText="1"/>
    </xf>
    <xf numFmtId="0" fontId="231" fillId="0" borderId="29" xfId="0" applyFont="1" applyFill="1" applyBorder="1" applyAlignment="1">
      <alignment horizontal="right" wrapText="1"/>
    </xf>
    <xf numFmtId="0" fontId="231" fillId="0" borderId="32" xfId="0" applyFont="1" applyFill="1" applyBorder="1" applyAlignment="1">
      <alignment horizontal="right" wrapText="1"/>
    </xf>
    <xf numFmtId="165" fontId="231" fillId="0" borderId="52" xfId="12422" applyNumberFormat="1" applyFont="1" applyFill="1" applyBorder="1" applyAlignment="1">
      <alignment horizontal="right" wrapText="1"/>
    </xf>
    <xf numFmtId="0" fontId="231" fillId="0" borderId="29" xfId="0" applyFont="1" applyFill="1" applyBorder="1" applyAlignment="1">
      <alignment horizontal="centerContinuous" wrapText="1"/>
    </xf>
    <xf numFmtId="0" fontId="216" fillId="0" borderId="70" xfId="0" applyFont="1" applyBorder="1"/>
    <xf numFmtId="234" fontId="223" fillId="0" borderId="0" xfId="0" applyNumberFormat="1" applyFont="1" applyAlignment="1">
      <alignment horizontal="right"/>
    </xf>
    <xf numFmtId="2" fontId="221" fillId="0" borderId="0" xfId="0" applyNumberFormat="1" applyFont="1" applyAlignment="1">
      <alignment horizontal="right"/>
    </xf>
    <xf numFmtId="169" fontId="232" fillId="0" borderId="0" xfId="0" applyNumberFormat="1" applyFont="1" applyFill="1" applyAlignment="1">
      <alignment horizontal="right"/>
    </xf>
    <xf numFmtId="165" fontId="221" fillId="0" borderId="0" xfId="12422" applyNumberFormat="1" applyFont="1" applyAlignment="1">
      <alignment horizontal="right"/>
    </xf>
    <xf numFmtId="169" fontId="215" fillId="0" borderId="0" xfId="0" applyNumberFormat="1" applyFont="1" applyFill="1" applyBorder="1"/>
    <xf numFmtId="0" fontId="214" fillId="71" borderId="35" xfId="0" applyFont="1" applyFill="1" applyBorder="1"/>
    <xf numFmtId="0" fontId="214" fillId="71" borderId="59" xfId="0" applyFont="1" applyFill="1" applyBorder="1"/>
    <xf numFmtId="169" fontId="215" fillId="71" borderId="35" xfId="0" applyNumberFormat="1" applyFont="1" applyFill="1" applyBorder="1"/>
    <xf numFmtId="169" fontId="215" fillId="71" borderId="42" xfId="0" applyNumberFormat="1" applyFont="1" applyFill="1" applyBorder="1"/>
    <xf numFmtId="0" fontId="214" fillId="0" borderId="114" xfId="0" applyFont="1" applyBorder="1"/>
    <xf numFmtId="0" fontId="214" fillId="0" borderId="116" xfId="0" applyFont="1" applyBorder="1"/>
    <xf numFmtId="0" fontId="214" fillId="0" borderId="117" xfId="0" applyFont="1" applyBorder="1"/>
    <xf numFmtId="0" fontId="214" fillId="0" borderId="64" xfId="0" applyFont="1" applyBorder="1" applyAlignment="1">
      <alignment horizontal="left"/>
    </xf>
    <xf numFmtId="167" fontId="214" fillId="0" borderId="0" xfId="12427" applyNumberFormat="1" applyFont="1" applyBorder="1"/>
    <xf numFmtId="0" fontId="221" fillId="0" borderId="13" xfId="0" applyFont="1" applyBorder="1" applyAlignment="1">
      <alignment horizontal="right"/>
    </xf>
    <xf numFmtId="0" fontId="214" fillId="0" borderId="10" xfId="0" applyFont="1" applyBorder="1" applyAlignment="1">
      <alignment horizontal="left"/>
    </xf>
    <xf numFmtId="167" fontId="214" fillId="0" borderId="45" xfId="12427" applyNumberFormat="1" applyFont="1" applyBorder="1"/>
    <xf numFmtId="0" fontId="221" fillId="0" borderId="11" xfId="0" applyFont="1" applyBorder="1" applyAlignment="1">
      <alignment horizontal="right"/>
    </xf>
    <xf numFmtId="0" fontId="215" fillId="0" borderId="82" xfId="0" applyFont="1" applyBorder="1" applyAlignment="1">
      <alignment horizontal="centerContinuous"/>
    </xf>
    <xf numFmtId="0" fontId="214" fillId="0" borderId="83" xfId="0" applyFont="1" applyBorder="1" applyAlignment="1">
      <alignment horizontal="centerContinuous"/>
    </xf>
    <xf numFmtId="0" fontId="215" fillId="0" borderId="83" xfId="0" applyFont="1" applyBorder="1" applyAlignment="1">
      <alignment horizontal="centerContinuous"/>
    </xf>
    <xf numFmtId="0" fontId="215" fillId="0" borderId="69" xfId="0" applyFont="1" applyBorder="1" applyAlignment="1">
      <alignment horizontal="centerContinuous"/>
    </xf>
    <xf numFmtId="0" fontId="215" fillId="0" borderId="70" xfId="0" applyFont="1" applyBorder="1" applyAlignment="1">
      <alignment horizontal="centerContinuous"/>
    </xf>
    <xf numFmtId="0" fontId="214" fillId="0" borderId="102" xfId="0" applyFont="1" applyBorder="1" applyAlignment="1">
      <alignment horizontal="centerContinuous"/>
    </xf>
    <xf numFmtId="0" fontId="214" fillId="0" borderId="0" xfId="0" applyFont="1" applyBorder="1" applyAlignment="1">
      <alignment horizontal="centerContinuous"/>
    </xf>
    <xf numFmtId="0" fontId="215" fillId="0" borderId="102" xfId="0" applyFont="1" applyBorder="1" applyAlignment="1">
      <alignment horizontal="centerContinuous"/>
    </xf>
    <xf numFmtId="0" fontId="214" fillId="0" borderId="121" xfId="0" applyFont="1" applyBorder="1"/>
    <xf numFmtId="234" fontId="221" fillId="0" borderId="122" xfId="0" applyNumberFormat="1" applyFont="1" applyBorder="1" applyAlignment="1">
      <alignment horizontal="right"/>
    </xf>
    <xf numFmtId="0" fontId="226" fillId="72" borderId="82" xfId="0" applyFont="1" applyFill="1" applyBorder="1" applyAlignment="1">
      <alignment horizontal="centerContinuous"/>
    </xf>
    <xf numFmtId="0" fontId="226" fillId="72" borderId="81" xfId="0" applyFont="1" applyFill="1" applyBorder="1" applyAlignment="1">
      <alignment horizontal="centerContinuous"/>
    </xf>
    <xf numFmtId="0" fontId="226" fillId="74" borderId="59" xfId="0" applyFont="1" applyFill="1" applyBorder="1" applyAlignment="1">
      <alignment horizontal="centerContinuous"/>
    </xf>
    <xf numFmtId="0" fontId="231" fillId="0" borderId="82" xfId="0" applyFont="1" applyFill="1" applyBorder="1" applyAlignment="1">
      <alignment horizontal="left" wrapText="1"/>
    </xf>
    <xf numFmtId="0" fontId="231" fillId="0" borderId="169" xfId="0" applyFont="1" applyFill="1" applyBorder="1" applyAlignment="1">
      <alignment horizontal="right" wrapText="1"/>
    </xf>
    <xf numFmtId="0" fontId="231" fillId="0" borderId="171" xfId="0" applyFont="1" applyFill="1" applyBorder="1" applyAlignment="1">
      <alignment horizontal="right" wrapText="1"/>
    </xf>
    <xf numFmtId="0" fontId="231" fillId="0" borderId="10" xfId="0" applyFont="1" applyFill="1" applyBorder="1" applyAlignment="1">
      <alignment horizontal="right" wrapText="1"/>
    </xf>
    <xf numFmtId="0" fontId="231" fillId="0" borderId="45" xfId="0" applyFont="1" applyFill="1" applyBorder="1" applyAlignment="1">
      <alignment horizontal="right" wrapText="1"/>
    </xf>
    <xf numFmtId="0" fontId="231" fillId="0" borderId="81" xfId="0" applyFont="1" applyFill="1" applyBorder="1" applyAlignment="1">
      <alignment horizontal="right" wrapText="1"/>
    </xf>
    <xf numFmtId="0" fontId="231" fillId="0" borderId="0" xfId="0" applyFont="1" applyFill="1" applyBorder="1" applyAlignment="1">
      <alignment horizontal="right" wrapText="1"/>
    </xf>
    <xf numFmtId="0" fontId="231" fillId="0" borderId="10" xfId="0" applyNumberFormat="1" applyFont="1" applyFill="1" applyBorder="1" applyAlignment="1">
      <alignment horizontal="right" wrapText="1"/>
    </xf>
    <xf numFmtId="0" fontId="231" fillId="0" borderId="45" xfId="0" applyNumberFormat="1" applyFont="1" applyFill="1" applyBorder="1" applyAlignment="1">
      <alignment horizontal="right" wrapText="1"/>
    </xf>
    <xf numFmtId="0" fontId="231" fillId="0" borderId="82" xfId="0" applyNumberFormat="1" applyFont="1" applyFill="1" applyBorder="1" applyAlignment="1">
      <alignment horizontal="right" wrapText="1"/>
    </xf>
    <xf numFmtId="0" fontId="231" fillId="0" borderId="83" xfId="0" applyNumberFormat="1" applyFont="1" applyFill="1" applyBorder="1" applyAlignment="1">
      <alignment horizontal="right" wrapText="1"/>
    </xf>
    <xf numFmtId="0" fontId="231" fillId="0" borderId="69" xfId="0" applyNumberFormat="1" applyFont="1" applyFill="1" applyBorder="1" applyAlignment="1">
      <alignment horizontal="right" wrapText="1"/>
    </xf>
    <xf numFmtId="0" fontId="215" fillId="0" borderId="4" xfId="0" applyFont="1" applyFill="1" applyBorder="1" applyAlignment="1">
      <alignment horizontal="center" wrapText="1"/>
    </xf>
    <xf numFmtId="0" fontId="215" fillId="0" borderId="5" xfId="0" applyFont="1" applyFill="1" applyBorder="1" applyAlignment="1">
      <alignment horizontal="center" wrapText="1"/>
    </xf>
    <xf numFmtId="0" fontId="215" fillId="74" borderId="5" xfId="0" applyFont="1" applyFill="1" applyBorder="1" applyAlignment="1">
      <alignment horizontal="center" wrapText="1"/>
    </xf>
    <xf numFmtId="0" fontId="215" fillId="0" borderId="6" xfId="0" applyFont="1" applyFill="1" applyBorder="1" applyAlignment="1">
      <alignment horizontal="center" wrapText="1"/>
    </xf>
    <xf numFmtId="0" fontId="237" fillId="0" borderId="0" xfId="0" applyFont="1" applyFill="1" applyBorder="1"/>
    <xf numFmtId="169" fontId="214" fillId="74" borderId="0" xfId="0" applyNumberFormat="1" applyFont="1" applyFill="1"/>
    <xf numFmtId="169" fontId="215" fillId="71" borderId="33" xfId="0" applyNumberFormat="1" applyFont="1" applyFill="1" applyBorder="1"/>
    <xf numFmtId="0" fontId="215" fillId="71" borderId="173" xfId="0" applyFont="1" applyFill="1" applyBorder="1"/>
    <xf numFmtId="41" fontId="215" fillId="71" borderId="33" xfId="0" applyNumberFormat="1" applyFont="1" applyFill="1" applyBorder="1"/>
    <xf numFmtId="234" fontId="215" fillId="71" borderId="33" xfId="0" applyNumberFormat="1" applyFont="1" applyFill="1" applyBorder="1"/>
    <xf numFmtId="234" fontId="215" fillId="71" borderId="50" xfId="0" applyNumberFormat="1" applyFont="1" applyFill="1" applyBorder="1"/>
    <xf numFmtId="0" fontId="215" fillId="71" borderId="12" xfId="0" applyFont="1" applyFill="1" applyBorder="1"/>
    <xf numFmtId="41" fontId="215" fillId="71" borderId="0" xfId="0" applyNumberFormat="1" applyFont="1" applyFill="1" applyBorder="1"/>
    <xf numFmtId="234" fontId="215" fillId="71" borderId="13" xfId="0" applyNumberFormat="1" applyFont="1" applyFill="1" applyBorder="1"/>
    <xf numFmtId="41" fontId="215" fillId="71" borderId="45" xfId="0" applyNumberFormat="1" applyFont="1" applyFill="1" applyBorder="1"/>
    <xf numFmtId="234" fontId="215" fillId="71" borderId="11" xfId="0" applyNumberFormat="1" applyFont="1" applyFill="1" applyBorder="1"/>
    <xf numFmtId="0" fontId="226" fillId="72" borderId="0" xfId="0" applyFont="1" applyFill="1" applyBorder="1" applyAlignment="1">
      <alignment horizontal="centerContinuous"/>
    </xf>
    <xf numFmtId="0" fontId="226" fillId="72" borderId="64" xfId="0" applyFont="1" applyFill="1" applyBorder="1" applyAlignment="1">
      <alignment horizontal="centerContinuous"/>
    </xf>
    <xf numFmtId="0" fontId="226" fillId="72" borderId="13" xfId="0" applyFont="1" applyFill="1" applyBorder="1" applyAlignment="1">
      <alignment horizontal="centerContinuous"/>
    </xf>
    <xf numFmtId="0" fontId="231" fillId="0" borderId="99" xfId="0" applyFont="1" applyFill="1" applyBorder="1" applyAlignment="1">
      <alignment horizontal="right" wrapText="1"/>
    </xf>
    <xf numFmtId="0" fontId="231" fillId="0" borderId="99" xfId="0" applyNumberFormat="1" applyFont="1" applyFill="1" applyBorder="1" applyAlignment="1">
      <alignment horizontal="right" wrapText="1"/>
    </xf>
    <xf numFmtId="169" fontId="231" fillId="0" borderId="0" xfId="0" applyNumberFormat="1" applyFont="1" applyFill="1" applyBorder="1"/>
    <xf numFmtId="0" fontId="215" fillId="0" borderId="34" xfId="0" applyFont="1" applyBorder="1" applyAlignment="1">
      <alignment horizontal="centerContinuous"/>
    </xf>
    <xf numFmtId="0" fontId="214" fillId="0" borderId="35" xfId="0" applyFont="1" applyBorder="1" applyAlignment="1">
      <alignment horizontal="centerContinuous"/>
    </xf>
    <xf numFmtId="0" fontId="214" fillId="0" borderId="42" xfId="0" applyFont="1" applyBorder="1" applyAlignment="1">
      <alignment horizontal="centerContinuous"/>
    </xf>
    <xf numFmtId="9" fontId="221" fillId="0" borderId="122" xfId="12422" applyFont="1" applyBorder="1" applyAlignment="1">
      <alignment horizontal="right"/>
    </xf>
    <xf numFmtId="0" fontId="231" fillId="0" borderId="81" xfId="0" applyFont="1" applyFill="1" applyBorder="1" applyAlignment="1">
      <alignment horizontal="left" wrapText="1"/>
    </xf>
    <xf numFmtId="0" fontId="231" fillId="0" borderId="11" xfId="0" applyFont="1" applyFill="1" applyBorder="1" applyAlignment="1">
      <alignment horizontal="right" wrapText="1"/>
    </xf>
    <xf numFmtId="165" fontId="215" fillId="71" borderId="129" xfId="0" applyNumberFormat="1" applyFont="1" applyFill="1" applyBorder="1"/>
    <xf numFmtId="165" fontId="215" fillId="71" borderId="130" xfId="0" applyNumberFormat="1" applyFont="1" applyFill="1" applyBorder="1"/>
    <xf numFmtId="165" fontId="215" fillId="71" borderId="0" xfId="0" applyNumberFormat="1" applyFont="1" applyFill="1" applyBorder="1"/>
    <xf numFmtId="165" fontId="215" fillId="71" borderId="13" xfId="0" applyNumberFormat="1" applyFont="1" applyFill="1" applyBorder="1"/>
    <xf numFmtId="165" fontId="215" fillId="71" borderId="45" xfId="0" applyNumberFormat="1" applyFont="1" applyFill="1" applyBorder="1"/>
    <xf numFmtId="165" fontId="215" fillId="71" borderId="99" xfId="0" applyNumberFormat="1" applyFont="1" applyFill="1" applyBorder="1"/>
    <xf numFmtId="0" fontId="214" fillId="0" borderId="34" xfId="0" applyFont="1" applyBorder="1" applyAlignment="1">
      <alignment wrapText="1"/>
    </xf>
    <xf numFmtId="0" fontId="214" fillId="0" borderId="35" xfId="0" applyFont="1" applyBorder="1" applyAlignment="1">
      <alignment wrapText="1"/>
    </xf>
    <xf numFmtId="0" fontId="223" fillId="0" borderId="35" xfId="0" applyFont="1" applyBorder="1" applyAlignment="1">
      <alignment wrapText="1"/>
    </xf>
    <xf numFmtId="0" fontId="223" fillId="0" borderId="42" xfId="0" applyFont="1" applyBorder="1" applyAlignment="1">
      <alignment wrapText="1"/>
    </xf>
    <xf numFmtId="0" fontId="226" fillId="72" borderId="81" xfId="0" applyFont="1" applyFill="1" applyBorder="1" applyAlignment="1">
      <alignment horizontal="left"/>
    </xf>
    <xf numFmtId="0" fontId="226" fillId="72" borderId="81" xfId="0" applyFont="1" applyFill="1" applyBorder="1" applyAlignment="1">
      <alignment horizontal="center"/>
    </xf>
    <xf numFmtId="0" fontId="214" fillId="0" borderId="100" xfId="0" applyFont="1" applyBorder="1" applyAlignment="1">
      <alignment horizontal="justify" vertical="center" wrapText="1"/>
    </xf>
    <xf numFmtId="0" fontId="214" fillId="0" borderId="67" xfId="0" applyFont="1" applyBorder="1"/>
    <xf numFmtId="0" fontId="214" fillId="0" borderId="124" xfId="0" applyFont="1" applyBorder="1"/>
    <xf numFmtId="0" fontId="214" fillId="0" borderId="0" xfId="0" applyFont="1" applyAlignment="1">
      <alignment horizontal="justify" vertical="top" wrapText="1"/>
    </xf>
    <xf numFmtId="0" fontId="215" fillId="0" borderId="0" xfId="0" applyFont="1" applyAlignment="1">
      <alignment horizontal="right" wrapText="1"/>
    </xf>
    <xf numFmtId="0" fontId="214" fillId="0" borderId="0" xfId="0" applyFont="1" applyBorder="1" applyAlignment="1">
      <alignment horizontal="right" wrapText="1"/>
    </xf>
    <xf numFmtId="0" fontId="215" fillId="0" borderId="0" xfId="0" applyFont="1" applyBorder="1" applyAlignment="1">
      <alignment horizontal="right" wrapText="1"/>
    </xf>
    <xf numFmtId="165" fontId="214" fillId="0" borderId="0" xfId="12422" applyNumberFormat="1" applyFont="1" applyAlignment="1">
      <alignment horizontal="right"/>
    </xf>
    <xf numFmtId="0" fontId="226" fillId="72" borderId="65" xfId="0" applyFont="1" applyFill="1" applyBorder="1" applyAlignment="1">
      <alignment horizontal="centerContinuous"/>
    </xf>
    <xf numFmtId="0" fontId="231" fillId="0" borderId="52" xfId="0" applyFont="1" applyFill="1" applyBorder="1" applyAlignment="1">
      <alignment horizontal="right" wrapText="1"/>
    </xf>
    <xf numFmtId="0" fontId="231" fillId="0" borderId="51" xfId="0" applyFont="1" applyFill="1" applyBorder="1" applyAlignment="1">
      <alignment horizontal="right" wrapText="1"/>
    </xf>
    <xf numFmtId="165" fontId="231" fillId="0" borderId="32" xfId="12422" applyNumberFormat="1" applyFont="1" applyFill="1" applyBorder="1" applyAlignment="1">
      <alignment horizontal="right" wrapText="1"/>
    </xf>
    <xf numFmtId="0" fontId="231" fillId="0" borderId="51" xfId="0" applyFont="1" applyFill="1" applyBorder="1" applyAlignment="1">
      <alignment horizontal="centerContinuous" wrapText="1"/>
    </xf>
    <xf numFmtId="0" fontId="235" fillId="0" borderId="70" xfId="0" applyFont="1" applyBorder="1"/>
    <xf numFmtId="0" fontId="215" fillId="0" borderId="66" xfId="0" applyFont="1" applyFill="1" applyBorder="1"/>
    <xf numFmtId="0" fontId="214" fillId="0" borderId="66" xfId="0" applyFont="1" applyFill="1" applyBorder="1"/>
    <xf numFmtId="169" fontId="215" fillId="0" borderId="66" xfId="0" applyNumberFormat="1" applyFont="1" applyFill="1" applyBorder="1"/>
    <xf numFmtId="0" fontId="229" fillId="65" borderId="0" xfId="0" applyFont="1" applyFill="1"/>
    <xf numFmtId="0" fontId="229" fillId="65" borderId="0" xfId="0" quotePrefix="1" applyFont="1" applyFill="1"/>
    <xf numFmtId="0" fontId="226" fillId="72" borderId="159" xfId="0" applyFont="1" applyFill="1" applyBorder="1" applyAlignment="1">
      <alignment horizontal="centerContinuous"/>
    </xf>
    <xf numFmtId="0" fontId="226" fillId="72" borderId="128" xfId="0" applyFont="1" applyFill="1" applyBorder="1" applyAlignment="1">
      <alignment horizontal="centerContinuous"/>
    </xf>
    <xf numFmtId="0" fontId="226" fillId="72" borderId="110" xfId="0" applyFont="1" applyFill="1" applyBorder="1" applyAlignment="1">
      <alignment horizontal="centerContinuous"/>
    </xf>
    <xf numFmtId="0" fontId="231" fillId="0" borderId="34" xfId="0" applyFont="1" applyFill="1" applyBorder="1" applyAlignment="1">
      <alignment horizontal="center" wrapText="1"/>
    </xf>
    <xf numFmtId="0" fontId="231" fillId="0" borderId="35" xfId="0" applyFont="1" applyFill="1" applyBorder="1" applyAlignment="1">
      <alignment horizontal="center" wrapText="1"/>
    </xf>
    <xf numFmtId="0" fontId="231" fillId="0" borderId="69" xfId="0" applyFont="1" applyFill="1" applyBorder="1" applyAlignment="1">
      <alignment horizontal="center" wrapText="1"/>
    </xf>
    <xf numFmtId="0" fontId="231" fillId="0" borderId="42" xfId="0" applyFont="1" applyFill="1" applyBorder="1" applyAlignment="1">
      <alignment horizontal="center" wrapText="1"/>
    </xf>
    <xf numFmtId="0" fontId="231" fillId="0" borderId="159" xfId="0" applyFont="1" applyFill="1" applyBorder="1" applyAlignment="1">
      <alignment horizontal="right" wrapText="1"/>
    </xf>
    <xf numFmtId="0" fontId="231" fillId="0" borderId="69" xfId="0" applyFont="1" applyFill="1" applyBorder="1" applyAlignment="1">
      <alignment horizontal="right" wrapText="1"/>
    </xf>
    <xf numFmtId="0" fontId="214" fillId="0" borderId="0" xfId="0" applyFont="1" applyFill="1" applyAlignment="1">
      <alignment horizontal="right" wrapText="1"/>
    </xf>
    <xf numFmtId="0" fontId="231" fillId="0" borderId="125" xfId="0" applyFont="1" applyFill="1" applyBorder="1" applyAlignment="1">
      <alignment horizontal="right" wrapText="1"/>
    </xf>
    <xf numFmtId="0" fontId="231" fillId="0" borderId="131" xfId="0" applyFont="1" applyFill="1" applyBorder="1" applyAlignment="1">
      <alignment horizontal="right" wrapText="1"/>
    </xf>
    <xf numFmtId="234" fontId="221" fillId="0" borderId="127" xfId="0" applyNumberFormat="1" applyFont="1" applyBorder="1" applyAlignment="1">
      <alignment horizontal="right"/>
    </xf>
    <xf numFmtId="164" fontId="214" fillId="0" borderId="0" xfId="0" applyNumberFormat="1" applyFont="1" applyFill="1" applyAlignment="1">
      <alignment horizontal="center" vertical="top" wrapText="1"/>
    </xf>
    <xf numFmtId="165" fontId="214" fillId="0" borderId="0" xfId="0" applyNumberFormat="1" applyFont="1" applyFill="1" applyAlignment="1">
      <alignment horizontal="center" vertical="top" wrapText="1"/>
    </xf>
    <xf numFmtId="0" fontId="214" fillId="0" borderId="0" xfId="0" applyFont="1" applyFill="1" applyAlignment="1">
      <alignment vertical="top" wrapText="1"/>
    </xf>
    <xf numFmtId="169" fontId="214" fillId="0" borderId="0" xfId="0" applyNumberFormat="1" applyFont="1" applyAlignment="1">
      <alignment horizontal="right" vertical="top"/>
    </xf>
    <xf numFmtId="0" fontId="214" fillId="0" borderId="0" xfId="0" applyFont="1" applyFill="1" applyAlignment="1">
      <alignment horizontal="right" vertical="top"/>
    </xf>
    <xf numFmtId="234" fontId="214" fillId="0" borderId="0" xfId="0" applyNumberFormat="1" applyFont="1" applyFill="1" applyAlignment="1">
      <alignment horizontal="right" vertical="top"/>
    </xf>
    <xf numFmtId="0" fontId="221" fillId="0" borderId="0" xfId="0" applyFont="1" applyFill="1"/>
    <xf numFmtId="0" fontId="221" fillId="0" borderId="0" xfId="0" applyFont="1" applyFill="1" applyAlignment="1">
      <alignment horizontal="center" vertical="top" wrapText="1"/>
    </xf>
    <xf numFmtId="0" fontId="214" fillId="71" borderId="33" xfId="0" applyFont="1" applyFill="1" applyBorder="1"/>
    <xf numFmtId="10" fontId="214" fillId="71" borderId="33" xfId="0" applyNumberFormat="1" applyFont="1" applyFill="1" applyBorder="1"/>
    <xf numFmtId="0" fontId="214" fillId="71" borderId="173" xfId="0" applyFont="1" applyFill="1" applyBorder="1"/>
    <xf numFmtId="169" fontId="215" fillId="71" borderId="168" xfId="0" applyNumberFormat="1" applyFont="1" applyFill="1" applyBorder="1"/>
    <xf numFmtId="169" fontId="215" fillId="71" borderId="54" xfId="0" applyNumberFormat="1" applyFont="1" applyFill="1" applyBorder="1"/>
    <xf numFmtId="0" fontId="214" fillId="71" borderId="98" xfId="0" applyFont="1" applyFill="1" applyBorder="1"/>
    <xf numFmtId="0" fontId="214" fillId="0" borderId="33" xfId="0" applyFont="1" applyFill="1" applyBorder="1"/>
    <xf numFmtId="165" fontId="215" fillId="71" borderId="33" xfId="0" applyNumberFormat="1" applyFont="1" applyFill="1" applyBorder="1"/>
    <xf numFmtId="165" fontId="215" fillId="71" borderId="50" xfId="0" applyNumberFormat="1" applyFont="1" applyFill="1" applyBorder="1"/>
    <xf numFmtId="10" fontId="214" fillId="71" borderId="0" xfId="0" applyNumberFormat="1" applyFont="1" applyFill="1" applyBorder="1"/>
    <xf numFmtId="0" fontId="214" fillId="71" borderId="45" xfId="0" applyFont="1" applyFill="1" applyBorder="1"/>
    <xf numFmtId="0" fontId="214" fillId="71" borderId="99" xfId="0" applyFont="1" applyFill="1" applyBorder="1"/>
    <xf numFmtId="165" fontId="215" fillId="71" borderId="11" xfId="0" applyNumberFormat="1" applyFont="1" applyFill="1" applyBorder="1"/>
    <xf numFmtId="0" fontId="226" fillId="0" borderId="0" xfId="0" applyFont="1" applyFill="1" applyBorder="1" applyAlignment="1">
      <alignment horizontal="left"/>
    </xf>
    <xf numFmtId="0" fontId="214" fillId="0" borderId="67" xfId="0" applyFont="1" applyBorder="1" applyAlignment="1">
      <alignment horizontal="justify" vertical="center" wrapText="1"/>
    </xf>
    <xf numFmtId="0" fontId="214" fillId="0" borderId="118" xfId="0" applyFont="1" applyBorder="1" applyAlignment="1">
      <alignment horizontal="justify" vertical="center" wrapText="1"/>
    </xf>
    <xf numFmtId="0" fontId="226" fillId="72" borderId="52" xfId="0" applyFont="1" applyFill="1" applyBorder="1" applyAlignment="1">
      <alignment wrapText="1"/>
    </xf>
    <xf numFmtId="0" fontId="226" fillId="72" borderId="58" xfId="0" applyFont="1" applyFill="1" applyBorder="1" applyAlignment="1">
      <alignment horizontal="right" wrapText="1"/>
    </xf>
    <xf numFmtId="0" fontId="226" fillId="72" borderId="52" xfId="0" applyFont="1" applyFill="1" applyBorder="1" applyAlignment="1">
      <alignment horizontal="right" wrapText="1"/>
    </xf>
    <xf numFmtId="270" fontId="223" fillId="0" borderId="0" xfId="0" applyNumberFormat="1" applyFont="1"/>
    <xf numFmtId="0" fontId="231" fillId="0" borderId="0" xfId="0" applyFont="1" applyFill="1"/>
    <xf numFmtId="0" fontId="232" fillId="74" borderId="0" xfId="0" applyFont="1" applyFill="1" applyAlignment="1">
      <alignment horizontal="left" indent="1"/>
    </xf>
    <xf numFmtId="169" fontId="223" fillId="0" borderId="0" xfId="0" applyNumberFormat="1" applyFont="1"/>
    <xf numFmtId="234" fontId="259" fillId="0" borderId="0" xfId="0" applyNumberFormat="1" applyFont="1" applyAlignment="1">
      <alignment horizontal="right" vertical="top"/>
    </xf>
    <xf numFmtId="0" fontId="215" fillId="71" borderId="58" xfId="0" applyFont="1" applyFill="1" applyBorder="1"/>
    <xf numFmtId="0" fontId="215" fillId="71" borderId="59" xfId="0" applyFont="1" applyFill="1" applyBorder="1"/>
    <xf numFmtId="169" fontId="215" fillId="71" borderId="59" xfId="0" applyNumberFormat="1" applyFont="1" applyFill="1" applyBorder="1"/>
    <xf numFmtId="169" fontId="215" fillId="71" borderId="131" xfId="0" applyNumberFormat="1" applyFont="1" applyFill="1" applyBorder="1"/>
    <xf numFmtId="169" fontId="215" fillId="71" borderId="52" xfId="0" applyNumberFormat="1" applyFont="1" applyFill="1" applyBorder="1"/>
    <xf numFmtId="0" fontId="226" fillId="72" borderId="58" xfId="0" applyFont="1" applyFill="1" applyBorder="1" applyAlignment="1">
      <alignment wrapText="1"/>
    </xf>
    <xf numFmtId="0" fontId="226" fillId="72" borderId="59" xfId="0" applyFont="1" applyFill="1" applyBorder="1" applyAlignment="1">
      <alignment wrapText="1"/>
    </xf>
    <xf numFmtId="0" fontId="226" fillId="72" borderId="60" xfId="0" applyFont="1" applyFill="1" applyBorder="1" applyAlignment="1">
      <alignment wrapText="1"/>
    </xf>
    <xf numFmtId="0" fontId="260" fillId="0" borderId="0" xfId="0" applyFont="1" applyBorder="1" applyAlignment="1">
      <alignment horizontal="left"/>
    </xf>
    <xf numFmtId="0" fontId="260" fillId="0" borderId="0" xfId="0" applyFont="1" applyBorder="1" applyAlignment="1">
      <alignment horizontal="right"/>
    </xf>
    <xf numFmtId="0" fontId="260" fillId="0" borderId="0" xfId="0" applyFont="1" applyAlignment="1">
      <alignment horizontal="right"/>
    </xf>
    <xf numFmtId="8" fontId="232" fillId="0" borderId="0" xfId="0" applyNumberFormat="1" applyFont="1" applyFill="1" applyBorder="1"/>
    <xf numFmtId="270" fontId="223" fillId="0" borderId="0" xfId="0" applyNumberFormat="1" applyFont="1" applyBorder="1" applyAlignment="1">
      <alignment horizontal="right"/>
    </xf>
    <xf numFmtId="8" fontId="221" fillId="0" borderId="0" xfId="0" applyNumberFormat="1" applyFont="1" applyAlignment="1">
      <alignment horizontal="right"/>
    </xf>
    <xf numFmtId="0" fontId="214" fillId="0" borderId="0" xfId="0" quotePrefix="1" applyFont="1" applyBorder="1"/>
    <xf numFmtId="8" fontId="227" fillId="0" borderId="0" xfId="0" applyNumberFormat="1" applyFont="1" applyAlignment="1">
      <alignment horizontal="right"/>
    </xf>
    <xf numFmtId="8" fontId="223" fillId="0" borderId="45" xfId="0" applyNumberFormat="1" applyFont="1" applyFill="1" applyBorder="1"/>
    <xf numFmtId="169" fontId="223" fillId="0" borderId="45" xfId="0" applyNumberFormat="1" applyFont="1" applyBorder="1" applyAlignment="1">
      <alignment horizontal="right"/>
    </xf>
    <xf numFmtId="8" fontId="215" fillId="0" borderId="0" xfId="0" applyNumberFormat="1" applyFont="1" applyFill="1" applyBorder="1"/>
    <xf numFmtId="0" fontId="226" fillId="72" borderId="68" xfId="0" applyFont="1" applyFill="1" applyBorder="1" applyAlignment="1"/>
    <xf numFmtId="0" fontId="226" fillId="72" borderId="74" xfId="0" applyFont="1" applyFill="1" applyBorder="1" applyAlignment="1"/>
    <xf numFmtId="0" fontId="226" fillId="72" borderId="74" xfId="0" applyFont="1" applyFill="1" applyBorder="1" applyAlignment="1">
      <alignment wrapText="1"/>
    </xf>
    <xf numFmtId="0" fontId="226" fillId="72" borderId="69" xfId="0" applyFont="1" applyFill="1" applyBorder="1" applyAlignment="1">
      <alignment wrapText="1"/>
    </xf>
    <xf numFmtId="0" fontId="232" fillId="0" borderId="0" xfId="0" applyFont="1" applyFill="1" applyBorder="1" applyAlignment="1">
      <alignment horizontal="left" wrapText="1"/>
    </xf>
    <xf numFmtId="0" fontId="221" fillId="0" borderId="0" xfId="0" applyFont="1" applyFill="1" applyBorder="1" applyAlignment="1">
      <alignment horizontal="left" wrapText="1"/>
    </xf>
    <xf numFmtId="8" fontId="215" fillId="0" borderId="73" xfId="0" applyNumberFormat="1" applyFont="1" applyFill="1" applyBorder="1"/>
    <xf numFmtId="8" fontId="214" fillId="0" borderId="73" xfId="0" applyNumberFormat="1" applyFont="1" applyFill="1" applyBorder="1"/>
    <xf numFmtId="169" fontId="215" fillId="0" borderId="73" xfId="0" applyNumberFormat="1" applyFont="1" applyBorder="1"/>
    <xf numFmtId="0" fontId="261" fillId="0" borderId="0" xfId="0" applyFont="1" applyAlignment="1">
      <alignment horizontal="left" indent="2"/>
    </xf>
    <xf numFmtId="164" fontId="223" fillId="0" borderId="0" xfId="0" applyNumberFormat="1" applyFont="1" applyAlignment="1">
      <alignment horizontal="right"/>
    </xf>
    <xf numFmtId="167" fontId="214" fillId="0" borderId="0" xfId="12427" applyNumberFormat="1" applyFont="1" applyAlignment="1">
      <alignment horizontal="right"/>
    </xf>
    <xf numFmtId="8" fontId="223" fillId="0" borderId="0" xfId="0" applyNumberFormat="1" applyFont="1" applyAlignment="1">
      <alignment horizontal="right"/>
    </xf>
    <xf numFmtId="167" fontId="214" fillId="0" borderId="0" xfId="0" applyNumberFormat="1" applyFont="1" applyAlignment="1">
      <alignment horizontal="right"/>
    </xf>
    <xf numFmtId="289" fontId="214" fillId="0" borderId="0" xfId="0" applyNumberFormat="1" applyFont="1" applyAlignment="1">
      <alignment horizontal="right"/>
    </xf>
    <xf numFmtId="234" fontId="223" fillId="0" borderId="0" xfId="0" applyNumberFormat="1" applyFont="1" applyAlignment="1">
      <alignment horizontal="right" vertical="top"/>
    </xf>
    <xf numFmtId="191" fontId="214" fillId="0" borderId="0" xfId="0" applyNumberFormat="1" applyFont="1" applyAlignment="1">
      <alignment horizontal="right"/>
    </xf>
    <xf numFmtId="0" fontId="223" fillId="0" borderId="0" xfId="0" applyNumberFormat="1" applyFont="1" applyAlignment="1">
      <alignment horizontal="right"/>
    </xf>
    <xf numFmtId="0" fontId="223" fillId="0" borderId="0" xfId="0" applyFont="1" applyAlignment="1">
      <alignment horizontal="right"/>
    </xf>
    <xf numFmtId="0" fontId="223" fillId="0" borderId="0" xfId="0" applyFont="1" applyAlignment="1">
      <alignment horizontal="right" wrapText="1"/>
    </xf>
    <xf numFmtId="0" fontId="214" fillId="74" borderId="0" xfId="0" applyFont="1" applyFill="1" applyAlignment="1">
      <alignment horizontal="left" indent="1"/>
    </xf>
    <xf numFmtId="344" fontId="214" fillId="74" borderId="0" xfId="0" applyNumberFormat="1" applyFont="1" applyFill="1" applyAlignment="1">
      <alignment horizontal="right"/>
    </xf>
    <xf numFmtId="167" fontId="214" fillId="74" borderId="0" xfId="12427" applyNumberFormat="1" applyFont="1" applyFill="1" applyAlignment="1">
      <alignment horizontal="right"/>
    </xf>
    <xf numFmtId="167" fontId="214" fillId="74" borderId="0" xfId="0" applyNumberFormat="1" applyFont="1" applyFill="1" applyAlignment="1">
      <alignment horizontal="right"/>
    </xf>
    <xf numFmtId="0" fontId="226" fillId="72" borderId="158" xfId="0" applyFont="1" applyFill="1" applyBorder="1" applyAlignment="1">
      <alignment horizontal="left"/>
    </xf>
    <xf numFmtId="0" fontId="226" fillId="72" borderId="159" xfId="0" applyFont="1" applyFill="1" applyBorder="1" applyAlignment="1">
      <alignment horizontal="right" wrapText="1"/>
    </xf>
    <xf numFmtId="0" fontId="226" fillId="72" borderId="160" xfId="0" applyFont="1" applyFill="1" applyBorder="1" applyAlignment="1">
      <alignment horizontal="right" wrapText="1"/>
    </xf>
    <xf numFmtId="0" fontId="226" fillId="72" borderId="16" xfId="0" applyFont="1" applyFill="1" applyBorder="1" applyAlignment="1">
      <alignment horizontal="center"/>
    </xf>
    <xf numFmtId="0" fontId="226" fillId="0" borderId="0" xfId="0" applyFont="1" applyFill="1" applyBorder="1" applyAlignment="1">
      <alignment horizontal="center"/>
    </xf>
    <xf numFmtId="169" fontId="228" fillId="0" borderId="0" xfId="0" applyNumberFormat="1" applyFont="1" applyBorder="1"/>
    <xf numFmtId="167" fontId="216" fillId="74" borderId="0" xfId="12427" applyNumberFormat="1" applyFont="1" applyFill="1"/>
    <xf numFmtId="167" fontId="214" fillId="74" borderId="0" xfId="12427" applyNumberFormat="1" applyFont="1" applyFill="1"/>
    <xf numFmtId="167" fontId="214" fillId="74" borderId="0" xfId="12427" applyNumberFormat="1" applyFont="1" applyFill="1" applyBorder="1"/>
    <xf numFmtId="169" fontId="221" fillId="74" borderId="0" xfId="0" applyNumberFormat="1" applyFont="1" applyFill="1" applyBorder="1"/>
    <xf numFmtId="169" fontId="228" fillId="76" borderId="0" xfId="0" applyNumberFormat="1" applyFont="1" applyFill="1" applyBorder="1"/>
    <xf numFmtId="43" fontId="214" fillId="0" borderId="0" xfId="0" quotePrefix="1" applyNumberFormat="1" applyFont="1" applyAlignment="1">
      <alignment horizontal="center"/>
    </xf>
    <xf numFmtId="0" fontId="215" fillId="0" borderId="161" xfId="0" applyFont="1" applyBorder="1"/>
    <xf numFmtId="169" fontId="231" fillId="0" borderId="161" xfId="0" applyNumberFormat="1" applyFont="1" applyBorder="1"/>
    <xf numFmtId="169" fontId="231" fillId="0" borderId="167" xfId="0" applyNumberFormat="1" applyFont="1" applyBorder="1"/>
    <xf numFmtId="0" fontId="214" fillId="0" borderId="164" xfId="0" applyFont="1" applyBorder="1"/>
    <xf numFmtId="0" fontId="214" fillId="0" borderId="167" xfId="0" applyFont="1" applyBorder="1"/>
    <xf numFmtId="167" fontId="232" fillId="0" borderId="167" xfId="12427" applyNumberFormat="1" applyFont="1" applyBorder="1"/>
    <xf numFmtId="167" fontId="232" fillId="0" borderId="166" xfId="12427" applyNumberFormat="1" applyFont="1" applyBorder="1"/>
    <xf numFmtId="43" fontId="232" fillId="0" borderId="0" xfId="0" quotePrefix="1" applyNumberFormat="1" applyFont="1" applyFill="1" applyAlignment="1">
      <alignment horizontal="center"/>
    </xf>
    <xf numFmtId="10" fontId="227" fillId="0" borderId="0" xfId="0" applyNumberFormat="1" applyFont="1" applyBorder="1"/>
    <xf numFmtId="10" fontId="227" fillId="0" borderId="13" xfId="0" applyNumberFormat="1" applyFont="1" applyBorder="1"/>
    <xf numFmtId="10" fontId="223" fillId="0" borderId="0" xfId="0" applyNumberFormat="1" applyFont="1" applyBorder="1"/>
    <xf numFmtId="10" fontId="223" fillId="0" borderId="13" xfId="0" applyNumberFormat="1" applyFont="1" applyBorder="1"/>
    <xf numFmtId="0" fontId="214" fillId="0" borderId="64" xfId="0" applyFont="1" applyFill="1" applyBorder="1"/>
    <xf numFmtId="165" fontId="227" fillId="0" borderId="0" xfId="0" applyNumberFormat="1" applyFont="1" applyFill="1" applyBorder="1"/>
    <xf numFmtId="165" fontId="227" fillId="0" borderId="13" xfId="0" applyNumberFormat="1" applyFont="1" applyFill="1" applyBorder="1"/>
    <xf numFmtId="0" fontId="232" fillId="74" borderId="0" xfId="0" quotePrefix="1" applyFont="1" applyFill="1" applyAlignment="1">
      <alignment horizontal="center"/>
    </xf>
    <xf numFmtId="168" fontId="214" fillId="0" borderId="0" xfId="0" applyNumberFormat="1" applyFont="1" applyBorder="1"/>
    <xf numFmtId="168" fontId="214" fillId="0" borderId="13" xfId="0" applyNumberFormat="1" applyFont="1" applyBorder="1"/>
    <xf numFmtId="170" fontId="214" fillId="0" borderId="0" xfId="0" applyNumberFormat="1" applyFont="1" applyBorder="1"/>
    <xf numFmtId="170" fontId="214" fillId="0" borderId="13" xfId="0" applyNumberFormat="1" applyFont="1" applyBorder="1"/>
    <xf numFmtId="0" fontId="215" fillId="0" borderId="141" xfId="0" applyFont="1" applyBorder="1"/>
    <xf numFmtId="0" fontId="215" fillId="0" borderId="45" xfId="0" applyFont="1" applyBorder="1"/>
    <xf numFmtId="165" fontId="215" fillId="0" borderId="45" xfId="0" applyNumberFormat="1" applyFont="1" applyBorder="1"/>
    <xf numFmtId="165" fontId="215" fillId="0" borderId="99" xfId="0" applyNumberFormat="1" applyFont="1" applyBorder="1"/>
    <xf numFmtId="8" fontId="214" fillId="0" borderId="167" xfId="0" applyNumberFormat="1" applyFont="1" applyBorder="1"/>
    <xf numFmtId="8" fontId="214" fillId="0" borderId="166" xfId="0" applyNumberFormat="1" applyFont="1" applyBorder="1"/>
    <xf numFmtId="10" fontId="214" fillId="0" borderId="13" xfId="0" applyNumberFormat="1" applyFont="1" applyBorder="1"/>
    <xf numFmtId="169" fontId="214" fillId="0" borderId="167" xfId="0" applyNumberFormat="1" applyFont="1" applyBorder="1"/>
    <xf numFmtId="169" fontId="214" fillId="0" borderId="166" xfId="0" applyNumberFormat="1" applyFont="1" applyBorder="1"/>
    <xf numFmtId="0" fontId="226" fillId="72" borderId="180" xfId="0" applyFont="1" applyFill="1" applyBorder="1" applyAlignment="1">
      <alignment horizontal="left"/>
    </xf>
    <xf numFmtId="0" fontId="226" fillId="72" borderId="181" xfId="0" applyFont="1" applyFill="1" applyBorder="1" applyAlignment="1">
      <alignment horizontal="centerContinuous"/>
    </xf>
    <xf numFmtId="0" fontId="226" fillId="72" borderId="181" xfId="0" applyFont="1" applyFill="1" applyBorder="1" applyAlignment="1">
      <alignment horizontal="right" wrapText="1"/>
    </xf>
    <xf numFmtId="0" fontId="226" fillId="72" borderId="182" xfId="0" applyFont="1" applyFill="1" applyBorder="1" applyAlignment="1">
      <alignment horizontal="right" wrapText="1"/>
    </xf>
    <xf numFmtId="0" fontId="214" fillId="0" borderId="183" xfId="0" applyFont="1" applyBorder="1"/>
    <xf numFmtId="0" fontId="214" fillId="0" borderId="184" xfId="0" applyFont="1" applyBorder="1"/>
    <xf numFmtId="167" fontId="232" fillId="0" borderId="184" xfId="12427" applyNumberFormat="1" applyFont="1" applyBorder="1"/>
    <xf numFmtId="167" fontId="232" fillId="0" borderId="185" xfId="12427" applyNumberFormat="1" applyFont="1" applyBorder="1"/>
    <xf numFmtId="10" fontId="232" fillId="0" borderId="0" xfId="0" applyNumberFormat="1" applyFont="1" applyBorder="1"/>
    <xf numFmtId="10" fontId="232" fillId="0" borderId="13" xfId="0" applyNumberFormat="1" applyFont="1" applyBorder="1"/>
    <xf numFmtId="165" fontId="232" fillId="0" borderId="0" xfId="0" applyNumberFormat="1" applyFont="1" applyFill="1" applyBorder="1"/>
    <xf numFmtId="165" fontId="232" fillId="0" borderId="13" xfId="0" applyNumberFormat="1" applyFont="1" applyFill="1" applyBorder="1"/>
    <xf numFmtId="0" fontId="215" fillId="71" borderId="158" xfId="0" applyFont="1" applyFill="1" applyBorder="1"/>
    <xf numFmtId="0" fontId="215" fillId="71" borderId="159" xfId="0" applyFont="1" applyFill="1" applyBorder="1"/>
    <xf numFmtId="165" fontId="231" fillId="71" borderId="159" xfId="12422" applyNumberFormat="1" applyFont="1" applyFill="1" applyBorder="1"/>
    <xf numFmtId="165" fontId="231" fillId="71" borderId="160" xfId="12422" applyNumberFormat="1" applyFont="1" applyFill="1" applyBorder="1"/>
    <xf numFmtId="0" fontId="214" fillId="0" borderId="0" xfId="0" quotePrefix="1" applyFont="1" applyAlignment="1">
      <alignment horizontal="right" vertical="top"/>
    </xf>
    <xf numFmtId="0" fontId="214" fillId="0" borderId="0" xfId="0" quotePrefix="1" applyFont="1" applyAlignment="1">
      <alignment horizontal="left" vertical="top"/>
    </xf>
    <xf numFmtId="0" fontId="214" fillId="0" borderId="0" xfId="0" applyFont="1" applyAlignment="1">
      <alignment vertical="top"/>
    </xf>
    <xf numFmtId="0" fontId="214" fillId="0" borderId="0" xfId="0" applyFont="1" applyAlignment="1">
      <alignment horizontal="right" vertical="top"/>
    </xf>
    <xf numFmtId="169" fontId="228" fillId="0" borderId="0" xfId="0" applyNumberFormat="1" applyFont="1" applyFill="1" applyAlignment="1">
      <alignment horizontal="right"/>
    </xf>
    <xf numFmtId="10" fontId="228" fillId="0" borderId="0" xfId="0" applyNumberFormat="1" applyFont="1" applyFill="1" applyAlignment="1">
      <alignment horizontal="right"/>
    </xf>
    <xf numFmtId="169" fontId="228" fillId="0" borderId="0" xfId="0" applyNumberFormat="1" applyFont="1" applyFill="1"/>
    <xf numFmtId="0" fontId="226" fillId="72" borderId="4" xfId="0" applyFont="1" applyFill="1" applyBorder="1" applyAlignment="1">
      <alignment horizontal="centerContinuous"/>
    </xf>
    <xf numFmtId="0" fontId="226" fillId="72" borderId="5" xfId="0" applyFont="1" applyFill="1" applyBorder="1" applyAlignment="1">
      <alignment horizontal="centerContinuous"/>
    </xf>
    <xf numFmtId="0" fontId="226" fillId="72" borderId="6" xfId="0" applyFont="1" applyFill="1" applyBorder="1" applyAlignment="1">
      <alignment horizontal="centerContinuous"/>
    </xf>
    <xf numFmtId="10" fontId="226" fillId="72" borderId="5" xfId="0" applyNumberFormat="1" applyFont="1" applyFill="1" applyBorder="1" applyAlignment="1">
      <alignment horizontal="centerContinuous"/>
    </xf>
    <xf numFmtId="0" fontId="226" fillId="72" borderId="4" xfId="0" applyFont="1" applyFill="1" applyBorder="1" applyAlignment="1">
      <alignment horizontal="centerContinuous" wrapText="1"/>
    </xf>
    <xf numFmtId="0" fontId="226" fillId="72" borderId="6" xfId="0" applyFont="1" applyFill="1" applyBorder="1" applyAlignment="1">
      <alignment horizontal="centerContinuous" wrapText="1"/>
    </xf>
    <xf numFmtId="0" fontId="231" fillId="0" borderId="16" xfId="0" applyFont="1" applyFill="1" applyBorder="1" applyAlignment="1">
      <alignment horizontal="left" wrapText="1"/>
    </xf>
    <xf numFmtId="0" fontId="231" fillId="0" borderId="4" xfId="0" applyFont="1" applyFill="1" applyBorder="1" applyAlignment="1">
      <alignment horizontal="right" wrapText="1"/>
    </xf>
    <xf numFmtId="0" fontId="231" fillId="0" borderId="5" xfId="0" applyFont="1" applyFill="1" applyBorder="1" applyAlignment="1">
      <alignment horizontal="right" wrapText="1"/>
    </xf>
    <xf numFmtId="0" fontId="231" fillId="0" borderId="6" xfId="0" applyFont="1" applyFill="1" applyBorder="1" applyAlignment="1">
      <alignment horizontal="right" wrapText="1"/>
    </xf>
    <xf numFmtId="0" fontId="231" fillId="0" borderId="16" xfId="0" applyFont="1" applyFill="1" applyBorder="1" applyAlignment="1">
      <alignment horizontal="right" wrapText="1"/>
    </xf>
    <xf numFmtId="0" fontId="231" fillId="0" borderId="82" xfId="0" applyFont="1" applyFill="1" applyBorder="1" applyAlignment="1">
      <alignment horizontal="right" wrapText="1"/>
    </xf>
    <xf numFmtId="0" fontId="215" fillId="0" borderId="0" xfId="0" applyFont="1" applyAlignment="1">
      <alignment wrapText="1"/>
    </xf>
    <xf numFmtId="10" fontId="214" fillId="0" borderId="0" xfId="0" applyNumberFormat="1" applyFont="1" applyAlignment="1">
      <alignment horizontal="right"/>
    </xf>
    <xf numFmtId="10" fontId="232" fillId="0" borderId="0" xfId="0" applyNumberFormat="1" applyFont="1" applyFill="1"/>
    <xf numFmtId="165" fontId="232" fillId="0" borderId="0" xfId="0" applyNumberFormat="1" applyFont="1" applyFill="1" applyAlignment="1">
      <alignment horizontal="right"/>
    </xf>
    <xf numFmtId="165" fontId="232" fillId="0" borderId="0" xfId="0" applyNumberFormat="1" applyFont="1" applyFill="1"/>
    <xf numFmtId="168" fontId="214" fillId="0" borderId="0" xfId="0" applyNumberFormat="1" applyFont="1" applyAlignment="1">
      <alignment horizontal="right"/>
    </xf>
    <xf numFmtId="168" fontId="232" fillId="0" borderId="0" xfId="0" applyNumberFormat="1" applyFont="1" applyFill="1" applyAlignment="1">
      <alignment horizontal="right"/>
    </xf>
    <xf numFmtId="10" fontId="215" fillId="71" borderId="129" xfId="0" applyNumberFormat="1" applyFont="1" applyFill="1" applyBorder="1"/>
    <xf numFmtId="10" fontId="231" fillId="71" borderId="129" xfId="0" applyNumberFormat="1" applyFont="1" applyFill="1" applyBorder="1"/>
    <xf numFmtId="165" fontId="231" fillId="71" borderId="129" xfId="0" applyNumberFormat="1" applyFont="1" applyFill="1" applyBorder="1"/>
    <xf numFmtId="0" fontId="231" fillId="71" borderId="129" xfId="0" applyFont="1" applyFill="1" applyBorder="1"/>
    <xf numFmtId="168" fontId="215" fillId="71" borderId="129" xfId="0" applyNumberFormat="1" applyFont="1" applyFill="1" applyBorder="1" applyAlignment="1">
      <alignment horizontal="right"/>
    </xf>
    <xf numFmtId="168" fontId="231" fillId="71" borderId="129" xfId="0" applyNumberFormat="1" applyFont="1" applyFill="1" applyBorder="1" applyAlignment="1">
      <alignment horizontal="right"/>
    </xf>
    <xf numFmtId="165" fontId="231" fillId="71" borderId="130" xfId="0" applyNumberFormat="1" applyFont="1" applyFill="1" applyBorder="1" applyAlignment="1">
      <alignment horizontal="right"/>
    </xf>
    <xf numFmtId="165" fontId="214" fillId="0" borderId="128" xfId="12422" applyNumberFormat="1" applyFont="1" applyBorder="1"/>
    <xf numFmtId="0" fontId="214" fillId="0" borderId="129" xfId="0" applyFont="1" applyBorder="1"/>
    <xf numFmtId="10" fontId="215" fillId="71" borderId="0" xfId="0" applyNumberFormat="1" applyFont="1" applyFill="1" applyBorder="1"/>
    <xf numFmtId="10" fontId="231" fillId="71" borderId="0" xfId="0" applyNumberFormat="1" applyFont="1" applyFill="1" applyBorder="1"/>
    <xf numFmtId="165" fontId="231" fillId="71" borderId="0" xfId="0" applyNumberFormat="1" applyFont="1" applyFill="1" applyBorder="1"/>
    <xf numFmtId="0" fontId="231" fillId="71" borderId="0" xfId="0" applyFont="1" applyFill="1" applyBorder="1"/>
    <xf numFmtId="168" fontId="215" fillId="71" borderId="0" xfId="0" applyNumberFormat="1" applyFont="1" applyFill="1" applyBorder="1" applyAlignment="1">
      <alignment horizontal="right"/>
    </xf>
    <xf numFmtId="168" fontId="231" fillId="71" borderId="0" xfId="0" applyNumberFormat="1" applyFont="1" applyFill="1" applyBorder="1" applyAlignment="1">
      <alignment horizontal="right"/>
    </xf>
    <xf numFmtId="165" fontId="231" fillId="71" borderId="13" xfId="0" applyNumberFormat="1" applyFont="1" applyFill="1" applyBorder="1" applyAlignment="1">
      <alignment horizontal="right"/>
    </xf>
    <xf numFmtId="165" fontId="214" fillId="0" borderId="64" xfId="12422" applyNumberFormat="1" applyFont="1" applyBorder="1"/>
    <xf numFmtId="0" fontId="262" fillId="0" borderId="13" xfId="0" applyFont="1" applyBorder="1"/>
    <xf numFmtId="0" fontId="216" fillId="0" borderId="64" xfId="0" applyFont="1" applyBorder="1"/>
    <xf numFmtId="0" fontId="216" fillId="0" borderId="10" xfId="0" applyFont="1" applyBorder="1"/>
    <xf numFmtId="10" fontId="215" fillId="71" borderId="45" xfId="0" applyNumberFormat="1" applyFont="1" applyFill="1" applyBorder="1"/>
    <xf numFmtId="10" fontId="231" fillId="71" borderId="45" xfId="0" applyNumberFormat="1" applyFont="1" applyFill="1" applyBorder="1"/>
    <xf numFmtId="165" fontId="231" fillId="71" borderId="45" xfId="0" applyNumberFormat="1" applyFont="1" applyFill="1" applyBorder="1"/>
    <xf numFmtId="0" fontId="231" fillId="71" borderId="45" xfId="0" applyFont="1" applyFill="1" applyBorder="1"/>
    <xf numFmtId="168" fontId="215" fillId="71" borderId="45" xfId="0" applyNumberFormat="1" applyFont="1" applyFill="1" applyBorder="1" applyAlignment="1">
      <alignment horizontal="right"/>
    </xf>
    <xf numFmtId="168" fontId="231" fillId="71" borderId="45" xfId="0" applyNumberFormat="1" applyFont="1" applyFill="1" applyBorder="1" applyAlignment="1">
      <alignment horizontal="right"/>
    </xf>
    <xf numFmtId="165" fontId="231" fillId="71" borderId="99" xfId="0" applyNumberFormat="1" applyFont="1" applyFill="1" applyBorder="1" applyAlignment="1">
      <alignment horizontal="right"/>
    </xf>
    <xf numFmtId="0" fontId="215" fillId="71" borderId="4" xfId="0" applyFont="1" applyFill="1" applyBorder="1" applyAlignment="1">
      <alignment horizontal="left"/>
    </xf>
    <xf numFmtId="0" fontId="214" fillId="71" borderId="5" xfId="0" quotePrefix="1" applyFont="1" applyFill="1" applyBorder="1" applyAlignment="1">
      <alignment horizontal="center"/>
    </xf>
    <xf numFmtId="0" fontId="215" fillId="71" borderId="5" xfId="0" applyFont="1" applyFill="1" applyBorder="1"/>
    <xf numFmtId="169" fontId="258" fillId="71" borderId="5" xfId="0" applyNumberFormat="1" applyFont="1" applyFill="1" applyBorder="1"/>
    <xf numFmtId="167" fontId="215" fillId="71" borderId="5" xfId="12427" applyNumberFormat="1" applyFont="1" applyFill="1" applyBorder="1"/>
    <xf numFmtId="165" fontId="258" fillId="71" borderId="5" xfId="0" applyNumberFormat="1" applyFont="1" applyFill="1" applyBorder="1"/>
    <xf numFmtId="169" fontId="215" fillId="71" borderId="5" xfId="0" applyNumberFormat="1" applyFont="1" applyFill="1" applyBorder="1"/>
    <xf numFmtId="10" fontId="215" fillId="71" borderId="5" xfId="0" applyNumberFormat="1" applyFont="1" applyFill="1" applyBorder="1"/>
    <xf numFmtId="0" fontId="231" fillId="71" borderId="5" xfId="0" applyFont="1" applyFill="1" applyBorder="1"/>
    <xf numFmtId="165" fontId="236" fillId="71" borderId="35" xfId="0" applyNumberFormat="1" applyFont="1" applyFill="1" applyBorder="1"/>
    <xf numFmtId="168" fontId="215" fillId="71" borderId="5" xfId="0" applyNumberFormat="1" applyFont="1" applyFill="1" applyBorder="1" applyAlignment="1">
      <alignment horizontal="right"/>
    </xf>
    <xf numFmtId="168" fontId="231" fillId="71" borderId="5" xfId="0" applyNumberFormat="1" applyFont="1" applyFill="1" applyBorder="1" applyAlignment="1">
      <alignment horizontal="right"/>
    </xf>
    <xf numFmtId="165" fontId="231" fillId="71" borderId="6" xfId="0" applyNumberFormat="1" applyFont="1" applyFill="1" applyBorder="1" applyAlignment="1">
      <alignment horizontal="right"/>
    </xf>
    <xf numFmtId="169" fontId="231" fillId="71" borderId="5" xfId="0" applyNumberFormat="1" applyFont="1" applyFill="1" applyBorder="1"/>
    <xf numFmtId="165" fontId="231" fillId="71" borderId="5" xfId="0" applyNumberFormat="1" applyFont="1" applyFill="1" applyBorder="1"/>
    <xf numFmtId="0" fontId="214" fillId="74" borderId="0" xfId="0" quotePrefix="1" applyFont="1" applyFill="1" applyAlignment="1">
      <alignment horizontal="right"/>
    </xf>
    <xf numFmtId="0" fontId="214" fillId="74" borderId="0" xfId="0" applyFont="1" applyFill="1" applyAlignment="1">
      <alignment horizontal="left"/>
    </xf>
    <xf numFmtId="0" fontId="232" fillId="74" borderId="0" xfId="0" applyFont="1" applyFill="1"/>
    <xf numFmtId="167" fontId="215" fillId="71" borderId="189" xfId="12427" applyNumberFormat="1" applyFont="1" applyFill="1" applyBorder="1"/>
    <xf numFmtId="0" fontId="215" fillId="0" borderId="0" xfId="0" applyFont="1" applyAlignment="1">
      <alignment horizontal="centerContinuous"/>
    </xf>
    <xf numFmtId="0" fontId="214" fillId="0" borderId="4" xfId="0" applyFont="1" applyBorder="1"/>
    <xf numFmtId="164" fontId="228" fillId="0" borderId="6" xfId="0" applyNumberFormat="1" applyFont="1" applyFill="1" applyBorder="1" applyAlignment="1">
      <alignment horizontal="center"/>
    </xf>
    <xf numFmtId="0" fontId="226" fillId="72" borderId="158" xfId="0" applyFont="1" applyFill="1" applyBorder="1" applyAlignment="1">
      <alignment horizontal="centerContinuous"/>
    </xf>
    <xf numFmtId="0" fontId="226" fillId="72" borderId="160" xfId="0" applyFont="1" applyFill="1" applyBorder="1" applyAlignment="1">
      <alignment horizontal="centerContinuous"/>
    </xf>
    <xf numFmtId="168" fontId="231" fillId="0" borderId="158" xfId="0" applyNumberFormat="1" applyFont="1" applyFill="1" applyBorder="1" applyAlignment="1">
      <alignment horizontal="center"/>
    </xf>
    <xf numFmtId="168" fontId="231" fillId="0" borderId="159" xfId="0" applyNumberFormat="1" applyFont="1" applyFill="1" applyBorder="1" applyAlignment="1">
      <alignment horizontal="center"/>
    </xf>
    <xf numFmtId="168" fontId="231" fillId="0" borderId="160" xfId="0" applyNumberFormat="1" applyFont="1" applyFill="1" applyBorder="1" applyAlignment="1">
      <alignment horizontal="center"/>
    </xf>
    <xf numFmtId="0" fontId="228" fillId="0" borderId="0" xfId="0" applyFont="1" applyFill="1"/>
    <xf numFmtId="14" fontId="227" fillId="0" borderId="0" xfId="0" applyNumberFormat="1" applyFont="1" applyAlignment="1">
      <alignment horizontal="center"/>
    </xf>
    <xf numFmtId="0" fontId="214" fillId="71" borderId="129" xfId="0" applyFont="1" applyFill="1" applyBorder="1"/>
    <xf numFmtId="0" fontId="222" fillId="0" borderId="4" xfId="0" applyFont="1" applyBorder="1" applyAlignment="1">
      <alignment wrapText="1"/>
    </xf>
    <xf numFmtId="0" fontId="214" fillId="0" borderId="5" xfId="0" applyFont="1" applyBorder="1" applyAlignment="1">
      <alignment wrapText="1"/>
    </xf>
    <xf numFmtId="0" fontId="223" fillId="0" borderId="5" xfId="0" applyFont="1" applyBorder="1" applyAlignment="1">
      <alignment wrapText="1"/>
    </xf>
    <xf numFmtId="0" fontId="223" fillId="0" borderId="6" xfId="0" applyFont="1" applyBorder="1" applyAlignment="1">
      <alignment wrapText="1"/>
    </xf>
    <xf numFmtId="0" fontId="223" fillId="0" borderId="0" xfId="0" applyFont="1" applyBorder="1" applyAlignment="1">
      <alignment wrapText="1"/>
    </xf>
    <xf numFmtId="0" fontId="214" fillId="0" borderId="0" xfId="0" applyFont="1" applyAlignment="1">
      <alignment horizontal="center" wrapText="1"/>
    </xf>
    <xf numFmtId="0" fontId="214" fillId="0" borderId="5" xfId="0" applyFont="1" applyBorder="1"/>
    <xf numFmtId="0" fontId="227" fillId="0" borderId="6" xfId="0" applyFont="1" applyFill="1" applyBorder="1" applyAlignment="1">
      <alignment horizontal="right"/>
    </xf>
    <xf numFmtId="0" fontId="214" fillId="0" borderId="158" xfId="0" applyFont="1" applyBorder="1"/>
    <xf numFmtId="0" fontId="214" fillId="0" borderId="159" xfId="0" applyFont="1" applyBorder="1"/>
    <xf numFmtId="0" fontId="227" fillId="0" borderId="159" xfId="0" applyFont="1" applyBorder="1"/>
    <xf numFmtId="0" fontId="214" fillId="0" borderId="166" xfId="0" applyFont="1" applyBorder="1"/>
    <xf numFmtId="164" fontId="214" fillId="0" borderId="6" xfId="0" applyNumberFormat="1" applyFont="1" applyBorder="1" applyAlignment="1">
      <alignment horizontal="right"/>
    </xf>
    <xf numFmtId="167" fontId="227" fillId="0" borderId="141" xfId="12427" applyNumberFormat="1" applyFont="1" applyBorder="1"/>
    <xf numFmtId="167" fontId="227" fillId="0" borderId="45" xfId="12427" applyNumberFormat="1" applyFont="1" applyBorder="1"/>
    <xf numFmtId="167" fontId="227" fillId="0" borderId="99" xfId="12427" applyNumberFormat="1" applyFont="1" applyBorder="1"/>
    <xf numFmtId="0" fontId="226" fillId="72" borderId="16" xfId="0" applyFont="1" applyFill="1" applyBorder="1" applyAlignment="1">
      <alignment wrapText="1"/>
    </xf>
    <xf numFmtId="0" fontId="226" fillId="72" borderId="4" xfId="0" applyFont="1" applyFill="1" applyBorder="1" applyAlignment="1">
      <alignment horizontal="right" wrapText="1"/>
    </xf>
    <xf numFmtId="0" fontId="226" fillId="72" borderId="6" xfId="0" applyFont="1" applyFill="1" applyBorder="1" applyAlignment="1">
      <alignment horizontal="right" wrapText="1"/>
    </xf>
    <xf numFmtId="0" fontId="254" fillId="28" borderId="4" xfId="0" applyFont="1" applyFill="1" applyBorder="1" applyAlignment="1">
      <alignment horizontal="center" wrapText="1"/>
    </xf>
    <xf numFmtId="0" fontId="254" fillId="28" borderId="5" xfId="0" applyFont="1" applyFill="1" applyBorder="1" applyAlignment="1">
      <alignment horizontal="center" wrapText="1"/>
    </xf>
    <xf numFmtId="0" fontId="254" fillId="28" borderId="6" xfId="0" applyFont="1" applyFill="1" applyBorder="1" applyAlignment="1">
      <alignment horizontal="center" wrapText="1"/>
    </xf>
    <xf numFmtId="164" fontId="232" fillId="0" borderId="0" xfId="0" applyNumberFormat="1" applyFont="1"/>
    <xf numFmtId="168" fontId="232" fillId="0" borderId="0" xfId="0" applyNumberFormat="1" applyFont="1" applyFill="1"/>
    <xf numFmtId="168" fontId="214" fillId="29" borderId="0" xfId="0" applyNumberFormat="1" applyFont="1" applyFill="1"/>
    <xf numFmtId="0" fontId="215" fillId="71" borderId="7" xfId="0" applyFont="1" applyFill="1" applyBorder="1"/>
    <xf numFmtId="0" fontId="214" fillId="71" borderId="8" xfId="0" applyFont="1" applyFill="1" applyBorder="1"/>
    <xf numFmtId="0" fontId="214" fillId="71" borderId="9" xfId="0" applyFont="1" applyFill="1" applyBorder="1"/>
    <xf numFmtId="169" fontId="214" fillId="71" borderId="0" xfId="0" applyNumberFormat="1" applyFont="1" applyFill="1" applyBorder="1"/>
    <xf numFmtId="10" fontId="214" fillId="71" borderId="13" xfId="0" applyNumberFormat="1" applyFont="1" applyFill="1" applyBorder="1" applyAlignment="1">
      <alignment horizontal="right"/>
    </xf>
    <xf numFmtId="10" fontId="214" fillId="0" borderId="0" xfId="12422" applyNumberFormat="1" applyFont="1"/>
    <xf numFmtId="10" fontId="214" fillId="71" borderId="13" xfId="0" applyNumberFormat="1" applyFont="1" applyFill="1" applyBorder="1"/>
    <xf numFmtId="0" fontId="215" fillId="71" borderId="3" xfId="0" applyFont="1" applyFill="1" applyBorder="1"/>
    <xf numFmtId="10" fontId="215" fillId="71" borderId="11" xfId="0" applyNumberFormat="1" applyFont="1" applyFill="1" applyBorder="1" applyAlignment="1">
      <alignment horizontal="right"/>
    </xf>
    <xf numFmtId="0" fontId="232" fillId="0" borderId="0" xfId="11807" applyFont="1" applyFill="1"/>
    <xf numFmtId="0" fontId="216" fillId="0" borderId="0" xfId="11807" applyFont="1" applyFill="1"/>
    <xf numFmtId="0" fontId="240" fillId="87" borderId="125" xfId="20303" applyNumberFormat="1" applyFont="1" applyFill="1" applyBorder="1" applyAlignment="1">
      <alignment horizontal="center" wrapText="1"/>
    </xf>
    <xf numFmtId="0" fontId="240" fillId="87" borderId="126" xfId="20303" applyNumberFormat="1" applyFont="1" applyFill="1" applyBorder="1" applyAlignment="1">
      <alignment horizontal="left" wrapText="1"/>
    </xf>
    <xf numFmtId="0" fontId="240" fillId="87" borderId="132" xfId="20303" applyNumberFormat="1" applyFont="1" applyFill="1" applyBorder="1" applyAlignment="1">
      <alignment horizontal="left" wrapText="1"/>
    </xf>
    <xf numFmtId="0" fontId="240" fillId="87" borderId="126" xfId="20303" applyNumberFormat="1" applyFont="1" applyFill="1" applyBorder="1" applyAlignment="1">
      <alignment horizontal="center" wrapText="1"/>
    </xf>
    <xf numFmtId="0" fontId="240" fillId="87" borderId="132" xfId="20303" applyNumberFormat="1" applyFont="1" applyFill="1" applyBorder="1" applyAlignment="1">
      <alignment horizontal="center" wrapText="1"/>
    </xf>
    <xf numFmtId="0" fontId="240" fillId="87" borderId="127" xfId="20303" applyNumberFormat="1" applyFont="1" applyFill="1" applyBorder="1" applyAlignment="1">
      <alignment horizontal="center" wrapText="1"/>
    </xf>
    <xf numFmtId="0" fontId="240" fillId="0" borderId="0" xfId="20303" applyNumberFormat="1" applyFont="1" applyFill="1" applyBorder="1" applyAlignment="1">
      <alignment horizontal="center" wrapText="1"/>
    </xf>
    <xf numFmtId="0" fontId="240" fillId="0" borderId="0" xfId="20303" applyNumberFormat="1" applyFont="1" applyFill="1" applyBorder="1" applyAlignment="1">
      <alignment horizontal="left" wrapText="1"/>
    </xf>
    <xf numFmtId="0" fontId="240" fillId="0" borderId="0" xfId="20303" applyNumberFormat="1" applyFont="1" applyFill="1" applyBorder="1" applyAlignment="1">
      <alignment horizontal="right" wrapText="1"/>
    </xf>
    <xf numFmtId="0" fontId="263" fillId="0" borderId="0" xfId="11846" applyFont="1" applyFill="1" applyBorder="1" applyAlignment="1"/>
    <xf numFmtId="164" fontId="214" fillId="0" borderId="0" xfId="11807" applyNumberFormat="1" applyFont="1" applyBorder="1" applyAlignment="1">
      <alignment horizontal="center" wrapText="1"/>
    </xf>
    <xf numFmtId="0" fontId="232" fillId="0" borderId="0" xfId="11846" applyFont="1" applyFill="1" applyBorder="1" applyAlignment="1">
      <alignment horizontal="left"/>
    </xf>
    <xf numFmtId="0" fontId="232" fillId="0" borderId="0" xfId="11846" applyFont="1" applyFill="1" applyBorder="1" applyAlignment="1">
      <alignment horizontal="left" wrapText="1" indent="1"/>
    </xf>
    <xf numFmtId="0" fontId="232" fillId="0" borderId="0" xfId="11846" applyFont="1" applyFill="1" applyBorder="1" applyAlignment="1">
      <alignment horizontal="left" indent="1"/>
    </xf>
    <xf numFmtId="310" fontId="232" fillId="0" borderId="0" xfId="11846" applyNumberFormat="1" applyFont="1" applyFill="1" applyBorder="1" applyAlignment="1">
      <alignment horizontal="right"/>
    </xf>
    <xf numFmtId="165" fontId="232" fillId="0" borderId="0" xfId="20384" applyNumberFormat="1" applyFont="1" applyFill="1" applyBorder="1" applyAlignment="1">
      <alignment horizontal="right"/>
    </xf>
    <xf numFmtId="0" fontId="214" fillId="88" borderId="0" xfId="0" applyFont="1" applyFill="1" applyAlignment="1">
      <alignment vertical="top"/>
    </xf>
    <xf numFmtId="0" fontId="214" fillId="89" borderId="0" xfId="0" applyFont="1" applyFill="1" applyAlignment="1">
      <alignment vertical="top"/>
    </xf>
    <xf numFmtId="164" fontId="241" fillId="0" borderId="0" xfId="11807" applyNumberFormat="1" applyFont="1" applyBorder="1" applyAlignment="1">
      <alignment horizontal="center" wrapText="1"/>
    </xf>
    <xf numFmtId="0" fontId="264" fillId="88" borderId="0" xfId="20385" applyFont="1" applyFill="1" applyAlignment="1">
      <alignment vertical="top"/>
    </xf>
    <xf numFmtId="164" fontId="241" fillId="0" borderId="0" xfId="11807" applyNumberFormat="1" applyFont="1" applyBorder="1" applyAlignment="1">
      <alignment horizontal="left"/>
    </xf>
    <xf numFmtId="0" fontId="232" fillId="0" borderId="0" xfId="11807" applyFont="1" applyFill="1" applyAlignment="1">
      <alignment horizontal="left"/>
    </xf>
    <xf numFmtId="0" fontId="214" fillId="71" borderId="133" xfId="0" applyFont="1" applyFill="1" applyBorder="1"/>
    <xf numFmtId="167" fontId="215" fillId="71" borderId="129" xfId="12427" applyNumberFormat="1" applyFont="1" applyFill="1" applyBorder="1"/>
    <xf numFmtId="167" fontId="215" fillId="71" borderId="133" xfId="12427" applyNumberFormat="1" applyFont="1" applyFill="1" applyBorder="1"/>
    <xf numFmtId="234" fontId="215" fillId="0" borderId="0" xfId="0" applyNumberFormat="1" applyFont="1" applyFill="1" applyBorder="1"/>
    <xf numFmtId="165" fontId="215" fillId="0" borderId="0" xfId="0" applyNumberFormat="1" applyFont="1" applyFill="1" applyBorder="1"/>
    <xf numFmtId="0" fontId="232" fillId="0" borderId="0" xfId="11807" applyFont="1" applyFill="1" applyBorder="1"/>
    <xf numFmtId="167" fontId="215" fillId="71" borderId="0" xfId="12427" applyNumberFormat="1" applyFont="1" applyFill="1" applyBorder="1"/>
    <xf numFmtId="10" fontId="214" fillId="71" borderId="45" xfId="0" applyNumberFormat="1" applyFont="1" applyFill="1" applyBorder="1"/>
    <xf numFmtId="167" fontId="215" fillId="71" borderId="45" xfId="12427" applyNumberFormat="1" applyFont="1" applyFill="1" applyBorder="1"/>
    <xf numFmtId="0" fontId="215" fillId="0" borderId="0" xfId="20386" applyFont="1" applyBorder="1" applyAlignment="1">
      <alignment vertical="top"/>
    </xf>
    <xf numFmtId="0" fontId="214" fillId="0" borderId="0" xfId="20386" applyFont="1"/>
    <xf numFmtId="0" fontId="214" fillId="0" borderId="0" xfId="20386" applyFont="1" applyAlignment="1">
      <alignment horizontal="right" vertical="top"/>
    </xf>
    <xf numFmtId="0" fontId="214" fillId="0" borderId="0" xfId="20386" applyFont="1" applyAlignment="1">
      <alignment horizontal="right"/>
    </xf>
    <xf numFmtId="0" fontId="231" fillId="0" borderId="128" xfId="20386" applyFont="1" applyBorder="1"/>
    <xf numFmtId="0" fontId="231" fillId="0" borderId="130" xfId="20386" applyFont="1" applyBorder="1"/>
    <xf numFmtId="14" fontId="214" fillId="0" borderId="0" xfId="20386" applyNumberFormat="1" applyFont="1" applyFill="1" applyBorder="1" applyAlignment="1">
      <alignment horizontal="center"/>
    </xf>
    <xf numFmtId="0" fontId="214" fillId="0" borderId="0" xfId="20386" applyFont="1" applyBorder="1" applyAlignment="1">
      <alignment horizontal="left"/>
    </xf>
    <xf numFmtId="248" fontId="214" fillId="0" borderId="0" xfId="20387" applyNumberFormat="1" applyFont="1" applyBorder="1" applyAlignment="1">
      <alignment horizontal="right"/>
    </xf>
    <xf numFmtId="43" fontId="216" fillId="0" borderId="0" xfId="12427" applyFont="1"/>
    <xf numFmtId="43" fontId="231" fillId="0" borderId="10" xfId="20386" applyNumberFormat="1" applyFont="1" applyBorder="1"/>
    <xf numFmtId="164" fontId="231" fillId="0" borderId="99" xfId="20386" applyNumberFormat="1" applyFont="1" applyBorder="1"/>
    <xf numFmtId="43" fontId="216" fillId="0" borderId="81" xfId="20386" applyNumberFormat="1" applyFont="1" applyBorder="1"/>
    <xf numFmtId="0" fontId="216" fillId="0" borderId="0" xfId="20386" applyFont="1"/>
    <xf numFmtId="0" fontId="214" fillId="74" borderId="0" xfId="20386" applyFont="1" applyFill="1" applyAlignment="1">
      <alignment horizontal="left"/>
    </xf>
    <xf numFmtId="0" fontId="214" fillId="74" borderId="0" xfId="20386" applyFont="1" applyFill="1" applyBorder="1" applyAlignment="1">
      <alignment horizontal="left"/>
    </xf>
    <xf numFmtId="0" fontId="214" fillId="74" borderId="0" xfId="20386" applyFont="1" applyFill="1" applyAlignment="1">
      <alignment horizontal="right" vertical="top"/>
    </xf>
    <xf numFmtId="0" fontId="214" fillId="0" borderId="0" xfId="20386" applyFont="1" applyAlignment="1">
      <alignment horizontal="left"/>
    </xf>
    <xf numFmtId="358" fontId="214" fillId="0" borderId="0" xfId="20386" applyNumberFormat="1" applyFont="1" applyAlignment="1">
      <alignment horizontal="right" vertical="top"/>
    </xf>
    <xf numFmtId="42" fontId="214" fillId="0" borderId="0" xfId="20386" applyNumberFormat="1" applyFont="1" applyAlignment="1">
      <alignment horizontal="right" vertical="top"/>
    </xf>
    <xf numFmtId="0" fontId="216" fillId="0" borderId="0" xfId="20386" applyFont="1" applyAlignment="1">
      <alignment horizontal="right"/>
    </xf>
    <xf numFmtId="0" fontId="214" fillId="0" borderId="0" xfId="20397" applyFont="1"/>
    <xf numFmtId="0" fontId="226" fillId="72" borderId="169" xfId="0" applyFont="1" applyFill="1" applyBorder="1" applyAlignment="1">
      <alignment horizontal="left"/>
    </xf>
    <xf numFmtId="0" fontId="226" fillId="72" borderId="170" xfId="0" applyFont="1" applyFill="1" applyBorder="1" applyAlignment="1">
      <alignment horizontal="center"/>
    </xf>
    <xf numFmtId="0" fontId="226" fillId="72" borderId="171" xfId="0" applyFont="1" applyFill="1" applyBorder="1" applyAlignment="1">
      <alignment horizontal="center"/>
    </xf>
    <xf numFmtId="248" fontId="214" fillId="0" borderId="0" xfId="20398" applyNumberFormat="1" applyFont="1" applyBorder="1" applyAlignment="1">
      <alignment horizontal="right"/>
    </xf>
    <xf numFmtId="0" fontId="240" fillId="90" borderId="0" xfId="20397" applyFont="1" applyFill="1" applyBorder="1"/>
    <xf numFmtId="0" fontId="214" fillId="0" borderId="0" xfId="20397" applyFont="1" applyBorder="1" applyAlignment="1">
      <alignment horizontal="center" wrapText="1"/>
    </xf>
    <xf numFmtId="0" fontId="215" fillId="91" borderId="172" xfId="20397" applyFont="1" applyFill="1" applyBorder="1" applyAlignment="1">
      <alignment horizontal="center" wrapText="1"/>
    </xf>
    <xf numFmtId="0" fontId="215" fillId="91" borderId="173" xfId="20397" applyFont="1" applyFill="1" applyBorder="1" applyAlignment="1">
      <alignment horizontal="center" wrapText="1"/>
    </xf>
    <xf numFmtId="0" fontId="215" fillId="91" borderId="0" xfId="20397" applyFont="1" applyFill="1" applyBorder="1" applyAlignment="1">
      <alignment horizontal="center" wrapText="1"/>
    </xf>
    <xf numFmtId="0" fontId="215" fillId="91" borderId="141" xfId="20397" applyFont="1" applyFill="1" applyBorder="1" applyAlignment="1">
      <alignment horizontal="left" wrapText="1"/>
    </xf>
    <xf numFmtId="0" fontId="215" fillId="91" borderId="45" xfId="20397" applyFont="1" applyFill="1" applyBorder="1" applyAlignment="1">
      <alignment horizontal="center" wrapText="1"/>
    </xf>
    <xf numFmtId="0" fontId="215" fillId="91" borderId="45" xfId="20397" applyFont="1" applyFill="1" applyBorder="1" applyAlignment="1">
      <alignment horizontal="right" wrapText="1"/>
    </xf>
    <xf numFmtId="248" fontId="215" fillId="0" borderId="0" xfId="20398" applyNumberFormat="1" applyFont="1" applyBorder="1" applyAlignment="1">
      <alignment horizontal="right"/>
    </xf>
    <xf numFmtId="0" fontId="215" fillId="0" borderId="0" xfId="20397" applyFont="1" applyBorder="1" applyAlignment="1">
      <alignment horizontal="center" wrapText="1"/>
    </xf>
    <xf numFmtId="0" fontId="214" fillId="0" borderId="0" xfId="20397" applyFont="1" applyAlignment="1">
      <alignment horizontal="center" wrapText="1"/>
    </xf>
    <xf numFmtId="0" fontId="215" fillId="0" borderId="0" xfId="20397" applyFont="1" applyFill="1" applyBorder="1" applyAlignment="1">
      <alignment horizontal="center" wrapText="1"/>
    </xf>
    <xf numFmtId="0" fontId="215" fillId="92" borderId="0" xfId="20397" applyFont="1" applyFill="1" applyBorder="1" applyAlignment="1">
      <alignment horizontal="center" wrapText="1"/>
    </xf>
    <xf numFmtId="0" fontId="215" fillId="0" borderId="0" xfId="20397" applyFont="1" applyAlignment="1">
      <alignment horizontal="center" wrapText="1"/>
    </xf>
    <xf numFmtId="0" fontId="215" fillId="0" borderId="0" xfId="20397" applyFont="1" applyFill="1" applyBorder="1" applyAlignment="1">
      <alignment horizontal="left" wrapText="1"/>
    </xf>
    <xf numFmtId="0" fontId="215" fillId="0" borderId="0" xfId="20397" applyFont="1" applyFill="1" applyBorder="1" applyAlignment="1">
      <alignment horizontal="left"/>
    </xf>
    <xf numFmtId="167" fontId="214" fillId="0" borderId="0" xfId="12427" applyNumberFormat="1" applyFont="1" applyFill="1" applyBorder="1" applyAlignment="1">
      <alignment horizontal="center" wrapText="1"/>
    </xf>
    <xf numFmtId="0" fontId="214" fillId="0" borderId="0" xfId="20397" applyFont="1" applyFill="1" applyBorder="1"/>
    <xf numFmtId="0" fontId="221" fillId="0" borderId="0" xfId="20399" applyFont="1" applyBorder="1" applyAlignment="1">
      <alignment horizontal="center"/>
    </xf>
    <xf numFmtId="0" fontId="214" fillId="0" borderId="0" xfId="20399" applyFont="1" applyFill="1" applyBorder="1" applyAlignment="1">
      <alignment horizontal="center"/>
    </xf>
    <xf numFmtId="0" fontId="221" fillId="0" borderId="0" xfId="20399" applyFont="1" applyFill="1" applyBorder="1" applyAlignment="1">
      <alignment horizontal="center"/>
    </xf>
    <xf numFmtId="164" fontId="214" fillId="0" borderId="0" xfId="20397" applyNumberFormat="1" applyFont="1" applyFill="1" applyBorder="1" applyAlignment="1">
      <alignment horizontal="center"/>
    </xf>
    <xf numFmtId="243" fontId="214" fillId="0" borderId="0" xfId="0" applyNumberFormat="1" applyFont="1" applyFill="1" applyAlignment="1">
      <alignment horizontal="right"/>
    </xf>
    <xf numFmtId="248" fontId="214" fillId="0" borderId="0" xfId="20398" applyNumberFormat="1" applyFont="1" applyFill="1" applyBorder="1" applyAlignment="1">
      <alignment horizontal="right"/>
    </xf>
    <xf numFmtId="167" fontId="214" fillId="0" borderId="0" xfId="12427" applyNumberFormat="1" applyFont="1" applyFill="1" applyBorder="1" applyAlignment="1">
      <alignment horizontal="right" wrapText="1"/>
    </xf>
    <xf numFmtId="248" fontId="232" fillId="0" borderId="0" xfId="20398" applyNumberFormat="1" applyFont="1" applyFill="1" applyBorder="1" applyAlignment="1">
      <alignment horizontal="right"/>
    </xf>
    <xf numFmtId="43" fontId="214" fillId="74" borderId="0" xfId="20398" applyNumberFormat="1" applyFont="1" applyFill="1" applyBorder="1" applyAlignment="1">
      <alignment horizontal="right"/>
    </xf>
    <xf numFmtId="165" fontId="214" fillId="74" borderId="0" xfId="20398" applyNumberFormat="1" applyFont="1" applyFill="1" applyBorder="1" applyAlignment="1">
      <alignment horizontal="right"/>
    </xf>
    <xf numFmtId="248" fontId="214" fillId="0" borderId="0" xfId="20397" applyNumberFormat="1" applyFont="1"/>
    <xf numFmtId="0" fontId="214" fillId="0" borderId="0" xfId="20397" applyFont="1" applyAlignment="1">
      <alignment horizontal="left"/>
    </xf>
    <xf numFmtId="248" fontId="214" fillId="0" borderId="0" xfId="20397" applyNumberFormat="1" applyFont="1" applyAlignment="1">
      <alignment horizontal="center" wrapText="1"/>
    </xf>
    <xf numFmtId="248" fontId="232" fillId="0" borderId="0" xfId="20397" applyNumberFormat="1" applyFont="1" applyAlignment="1">
      <alignment horizontal="center" wrapText="1"/>
    </xf>
    <xf numFmtId="248" fontId="214" fillId="0" borderId="0" xfId="12427" applyNumberFormat="1" applyFont="1" applyAlignment="1">
      <alignment horizontal="center"/>
    </xf>
    <xf numFmtId="248" fontId="232" fillId="0" borderId="0" xfId="12427" applyNumberFormat="1" applyFont="1" applyAlignment="1">
      <alignment horizontal="right"/>
    </xf>
    <xf numFmtId="248" fontId="214" fillId="0" borderId="0" xfId="20397" applyNumberFormat="1" applyFont="1" applyAlignment="1">
      <alignment horizontal="right" wrapText="1"/>
    </xf>
    <xf numFmtId="248" fontId="232" fillId="74" borderId="0" xfId="20398" applyNumberFormat="1" applyFont="1" applyFill="1" applyBorder="1" applyAlignment="1">
      <alignment horizontal="right"/>
    </xf>
    <xf numFmtId="0" fontId="214" fillId="0" borderId="0" xfId="20397" applyFont="1" applyFill="1" applyAlignment="1">
      <alignment horizontal="center" wrapText="1"/>
    </xf>
    <xf numFmtId="243" fontId="214" fillId="0" borderId="0" xfId="20398" applyNumberFormat="1" applyFont="1" applyFill="1" applyBorder="1" applyAlignment="1">
      <alignment horizontal="right"/>
    </xf>
    <xf numFmtId="248" fontId="214" fillId="74" borderId="0" xfId="20397" applyNumberFormat="1" applyFont="1" applyFill="1"/>
    <xf numFmtId="248" fontId="214" fillId="0" borderId="0" xfId="12427" applyNumberFormat="1" applyFont="1" applyAlignment="1">
      <alignment horizontal="right"/>
    </xf>
    <xf numFmtId="0" fontId="214" fillId="74" borderId="0" xfId="20397" applyFont="1" applyFill="1" applyAlignment="1">
      <alignment horizontal="center" wrapText="1"/>
    </xf>
    <xf numFmtId="0" fontId="221" fillId="74" borderId="0" xfId="20399" applyFont="1" applyFill="1" applyBorder="1" applyAlignment="1">
      <alignment horizontal="center"/>
    </xf>
    <xf numFmtId="248" fontId="214" fillId="88" borderId="0" xfId="20397" applyNumberFormat="1" applyFont="1" applyFill="1"/>
    <xf numFmtId="0" fontId="214" fillId="88" borderId="0" xfId="20397" applyFont="1" applyFill="1"/>
    <xf numFmtId="248" fontId="232" fillId="88" borderId="0" xfId="20398" applyNumberFormat="1" applyFont="1" applyFill="1" applyBorder="1" applyAlignment="1">
      <alignment horizontal="right"/>
    </xf>
    <xf numFmtId="234" fontId="214" fillId="88" borderId="0" xfId="20399" applyNumberFormat="1" applyFont="1" applyFill="1" applyBorder="1" applyAlignment="1">
      <alignment horizontal="right"/>
    </xf>
    <xf numFmtId="14" fontId="214" fillId="88" borderId="0" xfId="20397" applyNumberFormat="1" applyFont="1" applyFill="1" applyAlignment="1">
      <alignment horizontal="left"/>
    </xf>
    <xf numFmtId="248" fontId="214" fillId="88" borderId="0" xfId="20398" applyNumberFormat="1" applyFont="1" applyFill="1" applyAlignment="1">
      <alignment horizontal="center" wrapText="1"/>
    </xf>
    <xf numFmtId="243" fontId="214" fillId="0" borderId="0" xfId="20398" applyNumberFormat="1" applyFont="1" applyFill="1" applyBorder="1" applyAlignment="1"/>
    <xf numFmtId="248" fontId="214" fillId="0" borderId="0" xfId="20398" applyNumberFormat="1" applyFont="1" applyFill="1" applyBorder="1" applyAlignment="1">
      <alignment horizontal="center"/>
    </xf>
    <xf numFmtId="0" fontId="215" fillId="71" borderId="172" xfId="11807" applyFont="1" applyFill="1" applyBorder="1"/>
    <xf numFmtId="0" fontId="214" fillId="71" borderId="173" xfId="11807" applyFont="1" applyFill="1" applyBorder="1"/>
    <xf numFmtId="167" fontId="215" fillId="71" borderId="173" xfId="12427" applyNumberFormat="1" applyFont="1" applyFill="1" applyBorder="1"/>
    <xf numFmtId="167" fontId="215" fillId="71" borderId="174" xfId="12427" applyNumberFormat="1" applyFont="1" applyFill="1" applyBorder="1"/>
    <xf numFmtId="243" fontId="214" fillId="0" borderId="175" xfId="0" applyNumberFormat="1" applyFont="1" applyFill="1" applyBorder="1" applyAlignment="1">
      <alignment horizontal="right"/>
    </xf>
    <xf numFmtId="0" fontId="215" fillId="71" borderId="64" xfId="11807" applyFont="1" applyFill="1" applyBorder="1"/>
    <xf numFmtId="0" fontId="214" fillId="71" borderId="0" xfId="11807" applyFont="1" applyFill="1" applyBorder="1"/>
    <xf numFmtId="167" fontId="215" fillId="71" borderId="13" xfId="12427" applyNumberFormat="1" applyFont="1" applyFill="1" applyBorder="1"/>
    <xf numFmtId="243" fontId="214" fillId="0" borderId="51" xfId="0" applyNumberFormat="1" applyFont="1" applyFill="1" applyBorder="1" applyAlignment="1">
      <alignment horizontal="right"/>
    </xf>
    <xf numFmtId="0" fontId="215" fillId="71" borderId="141" xfId="11807" applyFont="1" applyFill="1" applyBorder="1"/>
    <xf numFmtId="0" fontId="214" fillId="71" borderId="45" xfId="11807" applyFont="1" applyFill="1" applyBorder="1"/>
    <xf numFmtId="167" fontId="215" fillId="71" borderId="99" xfId="12427" applyNumberFormat="1" applyFont="1" applyFill="1" applyBorder="1"/>
    <xf numFmtId="243" fontId="214" fillId="0" borderId="142" xfId="0" applyNumberFormat="1" applyFont="1" applyFill="1" applyBorder="1" applyAlignment="1">
      <alignment horizontal="right"/>
    </xf>
    <xf numFmtId="0" fontId="215" fillId="0" borderId="0" xfId="20397" applyFont="1" applyFill="1" applyBorder="1"/>
    <xf numFmtId="248" fontId="232" fillId="0" borderId="0" xfId="20403" applyNumberFormat="1" applyFont="1" applyAlignment="1">
      <alignment horizontal="center" wrapText="1"/>
    </xf>
    <xf numFmtId="0" fontId="214" fillId="88" borderId="0" xfId="20403" applyFont="1" applyFill="1"/>
    <xf numFmtId="248" fontId="214" fillId="0" borderId="0" xfId="20403" applyNumberFormat="1" applyFont="1" applyAlignment="1">
      <alignment horizontal="right" wrapText="1"/>
    </xf>
    <xf numFmtId="0" fontId="214" fillId="0" borderId="0" xfId="20403" applyFont="1" applyFill="1" applyAlignment="1">
      <alignment horizontal="center" wrapText="1"/>
    </xf>
    <xf numFmtId="0" fontId="214" fillId="0" borderId="0" xfId="20403" applyFont="1" applyFill="1" applyBorder="1"/>
    <xf numFmtId="0" fontId="221" fillId="0" borderId="0" xfId="20404" applyFont="1" applyFill="1" applyBorder="1" applyAlignment="1">
      <alignment horizontal="center"/>
    </xf>
    <xf numFmtId="0" fontId="214" fillId="0" borderId="0" xfId="20404" applyFont="1" applyFill="1" applyBorder="1" applyAlignment="1">
      <alignment horizontal="center"/>
    </xf>
    <xf numFmtId="248" fontId="214" fillId="0" borderId="0" xfId="20405" applyNumberFormat="1" applyFont="1" applyFill="1" applyBorder="1" applyAlignment="1">
      <alignment horizontal="right"/>
    </xf>
    <xf numFmtId="248" fontId="214" fillId="0" borderId="0" xfId="20403" applyNumberFormat="1" applyFont="1"/>
    <xf numFmtId="0" fontId="214" fillId="0" borderId="0" xfId="20403" applyFont="1" applyAlignment="1">
      <alignment horizontal="left"/>
    </xf>
    <xf numFmtId="248" fontId="214" fillId="0" borderId="0" xfId="20403" applyNumberFormat="1" applyFont="1" applyAlignment="1">
      <alignment horizontal="center" wrapText="1"/>
    </xf>
    <xf numFmtId="248" fontId="232" fillId="74" borderId="0" xfId="20405" applyNumberFormat="1" applyFont="1" applyFill="1" applyBorder="1" applyAlignment="1">
      <alignment horizontal="right"/>
    </xf>
    <xf numFmtId="0" fontId="214" fillId="0" borderId="0" xfId="20403" applyFont="1"/>
    <xf numFmtId="0" fontId="214" fillId="0" borderId="0" xfId="20397" applyFont="1" applyFill="1"/>
    <xf numFmtId="0" fontId="214" fillId="0" borderId="0" xfId="20397" quotePrefix="1" applyFont="1" applyFill="1" applyAlignment="1">
      <alignment horizontal="right" wrapText="1"/>
    </xf>
    <xf numFmtId="0" fontId="214" fillId="0" borderId="0" xfId="20397" applyFont="1" applyFill="1" applyBorder="1" applyAlignment="1">
      <alignment horizontal="left" vertical="center" wrapText="1"/>
    </xf>
    <xf numFmtId="0" fontId="214" fillId="0" borderId="0" xfId="20397" applyFont="1" applyBorder="1"/>
    <xf numFmtId="0" fontId="214" fillId="88" borderId="0" xfId="20397" applyFont="1" applyFill="1" applyBorder="1"/>
    <xf numFmtId="43" fontId="214" fillId="0" borderId="0" xfId="20398" applyNumberFormat="1" applyFont="1" applyFill="1" applyBorder="1" applyAlignment="1">
      <alignment horizontal="right"/>
    </xf>
    <xf numFmtId="165" fontId="214" fillId="0" borderId="0" xfId="20398" applyNumberFormat="1" applyFont="1" applyFill="1" applyBorder="1" applyAlignment="1">
      <alignment horizontal="right"/>
    </xf>
    <xf numFmtId="0" fontId="214" fillId="0" borderId="0" xfId="20397" applyFont="1" applyFill="1" applyAlignment="1">
      <alignment horizontal="left"/>
    </xf>
    <xf numFmtId="0" fontId="229" fillId="0" borderId="0" xfId="20397" applyFont="1" applyAlignment="1">
      <alignment horizontal="left"/>
    </xf>
    <xf numFmtId="248" fontId="214" fillId="0" borderId="0" xfId="20397" applyNumberFormat="1" applyFont="1" applyFill="1"/>
    <xf numFmtId="248" fontId="214" fillId="0" borderId="0" xfId="20397" applyNumberFormat="1" applyFont="1" applyFill="1" applyAlignment="1">
      <alignment horizontal="center" wrapText="1"/>
    </xf>
    <xf numFmtId="248" fontId="214" fillId="88" borderId="0" xfId="20398" applyNumberFormat="1" applyFont="1" applyFill="1" applyBorder="1" applyAlignment="1">
      <alignment horizontal="center"/>
    </xf>
    <xf numFmtId="0" fontId="214" fillId="0" borderId="0" xfId="20397" applyFont="1" applyFill="1" applyBorder="1" applyAlignment="1">
      <alignment horizontal="right"/>
    </xf>
    <xf numFmtId="0" fontId="214" fillId="0" borderId="0" xfId="20397" applyFont="1" applyBorder="1" applyAlignment="1">
      <alignment horizontal="right"/>
    </xf>
    <xf numFmtId="243" fontId="214" fillId="0" borderId="175" xfId="16218" applyNumberFormat="1" applyFont="1" applyBorder="1" applyAlignment="1">
      <alignment horizontal="right"/>
    </xf>
    <xf numFmtId="243" fontId="214" fillId="0" borderId="51" xfId="20398" applyNumberFormat="1" applyFont="1" applyBorder="1" applyAlignment="1">
      <alignment horizontal="right"/>
    </xf>
    <xf numFmtId="243" fontId="214" fillId="0" borderId="142" xfId="16218" applyNumberFormat="1" applyFont="1" applyBorder="1" applyAlignment="1">
      <alignment horizontal="right"/>
    </xf>
    <xf numFmtId="0" fontId="215" fillId="0" borderId="0" xfId="20397" applyFont="1" applyBorder="1"/>
    <xf numFmtId="0" fontId="214" fillId="0" borderId="0" xfId="20397" applyFont="1" applyAlignment="1">
      <alignment horizontal="right"/>
    </xf>
    <xf numFmtId="0" fontId="214" fillId="0" borderId="0" xfId="20397" applyFont="1" applyAlignment="1">
      <alignment vertical="top" wrapText="1"/>
    </xf>
    <xf numFmtId="0" fontId="215" fillId="0" borderId="148" xfId="20386" applyFont="1" applyBorder="1" applyAlignment="1">
      <alignment horizontal="center"/>
    </xf>
    <xf numFmtId="43" fontId="216" fillId="0" borderId="0" xfId="20386" applyNumberFormat="1" applyFont="1"/>
    <xf numFmtId="164" fontId="215" fillId="0" borderId="81" xfId="20386" applyNumberFormat="1" applyFont="1" applyBorder="1" applyAlignment="1">
      <alignment horizontal="center"/>
    </xf>
    <xf numFmtId="0" fontId="214" fillId="0" borderId="0" xfId="20386" applyFont="1" applyFill="1"/>
    <xf numFmtId="43" fontId="224" fillId="74" borderId="0" xfId="11155" applyFont="1" applyFill="1" applyBorder="1" applyAlignment="1"/>
    <xf numFmtId="248" fontId="214" fillId="0" borderId="0" xfId="20387" applyNumberFormat="1" applyFont="1" applyFill="1" applyBorder="1" applyAlignment="1">
      <alignment horizontal="right"/>
    </xf>
    <xf numFmtId="0" fontId="226" fillId="72" borderId="146" xfId="0" applyFont="1" applyFill="1" applyBorder="1" applyAlignment="1">
      <alignment horizontal="center"/>
    </xf>
    <xf numFmtId="0" fontId="226" fillId="72" borderId="147" xfId="0" applyFont="1" applyFill="1" applyBorder="1" applyAlignment="1">
      <alignment horizontal="center"/>
    </xf>
    <xf numFmtId="248" fontId="214" fillId="0" borderId="0" xfId="20400" applyNumberFormat="1" applyFont="1" applyBorder="1" applyAlignment="1">
      <alignment horizontal="right"/>
    </xf>
    <xf numFmtId="0" fontId="214" fillId="0" borderId="0" xfId="20397" applyFont="1" applyFill="1" applyBorder="1" applyAlignment="1">
      <alignment horizontal="center" wrapText="1"/>
    </xf>
    <xf numFmtId="0" fontId="215" fillId="0" borderId="82" xfId="20397" applyFont="1" applyFill="1" applyBorder="1" applyAlignment="1">
      <alignment horizontal="center" wrapText="1"/>
    </xf>
    <xf numFmtId="0" fontId="215" fillId="0" borderId="146" xfId="20397" applyFont="1" applyFill="1" applyBorder="1" applyAlignment="1">
      <alignment horizontal="center" wrapText="1"/>
    </xf>
    <xf numFmtId="0" fontId="215" fillId="0" borderId="146" xfId="20397" applyFont="1" applyFill="1" applyBorder="1" applyAlignment="1">
      <alignment wrapText="1"/>
    </xf>
    <xf numFmtId="0" fontId="226" fillId="0" borderId="146" xfId="0" applyFont="1" applyFill="1" applyBorder="1" applyAlignment="1">
      <alignment horizontal="center"/>
    </xf>
    <xf numFmtId="0" fontId="215" fillId="0" borderId="147" xfId="20397" applyFont="1" applyFill="1" applyBorder="1" applyAlignment="1">
      <alignment horizontal="center" wrapText="1"/>
    </xf>
    <xf numFmtId="0" fontId="215" fillId="0" borderId="146" xfId="20397" applyFont="1" applyFill="1" applyBorder="1" applyAlignment="1">
      <alignment horizontal="centerContinuous" vertical="center" wrapText="1"/>
    </xf>
    <xf numFmtId="0" fontId="215" fillId="0" borderId="147" xfId="20397" applyFont="1" applyFill="1" applyBorder="1" applyAlignment="1">
      <alignment horizontal="centerContinuous" vertical="center" wrapText="1"/>
    </xf>
    <xf numFmtId="248" fontId="214" fillId="0" borderId="0" xfId="20400" applyNumberFormat="1" applyFont="1" applyFill="1" applyBorder="1" applyAlignment="1">
      <alignment horizontal="right"/>
    </xf>
    <xf numFmtId="0" fontId="240" fillId="0" borderId="0" xfId="20397" applyFont="1" applyFill="1" applyBorder="1"/>
    <xf numFmtId="0" fontId="215" fillId="91" borderId="64" xfId="20397" applyFont="1" applyFill="1" applyBorder="1" applyAlignment="1">
      <alignment horizontal="center" wrapText="1"/>
    </xf>
    <xf numFmtId="0" fontId="215" fillId="91" borderId="155" xfId="20397" applyFont="1" applyFill="1" applyBorder="1" applyAlignment="1">
      <alignment horizontal="center" wrapText="1"/>
    </xf>
    <xf numFmtId="0" fontId="215" fillId="91" borderId="156" xfId="20397" applyFont="1" applyFill="1" applyBorder="1" applyAlignment="1">
      <alignment horizontal="center" wrapText="1"/>
    </xf>
    <xf numFmtId="0" fontId="215" fillId="91" borderId="13" xfId="20397" applyFont="1" applyFill="1" applyBorder="1" applyAlignment="1">
      <alignment horizontal="center" wrapText="1"/>
    </xf>
    <xf numFmtId="0" fontId="215" fillId="91" borderId="99" xfId="20397" applyFont="1" applyFill="1" applyBorder="1" applyAlignment="1">
      <alignment horizontal="center" wrapText="1"/>
    </xf>
    <xf numFmtId="0" fontId="215" fillId="0" borderId="155" xfId="20397" applyFont="1" applyFill="1" applyBorder="1" applyAlignment="1">
      <alignment horizontal="center" wrapText="1"/>
    </xf>
    <xf numFmtId="0" fontId="215" fillId="92" borderId="0" xfId="20397" applyFont="1" applyFill="1" applyBorder="1" applyAlignment="1">
      <alignment wrapText="1"/>
    </xf>
    <xf numFmtId="243" fontId="214" fillId="0" borderId="0" xfId="20401" applyNumberFormat="1" applyFont="1" applyBorder="1" applyAlignment="1">
      <alignment horizontal="right"/>
    </xf>
    <xf numFmtId="243" fontId="214" fillId="0" borderId="0" xfId="20400" applyNumberFormat="1" applyFont="1" applyBorder="1" applyAlignment="1">
      <alignment horizontal="right"/>
    </xf>
    <xf numFmtId="248" fontId="214" fillId="0" borderId="0" xfId="12427" applyNumberFormat="1" applyFont="1" applyBorder="1" applyAlignment="1">
      <alignment horizontal="right"/>
    </xf>
    <xf numFmtId="248" fontId="232" fillId="0" borderId="0" xfId="12427" applyNumberFormat="1" applyFont="1" applyFill="1" applyBorder="1" applyAlignment="1">
      <alignment horizontal="right"/>
    </xf>
    <xf numFmtId="14" fontId="214" fillId="0" borderId="0" xfId="20397" applyNumberFormat="1" applyFont="1" applyAlignment="1">
      <alignment horizontal="left"/>
    </xf>
    <xf numFmtId="248" fontId="214" fillId="0" borderId="0" xfId="12427" applyNumberFormat="1" applyFont="1" applyFill="1" applyAlignment="1">
      <alignment horizontal="center" wrapText="1"/>
    </xf>
    <xf numFmtId="248" fontId="232" fillId="0" borderId="0" xfId="12427" applyNumberFormat="1" applyFont="1" applyFill="1" applyAlignment="1">
      <alignment horizontal="center" wrapText="1"/>
    </xf>
    <xf numFmtId="248" fontId="214" fillId="0" borderId="0" xfId="12427" applyNumberFormat="1" applyFont="1" applyFill="1" applyAlignment="1">
      <alignment horizontal="right" wrapText="1"/>
    </xf>
    <xf numFmtId="248" fontId="214" fillId="0" borderId="0" xfId="12427" applyNumberFormat="1" applyFont="1" applyFill="1" applyBorder="1" applyAlignment="1">
      <alignment horizontal="right"/>
    </xf>
    <xf numFmtId="164" fontId="214" fillId="0" borderId="0" xfId="20397" applyNumberFormat="1" applyFont="1" applyBorder="1" applyAlignment="1">
      <alignment horizontal="center"/>
    </xf>
    <xf numFmtId="248" fontId="214" fillId="0" borderId="0" xfId="12427" applyNumberFormat="1" applyFont="1"/>
    <xf numFmtId="243" fontId="214" fillId="0" borderId="0" xfId="20400" applyNumberFormat="1" applyFont="1" applyFill="1" applyBorder="1" applyAlignment="1">
      <alignment horizontal="right"/>
    </xf>
    <xf numFmtId="14" fontId="214" fillId="0" borderId="0" xfId="20397" applyNumberFormat="1" applyFont="1" applyFill="1" applyAlignment="1">
      <alignment horizontal="left"/>
    </xf>
    <xf numFmtId="0" fontId="214" fillId="0" borderId="45" xfId="20397" applyFont="1" applyBorder="1"/>
    <xf numFmtId="0" fontId="214" fillId="0" borderId="45" xfId="20397" applyFont="1" applyBorder="1" applyAlignment="1">
      <alignment horizontal="right"/>
    </xf>
    <xf numFmtId="248" fontId="232" fillId="0" borderId="45" xfId="20400" applyNumberFormat="1" applyFont="1" applyFill="1" applyBorder="1" applyAlignment="1">
      <alignment horizontal="right"/>
    </xf>
    <xf numFmtId="234" fontId="214" fillId="0" borderId="0" xfId="0" applyNumberFormat="1" applyFont="1" applyBorder="1" applyAlignment="1">
      <alignment horizontal="right"/>
    </xf>
    <xf numFmtId="0" fontId="215" fillId="71" borderId="157" xfId="20397" applyFont="1" applyFill="1" applyBorder="1"/>
    <xf numFmtId="0" fontId="215" fillId="71" borderId="155" xfId="20397" applyFont="1" applyFill="1" applyBorder="1"/>
    <xf numFmtId="0" fontId="215" fillId="71" borderId="155" xfId="20397" applyFont="1" applyFill="1" applyBorder="1" applyAlignment="1">
      <alignment horizontal="right"/>
    </xf>
    <xf numFmtId="248" fontId="215" fillId="71" borderId="155" xfId="12427" applyNumberFormat="1" applyFont="1" applyFill="1" applyBorder="1" applyAlignment="1">
      <alignment horizontal="right"/>
    </xf>
    <xf numFmtId="248" fontId="215" fillId="71" borderId="156" xfId="12427" applyNumberFormat="1" applyFont="1" applyFill="1" applyBorder="1" applyAlignment="1">
      <alignment horizontal="right"/>
    </xf>
    <xf numFmtId="248" fontId="215" fillId="0" borderId="155" xfId="12427" applyNumberFormat="1" applyFont="1" applyBorder="1" applyAlignment="1">
      <alignment horizontal="right"/>
    </xf>
    <xf numFmtId="234" fontId="215" fillId="0" borderId="155" xfId="0" applyNumberFormat="1" applyFont="1" applyBorder="1" applyAlignment="1">
      <alignment horizontal="right"/>
    </xf>
    <xf numFmtId="234" fontId="215" fillId="0" borderId="156" xfId="0" applyNumberFormat="1" applyFont="1" applyBorder="1" applyAlignment="1">
      <alignment horizontal="right"/>
    </xf>
    <xf numFmtId="0" fontId="215" fillId="71" borderId="64" xfId="20397" applyFont="1" applyFill="1" applyBorder="1"/>
    <xf numFmtId="0" fontId="215" fillId="71" borderId="0" xfId="20397" applyFont="1" applyFill="1" applyBorder="1"/>
    <xf numFmtId="0" fontId="215" fillId="71" borderId="0" xfId="20397" applyFont="1" applyFill="1" applyBorder="1" applyAlignment="1">
      <alignment horizontal="right"/>
    </xf>
    <xf numFmtId="248" fontId="215" fillId="71" borderId="0" xfId="12427" applyNumberFormat="1" applyFont="1" applyFill="1" applyBorder="1" applyAlignment="1">
      <alignment horizontal="right"/>
    </xf>
    <xf numFmtId="248" fontId="215" fillId="71" borderId="13" xfId="12427" applyNumberFormat="1" applyFont="1" applyFill="1" applyBorder="1" applyAlignment="1">
      <alignment horizontal="right"/>
    </xf>
    <xf numFmtId="248" fontId="215" fillId="0" borderId="0" xfId="12427" applyNumberFormat="1" applyFont="1" applyBorder="1" applyAlignment="1">
      <alignment horizontal="right"/>
    </xf>
    <xf numFmtId="234" fontId="215" fillId="0" borderId="0" xfId="0" applyNumberFormat="1" applyFont="1" applyBorder="1" applyAlignment="1">
      <alignment horizontal="right"/>
    </xf>
    <xf numFmtId="234" fontId="215" fillId="0" borderId="13" xfId="0" applyNumberFormat="1" applyFont="1" applyBorder="1" applyAlignment="1">
      <alignment horizontal="right"/>
    </xf>
    <xf numFmtId="0" fontId="215" fillId="71" borderId="141" xfId="20397" applyFont="1" applyFill="1" applyBorder="1"/>
    <xf numFmtId="0" fontId="215" fillId="71" borderId="45" xfId="20397" applyFont="1" applyFill="1" applyBorder="1"/>
    <xf numFmtId="0" fontId="215" fillId="71" borderId="45" xfId="20397" applyFont="1" applyFill="1" applyBorder="1" applyAlignment="1">
      <alignment horizontal="right"/>
    </xf>
    <xf numFmtId="248" fontId="215" fillId="71" borderId="45" xfId="12427" applyNumberFormat="1" applyFont="1" applyFill="1" applyBorder="1" applyAlignment="1">
      <alignment horizontal="right"/>
    </xf>
    <xf numFmtId="248" fontId="215" fillId="71" borderId="99" xfId="12427" applyNumberFormat="1" applyFont="1" applyFill="1" applyBorder="1" applyAlignment="1">
      <alignment horizontal="right"/>
    </xf>
    <xf numFmtId="248" fontId="215" fillId="0" borderId="45" xfId="12427" applyNumberFormat="1" applyFont="1" applyBorder="1" applyAlignment="1">
      <alignment horizontal="right"/>
    </xf>
    <xf numFmtId="234" fontId="215" fillId="0" borderId="45" xfId="0" applyNumberFormat="1" applyFont="1" applyBorder="1" applyAlignment="1">
      <alignment horizontal="right"/>
    </xf>
    <xf numFmtId="234" fontId="215" fillId="0" borderId="99" xfId="0" applyNumberFormat="1" applyFont="1" applyBorder="1" applyAlignment="1">
      <alignment horizontal="right"/>
    </xf>
    <xf numFmtId="0" fontId="214" fillId="0" borderId="155" xfId="20397" applyFont="1" applyBorder="1"/>
    <xf numFmtId="0" fontId="214" fillId="0" borderId="155" xfId="20397" applyFont="1" applyBorder="1" applyAlignment="1">
      <alignment horizontal="right"/>
    </xf>
    <xf numFmtId="0" fontId="215" fillId="91" borderId="157" xfId="20397" applyFont="1" applyFill="1" applyBorder="1" applyAlignment="1">
      <alignment horizontal="center" wrapText="1"/>
    </xf>
    <xf numFmtId="248" fontId="215" fillId="0" borderId="0" xfId="20397" applyNumberFormat="1" applyFont="1" applyFill="1" applyBorder="1" applyAlignment="1">
      <alignment horizontal="center" wrapText="1"/>
    </xf>
    <xf numFmtId="243" fontId="214" fillId="0" borderId="0" xfId="0" applyNumberFormat="1" applyFont="1" applyFill="1" applyAlignment="1"/>
    <xf numFmtId="248" fontId="214" fillId="0" borderId="0" xfId="12427" applyNumberFormat="1" applyFont="1" applyFill="1" applyBorder="1" applyAlignment="1">
      <alignment horizontal="center"/>
    </xf>
    <xf numFmtId="248" fontId="214" fillId="74" borderId="0" xfId="12427" applyNumberFormat="1" applyFont="1" applyFill="1" applyBorder="1" applyAlignment="1">
      <alignment horizontal="right"/>
    </xf>
    <xf numFmtId="164" fontId="214" fillId="74" borderId="0" xfId="20397" applyNumberFormat="1" applyFont="1" applyFill="1" applyAlignment="1">
      <alignment horizontal="left"/>
    </xf>
    <xf numFmtId="248" fontId="232" fillId="0" borderId="0" xfId="12427" applyNumberFormat="1" applyFont="1" applyAlignment="1">
      <alignment horizontal="center" wrapText="1"/>
    </xf>
    <xf numFmtId="0" fontId="214" fillId="0" borderId="0" xfId="20397" applyFont="1" applyFill="1" applyBorder="1" applyAlignment="1">
      <alignment wrapText="1"/>
    </xf>
    <xf numFmtId="0" fontId="215" fillId="71" borderId="157" xfId="11807" applyFont="1" applyFill="1" applyBorder="1"/>
    <xf numFmtId="0" fontId="214" fillId="71" borderId="155" xfId="11807" applyFont="1" applyFill="1" applyBorder="1"/>
    <xf numFmtId="167" fontId="215" fillId="71" borderId="155" xfId="12427" applyNumberFormat="1" applyFont="1" applyFill="1" applyBorder="1"/>
    <xf numFmtId="167" fontId="215" fillId="71" borderId="156" xfId="12427" applyNumberFormat="1" applyFont="1" applyFill="1" applyBorder="1"/>
    <xf numFmtId="243" fontId="214" fillId="0" borderId="148" xfId="0" applyNumberFormat="1" applyFont="1" applyFill="1" applyBorder="1" applyAlignment="1">
      <alignment horizontal="right"/>
    </xf>
    <xf numFmtId="243" fontId="214" fillId="0" borderId="148" xfId="16218" applyNumberFormat="1" applyFont="1" applyBorder="1" applyAlignment="1">
      <alignment horizontal="right"/>
    </xf>
    <xf numFmtId="248" fontId="215" fillId="71" borderId="155" xfId="12427" applyNumberFormat="1" applyFont="1" applyFill="1" applyBorder="1"/>
    <xf numFmtId="248" fontId="215" fillId="71" borderId="156" xfId="12427" applyNumberFormat="1" applyFont="1" applyFill="1" applyBorder="1"/>
    <xf numFmtId="248" fontId="215" fillId="0" borderId="162" xfId="12427" applyNumberFormat="1" applyFont="1" applyBorder="1" applyAlignment="1">
      <alignment horizontal="right"/>
    </xf>
    <xf numFmtId="248" fontId="215" fillId="71" borderId="0" xfId="12427" applyNumberFormat="1" applyFont="1" applyFill="1" applyBorder="1"/>
    <xf numFmtId="248" fontId="215" fillId="71" borderId="13" xfId="12427" applyNumberFormat="1" applyFont="1" applyFill="1" applyBorder="1"/>
    <xf numFmtId="248" fontId="215" fillId="0" borderId="51" xfId="12427" applyNumberFormat="1" applyFont="1" applyBorder="1" applyAlignment="1">
      <alignment horizontal="right"/>
    </xf>
    <xf numFmtId="248" fontId="215" fillId="71" borderId="45" xfId="12427" applyNumberFormat="1" applyFont="1" applyFill="1" applyBorder="1"/>
    <xf numFmtId="248" fontId="215" fillId="71" borderId="99" xfId="12427" applyNumberFormat="1" applyFont="1" applyFill="1" applyBorder="1"/>
    <xf numFmtId="248" fontId="215" fillId="0" borderId="142" xfId="12427" applyNumberFormat="1" applyFont="1" applyBorder="1" applyAlignment="1">
      <alignment horizontal="right"/>
    </xf>
    <xf numFmtId="0" fontId="214" fillId="0" borderId="0" xfId="20386" applyFont="1" applyBorder="1"/>
    <xf numFmtId="0" fontId="214" fillId="0" borderId="0" xfId="20386" applyFont="1" applyBorder="1" applyAlignment="1">
      <alignment horizontal="right"/>
    </xf>
    <xf numFmtId="0" fontId="214" fillId="0" borderId="129" xfId="20386" applyFont="1" applyBorder="1" applyAlignment="1">
      <alignment horizontal="right"/>
    </xf>
    <xf numFmtId="0" fontId="215" fillId="74" borderId="0" xfId="0" applyFont="1" applyFill="1" applyAlignment="1">
      <alignment horizontal="left"/>
    </xf>
    <xf numFmtId="0" fontId="215" fillId="0" borderId="0" xfId="0" applyFont="1" applyFill="1" applyAlignment="1">
      <alignment horizontal="centerContinuous"/>
    </xf>
    <xf numFmtId="0" fontId="215" fillId="74" borderId="0" xfId="0" applyFont="1" applyFill="1" applyAlignment="1">
      <alignment horizontal="centerContinuous"/>
    </xf>
    <xf numFmtId="0" fontId="226" fillId="72" borderId="82" xfId="0" applyFont="1" applyFill="1" applyBorder="1" applyAlignment="1">
      <alignment wrapText="1"/>
    </xf>
    <xf numFmtId="0" fontId="226" fillId="72" borderId="81" xfId="0" applyFont="1" applyFill="1" applyBorder="1" applyAlignment="1">
      <alignment horizontal="right" wrapText="1"/>
    </xf>
    <xf numFmtId="0" fontId="226" fillId="0" borderId="0" xfId="0" applyFont="1" applyFill="1" applyBorder="1" applyAlignment="1">
      <alignment horizontal="center" wrapText="1"/>
    </xf>
    <xf numFmtId="0" fontId="226" fillId="72" borderId="82" xfId="0" applyFont="1" applyFill="1" applyBorder="1" applyAlignment="1">
      <alignment horizontal="centerContinuous" wrapText="1"/>
    </xf>
    <xf numFmtId="0" fontId="226" fillId="72" borderId="69" xfId="0" applyFont="1" applyFill="1" applyBorder="1" applyAlignment="1">
      <alignment horizontal="centerContinuous" wrapText="1"/>
    </xf>
    <xf numFmtId="165" fontId="232" fillId="0" borderId="0" xfId="12422" applyNumberFormat="1" applyFont="1" applyBorder="1" applyAlignment="1">
      <alignment vertical="top"/>
    </xf>
    <xf numFmtId="0" fontId="215" fillId="0" borderId="18" xfId="0" applyFont="1" applyBorder="1"/>
    <xf numFmtId="168" fontId="215" fillId="0" borderId="18" xfId="0" applyNumberFormat="1" applyFont="1" applyBorder="1"/>
    <xf numFmtId="168" fontId="214" fillId="0" borderId="0" xfId="0" applyNumberFormat="1" applyFont="1" applyFill="1"/>
    <xf numFmtId="168" fontId="215" fillId="0" borderId="18" xfId="0" applyNumberFormat="1" applyFont="1" applyFill="1" applyBorder="1" applyAlignment="1">
      <alignment horizontal="right" wrapText="1"/>
    </xf>
    <xf numFmtId="165" fontId="221" fillId="0" borderId="0" xfId="12422" applyNumberFormat="1" applyFont="1" applyFill="1"/>
    <xf numFmtId="165" fontId="227" fillId="0" borderId="0" xfId="12422" applyNumberFormat="1" applyFont="1" applyFill="1" applyBorder="1"/>
    <xf numFmtId="168" fontId="214" fillId="0" borderId="0" xfId="0" applyNumberFormat="1" applyFont="1" applyFill="1" applyBorder="1"/>
    <xf numFmtId="0" fontId="215" fillId="74" borderId="18" xfId="0" applyFont="1" applyFill="1" applyBorder="1"/>
    <xf numFmtId="165" fontId="221" fillId="0" borderId="0" xfId="12422" applyNumberFormat="1" applyFont="1" applyFill="1" applyBorder="1"/>
    <xf numFmtId="165" fontId="221" fillId="0" borderId="0" xfId="0" applyNumberFormat="1" applyFont="1" applyAlignment="1">
      <alignment horizontal="right" indent="1"/>
    </xf>
    <xf numFmtId="165" fontId="221" fillId="0" borderId="0" xfId="0" applyNumberFormat="1" applyFont="1" applyFill="1" applyAlignment="1">
      <alignment horizontal="right" indent="1"/>
    </xf>
    <xf numFmtId="0" fontId="214" fillId="0" borderId="0" xfId="0" applyFont="1" applyAlignment="1">
      <alignment horizontal="right" indent="1"/>
    </xf>
    <xf numFmtId="0" fontId="214" fillId="0" borderId="0" xfId="0" applyFont="1" applyFill="1" applyAlignment="1">
      <alignment horizontal="right" indent="1"/>
    </xf>
    <xf numFmtId="0" fontId="215" fillId="0" borderId="18" xfId="0" applyFont="1" applyBorder="1" applyAlignment="1">
      <alignment horizontal="right" indent="1"/>
    </xf>
    <xf numFmtId="0" fontId="226" fillId="72" borderId="82" xfId="0" applyFont="1" applyFill="1" applyBorder="1" applyAlignment="1"/>
    <xf numFmtId="0" fontId="226" fillId="72" borderId="69" xfId="0" applyFont="1" applyFill="1" applyBorder="1" applyAlignment="1">
      <alignment horizontal="left" wrapText="1"/>
    </xf>
    <xf numFmtId="0" fontId="226" fillId="72" borderId="82" xfId="0" applyFont="1" applyFill="1" applyBorder="1" applyAlignment="1">
      <alignment horizontal="left" wrapText="1"/>
    </xf>
    <xf numFmtId="0" fontId="215" fillId="71" borderId="70" xfId="0" applyFont="1" applyFill="1" applyBorder="1"/>
    <xf numFmtId="0" fontId="215" fillId="71" borderId="102" xfId="0" applyFont="1" applyFill="1" applyBorder="1"/>
    <xf numFmtId="0" fontId="214" fillId="71" borderId="102" xfId="0" applyFont="1" applyFill="1" applyBorder="1"/>
    <xf numFmtId="165" fontId="214" fillId="71" borderId="102" xfId="0" applyNumberFormat="1" applyFont="1" applyFill="1" applyBorder="1"/>
    <xf numFmtId="165" fontId="214" fillId="71" borderId="102" xfId="0" quotePrefix="1" applyNumberFormat="1" applyFont="1" applyFill="1" applyBorder="1"/>
    <xf numFmtId="165" fontId="230" fillId="71" borderId="103" xfId="0" applyNumberFormat="1" applyFont="1" applyFill="1" applyBorder="1"/>
    <xf numFmtId="0" fontId="214" fillId="71" borderId="102" xfId="0" quotePrefix="1" applyFont="1" applyFill="1" applyBorder="1"/>
    <xf numFmtId="165" fontId="215" fillId="71" borderId="45" xfId="12422" applyNumberFormat="1" applyFont="1" applyFill="1" applyBorder="1"/>
    <xf numFmtId="0" fontId="215" fillId="74" borderId="0" xfId="0" applyFont="1" applyFill="1" applyAlignment="1">
      <alignment horizontal="center"/>
    </xf>
    <xf numFmtId="43" fontId="255" fillId="0" borderId="0" xfId="11155" applyFont="1" applyFill="1" applyBorder="1" applyAlignment="1"/>
    <xf numFmtId="0" fontId="226" fillId="72" borderId="158" xfId="0" applyFont="1" applyFill="1" applyBorder="1" applyAlignment="1">
      <alignment wrapText="1"/>
    </xf>
    <xf numFmtId="0" fontId="226" fillId="72" borderId="159" xfId="0" applyFont="1" applyFill="1" applyBorder="1" applyAlignment="1">
      <alignment wrapText="1"/>
    </xf>
    <xf numFmtId="165" fontId="232" fillId="0" borderId="0" xfId="0" applyNumberFormat="1" applyFont="1" applyAlignment="1">
      <alignment horizontal="right"/>
    </xf>
    <xf numFmtId="165" fontId="227" fillId="74" borderId="0" xfId="12422" applyNumberFormat="1" applyFont="1" applyFill="1" applyAlignment="1">
      <alignment horizontal="right"/>
    </xf>
    <xf numFmtId="41" fontId="214" fillId="0" borderId="0" xfId="0" applyNumberFormat="1" applyFont="1" applyAlignment="1">
      <alignment horizontal="right"/>
    </xf>
    <xf numFmtId="8" fontId="227" fillId="74" borderId="0" xfId="0" applyNumberFormat="1" applyFont="1" applyFill="1" applyAlignment="1">
      <alignment horizontal="right"/>
    </xf>
    <xf numFmtId="41" fontId="214" fillId="0" borderId="0" xfId="0" applyNumberFormat="1" applyFont="1"/>
    <xf numFmtId="0" fontId="214" fillId="73" borderId="0" xfId="0" applyFont="1" applyFill="1" applyAlignment="1">
      <alignment horizontal="center"/>
    </xf>
    <xf numFmtId="169" fontId="227" fillId="74" borderId="0" xfId="0" applyNumberFormat="1" applyFont="1" applyFill="1"/>
    <xf numFmtId="169" fontId="227" fillId="74" borderId="45" xfId="0" applyNumberFormat="1" applyFont="1" applyFill="1" applyBorder="1"/>
    <xf numFmtId="0" fontId="214" fillId="73" borderId="161" xfId="0" applyFont="1" applyFill="1" applyBorder="1" applyAlignment="1">
      <alignment horizontal="center"/>
    </xf>
    <xf numFmtId="167" fontId="214" fillId="0" borderId="161" xfId="12427" applyNumberFormat="1" applyFont="1" applyBorder="1"/>
    <xf numFmtId="43" fontId="214" fillId="0" borderId="0" xfId="0" applyNumberFormat="1" applyFont="1" applyAlignment="1">
      <alignment horizontal="right"/>
    </xf>
    <xf numFmtId="0" fontId="215" fillId="0" borderId="162" xfId="0" applyFont="1" applyBorder="1" applyAlignment="1">
      <alignment horizontal="right"/>
    </xf>
    <xf numFmtId="167" fontId="227" fillId="0" borderId="142" xfId="12427" applyNumberFormat="1" applyFont="1" applyBorder="1"/>
    <xf numFmtId="8" fontId="221" fillId="0" borderId="0" xfId="0" applyNumberFormat="1" applyFont="1" applyBorder="1"/>
    <xf numFmtId="0" fontId="231" fillId="0" borderId="158" xfId="0" applyFont="1" applyFill="1" applyBorder="1"/>
    <xf numFmtId="0" fontId="215" fillId="0" borderId="159" xfId="0" applyFont="1" applyFill="1" applyBorder="1" applyAlignment="1"/>
    <xf numFmtId="0" fontId="215" fillId="0" borderId="160" xfId="0" applyFont="1" applyFill="1" applyBorder="1" applyAlignment="1"/>
    <xf numFmtId="0" fontId="215" fillId="0" borderId="0" xfId="20402" applyFont="1" applyBorder="1" applyAlignment="1">
      <alignment horizontal="left" indent="1"/>
    </xf>
    <xf numFmtId="8" fontId="216" fillId="0" borderId="0" xfId="0" applyNumberFormat="1" applyFont="1" applyBorder="1"/>
    <xf numFmtId="0" fontId="215" fillId="74" borderId="0" xfId="20402" applyFont="1" applyFill="1" applyBorder="1" applyAlignment="1">
      <alignment horizontal="left" indent="1"/>
    </xf>
    <xf numFmtId="8" fontId="227" fillId="0" borderId="0" xfId="0" applyNumberFormat="1" applyFont="1" applyBorder="1"/>
    <xf numFmtId="167" fontId="221" fillId="0" borderId="0" xfId="12427" applyNumberFormat="1" applyFont="1" applyBorder="1"/>
    <xf numFmtId="248" fontId="221" fillId="0" borderId="0" xfId="12427" applyNumberFormat="1" applyFont="1" applyBorder="1"/>
    <xf numFmtId="0" fontId="214" fillId="0" borderId="0" xfId="0" applyFont="1" applyAlignment="1">
      <alignment horizontal="left" vertical="center" wrapText="1"/>
    </xf>
    <xf numFmtId="0" fontId="229" fillId="0" borderId="0" xfId="20402" applyFont="1" applyBorder="1" applyAlignment="1">
      <alignment horizontal="left"/>
    </xf>
    <xf numFmtId="0" fontId="214" fillId="0" borderId="0" xfId="20402" quotePrefix="1" applyFont="1" applyBorder="1" applyAlignment="1">
      <alignment horizontal="left"/>
    </xf>
    <xf numFmtId="0" fontId="214" fillId="0" borderId="0" xfId="0" applyFont="1" applyAlignment="1">
      <alignment horizontal="left" indent="3"/>
    </xf>
    <xf numFmtId="43" fontId="240" fillId="87" borderId="178" xfId="0" applyNumberFormat="1" applyFont="1" applyFill="1" applyBorder="1"/>
    <xf numFmtId="0" fontId="214" fillId="0" borderId="173" xfId="0" applyFont="1" applyBorder="1"/>
    <xf numFmtId="0" fontId="229" fillId="0" borderId="0" xfId="0" applyFont="1" applyAlignment="1">
      <alignment horizontal="center"/>
    </xf>
    <xf numFmtId="0" fontId="214" fillId="0" borderId="45" xfId="0" applyNumberFormat="1" applyFont="1" applyBorder="1"/>
    <xf numFmtId="165" fontId="215" fillId="0" borderId="0" xfId="0" applyNumberFormat="1" applyFont="1"/>
    <xf numFmtId="0" fontId="240" fillId="72" borderId="177" xfId="0" applyFont="1" applyFill="1" applyBorder="1"/>
    <xf numFmtId="0" fontId="240" fillId="72" borderId="178" xfId="0" applyFont="1" applyFill="1" applyBorder="1"/>
    <xf numFmtId="0" fontId="240" fillId="72" borderId="179" xfId="0" applyFont="1" applyFill="1" applyBorder="1"/>
    <xf numFmtId="43" fontId="214" fillId="0" borderId="0" xfId="12427" applyFont="1"/>
    <xf numFmtId="0" fontId="232" fillId="0" borderId="31" xfId="0" applyFont="1" applyBorder="1" applyAlignment="1">
      <alignment horizontal="center"/>
    </xf>
    <xf numFmtId="0" fontId="216" fillId="0" borderId="32" xfId="0" applyFont="1" applyBorder="1"/>
    <xf numFmtId="169" fontId="228" fillId="0" borderId="161" xfId="0" applyNumberFormat="1" applyFont="1" applyBorder="1"/>
    <xf numFmtId="169" fontId="228" fillId="0" borderId="165" xfId="0" applyNumberFormat="1" applyFont="1" applyBorder="1"/>
    <xf numFmtId="43" fontId="232" fillId="74" borderId="0" xfId="0" quotePrefix="1" applyNumberFormat="1" applyFont="1" applyFill="1" applyAlignment="1">
      <alignment horizontal="center"/>
    </xf>
    <xf numFmtId="10" fontId="228" fillId="0" borderId="0" xfId="0" applyNumberFormat="1" applyFont="1" applyBorder="1" applyAlignment="1">
      <alignment horizontal="right"/>
    </xf>
    <xf numFmtId="10" fontId="228" fillId="0" borderId="13" xfId="0" applyNumberFormat="1" applyFont="1" applyBorder="1" applyAlignment="1">
      <alignment horizontal="right"/>
    </xf>
    <xf numFmtId="165" fontId="228" fillId="0" borderId="0" xfId="0" applyNumberFormat="1" applyFont="1" applyBorder="1"/>
    <xf numFmtId="165" fontId="228" fillId="0" borderId="13" xfId="0" applyNumberFormat="1" applyFont="1" applyBorder="1"/>
    <xf numFmtId="43" fontId="232" fillId="0" borderId="0" xfId="0" applyNumberFormat="1" applyFont="1" applyFill="1" applyAlignment="1">
      <alignment horizontal="center"/>
    </xf>
    <xf numFmtId="8" fontId="214" fillId="0" borderId="161" xfId="0" applyNumberFormat="1" applyFont="1" applyBorder="1"/>
    <xf numFmtId="8" fontId="214" fillId="0" borderId="165" xfId="0" applyNumberFormat="1" applyFont="1" applyBorder="1"/>
    <xf numFmtId="169" fontId="214" fillId="0" borderId="161" xfId="0" applyNumberFormat="1" applyFont="1" applyBorder="1"/>
    <xf numFmtId="169" fontId="214" fillId="0" borderId="165" xfId="0" applyNumberFormat="1" applyFont="1" applyBorder="1"/>
    <xf numFmtId="0" fontId="214" fillId="0" borderId="0" xfId="0" quotePrefix="1" applyFont="1" applyAlignment="1">
      <alignment horizontal="left" indent="1"/>
    </xf>
    <xf numFmtId="165" fontId="227" fillId="0" borderId="163" xfId="12422" applyNumberFormat="1" applyFont="1" applyBorder="1"/>
    <xf numFmtId="0" fontId="226" fillId="72" borderId="164" xfId="0" applyFont="1" applyFill="1" applyBorder="1" applyAlignment="1">
      <alignment horizontal="centerContinuous"/>
    </xf>
    <xf numFmtId="0" fontId="226" fillId="72" borderId="161" xfId="0" applyFont="1" applyFill="1" applyBorder="1" applyAlignment="1">
      <alignment horizontal="centerContinuous"/>
    </xf>
    <xf numFmtId="0" fontId="226" fillId="72" borderId="165" xfId="0" applyFont="1" applyFill="1" applyBorder="1" applyAlignment="1">
      <alignment horizontal="centerContinuous"/>
    </xf>
    <xf numFmtId="43" fontId="214" fillId="0" borderId="158" xfId="0" applyNumberFormat="1" applyFont="1" applyBorder="1" applyAlignment="1">
      <alignment horizontal="right"/>
    </xf>
    <xf numFmtId="43" fontId="214" fillId="0" borderId="159" xfId="0" applyNumberFormat="1" applyFont="1" applyBorder="1" applyAlignment="1">
      <alignment horizontal="right"/>
    </xf>
    <xf numFmtId="43" fontId="214" fillId="0" borderId="160" xfId="0" applyNumberFormat="1" applyFont="1" applyBorder="1" applyAlignment="1">
      <alignment horizontal="right"/>
    </xf>
    <xf numFmtId="0" fontId="226" fillId="72" borderId="141" xfId="0" applyFont="1" applyFill="1" applyBorder="1" applyAlignment="1">
      <alignment horizontal="centerContinuous"/>
    </xf>
    <xf numFmtId="0" fontId="226" fillId="72" borderId="45" xfId="0" applyFont="1" applyFill="1" applyBorder="1" applyAlignment="1">
      <alignment horizontal="centerContinuous"/>
    </xf>
    <xf numFmtId="0" fontId="226" fillId="72" borderId="99" xfId="0" applyFont="1" applyFill="1" applyBorder="1" applyAlignment="1">
      <alignment horizontal="centerContinuous"/>
    </xf>
    <xf numFmtId="167" fontId="214" fillId="0" borderId="64" xfId="12427" applyNumberFormat="1" applyFont="1" applyBorder="1"/>
    <xf numFmtId="43" fontId="214" fillId="0" borderId="0" xfId="0" applyNumberFormat="1" applyFont="1" applyBorder="1"/>
    <xf numFmtId="165" fontId="214" fillId="0" borderId="0" xfId="12422" applyNumberFormat="1" applyFont="1" applyBorder="1"/>
    <xf numFmtId="165" fontId="214" fillId="0" borderId="13" xfId="12422" applyNumberFormat="1" applyFont="1" applyBorder="1"/>
    <xf numFmtId="0" fontId="214" fillId="0" borderId="64" xfId="0" applyNumberFormat="1" applyFont="1" applyBorder="1"/>
    <xf numFmtId="0" fontId="214" fillId="0" borderId="0" xfId="0" applyNumberFormat="1" applyFont="1" applyBorder="1"/>
    <xf numFmtId="0" fontId="214" fillId="0" borderId="13" xfId="0" applyNumberFormat="1" applyFont="1" applyBorder="1"/>
    <xf numFmtId="0" fontId="214" fillId="0" borderId="141" xfId="0" applyNumberFormat="1" applyFont="1" applyBorder="1"/>
    <xf numFmtId="0" fontId="214" fillId="0" borderId="99" xfId="0" applyNumberFormat="1" applyFont="1" applyBorder="1"/>
    <xf numFmtId="167" fontId="215" fillId="0" borderId="158" xfId="12427" applyNumberFormat="1" applyFont="1" applyBorder="1"/>
    <xf numFmtId="43" fontId="215" fillId="0" borderId="159" xfId="12427" applyFont="1" applyBorder="1"/>
    <xf numFmtId="165" fontId="215" fillId="0" borderId="159" xfId="12422" applyNumberFormat="1" applyFont="1" applyBorder="1"/>
    <xf numFmtId="165" fontId="215" fillId="0" borderId="160" xfId="12422" applyNumberFormat="1" applyFont="1" applyBorder="1"/>
    <xf numFmtId="165" fontId="227" fillId="0" borderId="0" xfId="12422" applyNumberFormat="1" applyFont="1" applyBorder="1"/>
    <xf numFmtId="43" fontId="214" fillId="0" borderId="0" xfId="0" applyNumberFormat="1" applyFont="1" applyBorder="1" applyAlignment="1">
      <alignment horizontal="right"/>
    </xf>
    <xf numFmtId="43" fontId="215" fillId="0" borderId="0" xfId="12427" applyFont="1" applyBorder="1"/>
    <xf numFmtId="165" fontId="215" fillId="0" borderId="0" xfId="12422" applyNumberFormat="1" applyFont="1" applyBorder="1"/>
    <xf numFmtId="0" fontId="214" fillId="0" borderId="97" xfId="0" applyFont="1" applyBorder="1"/>
    <xf numFmtId="14" fontId="214" fillId="0" borderId="98" xfId="0" applyNumberFormat="1" applyFont="1" applyBorder="1" applyAlignment="1">
      <alignment horizontal="right"/>
    </xf>
    <xf numFmtId="0" fontId="221" fillId="0" borderId="99" xfId="0" applyFont="1" applyBorder="1" applyAlignment="1">
      <alignment horizontal="right"/>
    </xf>
    <xf numFmtId="14" fontId="226" fillId="72" borderId="101" xfId="0" applyNumberFormat="1" applyFont="1" applyFill="1" applyBorder="1" applyAlignment="1">
      <alignment horizontal="centerContinuous"/>
    </xf>
    <xf numFmtId="0" fontId="226" fillId="72" borderId="102" xfId="0" applyFont="1" applyFill="1" applyBorder="1" applyAlignment="1">
      <alignment horizontal="centerContinuous"/>
    </xf>
    <xf numFmtId="0" fontId="226" fillId="72" borderId="101" xfId="0" applyFont="1" applyFill="1" applyBorder="1" applyAlignment="1">
      <alignment horizontal="centerContinuous"/>
    </xf>
    <xf numFmtId="9" fontId="221" fillId="0" borderId="171" xfId="0" applyNumberFormat="1" applyFont="1" applyBorder="1" applyAlignment="1">
      <alignment horizontal="right"/>
    </xf>
    <xf numFmtId="0" fontId="231" fillId="0" borderId="120" xfId="0" applyFont="1" applyFill="1" applyBorder="1" applyAlignment="1">
      <alignment horizontal="left"/>
    </xf>
    <xf numFmtId="0" fontId="231" fillId="0" borderId="0" xfId="0" applyFont="1" applyFill="1" applyBorder="1" applyAlignment="1">
      <alignment horizontal="left"/>
    </xf>
    <xf numFmtId="0" fontId="231" fillId="0" borderId="121" xfId="0" applyFont="1" applyFill="1" applyBorder="1" applyAlignment="1">
      <alignment horizontal="right" wrapText="1"/>
    </xf>
    <xf numFmtId="0" fontId="215" fillId="0" borderId="83" xfId="0" applyFont="1" applyFill="1" applyBorder="1" applyAlignment="1">
      <alignment horizontal="right" wrapText="1"/>
    </xf>
    <xf numFmtId="0" fontId="215" fillId="0" borderId="69" xfId="0" applyFont="1" applyFill="1" applyBorder="1" applyAlignment="1">
      <alignment horizontal="right" wrapText="1"/>
    </xf>
    <xf numFmtId="0" fontId="214" fillId="0" borderId="51" xfId="0" applyFont="1" applyBorder="1" applyAlignment="1">
      <alignment horizontal="right" wrapText="1"/>
    </xf>
    <xf numFmtId="0" fontId="263" fillId="0" borderId="0" xfId="0" applyFont="1" applyFill="1" applyBorder="1"/>
    <xf numFmtId="0" fontId="222" fillId="0" borderId="0" xfId="0" applyFont="1"/>
    <xf numFmtId="0" fontId="215" fillId="71" borderId="101" xfId="0" applyFont="1" applyFill="1" applyBorder="1"/>
    <xf numFmtId="0" fontId="215" fillId="71" borderId="119" xfId="0" applyFont="1" applyFill="1" applyBorder="1"/>
    <xf numFmtId="169" fontId="215" fillId="71" borderId="102" xfId="0" applyNumberFormat="1" applyFont="1" applyFill="1" applyBorder="1"/>
    <xf numFmtId="165" fontId="215" fillId="71" borderId="102" xfId="12422" applyNumberFormat="1" applyFont="1" applyFill="1" applyBorder="1"/>
    <xf numFmtId="165" fontId="215" fillId="71" borderId="123" xfId="12422" applyNumberFormat="1" applyFont="1" applyFill="1" applyBorder="1"/>
    <xf numFmtId="165" fontId="215" fillId="71" borderId="13" xfId="12422" applyNumberFormat="1" applyFont="1" applyFill="1" applyBorder="1"/>
    <xf numFmtId="164" fontId="227" fillId="0" borderId="0" xfId="0" applyNumberFormat="1" applyFont="1" applyAlignment="1">
      <alignment horizontal="right"/>
    </xf>
    <xf numFmtId="14" fontId="232" fillId="0" borderId="0" xfId="0" applyNumberFormat="1" applyFont="1" applyAlignment="1">
      <alignment horizontal="right"/>
    </xf>
    <xf numFmtId="0" fontId="221" fillId="0" borderId="0" xfId="0" applyFont="1" applyAlignment="1">
      <alignment horizontal="right" wrapText="1"/>
    </xf>
    <xf numFmtId="0" fontId="232" fillId="0" borderId="0" xfId="0" applyFont="1" applyAlignment="1">
      <alignment horizontal="right" wrapText="1"/>
    </xf>
    <xf numFmtId="192" fontId="227" fillId="0" borderId="0" xfId="0" applyNumberFormat="1" applyFont="1" applyAlignment="1">
      <alignment horizontal="right"/>
    </xf>
    <xf numFmtId="192" fontId="232" fillId="0" borderId="0" xfId="0" applyNumberFormat="1" applyFont="1" applyAlignment="1">
      <alignment horizontal="right"/>
    </xf>
    <xf numFmtId="192" fontId="214" fillId="0" borderId="0" xfId="0" applyNumberFormat="1" applyFont="1" applyAlignment="1">
      <alignment horizontal="right"/>
    </xf>
    <xf numFmtId="342" fontId="227" fillId="0" borderId="0" xfId="0" applyNumberFormat="1" applyFont="1" applyAlignment="1">
      <alignment horizontal="right"/>
    </xf>
    <xf numFmtId="342" fontId="232" fillId="0" borderId="0" xfId="0" applyNumberFormat="1" applyFont="1" applyAlignment="1">
      <alignment horizontal="right"/>
    </xf>
    <xf numFmtId="165" fontId="227" fillId="0" borderId="0" xfId="12422" applyNumberFormat="1" applyFont="1" applyAlignment="1">
      <alignment horizontal="right"/>
    </xf>
    <xf numFmtId="165" fontId="232" fillId="0" borderId="0" xfId="12422" applyNumberFormat="1" applyFont="1" applyAlignment="1">
      <alignment horizontal="right"/>
    </xf>
    <xf numFmtId="0" fontId="241" fillId="0" borderId="0" xfId="0" applyFont="1"/>
    <xf numFmtId="191" fontId="227" fillId="0" borderId="0" xfId="0" applyNumberFormat="1" applyFont="1" applyAlignment="1">
      <alignment horizontal="right"/>
    </xf>
    <xf numFmtId="191" fontId="232" fillId="0" borderId="0" xfId="0" applyNumberFormat="1" applyFont="1" applyAlignment="1">
      <alignment horizontal="right"/>
    </xf>
    <xf numFmtId="164" fontId="227" fillId="74" borderId="0" xfId="0" applyNumberFormat="1" applyFont="1" applyFill="1" applyAlignment="1">
      <alignment horizontal="right"/>
    </xf>
    <xf numFmtId="0" fontId="214" fillId="74" borderId="0" xfId="0" applyFont="1" applyFill="1" applyAlignment="1">
      <alignment horizontal="right"/>
    </xf>
    <xf numFmtId="167" fontId="227" fillId="74" borderId="0" xfId="12427" applyNumberFormat="1" applyFont="1" applyFill="1" applyAlignment="1">
      <alignment horizontal="right"/>
    </xf>
    <xf numFmtId="167" fontId="232" fillId="0" borderId="0" xfId="12427" applyNumberFormat="1" applyFont="1" applyAlignment="1">
      <alignment horizontal="right"/>
    </xf>
    <xf numFmtId="234" fontId="227" fillId="74" borderId="0" xfId="12427" applyNumberFormat="1" applyFont="1" applyFill="1" applyAlignment="1">
      <alignment horizontal="right"/>
    </xf>
    <xf numFmtId="234" fontId="232" fillId="0" borderId="0" xfId="12427" applyNumberFormat="1" applyFont="1" applyAlignment="1">
      <alignment horizontal="right"/>
    </xf>
    <xf numFmtId="9" fontId="214" fillId="74" borderId="0" xfId="12422" applyFont="1" applyFill="1" applyAlignment="1">
      <alignment horizontal="right"/>
    </xf>
    <xf numFmtId="9" fontId="232" fillId="0" borderId="0" xfId="12422" applyFont="1" applyAlignment="1">
      <alignment horizontal="right"/>
    </xf>
    <xf numFmtId="243" fontId="227" fillId="74" borderId="0" xfId="20305" applyNumberFormat="1" applyFont="1" applyFill="1" applyAlignment="1">
      <alignment horizontal="right"/>
    </xf>
    <xf numFmtId="243" fontId="232" fillId="0" borderId="0" xfId="20305" applyNumberFormat="1" applyFont="1" applyAlignment="1">
      <alignment horizontal="right"/>
    </xf>
    <xf numFmtId="1" fontId="231" fillId="0" borderId="69" xfId="0" applyNumberFormat="1" applyFont="1" applyFill="1" applyBorder="1" applyAlignment="1">
      <alignment horizontal="right" wrapText="1"/>
    </xf>
    <xf numFmtId="0" fontId="263" fillId="0" borderId="105" xfId="0" applyFont="1" applyFill="1" applyBorder="1" applyAlignment="1">
      <alignment horizontal="centerContinuous"/>
    </xf>
    <xf numFmtId="169" fontId="215" fillId="0" borderId="106" xfId="0" applyNumberFormat="1" applyFont="1" applyFill="1" applyBorder="1" applyAlignment="1">
      <alignment horizontal="centerContinuous"/>
    </xf>
    <xf numFmtId="0" fontId="263" fillId="0" borderId="106" xfId="0" applyFont="1" applyFill="1" applyBorder="1" applyAlignment="1">
      <alignment horizontal="centerContinuous"/>
    </xf>
    <xf numFmtId="169" fontId="215" fillId="0" borderId="107" xfId="0" applyNumberFormat="1" applyFont="1" applyFill="1" applyBorder="1" applyAlignment="1">
      <alignment horizontal="centerContinuous"/>
    </xf>
    <xf numFmtId="0" fontId="232" fillId="0" borderId="0" xfId="0" applyFont="1" applyFill="1" applyBorder="1" applyAlignment="1">
      <alignment horizontal="right"/>
    </xf>
    <xf numFmtId="41" fontId="232" fillId="0" borderId="0" xfId="0" applyNumberFormat="1" applyFont="1" applyFill="1" applyAlignment="1">
      <alignment horizontal="right"/>
    </xf>
    <xf numFmtId="0" fontId="226" fillId="72" borderId="7" xfId="0" applyFont="1" applyFill="1" applyBorder="1" applyAlignment="1">
      <alignment horizontal="left"/>
    </xf>
    <xf numFmtId="0" fontId="226" fillId="72" borderId="8" xfId="0" applyFont="1" applyFill="1" applyBorder="1" applyAlignment="1">
      <alignment horizontal="centerContinuous"/>
    </xf>
    <xf numFmtId="0" fontId="226" fillId="72" borderId="9" xfId="0" applyFont="1" applyFill="1" applyBorder="1" applyAlignment="1">
      <alignment horizontal="right"/>
    </xf>
    <xf numFmtId="0" fontId="215" fillId="0" borderId="35" xfId="0" applyFont="1" applyFill="1" applyBorder="1" applyAlignment="1">
      <alignment horizontal="right"/>
    </xf>
    <xf numFmtId="0" fontId="215" fillId="0" borderId="42" xfId="0" applyFont="1" applyFill="1" applyBorder="1" applyAlignment="1">
      <alignment horizontal="right"/>
    </xf>
    <xf numFmtId="0" fontId="215" fillId="0" borderId="12" xfId="0" applyFont="1" applyBorder="1"/>
    <xf numFmtId="43" fontId="214" fillId="0" borderId="0" xfId="1" applyFont="1" applyBorder="1"/>
    <xf numFmtId="165" fontId="214" fillId="0" borderId="0" xfId="2" applyNumberFormat="1" applyFont="1" applyBorder="1"/>
    <xf numFmtId="165" fontId="214" fillId="0" borderId="13" xfId="2" applyNumberFormat="1" applyFont="1" applyBorder="1"/>
    <xf numFmtId="166" fontId="214" fillId="0" borderId="0" xfId="3" applyNumberFormat="1" applyFont="1" applyBorder="1"/>
    <xf numFmtId="167" fontId="214" fillId="0" borderId="0" xfId="1" applyNumberFormat="1" applyFont="1" applyBorder="1"/>
    <xf numFmtId="165" fontId="214" fillId="0" borderId="13" xfId="2" applyNumberFormat="1" applyFont="1" applyBorder="1" applyAlignment="1">
      <alignment horizontal="right"/>
    </xf>
    <xf numFmtId="165" fontId="214" fillId="0" borderId="3" xfId="2" applyNumberFormat="1" applyFont="1" applyBorder="1"/>
    <xf numFmtId="165" fontId="214" fillId="0" borderId="11" xfId="2" applyNumberFormat="1" applyFont="1" applyBorder="1"/>
    <xf numFmtId="0" fontId="215" fillId="0" borderId="12" xfId="0" applyFont="1" applyBorder="1" applyAlignment="1">
      <alignment horizontal="left" indent="7"/>
    </xf>
    <xf numFmtId="165" fontId="215" fillId="0" borderId="14" xfId="2" applyNumberFormat="1" applyFont="1" applyBorder="1"/>
    <xf numFmtId="0" fontId="215" fillId="0" borderId="0" xfId="0" applyFont="1" applyBorder="1" applyAlignment="1">
      <alignment horizontal="left" indent="7"/>
    </xf>
    <xf numFmtId="165" fontId="215" fillId="0" borderId="15" xfId="2" applyNumberFormat="1" applyFont="1" applyBorder="1"/>
    <xf numFmtId="0" fontId="214" fillId="0" borderId="11" xfId="0" applyFont="1" applyBorder="1"/>
    <xf numFmtId="0" fontId="231" fillId="0" borderId="4" xfId="0" applyFont="1" applyFill="1" applyBorder="1" applyAlignment="1">
      <alignment wrapText="1"/>
    </xf>
    <xf numFmtId="0" fontId="231" fillId="0" borderId="5" xfId="0" applyFont="1" applyFill="1" applyBorder="1" applyAlignment="1">
      <alignment horizontal="center" wrapText="1"/>
    </xf>
    <xf numFmtId="0" fontId="231" fillId="0" borderId="6" xfId="0" applyFont="1" applyFill="1" applyBorder="1" applyAlignment="1">
      <alignment horizontal="center" wrapText="1"/>
    </xf>
    <xf numFmtId="0" fontId="215" fillId="71" borderId="8" xfId="0" applyFont="1" applyFill="1" applyBorder="1"/>
    <xf numFmtId="165" fontId="215" fillId="71" borderId="9" xfId="0" applyNumberFormat="1" applyFont="1" applyFill="1" applyBorder="1"/>
    <xf numFmtId="0" fontId="231" fillId="0" borderId="4" xfId="0" applyFont="1" applyFill="1" applyBorder="1" applyAlignment="1">
      <alignment horizontal="left" wrapText="1"/>
    </xf>
    <xf numFmtId="0" fontId="231" fillId="0" borderId="5" xfId="0" applyFont="1" applyFill="1" applyBorder="1" applyAlignment="1">
      <alignment horizontal="centerContinuous" wrapText="1"/>
    </xf>
    <xf numFmtId="0" fontId="231" fillId="0" borderId="6" xfId="0" applyFont="1" applyFill="1" applyBorder="1" applyAlignment="1">
      <alignment horizontal="centerContinuous" wrapText="1"/>
    </xf>
    <xf numFmtId="0" fontId="219" fillId="68" borderId="57" xfId="11155" quotePrefix="1" applyNumberFormat="1" applyFont="1" applyFill="1" applyBorder="1" applyAlignment="1">
      <alignment horizontal="center"/>
    </xf>
    <xf numFmtId="43" fontId="219" fillId="68" borderId="57" xfId="11155" quotePrefix="1" applyFont="1" applyFill="1" applyBorder="1" applyAlignment="1">
      <alignment horizontal="left"/>
    </xf>
    <xf numFmtId="43" fontId="219" fillId="68" borderId="57" xfId="11155" quotePrefix="1" applyFont="1" applyFill="1" applyBorder="1" applyAlignment="1">
      <alignment horizontal="center"/>
    </xf>
    <xf numFmtId="43" fontId="217" fillId="68" borderId="57" xfId="11155" quotePrefix="1" applyFont="1" applyFill="1" applyBorder="1" applyAlignment="1">
      <alignment horizontal="center"/>
    </xf>
    <xf numFmtId="43" fontId="217" fillId="0" borderId="56" xfId="11155" applyFont="1" applyFill="1" applyBorder="1" applyAlignment="1"/>
    <xf numFmtId="43" fontId="217" fillId="0" borderId="57" xfId="11155" applyFont="1" applyFill="1" applyBorder="1" applyAlignment="1">
      <alignment horizontal="right"/>
    </xf>
    <xf numFmtId="43" fontId="217" fillId="74" borderId="57" xfId="11155" applyFont="1" applyFill="1" applyBorder="1" applyAlignment="1"/>
    <xf numFmtId="0" fontId="234" fillId="0" borderId="0" xfId="12421" applyFont="1"/>
    <xf numFmtId="0" fontId="215" fillId="69" borderId="56" xfId="12421" applyFont="1" applyFill="1" applyBorder="1"/>
    <xf numFmtId="0" fontId="214" fillId="69" borderId="56" xfId="12421" applyFont="1" applyFill="1" applyBorder="1" applyAlignment="1">
      <alignment horizontal="center"/>
    </xf>
    <xf numFmtId="0" fontId="215" fillId="69" borderId="0" xfId="12421" applyFont="1" applyFill="1" applyBorder="1"/>
    <xf numFmtId="0" fontId="215" fillId="69" borderId="57" xfId="12421" applyFont="1" applyFill="1" applyBorder="1"/>
    <xf numFmtId="0" fontId="237" fillId="69" borderId="0" xfId="12421" applyFont="1" applyFill="1" applyBorder="1" applyAlignment="1">
      <alignment horizontal="center"/>
    </xf>
    <xf numFmtId="0" fontId="214" fillId="69" borderId="57" xfId="12421" applyFont="1" applyFill="1" applyBorder="1" applyAlignment="1">
      <alignment horizontal="center"/>
    </xf>
    <xf numFmtId="0" fontId="265" fillId="69" borderId="57" xfId="12421" applyFont="1" applyFill="1" applyBorder="1" applyAlignment="1">
      <alignment horizontal="center"/>
    </xf>
    <xf numFmtId="0" fontId="265" fillId="69" borderId="56" xfId="12421" applyFont="1" applyFill="1" applyBorder="1" applyAlignment="1">
      <alignment horizontal="center"/>
    </xf>
    <xf numFmtId="0" fontId="266" fillId="0" borderId="0" xfId="12421" applyFont="1" applyBorder="1" applyAlignment="1">
      <alignment horizontal="center"/>
    </xf>
    <xf numFmtId="0" fontId="214" fillId="0" borderId="0" xfId="20382" applyFont="1" applyAlignment="1">
      <alignment horizontal="justify" vertical="top"/>
    </xf>
    <xf numFmtId="0" fontId="214" fillId="0" borderId="0" xfId="20382" quotePrefix="1" applyFont="1" applyAlignment="1">
      <alignment horizontal="justify" vertical="top"/>
    </xf>
    <xf numFmtId="0" fontId="215" fillId="0" borderId="0" xfId="0" applyFont="1" applyBorder="1" applyAlignment="1">
      <alignment horizontal="right" vertical="center" textRotation="90"/>
    </xf>
    <xf numFmtId="0" fontId="232" fillId="74" borderId="0" xfId="20391" applyFont="1" applyFill="1" applyBorder="1" applyAlignment="1">
      <alignment horizontal="justify" vertical="top"/>
    </xf>
    <xf numFmtId="0" fontId="232" fillId="0" borderId="0" xfId="0" quotePrefix="1" applyFont="1" applyFill="1" applyAlignment="1">
      <alignment horizontal="left" vertical="top" wrapText="1"/>
    </xf>
    <xf numFmtId="0" fontId="214" fillId="0" borderId="0" xfId="0" applyFont="1" applyFill="1" applyAlignment="1">
      <alignment horizontal="left" vertical="top" wrapText="1"/>
    </xf>
    <xf numFmtId="0" fontId="232" fillId="74" borderId="0" xfId="0" quotePrefix="1" applyFont="1" applyFill="1" applyAlignment="1">
      <alignment horizontal="left" vertical="top" wrapText="1"/>
    </xf>
    <xf numFmtId="0" fontId="226" fillId="72" borderId="82" xfId="0" applyFont="1" applyFill="1" applyBorder="1" applyAlignment="1">
      <alignment horizontal="center" wrapText="1"/>
    </xf>
    <xf numFmtId="0" fontId="226" fillId="72" borderId="83" xfId="0" applyFont="1" applyFill="1" applyBorder="1" applyAlignment="1">
      <alignment horizontal="center" wrapText="1"/>
    </xf>
    <xf numFmtId="0" fontId="226" fillId="72" borderId="69" xfId="0" applyFont="1" applyFill="1" applyBorder="1" applyAlignment="1">
      <alignment horizontal="center" wrapText="1"/>
    </xf>
    <xf numFmtId="0" fontId="214" fillId="0" borderId="0" xfId="0" quotePrefix="1" applyFont="1" applyAlignment="1">
      <alignment vertical="top" wrapText="1"/>
    </xf>
    <xf numFmtId="0" fontId="214" fillId="74" borderId="0" xfId="0" applyFont="1" applyFill="1" applyAlignment="1">
      <alignment horizontal="justify" vertical="top" wrapText="1"/>
    </xf>
    <xf numFmtId="0" fontId="214" fillId="0" borderId="0" xfId="0" applyFont="1" applyAlignment="1">
      <alignment horizontal="justify" vertical="top" wrapText="1"/>
    </xf>
    <xf numFmtId="0" fontId="214" fillId="0" borderId="0" xfId="0" applyFont="1" applyAlignment="1">
      <alignment horizontal="left" vertical="top" wrapText="1"/>
    </xf>
    <xf numFmtId="0" fontId="215" fillId="91" borderId="0" xfId="20397" applyFont="1" applyFill="1" applyBorder="1" applyAlignment="1">
      <alignment horizontal="center" wrapText="1"/>
    </xf>
    <xf numFmtId="0" fontId="215" fillId="91" borderId="174" xfId="20397" applyFont="1" applyFill="1" applyBorder="1" applyAlignment="1">
      <alignment horizontal="right" wrapText="1"/>
    </xf>
    <xf numFmtId="0" fontId="215" fillId="91" borderId="99" xfId="20397" applyFont="1" applyFill="1" applyBorder="1" applyAlignment="1">
      <alignment horizontal="right" wrapText="1"/>
    </xf>
    <xf numFmtId="0" fontId="215" fillId="91" borderId="173" xfId="20397" applyFont="1" applyFill="1" applyBorder="1" applyAlignment="1">
      <alignment horizontal="right" wrapText="1"/>
    </xf>
    <xf numFmtId="0" fontId="215" fillId="91" borderId="45" xfId="20397" applyFont="1" applyFill="1" applyBorder="1" applyAlignment="1">
      <alignment horizontal="right" wrapText="1"/>
    </xf>
    <xf numFmtId="0" fontId="215" fillId="91" borderId="173" xfId="20397" applyFont="1" applyFill="1" applyBorder="1" applyAlignment="1">
      <alignment horizontal="center" wrapText="1"/>
    </xf>
    <xf numFmtId="0" fontId="215" fillId="91" borderId="45" xfId="20397" applyFont="1" applyFill="1" applyBorder="1" applyAlignment="1">
      <alignment horizontal="center" wrapText="1"/>
    </xf>
    <xf numFmtId="0" fontId="215" fillId="92" borderId="0" xfId="20397" applyFont="1" applyFill="1" applyBorder="1" applyAlignment="1">
      <alignment horizontal="center" wrapText="1"/>
    </xf>
    <xf numFmtId="0" fontId="215" fillId="91" borderId="195" xfId="20397" applyFont="1" applyFill="1" applyBorder="1" applyAlignment="1">
      <alignment horizontal="center" wrapText="1"/>
    </xf>
    <xf numFmtId="0" fontId="215" fillId="91" borderId="195" xfId="20397" applyFont="1" applyFill="1" applyBorder="1" applyAlignment="1">
      <alignment horizontal="right" wrapText="1"/>
    </xf>
    <xf numFmtId="0" fontId="215" fillId="91" borderId="194" xfId="20397" applyFont="1" applyFill="1" applyBorder="1" applyAlignment="1">
      <alignment horizontal="right" wrapText="1"/>
    </xf>
    <xf numFmtId="0" fontId="215" fillId="0" borderId="0" xfId="20397" applyFont="1" applyBorder="1" applyAlignment="1">
      <alignment horizontal="center" wrapText="1"/>
    </xf>
    <xf numFmtId="0" fontId="215" fillId="91" borderId="168" xfId="20397" applyFont="1" applyFill="1" applyBorder="1" applyAlignment="1">
      <alignment horizontal="center" wrapText="1"/>
    </xf>
    <xf numFmtId="0" fontId="215" fillId="91" borderId="168" xfId="20397" applyFont="1" applyFill="1" applyBorder="1" applyAlignment="1">
      <alignment horizontal="right" wrapText="1"/>
    </xf>
    <xf numFmtId="0" fontId="215" fillId="91" borderId="166" xfId="20397" applyFont="1" applyFill="1" applyBorder="1" applyAlignment="1">
      <alignment horizontal="right" wrapText="1"/>
    </xf>
    <xf numFmtId="0" fontId="215" fillId="91" borderId="155" xfId="20397" applyFont="1" applyFill="1" applyBorder="1" applyAlignment="1">
      <alignment horizontal="right" wrapText="1"/>
    </xf>
    <xf numFmtId="0" fontId="214" fillId="74" borderId="0" xfId="0" quotePrefix="1" applyFont="1" applyFill="1" applyAlignment="1">
      <alignment horizontal="left" wrapText="1"/>
    </xf>
    <xf numFmtId="0" fontId="214" fillId="0" borderId="0" xfId="20402" quotePrefix="1" applyFont="1" applyBorder="1" applyAlignment="1">
      <alignment horizontal="left" vertical="top" wrapText="1"/>
    </xf>
    <xf numFmtId="0" fontId="154" fillId="72" borderId="162" xfId="0" applyFont="1" applyFill="1" applyBorder="1" applyAlignment="1">
      <alignment horizontal="center" vertical="top"/>
    </xf>
    <xf numFmtId="0" fontId="154" fillId="72" borderId="142" xfId="0" applyFont="1" applyFill="1" applyBorder="1" applyAlignment="1">
      <alignment horizontal="center" vertical="top"/>
    </xf>
    <xf numFmtId="43" fontId="267" fillId="68" borderId="56" xfId="11155" applyFont="1" applyFill="1" applyBorder="1" applyAlignment="1"/>
    <xf numFmtId="43" fontId="267" fillId="68" borderId="56" xfId="11155" applyFont="1" applyFill="1" applyBorder="1" applyAlignment="1">
      <alignment horizontal="center"/>
    </xf>
    <xf numFmtId="43" fontId="267" fillId="68" borderId="57" xfId="11155" applyFont="1" applyFill="1" applyBorder="1" applyAlignment="1"/>
    <xf numFmtId="43" fontId="267" fillId="68" borderId="57" xfId="11155" applyFont="1" applyFill="1" applyBorder="1" applyAlignment="1">
      <alignment horizontal="center"/>
    </xf>
    <xf numFmtId="0" fontId="226" fillId="72" borderId="59" xfId="0" applyFont="1" applyFill="1" applyBorder="1" applyAlignment="1">
      <alignment horizontal="center"/>
    </xf>
    <xf numFmtId="0" fontId="226" fillId="72" borderId="60" xfId="0" applyFont="1" applyFill="1" applyBorder="1" applyAlignment="1">
      <alignment horizontal="center"/>
    </xf>
  </cellXfs>
  <cellStyles count="20406">
    <cellStyle name="-" xfId="4" xr:uid="{00000000-0005-0000-0000-000000000000}"/>
    <cellStyle name="------------------" xfId="5" xr:uid="{00000000-0005-0000-0000-000001000000}"/>
    <cellStyle name=" 1" xfId="6" xr:uid="{00000000-0005-0000-0000-000002000000}"/>
    <cellStyle name=" 1 2" xfId="7" xr:uid="{00000000-0005-0000-0000-000003000000}"/>
    <cellStyle name=" 1 3" xfId="8" xr:uid="{00000000-0005-0000-0000-000004000000}"/>
    <cellStyle name=" 1_Volatility" xfId="9" xr:uid="{00000000-0005-0000-0000-000005000000}"/>
    <cellStyle name=" 10" xfId="10" xr:uid="{00000000-0005-0000-0000-000006000000}"/>
    <cellStyle name=" 11" xfId="11" xr:uid="{00000000-0005-0000-0000-000007000000}"/>
    <cellStyle name=" 12" xfId="12" xr:uid="{00000000-0005-0000-0000-000008000000}"/>
    <cellStyle name=" 13" xfId="13" xr:uid="{00000000-0005-0000-0000-000009000000}"/>
    <cellStyle name=" 14" xfId="14" xr:uid="{00000000-0005-0000-0000-00000A000000}"/>
    <cellStyle name=" 15" xfId="15" xr:uid="{00000000-0005-0000-0000-00000B000000}"/>
    <cellStyle name=" 16" xfId="16" xr:uid="{00000000-0005-0000-0000-00000C000000}"/>
    <cellStyle name=" 17" xfId="17" xr:uid="{00000000-0005-0000-0000-00000D000000}"/>
    <cellStyle name=" 18" xfId="18" xr:uid="{00000000-0005-0000-0000-00000E000000}"/>
    <cellStyle name=" 19" xfId="19" xr:uid="{00000000-0005-0000-0000-00000F000000}"/>
    <cellStyle name=" 2" xfId="20" xr:uid="{00000000-0005-0000-0000-000010000000}"/>
    <cellStyle name=" 20" xfId="21" xr:uid="{00000000-0005-0000-0000-000011000000}"/>
    <cellStyle name=" 21" xfId="22" xr:uid="{00000000-0005-0000-0000-000012000000}"/>
    <cellStyle name=" 22" xfId="23" xr:uid="{00000000-0005-0000-0000-000013000000}"/>
    <cellStyle name=" 23" xfId="24" xr:uid="{00000000-0005-0000-0000-000014000000}"/>
    <cellStyle name=" 24" xfId="25" xr:uid="{00000000-0005-0000-0000-000015000000}"/>
    <cellStyle name=" 25" xfId="26" xr:uid="{00000000-0005-0000-0000-000016000000}"/>
    <cellStyle name=" 26" xfId="27" xr:uid="{00000000-0005-0000-0000-000017000000}"/>
    <cellStyle name=" 27" xfId="28" xr:uid="{00000000-0005-0000-0000-000018000000}"/>
    <cellStyle name=" 28" xfId="29" xr:uid="{00000000-0005-0000-0000-000019000000}"/>
    <cellStyle name=" 29" xfId="30" xr:uid="{00000000-0005-0000-0000-00001A000000}"/>
    <cellStyle name=" 3" xfId="31" xr:uid="{00000000-0005-0000-0000-00001B000000}"/>
    <cellStyle name=" 30" xfId="32" xr:uid="{00000000-0005-0000-0000-00001C000000}"/>
    <cellStyle name=" 31" xfId="33" xr:uid="{00000000-0005-0000-0000-00001D000000}"/>
    <cellStyle name=" 32" xfId="34" xr:uid="{00000000-0005-0000-0000-00001E000000}"/>
    <cellStyle name=" 33" xfId="35" xr:uid="{00000000-0005-0000-0000-00001F000000}"/>
    <cellStyle name=" 34" xfId="36" xr:uid="{00000000-0005-0000-0000-000020000000}"/>
    <cellStyle name=" 35" xfId="37" xr:uid="{00000000-0005-0000-0000-000021000000}"/>
    <cellStyle name=" 36" xfId="38" xr:uid="{00000000-0005-0000-0000-000022000000}"/>
    <cellStyle name=" 37" xfId="39" xr:uid="{00000000-0005-0000-0000-000023000000}"/>
    <cellStyle name=" 38" xfId="40" xr:uid="{00000000-0005-0000-0000-000024000000}"/>
    <cellStyle name=" 39" xfId="41" xr:uid="{00000000-0005-0000-0000-000025000000}"/>
    <cellStyle name=" 4" xfId="42" xr:uid="{00000000-0005-0000-0000-000026000000}"/>
    <cellStyle name=" 40" xfId="43" xr:uid="{00000000-0005-0000-0000-000027000000}"/>
    <cellStyle name=" 41" xfId="44" xr:uid="{00000000-0005-0000-0000-000028000000}"/>
    <cellStyle name=" 42" xfId="45" xr:uid="{00000000-0005-0000-0000-000029000000}"/>
    <cellStyle name=" 43" xfId="46" xr:uid="{00000000-0005-0000-0000-00002A000000}"/>
    <cellStyle name=" 44" xfId="47" xr:uid="{00000000-0005-0000-0000-00002B000000}"/>
    <cellStyle name=" 45" xfId="48" xr:uid="{00000000-0005-0000-0000-00002C000000}"/>
    <cellStyle name=" 46" xfId="49" xr:uid="{00000000-0005-0000-0000-00002D000000}"/>
    <cellStyle name=" 47" xfId="50" xr:uid="{00000000-0005-0000-0000-00002E000000}"/>
    <cellStyle name=" 48" xfId="51" xr:uid="{00000000-0005-0000-0000-00002F000000}"/>
    <cellStyle name=" 49" xfId="52" xr:uid="{00000000-0005-0000-0000-000030000000}"/>
    <cellStyle name=" 5" xfId="53" xr:uid="{00000000-0005-0000-0000-000031000000}"/>
    <cellStyle name=" 50" xfId="54" xr:uid="{00000000-0005-0000-0000-000032000000}"/>
    <cellStyle name=" 51" xfId="55" xr:uid="{00000000-0005-0000-0000-000033000000}"/>
    <cellStyle name=" 52" xfId="56" xr:uid="{00000000-0005-0000-0000-000034000000}"/>
    <cellStyle name=" 53" xfId="57" xr:uid="{00000000-0005-0000-0000-000035000000}"/>
    <cellStyle name=" 54" xfId="58" xr:uid="{00000000-0005-0000-0000-000036000000}"/>
    <cellStyle name=" 55" xfId="59" xr:uid="{00000000-0005-0000-0000-000037000000}"/>
    <cellStyle name=" 56" xfId="60" xr:uid="{00000000-0005-0000-0000-000038000000}"/>
    <cellStyle name=" 57" xfId="61" xr:uid="{00000000-0005-0000-0000-000039000000}"/>
    <cellStyle name=" 58" xfId="62" xr:uid="{00000000-0005-0000-0000-00003A000000}"/>
    <cellStyle name=" 59" xfId="63" xr:uid="{00000000-0005-0000-0000-00003B000000}"/>
    <cellStyle name=" 6" xfId="64" xr:uid="{00000000-0005-0000-0000-00003C000000}"/>
    <cellStyle name=" 60" xfId="65" xr:uid="{00000000-0005-0000-0000-00003D000000}"/>
    <cellStyle name=" 61" xfId="66" xr:uid="{00000000-0005-0000-0000-00003E000000}"/>
    <cellStyle name=" 62" xfId="67" xr:uid="{00000000-0005-0000-0000-00003F000000}"/>
    <cellStyle name=" 63" xfId="68" xr:uid="{00000000-0005-0000-0000-000040000000}"/>
    <cellStyle name=" 64" xfId="69" xr:uid="{00000000-0005-0000-0000-000041000000}"/>
    <cellStyle name=" 65" xfId="70" xr:uid="{00000000-0005-0000-0000-000042000000}"/>
    <cellStyle name=" 66" xfId="71" xr:uid="{00000000-0005-0000-0000-000043000000}"/>
    <cellStyle name=" 67" xfId="72" xr:uid="{00000000-0005-0000-0000-000044000000}"/>
    <cellStyle name=" 68" xfId="73" xr:uid="{00000000-0005-0000-0000-000045000000}"/>
    <cellStyle name=" 69" xfId="74" xr:uid="{00000000-0005-0000-0000-000046000000}"/>
    <cellStyle name=" 7" xfId="75" xr:uid="{00000000-0005-0000-0000-000047000000}"/>
    <cellStyle name=" 70" xfId="76" xr:uid="{00000000-0005-0000-0000-000048000000}"/>
    <cellStyle name=" 8" xfId="77" xr:uid="{00000000-0005-0000-0000-000049000000}"/>
    <cellStyle name=" 9" xfId="78" xr:uid="{00000000-0005-0000-0000-00004A000000}"/>
    <cellStyle name="_x000a_386grabber=M" xfId="79" xr:uid="{00000000-0005-0000-0000-00004B000000}"/>
    <cellStyle name="_x000a_386grabber=M 2" xfId="80" xr:uid="{00000000-0005-0000-0000-00004C000000}"/>
    <cellStyle name="_x0007__x000b_" xfId="81" xr:uid="{00000000-0005-0000-0000-00004D000000}"/>
    <cellStyle name=" ✀ⰀఀĀ" xfId="82" xr:uid="{00000000-0005-0000-0000-00004E000000}"/>
    <cellStyle name="&quot;X&quot; MEN" xfId="83" xr:uid="{00000000-0005-0000-0000-00004F000000}"/>
    <cellStyle name="&quot;X&quot; MEN 2" xfId="84" xr:uid="{00000000-0005-0000-0000-000050000000}"/>
    <cellStyle name="&quot;X&quot; MEN 2 2" xfId="85" xr:uid="{00000000-0005-0000-0000-000051000000}"/>
    <cellStyle name="&quot;X&quot; MEN 3" xfId="86" xr:uid="{00000000-0005-0000-0000-000052000000}"/>
    <cellStyle name="&quot;X&quot; MEN 4" xfId="87" xr:uid="{00000000-0005-0000-0000-000053000000}"/>
    <cellStyle name="&quot;X&quot; MEN 5" xfId="88" xr:uid="{00000000-0005-0000-0000-000054000000}"/>
    <cellStyle name="#" xfId="89" xr:uid="{00000000-0005-0000-0000-000055000000}"/>
    <cellStyle name="#-" xfId="90" xr:uid="{00000000-0005-0000-0000-000056000000}"/>
    <cellStyle name="#,##0" xfId="91" xr:uid="{00000000-0005-0000-0000-000057000000}"/>
    <cellStyle name="#,##0 3 spaces" xfId="16220" xr:uid="{00000000-0005-0000-0000-000058000000}"/>
    <cellStyle name="#_Latam Comps_12.20.07" xfId="92" xr:uid="{00000000-0005-0000-0000-000059000000}"/>
    <cellStyle name="#_Latam Comps_12.20.07_Medley_Financial_Model_v5" xfId="93" xr:uid="{00000000-0005-0000-0000-00005A000000}"/>
    <cellStyle name="#_Latam Comps_2.5.08_HC" xfId="94" xr:uid="{00000000-0005-0000-0000-00005B000000}"/>
    <cellStyle name="#_Latam Comps_2.5.08_HC_Medley_Financial_Model_v5" xfId="95" xr:uid="{00000000-0005-0000-0000-00005C000000}"/>
    <cellStyle name="#_Modelo Puerto 2007 Management Case DB 14-11 (DB) v20" xfId="96" xr:uid="{00000000-0005-0000-0000-00005D000000}"/>
    <cellStyle name="$" xfId="97" xr:uid="{00000000-0005-0000-0000-00005E000000}"/>
    <cellStyle name="$-" xfId="98" xr:uid="{00000000-0005-0000-0000-00005F000000}"/>
    <cellStyle name="$ &amp; ¢" xfId="99" xr:uid="{00000000-0005-0000-0000-000060000000}"/>
    <cellStyle name="$ 0 decimal" xfId="16221" xr:uid="{00000000-0005-0000-0000-000061000000}"/>
    <cellStyle name="$ 2" xfId="100" xr:uid="{00000000-0005-0000-0000-000062000000}"/>
    <cellStyle name="$ 2 decimals" xfId="16222" xr:uid="{00000000-0005-0000-0000-000063000000}"/>
    <cellStyle name="$_12.20.04 Analysis v14" xfId="16223" xr:uid="{00000000-0005-0000-0000-000064000000}"/>
    <cellStyle name="$_56 Centra FO 10.4.05" xfId="16224" xr:uid="{00000000-0005-0000-0000-000065000000}"/>
    <cellStyle name="$_ANF Assignment 1.5" xfId="16225" xr:uid="{00000000-0005-0000-0000-000066000000}"/>
    <cellStyle name="$_Cheddars_IPO Model_Final_v7" xfId="16226" xr:uid="{00000000-0005-0000-0000-000067000000}"/>
    <cellStyle name="$_EPL LBO 5.16.05 - Mgmt IPO v6" xfId="16227" xr:uid="{00000000-0005-0000-0000-000068000000}"/>
    <cellStyle name="$_IPO Model_v01.0" xfId="16228" xr:uid="{00000000-0005-0000-0000-000069000000}"/>
    <cellStyle name="$_Model v14 (IPO)" xfId="16229" xr:uid="{00000000-0005-0000-0000-00006A000000}"/>
    <cellStyle name="$_Model v14 (IPO) brooke" xfId="16230" xr:uid="{00000000-0005-0000-0000-00006B000000}"/>
    <cellStyle name="$_Store Buildup v6" xfId="16231" xr:uid="{00000000-0005-0000-0000-00006C000000}"/>
    <cellStyle name="$_YRK_LBO" xfId="16232" xr:uid="{00000000-0005-0000-0000-00006D000000}"/>
    <cellStyle name="$0.0;($0.0)" xfId="101" xr:uid="{00000000-0005-0000-0000-00006E000000}"/>
    <cellStyle name="$0.0;($0.0) 2" xfId="102" xr:uid="{00000000-0005-0000-0000-00006F000000}"/>
    <cellStyle name="$000s1Place" xfId="103" xr:uid="{00000000-0005-0000-0000-000070000000}"/>
    <cellStyle name="$m" xfId="16233" xr:uid="{00000000-0005-0000-0000-000071000000}"/>
    <cellStyle name="$MMs1Place" xfId="104" xr:uid="{00000000-0005-0000-0000-000072000000}"/>
    <cellStyle name="$MMs2Places" xfId="105" xr:uid="{00000000-0005-0000-0000-000073000000}"/>
    <cellStyle name="$q" xfId="16234" xr:uid="{00000000-0005-0000-0000-000074000000}"/>
    <cellStyle name="$q*" xfId="16235" xr:uid="{00000000-0005-0000-0000-000075000000}"/>
    <cellStyle name="$q_AVP" xfId="16236" xr:uid="{00000000-0005-0000-0000-000076000000}"/>
    <cellStyle name="$qA" xfId="16237" xr:uid="{00000000-0005-0000-0000-000077000000}"/>
    <cellStyle name="$qRange" xfId="16238" xr:uid="{00000000-0005-0000-0000-000078000000}"/>
    <cellStyle name="$sign" xfId="16239" xr:uid="{00000000-0005-0000-0000-000079000000}"/>
    <cellStyle name="%" xfId="106" xr:uid="{00000000-0005-0000-0000-00007A000000}"/>
    <cellStyle name="%-" xfId="107" xr:uid="{00000000-0005-0000-0000-00007B000000}"/>
    <cellStyle name="% [2]" xfId="108" xr:uid="{00000000-0005-0000-0000-00007C000000}"/>
    <cellStyle name="% Input" xfId="109" xr:uid="{00000000-0005-0000-0000-00007D000000}"/>
    <cellStyle name="% Input 2" xfId="110" xr:uid="{00000000-0005-0000-0000-00007E000000}"/>
    <cellStyle name="% Presentation" xfId="111" xr:uid="{00000000-0005-0000-0000-00007F000000}"/>
    <cellStyle name="% Presentation 2" xfId="112" xr:uid="{00000000-0005-0000-0000-000080000000}"/>
    <cellStyle name="% Presentation 2 2" xfId="113" xr:uid="{00000000-0005-0000-0000-000081000000}"/>
    <cellStyle name="% Presentation 3" xfId="114" xr:uid="{00000000-0005-0000-0000-000082000000}"/>
    <cellStyle name="% Presentation 4" xfId="115" xr:uid="{00000000-0005-0000-0000-000083000000}"/>
    <cellStyle name="% Presentation 5" xfId="116" xr:uid="{00000000-0005-0000-0000-000084000000}"/>
    <cellStyle name="%.00" xfId="117" xr:uid="{00000000-0005-0000-0000-000085000000}"/>
    <cellStyle name="%_Detailed Cap Table 6 9 08" xfId="16240" xr:uid="{00000000-0005-0000-0000-000086000000}"/>
    <cellStyle name="%_V.C.3 2006 Forecast 4-19-06" xfId="16241" xr:uid="{00000000-0005-0000-0000-000087000000}"/>
    <cellStyle name="%20 - Vurgu1" xfId="16242" xr:uid="{00000000-0005-0000-0000-000088000000}"/>
    <cellStyle name="%20 - Vurgu2" xfId="16243" xr:uid="{00000000-0005-0000-0000-000089000000}"/>
    <cellStyle name="%20 - Vurgu3" xfId="16244" xr:uid="{00000000-0005-0000-0000-00008A000000}"/>
    <cellStyle name="%20 - Vurgu4" xfId="16245" xr:uid="{00000000-0005-0000-0000-00008B000000}"/>
    <cellStyle name="%20 - Vurgu5" xfId="16246" xr:uid="{00000000-0005-0000-0000-00008C000000}"/>
    <cellStyle name="%20 - Vurgu6" xfId="16247" xr:uid="{00000000-0005-0000-0000-00008D000000}"/>
    <cellStyle name="%40 - Vurgu1" xfId="16248" xr:uid="{00000000-0005-0000-0000-00008E000000}"/>
    <cellStyle name="%40 - Vurgu2" xfId="16249" xr:uid="{00000000-0005-0000-0000-00008F000000}"/>
    <cellStyle name="%40 - Vurgu3" xfId="16250" xr:uid="{00000000-0005-0000-0000-000090000000}"/>
    <cellStyle name="%40 - Vurgu4" xfId="16251" xr:uid="{00000000-0005-0000-0000-000091000000}"/>
    <cellStyle name="%40 - Vurgu5" xfId="16252" xr:uid="{00000000-0005-0000-0000-000092000000}"/>
    <cellStyle name="%40 - Vurgu6" xfId="16253" xr:uid="{00000000-0005-0000-0000-000093000000}"/>
    <cellStyle name="%60 - Vurgu1" xfId="16254" xr:uid="{00000000-0005-0000-0000-000094000000}"/>
    <cellStyle name="%60 - Vurgu2" xfId="16255" xr:uid="{00000000-0005-0000-0000-000095000000}"/>
    <cellStyle name="%60 - Vurgu3" xfId="16256" xr:uid="{00000000-0005-0000-0000-000096000000}"/>
    <cellStyle name="%60 - Vurgu4" xfId="16257" xr:uid="{00000000-0005-0000-0000-000097000000}"/>
    <cellStyle name="%60 - Vurgu5" xfId="16258" xr:uid="{00000000-0005-0000-0000-000098000000}"/>
    <cellStyle name="%60 - Vurgu6" xfId="16259" xr:uid="{00000000-0005-0000-0000-000099000000}"/>
    <cellStyle name="&amp;U" xfId="16260" xr:uid="{00000000-0005-0000-0000-00009A000000}"/>
    <cellStyle name=")_מעגלים 12.95" xfId="118" xr:uid="{00000000-0005-0000-0000-00009B000000}"/>
    <cellStyle name=")_מעגלים 12.95 2" xfId="119" xr:uid="{00000000-0005-0000-0000-00009C000000}"/>
    <cellStyle name="******************************************" xfId="120" xr:uid="{00000000-0005-0000-0000-00009D000000}"/>
    <cellStyle name="****************************************** 2" xfId="121" xr:uid="{00000000-0005-0000-0000-00009E000000}"/>
    <cellStyle name="," xfId="16261" xr:uid="{00000000-0005-0000-0000-00009F000000}"/>
    <cellStyle name=";;;" xfId="122" xr:uid="{00000000-0005-0000-0000-0000A0000000}"/>
    <cellStyle name=";;; 2" xfId="123" xr:uid="{00000000-0005-0000-0000-0000A1000000}"/>
    <cellStyle name=";;; 2 2" xfId="124" xr:uid="{00000000-0005-0000-0000-0000A2000000}"/>
    <cellStyle name=";;; 3" xfId="125" xr:uid="{00000000-0005-0000-0000-0000A3000000}"/>
    <cellStyle name=";;; 4" xfId="126" xr:uid="{00000000-0005-0000-0000-0000A4000000}"/>
    <cellStyle name=";;; 5" xfId="127" xr:uid="{00000000-0005-0000-0000-0000A5000000}"/>
    <cellStyle name="?? [0]_??" xfId="16262" xr:uid="{00000000-0005-0000-0000-0000A6000000}"/>
    <cellStyle name="???[0]_RESULTS" xfId="128" xr:uid="{00000000-0005-0000-0000-0000A7000000}"/>
    <cellStyle name="???_RESULTS" xfId="129" xr:uid="{00000000-0005-0000-0000-0000A8000000}"/>
    <cellStyle name="??_?.????" xfId="16263" xr:uid="{00000000-0005-0000-0000-0000A9000000}"/>
    <cellStyle name="\" xfId="16264" xr:uid="{00000000-0005-0000-0000-0000AA000000}"/>
    <cellStyle name="_$accounting" xfId="130" xr:uid="{00000000-0005-0000-0000-0000AB000000}"/>
    <cellStyle name="_$accounting 2" xfId="131" xr:uid="{00000000-0005-0000-0000-0000AC000000}"/>
    <cellStyle name="_%(SignOnly)" xfId="132" xr:uid="{00000000-0005-0000-0000-0000AD000000}"/>
    <cellStyle name="_%(SignOnly)_Model and Valuation - Aros 6 30 08" xfId="16265" xr:uid="{00000000-0005-0000-0000-0000AE000000}"/>
    <cellStyle name="_%(SignSpaceOnly)" xfId="133" xr:uid="{00000000-0005-0000-0000-0000AF000000}"/>
    <cellStyle name="_%(SignSpaceOnly)_Model and Valuation - Aros 6 30 08" xfId="16266" xr:uid="{00000000-0005-0000-0000-0000B0000000}"/>
    <cellStyle name="___æ_Ø_è [0.00]_Affiliate Fcst Inputs" xfId="134" xr:uid="{00000000-0005-0000-0000-0000B1000000}"/>
    <cellStyle name="___æ_Ø_è [0.00]_Affiliate Fcst Inputs 2" xfId="135" xr:uid="{00000000-0005-0000-0000-0000B2000000}"/>
    <cellStyle name="___æ_Ø_è [0.00]_Affiliate Fcst Inputs 2 2" xfId="136" xr:uid="{00000000-0005-0000-0000-0000B3000000}"/>
    <cellStyle name="___æ_Ø_è [0.00]_Affiliate Fcst Inputs 3" xfId="137" xr:uid="{00000000-0005-0000-0000-0000B4000000}"/>
    <cellStyle name="___æ_Ø_è [0.00]_Affiliate Fcst Inputs 4" xfId="138" xr:uid="{00000000-0005-0000-0000-0000B5000000}"/>
    <cellStyle name="___æ_Ø_è [0.00]_Affiliate Fcst Inputs 5" xfId="139" xr:uid="{00000000-0005-0000-0000-0000B6000000}"/>
    <cellStyle name="_~0910772" xfId="16267" xr:uid="{00000000-0005-0000-0000-0000B7000000}"/>
    <cellStyle name="_~1072145" xfId="16268" xr:uid="{00000000-0005-0000-0000-0000B8000000}"/>
    <cellStyle name="_~7037329" xfId="16269" xr:uid="{00000000-0005-0000-0000-0000B9000000}"/>
    <cellStyle name="_03 Seahawk Status Report - 1.08.07" xfId="16270" xr:uid="{00000000-0005-0000-0000-0000BA000000}"/>
    <cellStyle name="_2007 M06 On Hold On Watch Svcs Maint Jun  06-14-07" xfId="16271" xr:uid="{00000000-0005-0000-0000-0000BB000000}"/>
    <cellStyle name="_56 Centra FO 10.4.05" xfId="16272" xr:uid="{00000000-0005-0000-0000-0000BC000000}"/>
    <cellStyle name="_accounting" xfId="140" xr:uid="{00000000-0005-0000-0000-0000BD000000}"/>
    <cellStyle name="_accounting 2" xfId="141" xr:uid="{00000000-0005-0000-0000-0000BE000000}"/>
    <cellStyle name="_APT 141 101603 ver 51" xfId="142" xr:uid="{00000000-0005-0000-0000-0000BF000000}"/>
    <cellStyle name="_Backup for FY2005" xfId="16273" xr:uid="{00000000-0005-0000-0000-0000C0000000}"/>
    <cellStyle name="_Balance Sheet to E&amp;Y - HH &amp; SP" xfId="143" xr:uid="{00000000-0005-0000-0000-0000C1000000}"/>
    <cellStyle name="_Balance Sheet to E&amp;Y - HH &amp; SP_Panasas Cap Table by Investor June and Dec 2008 - updated analysis" xfId="144" xr:uid="{00000000-0005-0000-0000-0000C2000000}"/>
    <cellStyle name="_Base Valuation3.xls Chart 69_4" xfId="16274" xr:uid="{00000000-0005-0000-0000-0000C3000000}"/>
    <cellStyle name="_Base Valuation7-13" xfId="16275" xr:uid="{00000000-0005-0000-0000-0000C4000000}"/>
    <cellStyle name="_Book1" xfId="16276" xr:uid="{00000000-0005-0000-0000-0000C5000000}"/>
    <cellStyle name="-_Cash Flow" xfId="145" xr:uid="{00000000-0005-0000-0000-0000C6000000}"/>
    <cellStyle name="-_Cash Flow_EBITDA template v2" xfId="146" xr:uid="{00000000-0005-0000-0000-0000C7000000}"/>
    <cellStyle name="_Cheddars_IPO valuation v1" xfId="16277" xr:uid="{00000000-0005-0000-0000-0000C8000000}"/>
    <cellStyle name="_Column1" xfId="16278" xr:uid="{00000000-0005-0000-0000-0000C9000000}"/>
    <cellStyle name="_Column2" xfId="16279" xr:uid="{00000000-0005-0000-0000-0000CA000000}"/>
    <cellStyle name="_Column3" xfId="16280" xr:uid="{00000000-0005-0000-0000-0000CB000000}"/>
    <cellStyle name="_Column4" xfId="16281" xr:uid="{00000000-0005-0000-0000-0000CC000000}"/>
    <cellStyle name="_Column5" xfId="16282" xr:uid="{00000000-0005-0000-0000-0000CD000000}"/>
    <cellStyle name="_Column6" xfId="16283" xr:uid="{00000000-0005-0000-0000-0000CE000000}"/>
    <cellStyle name="_Comma" xfId="147" xr:uid="{00000000-0005-0000-0000-0000CF000000}"/>
    <cellStyle name="_Comma__DCF Template" xfId="148" xr:uid="{00000000-0005-0000-0000-0000D0000000}"/>
    <cellStyle name="_Comma_04 Alaska Model 2002-05-31 GS" xfId="149" xr:uid="{00000000-0005-0000-0000-0000D1000000}"/>
    <cellStyle name="_Comma_Control" xfId="150" xr:uid="{00000000-0005-0000-0000-0000D2000000}"/>
    <cellStyle name="_Comma_Dividend Template" xfId="151" xr:uid="{00000000-0005-0000-0000-0000D3000000}"/>
    <cellStyle name="_Comma_Eric CapIQ unlinked v1" xfId="152" xr:uid="{00000000-0005-0000-0000-0000D4000000}"/>
    <cellStyle name="_Comma_H-G Holdings race car v5 (change dep)" xfId="153" xr:uid="{00000000-0005-0000-0000-0000D5000000}"/>
    <cellStyle name="_Comma_lbo_long_model" xfId="154" xr:uid="{00000000-0005-0000-0000-0000D6000000}"/>
    <cellStyle name="_Comma_lbo_long_model 2" xfId="155" xr:uid="{00000000-0005-0000-0000-0000D7000000}"/>
    <cellStyle name="_Comma_Medicis WACC" xfId="156" xr:uid="{00000000-0005-0000-0000-0000D8000000}"/>
    <cellStyle name="_Comma_Meggitt AirDynamics WACC" xfId="157" xr:uid="{00000000-0005-0000-0000-0000D9000000}"/>
    <cellStyle name="_Comma_Pro-Forma Financials" xfId="158" xr:uid="{00000000-0005-0000-0000-0000DA000000}"/>
    <cellStyle name="_Comma_Pro-Forma Spin-off" xfId="159" xr:uid="{00000000-0005-0000-0000-0000DB000000}"/>
    <cellStyle name="_Comma_Revised Basic Modelv2.4" xfId="160" xr:uid="{00000000-0005-0000-0000-0000DC000000}"/>
    <cellStyle name="_Comma_Rider Henning" xfId="161" xr:uid="{00000000-0005-0000-0000-0000DD000000}"/>
    <cellStyle name="_Comma_Updated Model - CapitalIQ6 -04.20.06" xfId="162" xr:uid="{00000000-0005-0000-0000-0000DE000000}"/>
    <cellStyle name="_Comma_WACCv2" xfId="163" xr:uid="{00000000-0005-0000-0000-0000DF000000}"/>
    <cellStyle name="_Copy of Culinary Concepts 9_30_08" xfId="16284" xr:uid="{00000000-0005-0000-0000-0000E0000000}"/>
    <cellStyle name="_Currency" xfId="164" xr:uid="{00000000-0005-0000-0000-0000E1000000}"/>
    <cellStyle name="_Currency__DCF Template" xfId="165" xr:uid="{00000000-0005-0000-0000-0000E2000000}"/>
    <cellStyle name="_Currency_04 Alaska Model 2002-05-31 GS" xfId="166" xr:uid="{00000000-0005-0000-0000-0000E3000000}"/>
    <cellStyle name="_Currency_12.20.04 Analysis v14" xfId="16285" xr:uid="{00000000-0005-0000-0000-0000E4000000}"/>
    <cellStyle name="_Currency_BASF" xfId="167" xr:uid="{00000000-0005-0000-0000-0000E5000000}"/>
    <cellStyle name="_Currency_Book1" xfId="168" xr:uid="{00000000-0005-0000-0000-0000E6000000}"/>
    <cellStyle name="_Currency_Book3" xfId="169" xr:uid="{00000000-0005-0000-0000-0000E7000000}"/>
    <cellStyle name="_Currency_com_sel_bro_Eagle" xfId="170" xr:uid="{00000000-0005-0000-0000-0000E8000000}"/>
    <cellStyle name="_Currency_Control" xfId="171" xr:uid="{00000000-0005-0000-0000-0000E9000000}"/>
    <cellStyle name="_Currency_Dividend Template" xfId="172" xr:uid="{00000000-0005-0000-0000-0000EA000000}"/>
    <cellStyle name="_Currency_Eagle Financial Model" xfId="173" xr:uid="{00000000-0005-0000-0000-0000EB000000}"/>
    <cellStyle name="_Currency_Eagle-NewCastle Model 20Mar2001" xfId="174" xr:uid="{00000000-0005-0000-0000-0000EC000000}"/>
    <cellStyle name="_Currency_Eric CapIQ unlinked v1" xfId="175" xr:uid="{00000000-0005-0000-0000-0000ED000000}"/>
    <cellStyle name="_Currency_H-G Holdings race car v5 (change dep)" xfId="176" xr:uid="{00000000-0005-0000-0000-0000EE000000}"/>
    <cellStyle name="_Currency_Hokuriku Financials" xfId="177" xr:uid="{00000000-0005-0000-0000-0000EF000000}"/>
    <cellStyle name="_Currency_Indicative Valuation Summary" xfId="178" xr:uid="{00000000-0005-0000-0000-0000F0000000}"/>
    <cellStyle name="_Currency_Indicative Valuation Summary DCF Valuation" xfId="179" xr:uid="{00000000-0005-0000-0000-0000F1000000}"/>
    <cellStyle name="_Currency_INTU Comps v2" xfId="16286" xr:uid="{00000000-0005-0000-0000-0000F2000000}"/>
    <cellStyle name="_Currency_lbo_long_model" xfId="180" xr:uid="{00000000-0005-0000-0000-0000F3000000}"/>
    <cellStyle name="_Currency_lbo_long_model 2" xfId="181" xr:uid="{00000000-0005-0000-0000-0000F4000000}"/>
    <cellStyle name="_Currency_Medicis WACC" xfId="182" xr:uid="{00000000-0005-0000-0000-0000F5000000}"/>
    <cellStyle name="_Currency_Meggitt AirDynamics WACC" xfId="183" xr:uid="{00000000-0005-0000-0000-0000F6000000}"/>
    <cellStyle name="_Currency_Model 2000-09-04" xfId="184" xr:uid="{00000000-0005-0000-0000-0000F7000000}"/>
    <cellStyle name="_Currency_NK104 US Output" xfId="185" xr:uid="{00000000-0005-0000-0000-0000F8000000}"/>
    <cellStyle name="_Currency_Preliminary Valuation Summary of Seahawk" xfId="186" xr:uid="{00000000-0005-0000-0000-0000F9000000}"/>
    <cellStyle name="_Currency_Preliminary Valuation Summary of Seahawk b" xfId="187" xr:uid="{00000000-0005-0000-0000-0000FA000000}"/>
    <cellStyle name="_Currency_Pro-Forma Financials" xfId="188" xr:uid="{00000000-0005-0000-0000-0000FB000000}"/>
    <cellStyle name="_Currency_Pro-Forma Spin-off" xfId="189" xr:uid="{00000000-0005-0000-0000-0000FC000000}"/>
    <cellStyle name="_Currency_Proposed Cost Structure" xfId="190" xr:uid="{00000000-0005-0000-0000-0000FD000000}"/>
    <cellStyle name="_Currency_Revised Basic Modelv2.4" xfId="191" xr:uid="{00000000-0005-0000-0000-0000FE000000}"/>
    <cellStyle name="_Currency_Rider Henning" xfId="192" xr:uid="{00000000-0005-0000-0000-0000FF000000}"/>
    <cellStyle name="_Currency_Scaled Synergies Analysis - Mathematical Illustration - Gem as Target" xfId="193" xr:uid="{00000000-0005-0000-0000-000000010000}"/>
    <cellStyle name="_Currency_Scaled Synergies Analysis - Mathematical Illustration - Gem as Target_Value_Sharing" xfId="194" xr:uid="{00000000-0005-0000-0000-000001010000}"/>
    <cellStyle name="_Currency_Updated Model - CapitalIQ6 -04.20.06" xfId="195" xr:uid="{00000000-0005-0000-0000-000002010000}"/>
    <cellStyle name="_Currency_Valuation Overview" xfId="196" xr:uid="{00000000-0005-0000-0000-000003010000}"/>
    <cellStyle name="_Currency_valuation summary for ASP" xfId="197" xr:uid="{00000000-0005-0000-0000-000004010000}"/>
    <cellStyle name="_Currency_WACCv2" xfId="198" xr:uid="{00000000-0005-0000-0000-000005010000}"/>
    <cellStyle name="_CurrencySpace" xfId="199" xr:uid="{00000000-0005-0000-0000-000006010000}"/>
    <cellStyle name="_CurrencySpace__DCF Template" xfId="200" xr:uid="{00000000-0005-0000-0000-000007010000}"/>
    <cellStyle name="_CurrencySpace_04 Alaska Model 2002-05-31 GS" xfId="201" xr:uid="{00000000-0005-0000-0000-000008010000}"/>
    <cellStyle name="_CurrencySpace_Control" xfId="202" xr:uid="{00000000-0005-0000-0000-000009010000}"/>
    <cellStyle name="_CurrencySpace_Dividend Template" xfId="203" xr:uid="{00000000-0005-0000-0000-00000A010000}"/>
    <cellStyle name="_CurrencySpace_Eric CapIQ unlinked v1" xfId="204" xr:uid="{00000000-0005-0000-0000-00000B010000}"/>
    <cellStyle name="_CurrencySpace_H-G Holdings race car v5 (change dep)" xfId="205" xr:uid="{00000000-0005-0000-0000-00000C010000}"/>
    <cellStyle name="_CurrencySpace_IPO Model_v01.0" xfId="16287" xr:uid="{00000000-0005-0000-0000-00000D010000}"/>
    <cellStyle name="_CurrencySpace_lbo_long_model" xfId="206" xr:uid="{00000000-0005-0000-0000-00000E010000}"/>
    <cellStyle name="_CurrencySpace_lbo_long_model 2" xfId="207" xr:uid="{00000000-0005-0000-0000-00000F010000}"/>
    <cellStyle name="_CurrencySpace_MA Kinko's Model v5.5" xfId="16288" xr:uid="{00000000-0005-0000-0000-000010010000}"/>
    <cellStyle name="_CurrencySpace_Medicis WACC" xfId="208" xr:uid="{00000000-0005-0000-0000-000011010000}"/>
    <cellStyle name="_CurrencySpace_Meggitt AirDynamics WACC" xfId="209" xr:uid="{00000000-0005-0000-0000-000012010000}"/>
    <cellStyle name="_CurrencySpace_Pro-Forma Financials" xfId="210" xr:uid="{00000000-0005-0000-0000-000013010000}"/>
    <cellStyle name="_CurrencySpace_Pro-Forma Spin-off" xfId="211" xr:uid="{00000000-0005-0000-0000-000014010000}"/>
    <cellStyle name="_CurrencySpace_Revised Basic Modelv2.4" xfId="212" xr:uid="{00000000-0005-0000-0000-000015010000}"/>
    <cellStyle name="_CurrencySpace_Rider Henning" xfId="213" xr:uid="{00000000-0005-0000-0000-000016010000}"/>
    <cellStyle name="_CurrencySpace_RUBY DCF Model v42" xfId="16289" xr:uid="{00000000-0005-0000-0000-000017010000}"/>
    <cellStyle name="_CurrencySpace_RUBY merger v64" xfId="16290" xr:uid="{00000000-0005-0000-0000-000018010000}"/>
    <cellStyle name="_CurrencySpace_Updated Model - CapitalIQ6 -04.20.06" xfId="214" xr:uid="{00000000-0005-0000-0000-000019010000}"/>
    <cellStyle name="_CurrencySpace_valuation" xfId="16291" xr:uid="{00000000-0005-0000-0000-00001A010000}"/>
    <cellStyle name="_CurrencySpace_WACCv2" xfId="215" xr:uid="{00000000-0005-0000-0000-00001B010000}"/>
    <cellStyle name="_Data" xfId="16292" xr:uid="{00000000-0005-0000-0000-00001C010000}"/>
    <cellStyle name="_date" xfId="216" xr:uid="{00000000-0005-0000-0000-00001D010000}"/>
    <cellStyle name="_date 2" xfId="217" xr:uid="{00000000-0005-0000-0000-00001E010000}"/>
    <cellStyle name="_DCF (G2)" xfId="218" xr:uid="{00000000-0005-0000-0000-00001F010000}"/>
    <cellStyle name="_DCF (G2) 2" xfId="219" xr:uid="{00000000-0005-0000-0000-000020010000}"/>
    <cellStyle name="_DCF (G2) 3" xfId="220" xr:uid="{00000000-0005-0000-0000-000021010000}"/>
    <cellStyle name="_DTAs 2007 Post-Acq 3-19-08" xfId="221" xr:uid="{00000000-0005-0000-0000-000022010000}"/>
    <cellStyle name="_Epsilon IPO Model NEW v3" xfId="16293" xr:uid="{00000000-0005-0000-0000-000023010000}"/>
    <cellStyle name="_Epsilon Model 3.21.05 v.4" xfId="16294" xr:uid="{00000000-0005-0000-0000-000024010000}"/>
    <cellStyle name="_Epsilon Model 3.21.05 v.4_1" xfId="16295" xr:uid="{00000000-0005-0000-0000-000025010000}"/>
    <cellStyle name="_Epsilon Model 3.21.05 v.4_2" xfId="16296" xr:uid="{00000000-0005-0000-0000-000026010000}"/>
    <cellStyle name="_Epsilon Model 3.21.05 v.4_3" xfId="16297" xr:uid="{00000000-0005-0000-0000-000027010000}"/>
    <cellStyle name="_Epsilon Model 3.30.05 v7" xfId="16298" xr:uid="{00000000-0005-0000-0000-000028010000}"/>
    <cellStyle name="_Epsilon Model 3.30.05 v7_1" xfId="16299" xr:uid="{00000000-0005-0000-0000-000029010000}"/>
    <cellStyle name="_Epsilon Model 3.30.05 v7_2" xfId="16300" xr:uid="{00000000-0005-0000-0000-00002A010000}"/>
    <cellStyle name="_Epsilon Model 3.30.05 v7_3" xfId="16301" xr:uid="{00000000-0005-0000-0000-00002B010000}"/>
    <cellStyle name="_Epsilon Model 3.30.05 v7_4" xfId="16302" xr:uid="{00000000-0005-0000-0000-00002C010000}"/>
    <cellStyle name="_Euro" xfId="222" xr:uid="{00000000-0005-0000-0000-00002D010000}"/>
    <cellStyle name="_Euro 2" xfId="223" xr:uid="{00000000-0005-0000-0000-00002E010000}"/>
    <cellStyle name="_Euro 2 2" xfId="224" xr:uid="{00000000-0005-0000-0000-00002F010000}"/>
    <cellStyle name="_Euro 3" xfId="225" xr:uid="{00000000-0005-0000-0000-000030010000}"/>
    <cellStyle name="_Euro 4" xfId="226" xr:uid="{00000000-0005-0000-0000-000031010000}"/>
    <cellStyle name="_Euro 5" xfId="227" xr:uid="{00000000-0005-0000-0000-000032010000}"/>
    <cellStyle name="_Euro_Cable_Industry Overview5" xfId="228" xr:uid="{00000000-0005-0000-0000-000033010000}"/>
    <cellStyle name="_Euro_Cable_Industry Overview5 2" xfId="229" xr:uid="{00000000-0005-0000-0000-000034010000}"/>
    <cellStyle name="_Euro_Cable_Industry Overview5 2 2" xfId="230" xr:uid="{00000000-0005-0000-0000-000035010000}"/>
    <cellStyle name="_Euro_Cable_Industry Overview5 3" xfId="231" xr:uid="{00000000-0005-0000-0000-000036010000}"/>
    <cellStyle name="_Euro_Cable_Industry Overview5 4" xfId="232" xr:uid="{00000000-0005-0000-0000-000037010000}"/>
    <cellStyle name="_Euro_Cable_Industry Overview5 5" xfId="233" xr:uid="{00000000-0005-0000-0000-000038010000}"/>
    <cellStyle name="_Euro_Gelco Model" xfId="234" xr:uid="{00000000-0005-0000-0000-000039010000}"/>
    <cellStyle name="_Euro_Model and Valuation - Aros 6 30 08" xfId="16303" xr:uid="{00000000-0005-0000-0000-00003A010000}"/>
    <cellStyle name="_Euro_Summary" xfId="235" xr:uid="{00000000-0005-0000-0000-00003B010000}"/>
    <cellStyle name="_G2 Comps v4" xfId="236" xr:uid="{00000000-0005-0000-0000-00003C010000}"/>
    <cellStyle name="_GBP" xfId="237" xr:uid="{00000000-0005-0000-0000-00003D010000}"/>
    <cellStyle name="_GBP 2" xfId="238" xr:uid="{00000000-0005-0000-0000-00003E010000}"/>
    <cellStyle name="_Header" xfId="16304" xr:uid="{00000000-0005-0000-0000-00003F010000}"/>
    <cellStyle name="_HeaderBlue" xfId="239" xr:uid="{00000000-0005-0000-0000-000040010000}"/>
    <cellStyle name="_Heading" xfId="240" xr:uid="{00000000-0005-0000-0000-000041010000}"/>
    <cellStyle name="_Heading 2" xfId="241" xr:uid="{00000000-0005-0000-0000-000042010000}"/>
    <cellStyle name="_Heading_lbo_long_model" xfId="242" xr:uid="{00000000-0005-0000-0000-000043010000}"/>
    <cellStyle name="_Heading_lbo_long_model 2" xfId="243" xr:uid="{00000000-0005-0000-0000-000044010000}"/>
    <cellStyle name="_Heading_lbo_long_model 2 2" xfId="244" xr:uid="{00000000-0005-0000-0000-000045010000}"/>
    <cellStyle name="_Heading_lbo_long_model 3" xfId="245" xr:uid="{00000000-0005-0000-0000-000046010000}"/>
    <cellStyle name="_Heading_lbo_long_model 4" xfId="246" xr:uid="{00000000-0005-0000-0000-000047010000}"/>
    <cellStyle name="_Heading_lbo_long_model 5" xfId="247" xr:uid="{00000000-0005-0000-0000-000048010000}"/>
    <cellStyle name="_Heading_lbo_long_model_Anaphore 12 31 2008 Draft Analysis 02 19 2009" xfId="248" xr:uid="{00000000-0005-0000-0000-000049010000}"/>
    <cellStyle name="_Heading_lbo_long_model_Anaphore 12 31 2008 Draft Analysis 02 20 2009 - DM REVISED" xfId="249" xr:uid="{00000000-0005-0000-0000-00004A010000}"/>
    <cellStyle name="_Heading_lbo_long_model_Book2" xfId="250" xr:uid="{00000000-0005-0000-0000-00004B010000}"/>
    <cellStyle name="_Heading_lbo_long_model_Book2 2" xfId="251" xr:uid="{00000000-0005-0000-0000-00004C010000}"/>
    <cellStyle name="_Heading_lbo_long_model_Boston Power VD 01 31 2008 Model 02 26 2008" xfId="252" xr:uid="{00000000-0005-0000-0000-00004D010000}"/>
    <cellStyle name="_Heading_lbo_long_model_Boston Power VD 01 31 2008 Model 02 26 2008 2" xfId="253" xr:uid="{00000000-0005-0000-0000-00004E010000}"/>
    <cellStyle name="_Heading_lbo_long_model_Boston Power VD 01 31 2008 Model 02 26 2008 2 2" xfId="254" xr:uid="{00000000-0005-0000-0000-00004F010000}"/>
    <cellStyle name="_Heading_lbo_long_model_Boston Power VD 01 31 2008 Model 02 26 2008 3" xfId="255" xr:uid="{00000000-0005-0000-0000-000050010000}"/>
    <cellStyle name="_Heading_lbo_long_model_Boston Power VD 01 31 2008 Model 02 26 2008 4" xfId="256" xr:uid="{00000000-0005-0000-0000-000051010000}"/>
    <cellStyle name="_Heading_lbo_long_model_Boston Power VD 01 31 2008 Model 02 26 2008 5" xfId="257" xr:uid="{00000000-0005-0000-0000-000052010000}"/>
    <cellStyle name="_Heading_lbo_long_model_Boston Power VD 01 31 2008 Model 02 26 2008_CompanyABC Valuation Draft Model 04 21 2009" xfId="258" xr:uid="{00000000-0005-0000-0000-000053010000}"/>
    <cellStyle name="_Heading_lbo_long_model_Boston Power VD 01 31 2008 Model 02 26 2008_CompanyABC Valuation Draft Model 04 21 2009 2" xfId="259" xr:uid="{00000000-0005-0000-0000-000054010000}"/>
    <cellStyle name="_Heading_lbo_long_model_Boston Power VD 01 31 2008 Model 02 26 2008_DB" xfId="260" xr:uid="{00000000-0005-0000-0000-000055010000}"/>
    <cellStyle name="_Heading_lbo_long_model_Boston Power VD 01 31 2008 Model 02 26 2008_DB 2" xfId="261" xr:uid="{00000000-0005-0000-0000-000056010000}"/>
    <cellStyle name="_Heading_lbo_long_model_Boston Power VD 01 31 2008 Model 02 26 2008_DB 2 2" xfId="262" xr:uid="{00000000-0005-0000-0000-000057010000}"/>
    <cellStyle name="_Heading_lbo_long_model_Boston Power VD 01 31 2008 Model 02 26 2008_FAS 157 Model Template 04 26 2009" xfId="263" xr:uid="{00000000-0005-0000-0000-000058010000}"/>
    <cellStyle name="_Heading_lbo_long_model_Boston Power VD 01 31 2008 Model 02 26 2008_FAS 157 Model Template 04 26 2009 2" xfId="264" xr:uid="{00000000-0005-0000-0000-000059010000}"/>
    <cellStyle name="_Heading_lbo_long_model_Boston Power VD 01 31 2008 Model 02 26 2008_Miragen VD 05 31 2008 Model 05 22 2009" xfId="265" xr:uid="{00000000-0005-0000-0000-00005A010000}"/>
    <cellStyle name="_Heading_lbo_long_model_Cap Table Inputs" xfId="266" xr:uid="{00000000-0005-0000-0000-00005B010000}"/>
    <cellStyle name="_Heading_lbo_long_model_Cap Table Inputs 2" xfId="267" xr:uid="{00000000-0005-0000-0000-00005C010000}"/>
    <cellStyle name="_Heading_lbo_long_model_Cap Table Inputs 2 2" xfId="268" xr:uid="{00000000-0005-0000-0000-00005D010000}"/>
    <cellStyle name="_Heading_lbo_long_model_Cap Table Inputs 3" xfId="269" xr:uid="{00000000-0005-0000-0000-00005E010000}"/>
    <cellStyle name="_Heading_lbo_long_model_Cap Table Inputs 4" xfId="270" xr:uid="{00000000-0005-0000-0000-00005F010000}"/>
    <cellStyle name="_Heading_lbo_long_model_Cap Table Inputs 5" xfId="271" xr:uid="{00000000-0005-0000-0000-000060010000}"/>
    <cellStyle name="_Heading_lbo_long_model_Cap Table Inputs_CompanyABC Valuation Draft Model 04 21 2009" xfId="272" xr:uid="{00000000-0005-0000-0000-000061010000}"/>
    <cellStyle name="_Heading_lbo_long_model_Cap Table Inputs_CompanyABC Valuation Draft Model 04 21 2009 2" xfId="273" xr:uid="{00000000-0005-0000-0000-000062010000}"/>
    <cellStyle name="_Heading_lbo_long_model_Cap Table Inputs_DB" xfId="274" xr:uid="{00000000-0005-0000-0000-000063010000}"/>
    <cellStyle name="_Heading_lbo_long_model_Cap Table Inputs_DB 2" xfId="275" xr:uid="{00000000-0005-0000-0000-000064010000}"/>
    <cellStyle name="_Heading_lbo_long_model_Cap Table Inputs_DB 2 2" xfId="276" xr:uid="{00000000-0005-0000-0000-000065010000}"/>
    <cellStyle name="_Heading_lbo_long_model_Cap Table Inputs_FAS 157 Model Template 04 26 2009" xfId="277" xr:uid="{00000000-0005-0000-0000-000066010000}"/>
    <cellStyle name="_Heading_lbo_long_model_Cap Table Inputs_FAS 157 Model Template 04 26 2009 2" xfId="278" xr:uid="{00000000-0005-0000-0000-000067010000}"/>
    <cellStyle name="_Heading_lbo_long_model_Cap Table Inputs_Miragen VD 05 31 2008 Model 05 22 2009" xfId="279" xr:uid="{00000000-0005-0000-0000-000068010000}"/>
    <cellStyle name="_Heading_lbo_long_model_CardioSolutions 05 31 2007 Final Model 09 27 2007" xfId="280" xr:uid="{00000000-0005-0000-0000-000069010000}"/>
    <cellStyle name="_Heading_lbo_long_model_CardioSolutions 05 31 2007 Final Model 09 27 2007 2" xfId="281" xr:uid="{00000000-0005-0000-0000-00006A010000}"/>
    <cellStyle name="_Heading_lbo_long_model_CardioSolutions 05 31 2007 Final Model 09 27 2007 2 2" xfId="282" xr:uid="{00000000-0005-0000-0000-00006B010000}"/>
    <cellStyle name="_Heading_lbo_long_model_CardioSolutions 05 31 2007 Final Model 09 27 2007 3" xfId="283" xr:uid="{00000000-0005-0000-0000-00006C010000}"/>
    <cellStyle name="_Heading_lbo_long_model_CardioSolutions 05 31 2007 Final Model 09 27 2007 4" xfId="284" xr:uid="{00000000-0005-0000-0000-00006D010000}"/>
    <cellStyle name="_Heading_lbo_long_model_CardioSolutions 05 31 2007 Final Model 09 27 2007 5" xfId="285" xr:uid="{00000000-0005-0000-0000-00006E010000}"/>
    <cellStyle name="_Heading_lbo_long_model_CardioSolutions 05 31 2007 Final Model 09 27 2007_CompanyABC Valuation Draft Model 04 21 2009" xfId="286" xr:uid="{00000000-0005-0000-0000-00006F010000}"/>
    <cellStyle name="_Heading_lbo_long_model_CardioSolutions 05 31 2007 Final Model 09 27 2007_CompanyABC Valuation Draft Model 04 21 2009 2" xfId="287" xr:uid="{00000000-0005-0000-0000-000070010000}"/>
    <cellStyle name="_Heading_lbo_long_model_CardioSolutions 05 31 2007 Final Model 09 27 2007_DB" xfId="288" xr:uid="{00000000-0005-0000-0000-000071010000}"/>
    <cellStyle name="_Heading_lbo_long_model_CardioSolutions 05 31 2007 Final Model 09 27 2007_DB 2" xfId="289" xr:uid="{00000000-0005-0000-0000-000072010000}"/>
    <cellStyle name="_Heading_lbo_long_model_CardioSolutions 05 31 2007 Final Model 09 27 2007_DB 2 2" xfId="290" xr:uid="{00000000-0005-0000-0000-000073010000}"/>
    <cellStyle name="_Heading_lbo_long_model_CardioSolutions 05 31 2007 Final Model 09 27 2007_FAS 157 Model Template 04 26 2009" xfId="291" xr:uid="{00000000-0005-0000-0000-000074010000}"/>
    <cellStyle name="_Heading_lbo_long_model_CardioSolutions 05 31 2007 Final Model 09 27 2007_FAS 157 Model Template 04 26 2009 2" xfId="292" xr:uid="{00000000-0005-0000-0000-000075010000}"/>
    <cellStyle name="_Heading_lbo_long_model_CardioSolutions 05 31 2007 Final Model 09 27 2007_Miragen VD 05 31 2008 Model 05 22 2009" xfId="293" xr:uid="{00000000-0005-0000-0000-000076010000}"/>
    <cellStyle name="_Heading_lbo_long_model_CardioSolutions VD 05 31 08 Draft Model 07 15 2008" xfId="294" xr:uid="{00000000-0005-0000-0000-000077010000}"/>
    <cellStyle name="_Heading_lbo_long_model_CardioSolutions VD 05 31 08 Draft Model 07 15 2008 2" xfId="295" xr:uid="{00000000-0005-0000-0000-000078010000}"/>
    <cellStyle name="_Heading_lbo_long_model_CardioSolutions VD 05 31 08 Draft Model 08 06 08-u" xfId="296" xr:uid="{00000000-0005-0000-0000-000079010000}"/>
    <cellStyle name="_Heading_lbo_long_model_CardioSolutions VD 05 31 08 Draft Model 08 06 08-u 2" xfId="297" xr:uid="{00000000-0005-0000-0000-00007A010000}"/>
    <cellStyle name="_Heading_lbo_long_model_CompanyABC Valuation Draft Model 04 21 2009" xfId="298" xr:uid="{00000000-0005-0000-0000-00007B010000}"/>
    <cellStyle name="_Heading_lbo_long_model_CompanyABC Valuation Draft Model 04 21 2009 2" xfId="299" xr:uid="{00000000-0005-0000-0000-00007C010000}"/>
    <cellStyle name="_Heading_lbo_long_model_CompanyABC Valuation Model Draft 07 07 2008" xfId="300" xr:uid="{00000000-0005-0000-0000-00007D010000}"/>
    <cellStyle name="_Heading_lbo_long_model_CompanyABC Valuation Model Draft 07 07 2008 2" xfId="301" xr:uid="{00000000-0005-0000-0000-00007E010000}"/>
    <cellStyle name="_Heading_lbo_long_model_CompanyABC Valuation Model Draft 08 07 2008" xfId="302" xr:uid="{00000000-0005-0000-0000-00007F010000}"/>
    <cellStyle name="_Heading_lbo_long_model_CompanyABC Valuation Model Draft 08 07 2008 2" xfId="303" xr:uid="{00000000-0005-0000-0000-000080010000}"/>
    <cellStyle name="_Heading_lbo_long_model_CompanyABC Valuation Model Draft 08 25 2008" xfId="304" xr:uid="{00000000-0005-0000-0000-000081010000}"/>
    <cellStyle name="_Heading_lbo_long_model_CompanyABC Valuation Model Draft 08 25 2008 2" xfId="305" xr:uid="{00000000-0005-0000-0000-000082010000}"/>
    <cellStyle name="_Heading_lbo_long_model_CompanyABC Valuation Model Draft 09 25 2008-Team Liquidity" xfId="306" xr:uid="{00000000-0005-0000-0000-000083010000}"/>
    <cellStyle name="_Heading_lbo_long_model_CompanyABC Valuation Model Draft 09 25 2008-Team Liquidity 2" xfId="307" xr:uid="{00000000-0005-0000-0000-000084010000}"/>
    <cellStyle name="_Heading_lbo_long_model_CompanyABC Valuation Model Draft 10 01 2008" xfId="308" xr:uid="{00000000-0005-0000-0000-000085010000}"/>
    <cellStyle name="_Heading_lbo_long_model_CompanyABC Valuation Model Draft 10 01 2008 2" xfId="309" xr:uid="{00000000-0005-0000-0000-000086010000}"/>
    <cellStyle name="_Heading_lbo_long_model_CompanyABC Valuation Model Draft 10 27 2008" xfId="310" xr:uid="{00000000-0005-0000-0000-000087010000}"/>
    <cellStyle name="_Heading_lbo_long_model_CompanyABC Valuation Model Draft 10 27 2008 2" xfId="311" xr:uid="{00000000-0005-0000-0000-000088010000}"/>
    <cellStyle name="_Heading_lbo_long_model_DB" xfId="312" xr:uid="{00000000-0005-0000-0000-000089010000}"/>
    <cellStyle name="_Heading_lbo_long_model_DB 2" xfId="313" xr:uid="{00000000-0005-0000-0000-00008A010000}"/>
    <cellStyle name="_Heading_lbo_long_model_EXAMPLE model C-5" xfId="314" xr:uid="{00000000-0005-0000-0000-00008B010000}"/>
    <cellStyle name="_Heading_lbo_long_model_EXAMPLE model C-5 2" xfId="315" xr:uid="{00000000-0005-0000-0000-00008C010000}"/>
    <cellStyle name="_Heading_lbo_long_model_FAS 157 Model Template 04 26 2009" xfId="316" xr:uid="{00000000-0005-0000-0000-00008D010000}"/>
    <cellStyle name="_Heading_lbo_long_model_FAS 157 Model Template 04 26 2009 2" xfId="317" xr:uid="{00000000-0005-0000-0000-00008E010000}"/>
    <cellStyle name="_Heading_lbo_long_model_Great Call VD 09 30 08 Draft Model 11 20 08" xfId="318" xr:uid="{00000000-0005-0000-0000-00008F010000}"/>
    <cellStyle name="_Heading_lbo_long_model_Great Call VD 09 30 08 Draft Model 11 20 08 2" xfId="319" xr:uid="{00000000-0005-0000-0000-000090010000}"/>
    <cellStyle name="_Heading_lbo_long_model_Intermedia, Inc. VD 05 31 08 Draft Model 07 16 2008" xfId="320" xr:uid="{00000000-0005-0000-0000-000091010000}"/>
    <cellStyle name="_Heading_lbo_long_model_Intermedia, Inc. VD 05 31 08 Draft Model 07 16 2008 2" xfId="321" xr:uid="{00000000-0005-0000-0000-000092010000}"/>
    <cellStyle name="_Heading_lbo_long_model_Island Data Corporatin VD 06 30 08 Projections and Comparables 08 11 2008" xfId="322" xr:uid="{00000000-0005-0000-0000-000093010000}"/>
    <cellStyle name="_Heading_lbo_long_model_Island Data Corporatin VD 06 30 08 Projections and Comparables 08 11 2008 2" xfId="323" xr:uid="{00000000-0005-0000-0000-000094010000}"/>
    <cellStyle name="_Heading_lbo_long_model_Jentro Tech VD 03 31 2008 Model 04 10 2008" xfId="324" xr:uid="{00000000-0005-0000-0000-000095010000}"/>
    <cellStyle name="_Heading_lbo_long_model_Jentro Tech VD 03 31 2008 Model 04 10 2008 2" xfId="325" xr:uid="{00000000-0005-0000-0000-000096010000}"/>
    <cellStyle name="_Heading_lbo_long_model_Kythera Biopharmaceuticals VD 05 16 08 Draft Analysis 07 01 08" xfId="326" xr:uid="{00000000-0005-0000-0000-000097010000}"/>
    <cellStyle name="_Heading_lbo_long_model_Kythera Biopharmaceuticals VD 05 16 08 Draft Analysis 07 01 08 2" xfId="327" xr:uid="{00000000-0005-0000-0000-000098010000}"/>
    <cellStyle name="_Heading_lbo_long_model_Kythera Biopharmaceuticals VD 05 16 08 Final Model 07 20 08" xfId="328" xr:uid="{00000000-0005-0000-0000-000099010000}"/>
    <cellStyle name="_Heading_lbo_long_model_Kythera Biopharmaceuticals VD 05 16 08 Final Model 07 20 08 2" xfId="329" xr:uid="{00000000-0005-0000-0000-00009A010000}"/>
    <cellStyle name="_Heading_lbo_long_model_Kythera Biopharmaceuticals, Inc. VD 5 16 2008 Draft 5 24 2008" xfId="330" xr:uid="{00000000-0005-0000-0000-00009B010000}"/>
    <cellStyle name="_Heading_lbo_long_model_Kythera Biopharmaceuticals, Inc. VD 5 16 2008 Draft 5 24 2008 2" xfId="331" xr:uid="{00000000-0005-0000-0000-00009C010000}"/>
    <cellStyle name="_Heading_lbo_long_model_Miragen VD 05 31 2008 Model 05 22 2009" xfId="332" xr:uid="{00000000-0005-0000-0000-00009D010000}"/>
    <cellStyle name="_Heading_lbo_long_model_Notes" xfId="333" xr:uid="{00000000-0005-0000-0000-00009E010000}"/>
    <cellStyle name="_Heading_lbo_long_model_Notes 2" xfId="334" xr:uid="{00000000-0005-0000-0000-00009F010000}"/>
    <cellStyle name="_Heading_lbo_long_model_OMT VD 10 15 2008 Draft Analysis 12 17 2008.xls" xfId="335" xr:uid="{00000000-0005-0000-0000-0000A0010000}"/>
    <cellStyle name="_Heading_lbo_long_model_PubComps IPO -C-7" xfId="336" xr:uid="{00000000-0005-0000-0000-0000A1010000}"/>
    <cellStyle name="_Heading_lbo_long_model_PubComps IPO -C-7 2" xfId="337" xr:uid="{00000000-0005-0000-0000-0000A2010000}"/>
    <cellStyle name="_Heading_lbo_long_model_Tmax Soft VD 07 31 2008 Draft Model 08 20 2008" xfId="338" xr:uid="{00000000-0005-0000-0000-0000A3010000}"/>
    <cellStyle name="_Heading_lbo_long_model_Tmax Soft VD 07 31 2008 Draft Model 08 20 2008 2" xfId="339" xr:uid="{00000000-0005-0000-0000-0000A4010000}"/>
    <cellStyle name="_Heading_lbo_long_model_WACC -E-2" xfId="340" xr:uid="{00000000-0005-0000-0000-0000A5010000}"/>
    <cellStyle name="_Heading_lbo_long_model_WACC -E-2 2" xfId="341" xr:uid="{00000000-0005-0000-0000-0000A6010000}"/>
    <cellStyle name="_Heading_lbo_long_model_Xmos Limited VD 05 13 2008  Model 06 04 08" xfId="342" xr:uid="{00000000-0005-0000-0000-0000A7010000}"/>
    <cellStyle name="_Heading_lbo_long_model_Xmos Limited VD 05 13 2008  Model 06 04 08 2" xfId="343" xr:uid="{00000000-0005-0000-0000-0000A8010000}"/>
    <cellStyle name="_Heading_prestemp" xfId="344" xr:uid="{00000000-0005-0000-0000-0000A9010000}"/>
    <cellStyle name="_Heading_prestemp 2" xfId="345" xr:uid="{00000000-0005-0000-0000-0000AA010000}"/>
    <cellStyle name="_Heading_prestemp 2 2" xfId="346" xr:uid="{00000000-0005-0000-0000-0000AB010000}"/>
    <cellStyle name="_Heading_prestemp 3" xfId="347" xr:uid="{00000000-0005-0000-0000-0000AC010000}"/>
    <cellStyle name="_Heading_prestemp 4" xfId="348" xr:uid="{00000000-0005-0000-0000-0000AD010000}"/>
    <cellStyle name="_Heading_prestemp 5" xfId="349" xr:uid="{00000000-0005-0000-0000-0000AE010000}"/>
    <cellStyle name="_Heading_prestemp_Anaphore 12 31 2008 Draft Analysis 02 19 2009" xfId="350" xr:uid="{00000000-0005-0000-0000-0000AF010000}"/>
    <cellStyle name="_Heading_prestemp_Anaphore 12 31 2008 Draft Analysis 02 20 2009 - DM REVISED" xfId="351" xr:uid="{00000000-0005-0000-0000-0000B0010000}"/>
    <cellStyle name="_Heading_prestemp_Book2" xfId="352" xr:uid="{00000000-0005-0000-0000-0000B1010000}"/>
    <cellStyle name="_Heading_prestemp_Book2 2" xfId="353" xr:uid="{00000000-0005-0000-0000-0000B2010000}"/>
    <cellStyle name="_Heading_prestemp_Boston Power VD 01 31 2008 Model 02 26 2008" xfId="354" xr:uid="{00000000-0005-0000-0000-0000B3010000}"/>
    <cellStyle name="_Heading_prestemp_Boston Power VD 01 31 2008 Model 02 26 2008 2" xfId="355" xr:uid="{00000000-0005-0000-0000-0000B4010000}"/>
    <cellStyle name="_Heading_prestemp_Boston Power VD 01 31 2008 Model 02 26 2008 2 2" xfId="356" xr:uid="{00000000-0005-0000-0000-0000B5010000}"/>
    <cellStyle name="_Heading_prestemp_Boston Power VD 01 31 2008 Model 02 26 2008 3" xfId="357" xr:uid="{00000000-0005-0000-0000-0000B6010000}"/>
    <cellStyle name="_Heading_prestemp_Boston Power VD 01 31 2008 Model 02 26 2008 4" xfId="358" xr:uid="{00000000-0005-0000-0000-0000B7010000}"/>
    <cellStyle name="_Heading_prestemp_Boston Power VD 01 31 2008 Model 02 26 2008 5" xfId="359" xr:uid="{00000000-0005-0000-0000-0000B8010000}"/>
    <cellStyle name="_Heading_prestemp_Boston Power VD 01 31 2008 Model 02 26 2008_CompanyABC Valuation Draft Model 04 21 2009" xfId="360" xr:uid="{00000000-0005-0000-0000-0000B9010000}"/>
    <cellStyle name="_Heading_prestemp_Boston Power VD 01 31 2008 Model 02 26 2008_CompanyABC Valuation Draft Model 04 21 2009 2" xfId="361" xr:uid="{00000000-0005-0000-0000-0000BA010000}"/>
    <cellStyle name="_Heading_prestemp_Boston Power VD 01 31 2008 Model 02 26 2008_DB" xfId="362" xr:uid="{00000000-0005-0000-0000-0000BB010000}"/>
    <cellStyle name="_Heading_prestemp_Boston Power VD 01 31 2008 Model 02 26 2008_DB 2" xfId="363" xr:uid="{00000000-0005-0000-0000-0000BC010000}"/>
    <cellStyle name="_Heading_prestemp_Boston Power VD 01 31 2008 Model 02 26 2008_DB 2 2" xfId="364" xr:uid="{00000000-0005-0000-0000-0000BD010000}"/>
    <cellStyle name="_Heading_prestemp_Boston Power VD 01 31 2008 Model 02 26 2008_FAS 157 Model Template 04 26 2009" xfId="365" xr:uid="{00000000-0005-0000-0000-0000BE010000}"/>
    <cellStyle name="_Heading_prestemp_Boston Power VD 01 31 2008 Model 02 26 2008_FAS 157 Model Template 04 26 2009 2" xfId="366" xr:uid="{00000000-0005-0000-0000-0000BF010000}"/>
    <cellStyle name="_Heading_prestemp_Boston Power VD 01 31 2008 Model 02 26 2008_Miragen VD 05 31 2008 Model 05 22 2009" xfId="367" xr:uid="{00000000-0005-0000-0000-0000C0010000}"/>
    <cellStyle name="_Heading_prestemp_Cap Table Inputs" xfId="368" xr:uid="{00000000-0005-0000-0000-0000C1010000}"/>
    <cellStyle name="_Heading_prestemp_Cap Table Inputs 2" xfId="369" xr:uid="{00000000-0005-0000-0000-0000C2010000}"/>
    <cellStyle name="_Heading_prestemp_Cap Table Inputs 2 2" xfId="370" xr:uid="{00000000-0005-0000-0000-0000C3010000}"/>
    <cellStyle name="_Heading_prestemp_Cap Table Inputs 3" xfId="371" xr:uid="{00000000-0005-0000-0000-0000C4010000}"/>
    <cellStyle name="_Heading_prestemp_Cap Table Inputs 4" xfId="372" xr:uid="{00000000-0005-0000-0000-0000C5010000}"/>
    <cellStyle name="_Heading_prestemp_Cap Table Inputs 5" xfId="373" xr:uid="{00000000-0005-0000-0000-0000C6010000}"/>
    <cellStyle name="_Heading_prestemp_Cap Table Inputs_CompanyABC Valuation Draft Model 04 21 2009" xfId="374" xr:uid="{00000000-0005-0000-0000-0000C7010000}"/>
    <cellStyle name="_Heading_prestemp_Cap Table Inputs_CompanyABC Valuation Draft Model 04 21 2009 2" xfId="375" xr:uid="{00000000-0005-0000-0000-0000C8010000}"/>
    <cellStyle name="_Heading_prestemp_Cap Table Inputs_DB" xfId="376" xr:uid="{00000000-0005-0000-0000-0000C9010000}"/>
    <cellStyle name="_Heading_prestemp_Cap Table Inputs_DB 2" xfId="377" xr:uid="{00000000-0005-0000-0000-0000CA010000}"/>
    <cellStyle name="_Heading_prestemp_Cap Table Inputs_DB 2 2" xfId="378" xr:uid="{00000000-0005-0000-0000-0000CB010000}"/>
    <cellStyle name="_Heading_prestemp_Cap Table Inputs_FAS 157 Model Template 04 26 2009" xfId="379" xr:uid="{00000000-0005-0000-0000-0000CC010000}"/>
    <cellStyle name="_Heading_prestemp_Cap Table Inputs_FAS 157 Model Template 04 26 2009 2" xfId="380" xr:uid="{00000000-0005-0000-0000-0000CD010000}"/>
    <cellStyle name="_Heading_prestemp_Cap Table Inputs_Miragen VD 05 31 2008 Model 05 22 2009" xfId="381" xr:uid="{00000000-0005-0000-0000-0000CE010000}"/>
    <cellStyle name="_Heading_prestemp_CardioSolutions 05 31 2007 Final Model 09 27 2007" xfId="382" xr:uid="{00000000-0005-0000-0000-0000CF010000}"/>
    <cellStyle name="_Heading_prestemp_CardioSolutions 05 31 2007 Final Model 09 27 2007 2" xfId="383" xr:uid="{00000000-0005-0000-0000-0000D0010000}"/>
    <cellStyle name="_Heading_prestemp_CardioSolutions 05 31 2007 Final Model 09 27 2007 2 2" xfId="384" xr:uid="{00000000-0005-0000-0000-0000D1010000}"/>
    <cellStyle name="_Heading_prestemp_CardioSolutions 05 31 2007 Final Model 09 27 2007 3" xfId="385" xr:uid="{00000000-0005-0000-0000-0000D2010000}"/>
    <cellStyle name="_Heading_prestemp_CardioSolutions 05 31 2007 Final Model 09 27 2007 4" xfId="386" xr:uid="{00000000-0005-0000-0000-0000D3010000}"/>
    <cellStyle name="_Heading_prestemp_CardioSolutions 05 31 2007 Final Model 09 27 2007 5" xfId="387" xr:uid="{00000000-0005-0000-0000-0000D4010000}"/>
    <cellStyle name="_Heading_prestemp_CardioSolutions 05 31 2007 Final Model 09 27 2007_CompanyABC Valuation Draft Model 04 21 2009" xfId="388" xr:uid="{00000000-0005-0000-0000-0000D5010000}"/>
    <cellStyle name="_Heading_prestemp_CardioSolutions 05 31 2007 Final Model 09 27 2007_CompanyABC Valuation Draft Model 04 21 2009 2" xfId="389" xr:uid="{00000000-0005-0000-0000-0000D6010000}"/>
    <cellStyle name="_Heading_prestemp_CardioSolutions 05 31 2007 Final Model 09 27 2007_DB" xfId="390" xr:uid="{00000000-0005-0000-0000-0000D7010000}"/>
    <cellStyle name="_Heading_prestemp_CardioSolutions 05 31 2007 Final Model 09 27 2007_DB 2" xfId="391" xr:uid="{00000000-0005-0000-0000-0000D8010000}"/>
    <cellStyle name="_Heading_prestemp_CardioSolutions 05 31 2007 Final Model 09 27 2007_DB 2 2" xfId="392" xr:uid="{00000000-0005-0000-0000-0000D9010000}"/>
    <cellStyle name="_Heading_prestemp_CardioSolutions 05 31 2007 Final Model 09 27 2007_FAS 157 Model Template 04 26 2009" xfId="393" xr:uid="{00000000-0005-0000-0000-0000DA010000}"/>
    <cellStyle name="_Heading_prestemp_CardioSolutions 05 31 2007 Final Model 09 27 2007_FAS 157 Model Template 04 26 2009 2" xfId="394" xr:uid="{00000000-0005-0000-0000-0000DB010000}"/>
    <cellStyle name="_Heading_prestemp_CardioSolutions 05 31 2007 Final Model 09 27 2007_Miragen VD 05 31 2008 Model 05 22 2009" xfId="395" xr:uid="{00000000-0005-0000-0000-0000DC010000}"/>
    <cellStyle name="_Heading_prestemp_CardioSolutions VD 05 31 08 Draft Model 07 15 2008" xfId="396" xr:uid="{00000000-0005-0000-0000-0000DD010000}"/>
    <cellStyle name="_Heading_prestemp_CardioSolutions VD 05 31 08 Draft Model 07 15 2008 2" xfId="397" xr:uid="{00000000-0005-0000-0000-0000DE010000}"/>
    <cellStyle name="_Heading_prestemp_CardioSolutions VD 05 31 08 Draft Model 08 06 08-u" xfId="398" xr:uid="{00000000-0005-0000-0000-0000DF010000}"/>
    <cellStyle name="_Heading_prestemp_CardioSolutions VD 05 31 08 Draft Model 08 06 08-u 2" xfId="399" xr:uid="{00000000-0005-0000-0000-0000E0010000}"/>
    <cellStyle name="_Heading_prestemp_CompanyABC Valuation Draft Model 04 21 2009" xfId="400" xr:uid="{00000000-0005-0000-0000-0000E1010000}"/>
    <cellStyle name="_Heading_prestemp_CompanyABC Valuation Draft Model 04 21 2009 2" xfId="401" xr:uid="{00000000-0005-0000-0000-0000E2010000}"/>
    <cellStyle name="_Heading_prestemp_CompanyABC Valuation Model Draft 07 07 2008" xfId="402" xr:uid="{00000000-0005-0000-0000-0000E3010000}"/>
    <cellStyle name="_Heading_prestemp_CompanyABC Valuation Model Draft 07 07 2008 2" xfId="403" xr:uid="{00000000-0005-0000-0000-0000E4010000}"/>
    <cellStyle name="_Heading_prestemp_CompanyABC Valuation Model Draft 08 07 2008" xfId="404" xr:uid="{00000000-0005-0000-0000-0000E5010000}"/>
    <cellStyle name="_Heading_prestemp_CompanyABC Valuation Model Draft 08 07 2008 2" xfId="405" xr:uid="{00000000-0005-0000-0000-0000E6010000}"/>
    <cellStyle name="_Heading_prestemp_CompanyABC Valuation Model Draft 08 25 2008" xfId="406" xr:uid="{00000000-0005-0000-0000-0000E7010000}"/>
    <cellStyle name="_Heading_prestemp_CompanyABC Valuation Model Draft 08 25 2008 2" xfId="407" xr:uid="{00000000-0005-0000-0000-0000E8010000}"/>
    <cellStyle name="_Heading_prestemp_CompanyABC Valuation Model Draft 09 25 2008-Team Liquidity" xfId="408" xr:uid="{00000000-0005-0000-0000-0000E9010000}"/>
    <cellStyle name="_Heading_prestemp_CompanyABC Valuation Model Draft 09 25 2008-Team Liquidity 2" xfId="409" xr:uid="{00000000-0005-0000-0000-0000EA010000}"/>
    <cellStyle name="_Heading_prestemp_CompanyABC Valuation Model Draft 10 01 2008" xfId="410" xr:uid="{00000000-0005-0000-0000-0000EB010000}"/>
    <cellStyle name="_Heading_prestemp_CompanyABC Valuation Model Draft 10 01 2008 2" xfId="411" xr:uid="{00000000-0005-0000-0000-0000EC010000}"/>
    <cellStyle name="_Heading_prestemp_CompanyABC Valuation Model Draft 10 27 2008" xfId="412" xr:uid="{00000000-0005-0000-0000-0000ED010000}"/>
    <cellStyle name="_Heading_prestemp_CompanyABC Valuation Model Draft 10 27 2008 2" xfId="413" xr:uid="{00000000-0005-0000-0000-0000EE010000}"/>
    <cellStyle name="_Heading_prestemp_Cyrela - Goldzstein - Financial Model - v1" xfId="414" xr:uid="{00000000-0005-0000-0000-0000EF010000}"/>
    <cellStyle name="_Heading_prestemp_Cyrela - Goldzstein - Financial Model - v5" xfId="415" xr:uid="{00000000-0005-0000-0000-0000F0010000}"/>
    <cellStyle name="_Heading_prestemp_DB" xfId="416" xr:uid="{00000000-0005-0000-0000-0000F1010000}"/>
    <cellStyle name="_Heading_prestemp_DB 2" xfId="417" xr:uid="{00000000-0005-0000-0000-0000F2010000}"/>
    <cellStyle name="_Heading_prestemp_EXAMPLE model C-5" xfId="418" xr:uid="{00000000-0005-0000-0000-0000F3010000}"/>
    <cellStyle name="_Heading_prestemp_EXAMPLE model C-5 2" xfId="419" xr:uid="{00000000-0005-0000-0000-0000F4010000}"/>
    <cellStyle name="_Heading_prestemp_FAS 157 Model Template 04 26 2009" xfId="420" xr:uid="{00000000-0005-0000-0000-0000F5010000}"/>
    <cellStyle name="_Heading_prestemp_FAS 157 Model Template 04 26 2009 2" xfId="421" xr:uid="{00000000-0005-0000-0000-0000F6010000}"/>
    <cellStyle name="_Heading_prestemp_Gas Natural - Financial Model - April 18 2008 - v1" xfId="422" xr:uid="{00000000-0005-0000-0000-0000F7010000}"/>
    <cellStyle name="_Heading_prestemp_Gas Natural - Financial Model - April 18 2008 - v2" xfId="423" xr:uid="{00000000-0005-0000-0000-0000F8010000}"/>
    <cellStyle name="_Heading_prestemp_Gas Natural - Financial Model - May 20, 2009" xfId="424" xr:uid="{00000000-0005-0000-0000-0000F9010000}"/>
    <cellStyle name="_Heading_prestemp_Goldzstein Cyrela - Financial Model - v7" xfId="425" xr:uid="{00000000-0005-0000-0000-0000FA010000}"/>
    <cellStyle name="_Heading_prestemp_Great Call VD 09 30 08 Draft Model 11 20 08" xfId="426" xr:uid="{00000000-0005-0000-0000-0000FB010000}"/>
    <cellStyle name="_Heading_prestemp_Great Call VD 09 30 08 Draft Model 11 20 08 2" xfId="427" xr:uid="{00000000-0005-0000-0000-0000FC010000}"/>
    <cellStyle name="_Heading_prestemp_Grupo Ibmec - Financial Model - v2" xfId="428" xr:uid="{00000000-0005-0000-0000-0000FD010000}"/>
    <cellStyle name="_Heading_prestemp_Grupo Ibmec - Financial Model - v5" xfId="429" xr:uid="{00000000-0005-0000-0000-0000FE010000}"/>
    <cellStyle name="_Heading_prestemp_Independencia - Financial Model - Dec 02 2008 - v3" xfId="430" xr:uid="{00000000-0005-0000-0000-0000FF010000}"/>
    <cellStyle name="_Heading_prestemp_Independencia - Financial Model - Nov 24 2008" xfId="431" xr:uid="{00000000-0005-0000-0000-000000020000}"/>
    <cellStyle name="_Heading_prestemp_Intermedia, Inc. VD 05 31 08 Draft Model 07 16 2008" xfId="432" xr:uid="{00000000-0005-0000-0000-000001020000}"/>
    <cellStyle name="_Heading_prestemp_Intermedia, Inc. VD 05 31 08 Draft Model 07 16 2008 2" xfId="433" xr:uid="{00000000-0005-0000-0000-000002020000}"/>
    <cellStyle name="_Heading_prestemp_Island Data Corporatin VD 06 30 08 Projections and Comparables 08 11 2008" xfId="434" xr:uid="{00000000-0005-0000-0000-000003020000}"/>
    <cellStyle name="_Heading_prestemp_Island Data Corporatin VD 06 30 08 Projections and Comparables 08 11 2008 2" xfId="435" xr:uid="{00000000-0005-0000-0000-000004020000}"/>
    <cellStyle name="_Heading_prestemp_Jentro Tech VD 03 31 2008 Model 04 10 2008" xfId="436" xr:uid="{00000000-0005-0000-0000-000005020000}"/>
    <cellStyle name="_Heading_prestemp_Jentro Tech VD 03 31 2008 Model 04 10 2008 2" xfId="437" xr:uid="{00000000-0005-0000-0000-000006020000}"/>
    <cellStyle name="_Heading_prestemp_Kythera Biopharmaceuticals VD 05 16 08 Draft Analysis 07 01 08" xfId="438" xr:uid="{00000000-0005-0000-0000-000007020000}"/>
    <cellStyle name="_Heading_prestemp_Kythera Biopharmaceuticals VD 05 16 08 Draft Analysis 07 01 08 2" xfId="439" xr:uid="{00000000-0005-0000-0000-000008020000}"/>
    <cellStyle name="_Heading_prestemp_Kythera Biopharmaceuticals VD 05 16 08 Final Model 07 20 08" xfId="440" xr:uid="{00000000-0005-0000-0000-000009020000}"/>
    <cellStyle name="_Heading_prestemp_Kythera Biopharmaceuticals VD 05 16 08 Final Model 07 20 08 2" xfId="441" xr:uid="{00000000-0005-0000-0000-00000A020000}"/>
    <cellStyle name="_Heading_prestemp_Kythera Biopharmaceuticals, Inc. VD 5 16 2008 Draft 5 24 2008" xfId="442" xr:uid="{00000000-0005-0000-0000-00000B020000}"/>
    <cellStyle name="_Heading_prestemp_Kythera Biopharmaceuticals, Inc. VD 5 16 2008 Draft 5 24 2008 2" xfId="443" xr:uid="{00000000-0005-0000-0000-00000C020000}"/>
    <cellStyle name="_Heading_prestemp_Medley_Financial_Model_v5" xfId="444" xr:uid="{00000000-0005-0000-0000-00000D020000}"/>
    <cellStyle name="_Heading_prestemp_Medley_Financial_Model_v5_Ubiquiti Ownership Table" xfId="445" xr:uid="{00000000-0005-0000-0000-00000E020000}"/>
    <cellStyle name="_Heading_prestemp_Miragen VD 05 31 2008 Model 05 22 2009" xfId="446" xr:uid="{00000000-0005-0000-0000-00000F020000}"/>
    <cellStyle name="_Heading_prestemp_Notes" xfId="447" xr:uid="{00000000-0005-0000-0000-000010020000}"/>
    <cellStyle name="_Heading_prestemp_Notes 2" xfId="448" xr:uid="{00000000-0005-0000-0000-000011020000}"/>
    <cellStyle name="_Heading_prestemp_OMT VD 10 15 2008 Draft Analysis 12 17 2008.xls" xfId="449" xr:uid="{00000000-0005-0000-0000-000012020000}"/>
    <cellStyle name="_Heading_prestemp_Project Emet - Forecasts" xfId="450" xr:uid="{00000000-0005-0000-0000-000013020000}"/>
    <cellStyle name="_Heading_prestemp_PubComps IPO -C-7" xfId="451" xr:uid="{00000000-0005-0000-0000-000014020000}"/>
    <cellStyle name="_Heading_prestemp_PubComps IPO -C-7 2" xfId="452" xr:uid="{00000000-0005-0000-0000-000015020000}"/>
    <cellStyle name="_Heading_prestemp_Rumo_Financial_Model_05jun2009_v1" xfId="453" xr:uid="{00000000-0005-0000-0000-000016020000}"/>
    <cellStyle name="_Heading_prestemp_Rumo_Financial_Model_05jun2009_v4" xfId="454" xr:uid="{00000000-0005-0000-0000-000017020000}"/>
    <cellStyle name="_Heading_prestemp_Rumo_Financial_Model_05jun2009_v5" xfId="455" xr:uid="{00000000-0005-0000-0000-000018020000}"/>
    <cellStyle name="_Heading_prestemp_Rumo_Financial_Model_05jun2009_v6" xfId="456" xr:uid="{00000000-0005-0000-0000-000019020000}"/>
    <cellStyle name="_Heading_prestemp_SCPC_Financial_Model_10jun2009_v2" xfId="457" xr:uid="{00000000-0005-0000-0000-00001A020000}"/>
    <cellStyle name="_Heading_prestemp_SCPC_Financial_Model_17jun2009_v5" xfId="458" xr:uid="{00000000-0005-0000-0000-00001B020000}"/>
    <cellStyle name="_Heading_prestemp_Tmax Soft VD 07 31 2008 Draft Model 08 20 2008" xfId="459" xr:uid="{00000000-0005-0000-0000-00001C020000}"/>
    <cellStyle name="_Heading_prestemp_Tmax Soft VD 07 31 2008 Draft Model 08 20 2008 2" xfId="460" xr:uid="{00000000-0005-0000-0000-00001D020000}"/>
    <cellStyle name="_Heading_prestemp_WACC -E-2" xfId="461" xr:uid="{00000000-0005-0000-0000-00001E020000}"/>
    <cellStyle name="_Heading_prestemp_WACC -E-2 2" xfId="462" xr:uid="{00000000-0005-0000-0000-00001F020000}"/>
    <cellStyle name="_Heading_prestemp_Xmos Limited VD 05 13 2008  Model 06 04 08" xfId="463" xr:uid="{00000000-0005-0000-0000-000020020000}"/>
    <cellStyle name="_Heading_prestemp_Xmos Limited VD 05 13 2008  Model 06 04 08 2" xfId="464" xr:uid="{00000000-0005-0000-0000-000021020000}"/>
    <cellStyle name="_Headline" xfId="16305" xr:uid="{00000000-0005-0000-0000-000022020000}"/>
    <cellStyle name="_Hea_x0010_line" xfId="16306" xr:uid="{00000000-0005-0000-0000-000023020000}"/>
    <cellStyle name="_Highlight" xfId="465" xr:uid="{00000000-0005-0000-0000-000024020000}"/>
    <cellStyle name="_Highlight 2" xfId="466" xr:uid="{00000000-0005-0000-0000-000025020000}"/>
    <cellStyle name="_IPO Val 08.01.05 v1.1" xfId="16307" xr:uid="{00000000-0005-0000-0000-000026020000}"/>
    <cellStyle name="_laroux_2000 Reforecast Summary 6-00" xfId="16308" xr:uid="{00000000-0005-0000-0000-000027020000}"/>
    <cellStyle name="_laroux_April 2000 Review_Property Disclosure 2000 Reforecast 8-00" xfId="16309" xr:uid="{00000000-0005-0000-0000-000028020000}"/>
    <cellStyle name="_LIBOR" xfId="467" xr:uid="{00000000-0005-0000-0000-000029020000}"/>
    <cellStyle name="_LIBOR 2" xfId="468" xr:uid="{00000000-0005-0000-0000-00002A020000}"/>
    <cellStyle name="_LIBOR_IRR Model" xfId="469" xr:uid="{00000000-0005-0000-0000-00002B020000}"/>
    <cellStyle name="_LIBOR_IRR Model 2" xfId="470" xr:uid="{00000000-0005-0000-0000-00002C020000}"/>
    <cellStyle name="_LIBOR_Mesa_Irr Grid" xfId="471" xr:uid="{00000000-0005-0000-0000-00002D020000}"/>
    <cellStyle name="_LIBOR_Mesa_Irr Grid 2" xfId="472" xr:uid="{00000000-0005-0000-0000-00002E020000}"/>
    <cellStyle name="_Luxury Goods Comps latest" xfId="473" xr:uid="{00000000-0005-0000-0000-00002F020000}"/>
    <cellStyle name="_Luxury Goods Comps latest_Medley_Financial_Model_v5" xfId="474" xr:uid="{00000000-0005-0000-0000-000030020000}"/>
    <cellStyle name="_Luxury Goods Comps latest_Medley_Financial_Model_v5_Ubiquiti Ownership Table" xfId="475" xr:uid="{00000000-0005-0000-0000-000031020000}"/>
    <cellStyle name="_MemoHead" xfId="476" xr:uid="{00000000-0005-0000-0000-000032020000}"/>
    <cellStyle name="_MemoHead 2" xfId="477" xr:uid="{00000000-0005-0000-0000-000033020000}"/>
    <cellStyle name="_MemoSubHead" xfId="478" xr:uid="{00000000-0005-0000-0000-000034020000}"/>
    <cellStyle name="_MemoSubHead 2" xfId="479" xr:uid="{00000000-0005-0000-0000-000035020000}"/>
    <cellStyle name="-_Merger Overview Paste-ins" xfId="480" xr:uid="{00000000-0005-0000-0000-000036020000}"/>
    <cellStyle name="-_Merger Overview Paste-ins_EBITDA template v2" xfId="481" xr:uid="{00000000-0005-0000-0000-000037020000}"/>
    <cellStyle name="-_Merger Overview Paste-ins_Ranpak Model (10-27-05) v1.1" xfId="482" xr:uid="{00000000-0005-0000-0000-000038020000}"/>
    <cellStyle name="-_Merger Overview Paste-ins_Ranpak Model (10-27-05) v1.1_EBITDA template v2" xfId="483" xr:uid="{00000000-0005-0000-0000-000039020000}"/>
    <cellStyle name="_Model and Valuation - Aros 6 30 08" xfId="16310" xr:uid="{00000000-0005-0000-0000-00003A020000}"/>
    <cellStyle name="_Modelo Puerto 2007 Management Case DB 14-11 (DB) v20" xfId="484" xr:uid="{00000000-0005-0000-0000-00003B020000}"/>
    <cellStyle name="_Modelo Puerto 2007 Management Case DB 14-11 (DB) v20_Medley_Financial_Model_v5" xfId="485" xr:uid="{00000000-0005-0000-0000-00003C020000}"/>
    <cellStyle name="_Multiple" xfId="486" xr:uid="{00000000-0005-0000-0000-00003D020000}"/>
    <cellStyle name="_Multiple__DCF Template" xfId="487" xr:uid="{00000000-0005-0000-0000-00003E020000}"/>
    <cellStyle name="_Multiple_04 Alaska Model 2002-05-31 GS" xfId="488" xr:uid="{00000000-0005-0000-0000-00003F020000}"/>
    <cellStyle name="_Multiple_Cable_Industry Overview5" xfId="489" xr:uid="{00000000-0005-0000-0000-000040020000}"/>
    <cellStyle name="_Multiple_Control" xfId="490" xr:uid="{00000000-0005-0000-0000-000041020000}"/>
    <cellStyle name="_Multiple_Dividend Template" xfId="491" xr:uid="{00000000-0005-0000-0000-000042020000}"/>
    <cellStyle name="_Multiple_Eric CapIQ unlinked v1" xfId="492" xr:uid="{00000000-0005-0000-0000-000043020000}"/>
    <cellStyle name="_Multiple_Gelco Model" xfId="493" xr:uid="{00000000-0005-0000-0000-000044020000}"/>
    <cellStyle name="_Multiple_H-G Holdings race car v5 (change dep)" xfId="494" xr:uid="{00000000-0005-0000-0000-000045020000}"/>
    <cellStyle name="_Multiple_INTU Comps v2" xfId="16311" xr:uid="{00000000-0005-0000-0000-000046020000}"/>
    <cellStyle name="_Multiple_lbo_long_model" xfId="495" xr:uid="{00000000-0005-0000-0000-000047020000}"/>
    <cellStyle name="_Multiple_lbo_long_model 2" xfId="496" xr:uid="{00000000-0005-0000-0000-000048020000}"/>
    <cellStyle name="_Multiple_Medicis WACC" xfId="497" xr:uid="{00000000-0005-0000-0000-000049020000}"/>
    <cellStyle name="_Multiple_Meggitt AirDynamics WACC" xfId="498" xr:uid="{00000000-0005-0000-0000-00004A020000}"/>
    <cellStyle name="_Multiple_Pro-Forma Financials" xfId="499" xr:uid="{00000000-0005-0000-0000-00004B020000}"/>
    <cellStyle name="_Multiple_Pro-Forma Spin-off" xfId="500" xr:uid="{00000000-0005-0000-0000-00004C020000}"/>
    <cellStyle name="_Multiple_Revised Basic Modelv2.4" xfId="501" xr:uid="{00000000-0005-0000-0000-00004D020000}"/>
    <cellStyle name="_Multiple_Rider Henning" xfId="502" xr:uid="{00000000-0005-0000-0000-00004E020000}"/>
    <cellStyle name="_Multiple_Summary" xfId="503" xr:uid="{00000000-0005-0000-0000-00004F020000}"/>
    <cellStyle name="_Multiple_Updated Model - CapitalIQ6 -04.20.06" xfId="504" xr:uid="{00000000-0005-0000-0000-000050020000}"/>
    <cellStyle name="_Multiple_WACCv2" xfId="505" xr:uid="{00000000-0005-0000-0000-000051020000}"/>
    <cellStyle name="_Multiple_Yield Tables" xfId="506" xr:uid="{00000000-0005-0000-0000-000052020000}"/>
    <cellStyle name="_MultipleSpace" xfId="507" xr:uid="{00000000-0005-0000-0000-000053020000}"/>
    <cellStyle name="_MultipleSpace__DCF Template" xfId="508" xr:uid="{00000000-0005-0000-0000-000054020000}"/>
    <cellStyle name="_MultipleSpace_04 Alaska Model 2002-05-31 GS" xfId="509" xr:uid="{00000000-0005-0000-0000-000055020000}"/>
    <cellStyle name="_MultipleSpace_Control" xfId="510" xr:uid="{00000000-0005-0000-0000-000056020000}"/>
    <cellStyle name="_MultipleSpace_Dividend Template" xfId="511" xr:uid="{00000000-0005-0000-0000-000057020000}"/>
    <cellStyle name="_MultipleSpace_EPL LBO 5.16.05 - Mgmt IPO v6" xfId="16312" xr:uid="{00000000-0005-0000-0000-000058020000}"/>
    <cellStyle name="_MultipleSpace_Epsilon IPO Model NEW v3" xfId="16313" xr:uid="{00000000-0005-0000-0000-000059020000}"/>
    <cellStyle name="_MultipleSpace_Epsilon Model 3.30.05 v7" xfId="16314" xr:uid="{00000000-0005-0000-0000-00005A020000}"/>
    <cellStyle name="_MultipleSpace_Eric CapIQ unlinked v1" xfId="512" xr:uid="{00000000-0005-0000-0000-00005B020000}"/>
    <cellStyle name="_MultipleSpace_H-G Holdings race car v5 (change dep)" xfId="513" xr:uid="{00000000-0005-0000-0000-00005C020000}"/>
    <cellStyle name="_MultipleSpace_Hist_Rev1" xfId="16315" xr:uid="{00000000-0005-0000-0000-00005D020000}"/>
    <cellStyle name="_MultipleSpace_lbo_long_model" xfId="514" xr:uid="{00000000-0005-0000-0000-00005E020000}"/>
    <cellStyle name="_MultipleSpace_lbo_long_model 2" xfId="515" xr:uid="{00000000-0005-0000-0000-00005F020000}"/>
    <cellStyle name="_MultipleSpace_Medicis WACC" xfId="516" xr:uid="{00000000-0005-0000-0000-000060020000}"/>
    <cellStyle name="_MultipleSpace_Meggitt AirDynamics WACC" xfId="517" xr:uid="{00000000-0005-0000-0000-000061020000}"/>
    <cellStyle name="_MultipleSpace_Pro-Forma Financials" xfId="518" xr:uid="{00000000-0005-0000-0000-000062020000}"/>
    <cellStyle name="_MultipleSpace_Pro-Forma Spin-off" xfId="519" xr:uid="{00000000-0005-0000-0000-000063020000}"/>
    <cellStyle name="_MultipleSpace_Revised Basic Modelv2.4" xfId="520" xr:uid="{00000000-0005-0000-0000-000064020000}"/>
    <cellStyle name="_MultipleSpace_Rider Henning" xfId="521" xr:uid="{00000000-0005-0000-0000-000065020000}"/>
    <cellStyle name="_MultipleSpace_RJB Long LBO LTM" xfId="16316" xr:uid="{00000000-0005-0000-0000-000066020000}"/>
    <cellStyle name="_MultipleSpace_Updated Model - CapitalIQ6 -04.20.06" xfId="522" xr:uid="{00000000-0005-0000-0000-000067020000}"/>
    <cellStyle name="_MultipleSpace_WACCv2" xfId="523" xr:uid="{00000000-0005-0000-0000-000068020000}"/>
    <cellStyle name="_Nomos WACC" xfId="524" xr:uid="{00000000-0005-0000-0000-000069020000}"/>
    <cellStyle name="_Percent" xfId="525" xr:uid="{00000000-0005-0000-0000-00006A020000}"/>
    <cellStyle name="_Percent_Control" xfId="526" xr:uid="{00000000-0005-0000-0000-00006B020000}"/>
    <cellStyle name="_Percent_Rider Henning" xfId="527" xr:uid="{00000000-0005-0000-0000-00006C020000}"/>
    <cellStyle name="_PercentReal" xfId="528" xr:uid="{00000000-0005-0000-0000-00006D020000}"/>
    <cellStyle name="_PercentReal 2" xfId="529" xr:uid="{00000000-0005-0000-0000-00006E020000}"/>
    <cellStyle name="_PercentReal_Gelco Model" xfId="530" xr:uid="{00000000-0005-0000-0000-00006F020000}"/>
    <cellStyle name="_PercentReal_Gelco Model 2" xfId="531" xr:uid="{00000000-0005-0000-0000-000070020000}"/>
    <cellStyle name="_PercentReal_Gelco Overview_3-11-04" xfId="532" xr:uid="{00000000-0005-0000-0000-000071020000}"/>
    <cellStyle name="_PercentReal_Gelco Overview_3-11-04 2" xfId="533" xr:uid="{00000000-0005-0000-0000-000072020000}"/>
    <cellStyle name="_PercentReal_Indicative Term Sheet" xfId="534" xr:uid="{00000000-0005-0000-0000-000073020000}"/>
    <cellStyle name="_PercentReal_Indicative Term Sheet 2" xfId="535" xr:uid="{00000000-0005-0000-0000-000074020000}"/>
    <cellStyle name="_PercentReal_IRR Summary" xfId="536" xr:uid="{00000000-0005-0000-0000-000075020000}"/>
    <cellStyle name="_PercentReal_IRR Summary 2" xfId="537" xr:uid="{00000000-0005-0000-0000-000076020000}"/>
    <cellStyle name="_PercentReal_PADD" xfId="538" xr:uid="{00000000-0005-0000-0000-000077020000}"/>
    <cellStyle name="_PercentReal_PADD 2" xfId="539" xr:uid="{00000000-0005-0000-0000-000078020000}"/>
    <cellStyle name="_PercentSpace" xfId="540" xr:uid="{00000000-0005-0000-0000-000079020000}"/>
    <cellStyle name="_PercentSpace_Control" xfId="541" xr:uid="{00000000-0005-0000-0000-00007A020000}"/>
    <cellStyle name="_PercentSpace_Rider Henning" xfId="542" xr:uid="{00000000-0005-0000-0000-00007B020000}"/>
    <cellStyle name="_PMR_Val_v3" xfId="16317" xr:uid="{00000000-0005-0000-0000-00007C020000}"/>
    <cellStyle name="_PMR_Val_v4" xfId="16318" xr:uid="{00000000-0005-0000-0000-00007D020000}"/>
    <cellStyle name="_Projection IS  BS 2007-2010" xfId="543" xr:uid="{00000000-0005-0000-0000-00007E020000}"/>
    <cellStyle name="_Public Equity Analysis - v1" xfId="544" xr:uid="{00000000-0005-0000-0000-00007F020000}"/>
    <cellStyle name="_Public Equity Analysis - v1_Medley_Financial_Model_v5" xfId="545" xr:uid="{00000000-0005-0000-0000-000080020000}"/>
    <cellStyle name="_Pulpo 01.30.07 v.2" xfId="16319" xr:uid="{00000000-0005-0000-0000-000081020000}"/>
    <cellStyle name="_RangeColumns" xfId="546" xr:uid="{00000000-0005-0000-0000-000082020000}"/>
    <cellStyle name="_RangeColumns_East Coast Bulk Caustic 2+10" xfId="547" xr:uid="{00000000-0005-0000-0000-000083020000}"/>
    <cellStyle name="_RangeColumns_East Coast Bulk Caustic 2+10 2" xfId="12431" xr:uid="{00000000-0005-0000-0000-000084020000}"/>
    <cellStyle name="_RangeColumns_East Profit  Loss 1Q Review" xfId="548" xr:uid="{00000000-0005-0000-0000-000085020000}"/>
    <cellStyle name="_RangeColumns_East Profit  Loss 1Q Review 2" xfId="12432" xr:uid="{00000000-0005-0000-0000-000086020000}"/>
    <cellStyle name="_RangeData" xfId="549" xr:uid="{00000000-0005-0000-0000-000087020000}"/>
    <cellStyle name="_RangeData 2" xfId="12433" xr:uid="{00000000-0005-0000-0000-000088020000}"/>
    <cellStyle name="_RangeData_East Coast Bulk Caustic 2+10" xfId="550" xr:uid="{00000000-0005-0000-0000-000089020000}"/>
    <cellStyle name="_RangeData_East Coast Bulk Caustic 2+10 2" xfId="12434" xr:uid="{00000000-0005-0000-0000-00008A020000}"/>
    <cellStyle name="_RangeData_East Profit  Loss 1Q Review" xfId="551" xr:uid="{00000000-0005-0000-0000-00008B020000}"/>
    <cellStyle name="_RangeData_East Profit  Loss 1Q Review 2" xfId="12435" xr:uid="{00000000-0005-0000-0000-00008C020000}"/>
    <cellStyle name="_RangeProperties" xfId="552" xr:uid="{00000000-0005-0000-0000-00008D020000}"/>
    <cellStyle name="_RangeProperties 2" xfId="12436" xr:uid="{00000000-0005-0000-0000-00008E020000}"/>
    <cellStyle name="_RangePropertiesColumns" xfId="553" xr:uid="{00000000-0005-0000-0000-00008F020000}"/>
    <cellStyle name="_RangePropertiesColumns 2" xfId="12437" xr:uid="{00000000-0005-0000-0000-000090020000}"/>
    <cellStyle name="_RangeRows" xfId="554" xr:uid="{00000000-0005-0000-0000-000091020000}"/>
    <cellStyle name="_RangeRows_East Coast Bulk Caustic 2+10" xfId="555" xr:uid="{00000000-0005-0000-0000-000092020000}"/>
    <cellStyle name="_RangeRows_East Coast Bulk Caustic 2+10 2" xfId="12438" xr:uid="{00000000-0005-0000-0000-000093020000}"/>
    <cellStyle name="_RangeRows_East Profit  Loss 1Q Review" xfId="556" xr:uid="{00000000-0005-0000-0000-000094020000}"/>
    <cellStyle name="_RangeRows_East Profit  Loss 1Q Review 2" xfId="12439" xr:uid="{00000000-0005-0000-0000-000095020000}"/>
    <cellStyle name="_RangeSlicer" xfId="557" xr:uid="{00000000-0005-0000-0000-000096020000}"/>
    <cellStyle name="_Revised BP 2007-2010" xfId="558" xr:uid="{00000000-0005-0000-0000-000097020000}"/>
    <cellStyle name="_Roster with Salary and Bonus v2" xfId="16320" xr:uid="{00000000-0005-0000-0000-000098020000}"/>
    <cellStyle name="_Store Buildup v6" xfId="16321" xr:uid="{00000000-0005-0000-0000-000099020000}"/>
    <cellStyle name="_Store Buildup v6_1" xfId="16322" xr:uid="{00000000-0005-0000-0000-00009A020000}"/>
    <cellStyle name="_Store Buildup v6_2" xfId="16323" xr:uid="{00000000-0005-0000-0000-00009B020000}"/>
    <cellStyle name="_Store Buildup v6_3" xfId="16324" xr:uid="{00000000-0005-0000-0000-00009C020000}"/>
    <cellStyle name="_Store Buildup v6_4" xfId="16325" xr:uid="{00000000-0005-0000-0000-00009D020000}"/>
    <cellStyle name="_SubHeading" xfId="559" xr:uid="{00000000-0005-0000-0000-00009E020000}"/>
    <cellStyle name="_SubHeading 2" xfId="560" xr:uid="{00000000-0005-0000-0000-00009F020000}"/>
    <cellStyle name="_SubHeading_lbo_long_model" xfId="561" xr:uid="{00000000-0005-0000-0000-0000A0020000}"/>
    <cellStyle name="_SubHeading_lbo_long_model 2" xfId="562" xr:uid="{00000000-0005-0000-0000-0000A1020000}"/>
    <cellStyle name="_SubHeading_lbo_long_model 2 2" xfId="563" xr:uid="{00000000-0005-0000-0000-0000A2020000}"/>
    <cellStyle name="_SubHeading_lbo_long_model 3" xfId="564" xr:uid="{00000000-0005-0000-0000-0000A3020000}"/>
    <cellStyle name="_SubHeading_lbo_long_model 4" xfId="565" xr:uid="{00000000-0005-0000-0000-0000A4020000}"/>
    <cellStyle name="_SubHeading_lbo_long_model 5" xfId="566" xr:uid="{00000000-0005-0000-0000-0000A5020000}"/>
    <cellStyle name="_SubHeading_lbo_long_model_Anaphore 12 31 2008 Draft Analysis 02 19 2009" xfId="567" xr:uid="{00000000-0005-0000-0000-0000A6020000}"/>
    <cellStyle name="_SubHeading_lbo_long_model_Anaphore 12 31 2008 Draft Analysis 02 20 2009 - DM REVISED" xfId="568" xr:uid="{00000000-0005-0000-0000-0000A7020000}"/>
    <cellStyle name="_SubHeading_lbo_long_model_Book2" xfId="569" xr:uid="{00000000-0005-0000-0000-0000A8020000}"/>
    <cellStyle name="_SubHeading_lbo_long_model_Book2 2" xfId="570" xr:uid="{00000000-0005-0000-0000-0000A9020000}"/>
    <cellStyle name="_SubHeading_lbo_long_model_Boston Power VD 01 31 2008 Model 02 26 2008" xfId="571" xr:uid="{00000000-0005-0000-0000-0000AA020000}"/>
    <cellStyle name="_SubHeading_lbo_long_model_Boston Power VD 01 31 2008 Model 02 26 2008 2" xfId="572" xr:uid="{00000000-0005-0000-0000-0000AB020000}"/>
    <cellStyle name="_SubHeading_lbo_long_model_Boston Power VD 01 31 2008 Model 02 26 2008 2 2" xfId="573" xr:uid="{00000000-0005-0000-0000-0000AC020000}"/>
    <cellStyle name="_SubHeading_lbo_long_model_Boston Power VD 01 31 2008 Model 02 26 2008 3" xfId="574" xr:uid="{00000000-0005-0000-0000-0000AD020000}"/>
    <cellStyle name="_SubHeading_lbo_long_model_Boston Power VD 01 31 2008 Model 02 26 2008 4" xfId="575" xr:uid="{00000000-0005-0000-0000-0000AE020000}"/>
    <cellStyle name="_SubHeading_lbo_long_model_Boston Power VD 01 31 2008 Model 02 26 2008 5" xfId="576" xr:uid="{00000000-0005-0000-0000-0000AF020000}"/>
    <cellStyle name="_SubHeading_lbo_long_model_Boston Power VD 01 31 2008 Model 02 26 2008_CompanyABC Valuation Draft Model 04 21 2009" xfId="577" xr:uid="{00000000-0005-0000-0000-0000B0020000}"/>
    <cellStyle name="_SubHeading_lbo_long_model_Boston Power VD 01 31 2008 Model 02 26 2008_CompanyABC Valuation Draft Model 04 21 2009 2" xfId="578" xr:uid="{00000000-0005-0000-0000-0000B1020000}"/>
    <cellStyle name="_SubHeading_lbo_long_model_Boston Power VD 01 31 2008 Model 02 26 2008_DB" xfId="579" xr:uid="{00000000-0005-0000-0000-0000B2020000}"/>
    <cellStyle name="_SubHeading_lbo_long_model_Boston Power VD 01 31 2008 Model 02 26 2008_DB 2" xfId="580" xr:uid="{00000000-0005-0000-0000-0000B3020000}"/>
    <cellStyle name="_SubHeading_lbo_long_model_Boston Power VD 01 31 2008 Model 02 26 2008_DB 2 2" xfId="581" xr:uid="{00000000-0005-0000-0000-0000B4020000}"/>
    <cellStyle name="_SubHeading_lbo_long_model_Boston Power VD 01 31 2008 Model 02 26 2008_FAS 157 Model Template 04 26 2009" xfId="582" xr:uid="{00000000-0005-0000-0000-0000B5020000}"/>
    <cellStyle name="_SubHeading_lbo_long_model_Boston Power VD 01 31 2008 Model 02 26 2008_FAS 157 Model Template 04 26 2009 2" xfId="583" xr:uid="{00000000-0005-0000-0000-0000B6020000}"/>
    <cellStyle name="_SubHeading_lbo_long_model_Boston Power VD 01 31 2008 Model 02 26 2008_Miragen VD 05 31 2008 Model 05 22 2009" xfId="584" xr:uid="{00000000-0005-0000-0000-0000B7020000}"/>
    <cellStyle name="_SubHeading_lbo_long_model_Cap Table Inputs" xfId="585" xr:uid="{00000000-0005-0000-0000-0000B8020000}"/>
    <cellStyle name="_SubHeading_lbo_long_model_Cap Table Inputs 2" xfId="586" xr:uid="{00000000-0005-0000-0000-0000B9020000}"/>
    <cellStyle name="_SubHeading_lbo_long_model_Cap Table Inputs 2 2" xfId="587" xr:uid="{00000000-0005-0000-0000-0000BA020000}"/>
    <cellStyle name="_SubHeading_lbo_long_model_Cap Table Inputs 3" xfId="588" xr:uid="{00000000-0005-0000-0000-0000BB020000}"/>
    <cellStyle name="_SubHeading_lbo_long_model_Cap Table Inputs 4" xfId="589" xr:uid="{00000000-0005-0000-0000-0000BC020000}"/>
    <cellStyle name="_SubHeading_lbo_long_model_Cap Table Inputs 5" xfId="590" xr:uid="{00000000-0005-0000-0000-0000BD020000}"/>
    <cellStyle name="_SubHeading_lbo_long_model_Cap Table Inputs_CompanyABC Valuation Draft Model 04 21 2009" xfId="591" xr:uid="{00000000-0005-0000-0000-0000BE020000}"/>
    <cellStyle name="_SubHeading_lbo_long_model_Cap Table Inputs_CompanyABC Valuation Draft Model 04 21 2009 2" xfId="592" xr:uid="{00000000-0005-0000-0000-0000BF020000}"/>
    <cellStyle name="_SubHeading_lbo_long_model_Cap Table Inputs_DB" xfId="593" xr:uid="{00000000-0005-0000-0000-0000C0020000}"/>
    <cellStyle name="_SubHeading_lbo_long_model_Cap Table Inputs_DB 2" xfId="594" xr:uid="{00000000-0005-0000-0000-0000C1020000}"/>
    <cellStyle name="_SubHeading_lbo_long_model_Cap Table Inputs_DB 2 2" xfId="595" xr:uid="{00000000-0005-0000-0000-0000C2020000}"/>
    <cellStyle name="_SubHeading_lbo_long_model_Cap Table Inputs_FAS 157 Model Template 04 26 2009" xfId="596" xr:uid="{00000000-0005-0000-0000-0000C3020000}"/>
    <cellStyle name="_SubHeading_lbo_long_model_Cap Table Inputs_FAS 157 Model Template 04 26 2009 2" xfId="597" xr:uid="{00000000-0005-0000-0000-0000C4020000}"/>
    <cellStyle name="_SubHeading_lbo_long_model_Cap Table Inputs_Miragen VD 05 31 2008 Model 05 22 2009" xfId="598" xr:uid="{00000000-0005-0000-0000-0000C5020000}"/>
    <cellStyle name="_SubHeading_lbo_long_model_CardioSolutions 05 31 2007 Final Model 09 27 2007" xfId="599" xr:uid="{00000000-0005-0000-0000-0000C6020000}"/>
    <cellStyle name="_SubHeading_lbo_long_model_CardioSolutions 05 31 2007 Final Model 09 27 2007 2" xfId="600" xr:uid="{00000000-0005-0000-0000-0000C7020000}"/>
    <cellStyle name="_SubHeading_lbo_long_model_CardioSolutions 05 31 2007 Final Model 09 27 2007 2 2" xfId="601" xr:uid="{00000000-0005-0000-0000-0000C8020000}"/>
    <cellStyle name="_SubHeading_lbo_long_model_CardioSolutions 05 31 2007 Final Model 09 27 2007 3" xfId="602" xr:uid="{00000000-0005-0000-0000-0000C9020000}"/>
    <cellStyle name="_SubHeading_lbo_long_model_CardioSolutions 05 31 2007 Final Model 09 27 2007 4" xfId="603" xr:uid="{00000000-0005-0000-0000-0000CA020000}"/>
    <cellStyle name="_SubHeading_lbo_long_model_CardioSolutions 05 31 2007 Final Model 09 27 2007 5" xfId="604" xr:uid="{00000000-0005-0000-0000-0000CB020000}"/>
    <cellStyle name="_SubHeading_lbo_long_model_CardioSolutions 05 31 2007 Final Model 09 27 2007_CompanyABC Valuation Draft Model 04 21 2009" xfId="605" xr:uid="{00000000-0005-0000-0000-0000CC020000}"/>
    <cellStyle name="_SubHeading_lbo_long_model_CardioSolutions 05 31 2007 Final Model 09 27 2007_CompanyABC Valuation Draft Model 04 21 2009 2" xfId="606" xr:uid="{00000000-0005-0000-0000-0000CD020000}"/>
    <cellStyle name="_SubHeading_lbo_long_model_CardioSolutions 05 31 2007 Final Model 09 27 2007_DB" xfId="607" xr:uid="{00000000-0005-0000-0000-0000CE020000}"/>
    <cellStyle name="_SubHeading_lbo_long_model_CardioSolutions 05 31 2007 Final Model 09 27 2007_DB 2" xfId="608" xr:uid="{00000000-0005-0000-0000-0000CF020000}"/>
    <cellStyle name="_SubHeading_lbo_long_model_CardioSolutions 05 31 2007 Final Model 09 27 2007_DB 2 2" xfId="609" xr:uid="{00000000-0005-0000-0000-0000D0020000}"/>
    <cellStyle name="_SubHeading_lbo_long_model_CardioSolutions 05 31 2007 Final Model 09 27 2007_FAS 157 Model Template 04 26 2009" xfId="610" xr:uid="{00000000-0005-0000-0000-0000D1020000}"/>
    <cellStyle name="_SubHeading_lbo_long_model_CardioSolutions 05 31 2007 Final Model 09 27 2007_FAS 157 Model Template 04 26 2009 2" xfId="611" xr:uid="{00000000-0005-0000-0000-0000D2020000}"/>
    <cellStyle name="_SubHeading_lbo_long_model_CardioSolutions 05 31 2007 Final Model 09 27 2007_Miragen VD 05 31 2008 Model 05 22 2009" xfId="612" xr:uid="{00000000-0005-0000-0000-0000D3020000}"/>
    <cellStyle name="_SubHeading_lbo_long_model_CardioSolutions VD 05 31 08 Draft Model 07 15 2008" xfId="613" xr:uid="{00000000-0005-0000-0000-0000D4020000}"/>
    <cellStyle name="_SubHeading_lbo_long_model_CardioSolutions VD 05 31 08 Draft Model 07 15 2008 2" xfId="614" xr:uid="{00000000-0005-0000-0000-0000D5020000}"/>
    <cellStyle name="_SubHeading_lbo_long_model_CardioSolutions VD 05 31 08 Draft Model 08 06 08-u" xfId="615" xr:uid="{00000000-0005-0000-0000-0000D6020000}"/>
    <cellStyle name="_SubHeading_lbo_long_model_CardioSolutions VD 05 31 08 Draft Model 08 06 08-u 2" xfId="616" xr:uid="{00000000-0005-0000-0000-0000D7020000}"/>
    <cellStyle name="_SubHeading_lbo_long_model_CompanyABC Valuation Draft Model 04 21 2009" xfId="617" xr:uid="{00000000-0005-0000-0000-0000D8020000}"/>
    <cellStyle name="_SubHeading_lbo_long_model_CompanyABC Valuation Draft Model 04 21 2009 2" xfId="618" xr:uid="{00000000-0005-0000-0000-0000D9020000}"/>
    <cellStyle name="_SubHeading_lbo_long_model_CompanyABC Valuation Model Draft 07 07 2008" xfId="619" xr:uid="{00000000-0005-0000-0000-0000DA020000}"/>
    <cellStyle name="_SubHeading_lbo_long_model_CompanyABC Valuation Model Draft 07 07 2008 2" xfId="620" xr:uid="{00000000-0005-0000-0000-0000DB020000}"/>
    <cellStyle name="_SubHeading_lbo_long_model_CompanyABC Valuation Model Draft 08 07 2008" xfId="621" xr:uid="{00000000-0005-0000-0000-0000DC020000}"/>
    <cellStyle name="_SubHeading_lbo_long_model_CompanyABC Valuation Model Draft 08 07 2008 2" xfId="622" xr:uid="{00000000-0005-0000-0000-0000DD020000}"/>
    <cellStyle name="_SubHeading_lbo_long_model_CompanyABC Valuation Model Draft 08 25 2008" xfId="623" xr:uid="{00000000-0005-0000-0000-0000DE020000}"/>
    <cellStyle name="_SubHeading_lbo_long_model_CompanyABC Valuation Model Draft 08 25 2008 2" xfId="624" xr:uid="{00000000-0005-0000-0000-0000DF020000}"/>
    <cellStyle name="_SubHeading_lbo_long_model_CompanyABC Valuation Model Draft 09 25 2008-Team Liquidity" xfId="625" xr:uid="{00000000-0005-0000-0000-0000E0020000}"/>
    <cellStyle name="_SubHeading_lbo_long_model_CompanyABC Valuation Model Draft 09 25 2008-Team Liquidity 2" xfId="626" xr:uid="{00000000-0005-0000-0000-0000E1020000}"/>
    <cellStyle name="_SubHeading_lbo_long_model_CompanyABC Valuation Model Draft 10 01 2008" xfId="627" xr:uid="{00000000-0005-0000-0000-0000E2020000}"/>
    <cellStyle name="_SubHeading_lbo_long_model_CompanyABC Valuation Model Draft 10 01 2008 2" xfId="628" xr:uid="{00000000-0005-0000-0000-0000E3020000}"/>
    <cellStyle name="_SubHeading_lbo_long_model_CompanyABC Valuation Model Draft 10 27 2008" xfId="629" xr:uid="{00000000-0005-0000-0000-0000E4020000}"/>
    <cellStyle name="_SubHeading_lbo_long_model_CompanyABC Valuation Model Draft 10 27 2008 2" xfId="630" xr:uid="{00000000-0005-0000-0000-0000E5020000}"/>
    <cellStyle name="_SubHeading_lbo_long_model_DB" xfId="631" xr:uid="{00000000-0005-0000-0000-0000E6020000}"/>
    <cellStyle name="_SubHeading_lbo_long_model_DB 2" xfId="632" xr:uid="{00000000-0005-0000-0000-0000E7020000}"/>
    <cellStyle name="_SubHeading_lbo_long_model_EXAMPLE model C-5" xfId="633" xr:uid="{00000000-0005-0000-0000-0000E8020000}"/>
    <cellStyle name="_SubHeading_lbo_long_model_EXAMPLE model C-5 2" xfId="634" xr:uid="{00000000-0005-0000-0000-0000E9020000}"/>
    <cellStyle name="_SubHeading_lbo_long_model_FAS 157 Model Template 04 26 2009" xfId="635" xr:uid="{00000000-0005-0000-0000-0000EA020000}"/>
    <cellStyle name="_SubHeading_lbo_long_model_FAS 157 Model Template 04 26 2009 2" xfId="636" xr:uid="{00000000-0005-0000-0000-0000EB020000}"/>
    <cellStyle name="_SubHeading_lbo_long_model_Great Call VD 09 30 08 Draft Model 11 20 08" xfId="637" xr:uid="{00000000-0005-0000-0000-0000EC020000}"/>
    <cellStyle name="_SubHeading_lbo_long_model_Great Call VD 09 30 08 Draft Model 11 20 08 2" xfId="638" xr:uid="{00000000-0005-0000-0000-0000ED020000}"/>
    <cellStyle name="_SubHeading_lbo_long_model_Intermedia, Inc. VD 05 31 08 Draft Model 07 16 2008" xfId="639" xr:uid="{00000000-0005-0000-0000-0000EE020000}"/>
    <cellStyle name="_SubHeading_lbo_long_model_Intermedia, Inc. VD 05 31 08 Draft Model 07 16 2008 2" xfId="640" xr:uid="{00000000-0005-0000-0000-0000EF020000}"/>
    <cellStyle name="_SubHeading_lbo_long_model_Island Data Corporatin VD 06 30 08 Projections and Comparables 08 11 2008" xfId="641" xr:uid="{00000000-0005-0000-0000-0000F0020000}"/>
    <cellStyle name="_SubHeading_lbo_long_model_Island Data Corporatin VD 06 30 08 Projections and Comparables 08 11 2008 2" xfId="642" xr:uid="{00000000-0005-0000-0000-0000F1020000}"/>
    <cellStyle name="_SubHeading_lbo_long_model_Jentro Tech VD 03 31 2008 Model 04 10 2008" xfId="643" xr:uid="{00000000-0005-0000-0000-0000F2020000}"/>
    <cellStyle name="_SubHeading_lbo_long_model_Jentro Tech VD 03 31 2008 Model 04 10 2008 2" xfId="644" xr:uid="{00000000-0005-0000-0000-0000F3020000}"/>
    <cellStyle name="_SubHeading_lbo_long_model_Kythera Biopharmaceuticals VD 05 16 08 Draft Analysis 07 01 08" xfId="645" xr:uid="{00000000-0005-0000-0000-0000F4020000}"/>
    <cellStyle name="_SubHeading_lbo_long_model_Kythera Biopharmaceuticals VD 05 16 08 Draft Analysis 07 01 08 2" xfId="646" xr:uid="{00000000-0005-0000-0000-0000F5020000}"/>
    <cellStyle name="_SubHeading_lbo_long_model_Kythera Biopharmaceuticals VD 05 16 08 Final Model 07 20 08" xfId="647" xr:uid="{00000000-0005-0000-0000-0000F6020000}"/>
    <cellStyle name="_SubHeading_lbo_long_model_Kythera Biopharmaceuticals VD 05 16 08 Final Model 07 20 08 2" xfId="648" xr:uid="{00000000-0005-0000-0000-0000F7020000}"/>
    <cellStyle name="_SubHeading_lbo_long_model_Kythera Biopharmaceuticals, Inc. VD 5 16 2008 Draft 5 24 2008" xfId="649" xr:uid="{00000000-0005-0000-0000-0000F8020000}"/>
    <cellStyle name="_SubHeading_lbo_long_model_Kythera Biopharmaceuticals, Inc. VD 5 16 2008 Draft 5 24 2008 2" xfId="650" xr:uid="{00000000-0005-0000-0000-0000F9020000}"/>
    <cellStyle name="_SubHeading_lbo_long_model_Miragen VD 05 31 2008 Model 05 22 2009" xfId="651" xr:uid="{00000000-0005-0000-0000-0000FA020000}"/>
    <cellStyle name="_SubHeading_lbo_long_model_Notes" xfId="652" xr:uid="{00000000-0005-0000-0000-0000FB020000}"/>
    <cellStyle name="_SubHeading_lbo_long_model_Notes 2" xfId="653" xr:uid="{00000000-0005-0000-0000-0000FC020000}"/>
    <cellStyle name="_SubHeading_lbo_long_model_OMT VD 10 15 2008 Draft Analysis 12 17 2008.xls" xfId="654" xr:uid="{00000000-0005-0000-0000-0000FD020000}"/>
    <cellStyle name="_SubHeading_lbo_long_model_PubComps IPO -C-7" xfId="655" xr:uid="{00000000-0005-0000-0000-0000FE020000}"/>
    <cellStyle name="_SubHeading_lbo_long_model_PubComps IPO -C-7 2" xfId="656" xr:uid="{00000000-0005-0000-0000-0000FF020000}"/>
    <cellStyle name="_SubHeading_lbo_long_model_Tmax Soft VD 07 31 2008 Draft Model 08 20 2008" xfId="657" xr:uid="{00000000-0005-0000-0000-000000030000}"/>
    <cellStyle name="_SubHeading_lbo_long_model_Tmax Soft VD 07 31 2008 Draft Model 08 20 2008 2" xfId="658" xr:uid="{00000000-0005-0000-0000-000001030000}"/>
    <cellStyle name="_SubHeading_lbo_long_model_WACC -E-2" xfId="659" xr:uid="{00000000-0005-0000-0000-000002030000}"/>
    <cellStyle name="_SubHeading_lbo_long_model_WACC -E-2 2" xfId="660" xr:uid="{00000000-0005-0000-0000-000003030000}"/>
    <cellStyle name="_SubHeading_lbo_long_model_Xmos Limited VD 05 13 2008  Model 06 04 08" xfId="661" xr:uid="{00000000-0005-0000-0000-000004030000}"/>
    <cellStyle name="_SubHeading_lbo_long_model_Xmos Limited VD 05 13 2008  Model 06 04 08 2" xfId="662" xr:uid="{00000000-0005-0000-0000-000005030000}"/>
    <cellStyle name="_SubHeading_prestemp" xfId="663" xr:uid="{00000000-0005-0000-0000-000006030000}"/>
    <cellStyle name="_SubHeading_prestemp 2" xfId="664" xr:uid="{00000000-0005-0000-0000-000007030000}"/>
    <cellStyle name="_SubHeading_prestemp 2 2" xfId="665" xr:uid="{00000000-0005-0000-0000-000008030000}"/>
    <cellStyle name="_SubHeading_prestemp 3" xfId="666" xr:uid="{00000000-0005-0000-0000-000009030000}"/>
    <cellStyle name="_SubHeading_prestemp 4" xfId="667" xr:uid="{00000000-0005-0000-0000-00000A030000}"/>
    <cellStyle name="_SubHeading_prestemp 5" xfId="668" xr:uid="{00000000-0005-0000-0000-00000B030000}"/>
    <cellStyle name="_SubHeading_prestemp_1" xfId="669" xr:uid="{00000000-0005-0000-0000-00000C030000}"/>
    <cellStyle name="_SubHeading_prestemp_1_Cyrela - Goldzstein - Financial Model - v1" xfId="670" xr:uid="{00000000-0005-0000-0000-00000D030000}"/>
    <cellStyle name="_SubHeading_prestemp_1_Cyrela - Goldzstein - Financial Model - v5" xfId="671" xr:uid="{00000000-0005-0000-0000-00000E030000}"/>
    <cellStyle name="_SubHeading_prestemp_1_Gas Natural - Financial Model - April 18 2008 - v1" xfId="672" xr:uid="{00000000-0005-0000-0000-00000F030000}"/>
    <cellStyle name="_SubHeading_prestemp_1_Gas Natural - Financial Model - April 18 2008 - v2" xfId="673" xr:uid="{00000000-0005-0000-0000-000010030000}"/>
    <cellStyle name="_SubHeading_prestemp_1_Gas Natural - Financial Model - May 20, 2009" xfId="674" xr:uid="{00000000-0005-0000-0000-000011030000}"/>
    <cellStyle name="_SubHeading_prestemp_1_Goldzstein Cyrela - Financial Model - v7" xfId="675" xr:uid="{00000000-0005-0000-0000-000012030000}"/>
    <cellStyle name="_SubHeading_prestemp_1_Grupo Ibmec - Financial Model - v2" xfId="676" xr:uid="{00000000-0005-0000-0000-000013030000}"/>
    <cellStyle name="_SubHeading_prestemp_1_Grupo Ibmec - Financial Model - v5" xfId="677" xr:uid="{00000000-0005-0000-0000-000014030000}"/>
    <cellStyle name="_SubHeading_prestemp_1_Independencia - Financial Model - Dec 02 2008 - v3" xfId="678" xr:uid="{00000000-0005-0000-0000-000015030000}"/>
    <cellStyle name="_SubHeading_prestemp_1_Independencia - Financial Model - Nov 24 2008" xfId="679" xr:uid="{00000000-0005-0000-0000-000016030000}"/>
    <cellStyle name="_SubHeading_prestemp_1_Medley_Financial_Model_v5" xfId="680" xr:uid="{00000000-0005-0000-0000-000017030000}"/>
    <cellStyle name="_SubHeading_prestemp_1_Medley_Financial_Model_v5_Ubiquiti Ownership Table" xfId="681" xr:uid="{00000000-0005-0000-0000-000018030000}"/>
    <cellStyle name="_SubHeading_prestemp_1_Project Emet - Forecasts" xfId="682" xr:uid="{00000000-0005-0000-0000-000019030000}"/>
    <cellStyle name="_SubHeading_prestemp_1_Rumo_Financial_Model_05jun2009_v1" xfId="683" xr:uid="{00000000-0005-0000-0000-00001A030000}"/>
    <cellStyle name="_SubHeading_prestemp_1_Rumo_Financial_Model_05jun2009_v4" xfId="684" xr:uid="{00000000-0005-0000-0000-00001B030000}"/>
    <cellStyle name="_SubHeading_prestemp_1_Rumo_Financial_Model_05jun2009_v5" xfId="685" xr:uid="{00000000-0005-0000-0000-00001C030000}"/>
    <cellStyle name="_SubHeading_prestemp_1_Rumo_Financial_Model_05jun2009_v6" xfId="686" xr:uid="{00000000-0005-0000-0000-00001D030000}"/>
    <cellStyle name="_SubHeading_prestemp_1_SCPC_Financial_Model_10jun2009_v2" xfId="687" xr:uid="{00000000-0005-0000-0000-00001E030000}"/>
    <cellStyle name="_SubHeading_prestemp_1_SCPC_Financial_Model_17jun2009_v5" xfId="688" xr:uid="{00000000-0005-0000-0000-00001F030000}"/>
    <cellStyle name="_SubHeading_prestemp_Anaphore 12 31 2008 Draft Analysis 02 19 2009" xfId="689" xr:uid="{00000000-0005-0000-0000-000020030000}"/>
    <cellStyle name="_SubHeading_prestemp_Anaphore 12 31 2008 Draft Analysis 02 20 2009 - DM REVISED" xfId="690" xr:uid="{00000000-0005-0000-0000-000021030000}"/>
    <cellStyle name="_SubHeading_prestemp_Book2" xfId="691" xr:uid="{00000000-0005-0000-0000-000022030000}"/>
    <cellStyle name="_SubHeading_prestemp_Book2 2" xfId="692" xr:uid="{00000000-0005-0000-0000-000023030000}"/>
    <cellStyle name="_SubHeading_prestemp_Boston Power VD 01 31 2008 Model 02 26 2008" xfId="693" xr:uid="{00000000-0005-0000-0000-000024030000}"/>
    <cellStyle name="_SubHeading_prestemp_Boston Power VD 01 31 2008 Model 02 26 2008 2" xfId="694" xr:uid="{00000000-0005-0000-0000-000025030000}"/>
    <cellStyle name="_SubHeading_prestemp_Boston Power VD 01 31 2008 Model 02 26 2008 2 2" xfId="695" xr:uid="{00000000-0005-0000-0000-000026030000}"/>
    <cellStyle name="_SubHeading_prestemp_Boston Power VD 01 31 2008 Model 02 26 2008 3" xfId="696" xr:uid="{00000000-0005-0000-0000-000027030000}"/>
    <cellStyle name="_SubHeading_prestemp_Boston Power VD 01 31 2008 Model 02 26 2008 4" xfId="697" xr:uid="{00000000-0005-0000-0000-000028030000}"/>
    <cellStyle name="_SubHeading_prestemp_Boston Power VD 01 31 2008 Model 02 26 2008 5" xfId="698" xr:uid="{00000000-0005-0000-0000-000029030000}"/>
    <cellStyle name="_SubHeading_prestemp_Boston Power VD 01 31 2008 Model 02 26 2008_CompanyABC Valuation Draft Model 04 21 2009" xfId="699" xr:uid="{00000000-0005-0000-0000-00002A030000}"/>
    <cellStyle name="_SubHeading_prestemp_Boston Power VD 01 31 2008 Model 02 26 2008_CompanyABC Valuation Draft Model 04 21 2009 2" xfId="700" xr:uid="{00000000-0005-0000-0000-00002B030000}"/>
    <cellStyle name="_SubHeading_prestemp_Boston Power VD 01 31 2008 Model 02 26 2008_DB" xfId="701" xr:uid="{00000000-0005-0000-0000-00002C030000}"/>
    <cellStyle name="_SubHeading_prestemp_Boston Power VD 01 31 2008 Model 02 26 2008_DB 2" xfId="702" xr:uid="{00000000-0005-0000-0000-00002D030000}"/>
    <cellStyle name="_SubHeading_prestemp_Boston Power VD 01 31 2008 Model 02 26 2008_DB 2 2" xfId="703" xr:uid="{00000000-0005-0000-0000-00002E030000}"/>
    <cellStyle name="_SubHeading_prestemp_Boston Power VD 01 31 2008 Model 02 26 2008_FAS 157 Model Template 04 26 2009" xfId="704" xr:uid="{00000000-0005-0000-0000-00002F030000}"/>
    <cellStyle name="_SubHeading_prestemp_Boston Power VD 01 31 2008 Model 02 26 2008_FAS 157 Model Template 04 26 2009 2" xfId="705" xr:uid="{00000000-0005-0000-0000-000030030000}"/>
    <cellStyle name="_SubHeading_prestemp_Boston Power VD 01 31 2008 Model 02 26 2008_Miragen VD 05 31 2008 Model 05 22 2009" xfId="706" xr:uid="{00000000-0005-0000-0000-000031030000}"/>
    <cellStyle name="_SubHeading_prestemp_Cap Table Inputs" xfId="707" xr:uid="{00000000-0005-0000-0000-000032030000}"/>
    <cellStyle name="_SubHeading_prestemp_Cap Table Inputs 2" xfId="708" xr:uid="{00000000-0005-0000-0000-000033030000}"/>
    <cellStyle name="_SubHeading_prestemp_Cap Table Inputs 2 2" xfId="709" xr:uid="{00000000-0005-0000-0000-000034030000}"/>
    <cellStyle name="_SubHeading_prestemp_Cap Table Inputs 3" xfId="710" xr:uid="{00000000-0005-0000-0000-000035030000}"/>
    <cellStyle name="_SubHeading_prestemp_Cap Table Inputs 4" xfId="711" xr:uid="{00000000-0005-0000-0000-000036030000}"/>
    <cellStyle name="_SubHeading_prestemp_Cap Table Inputs 5" xfId="712" xr:uid="{00000000-0005-0000-0000-000037030000}"/>
    <cellStyle name="_SubHeading_prestemp_Cap Table Inputs_CompanyABC Valuation Draft Model 04 21 2009" xfId="713" xr:uid="{00000000-0005-0000-0000-000038030000}"/>
    <cellStyle name="_SubHeading_prestemp_Cap Table Inputs_CompanyABC Valuation Draft Model 04 21 2009 2" xfId="714" xr:uid="{00000000-0005-0000-0000-000039030000}"/>
    <cellStyle name="_SubHeading_prestemp_Cap Table Inputs_DB" xfId="715" xr:uid="{00000000-0005-0000-0000-00003A030000}"/>
    <cellStyle name="_SubHeading_prestemp_Cap Table Inputs_DB 2" xfId="716" xr:uid="{00000000-0005-0000-0000-00003B030000}"/>
    <cellStyle name="_SubHeading_prestemp_Cap Table Inputs_DB 2 2" xfId="717" xr:uid="{00000000-0005-0000-0000-00003C030000}"/>
    <cellStyle name="_SubHeading_prestemp_Cap Table Inputs_FAS 157 Model Template 04 26 2009" xfId="718" xr:uid="{00000000-0005-0000-0000-00003D030000}"/>
    <cellStyle name="_SubHeading_prestemp_Cap Table Inputs_FAS 157 Model Template 04 26 2009 2" xfId="719" xr:uid="{00000000-0005-0000-0000-00003E030000}"/>
    <cellStyle name="_SubHeading_prestemp_Cap Table Inputs_Miragen VD 05 31 2008 Model 05 22 2009" xfId="720" xr:uid="{00000000-0005-0000-0000-00003F030000}"/>
    <cellStyle name="_SubHeading_prestemp_CardioSolutions 05 31 2007 Final Model 09 27 2007" xfId="721" xr:uid="{00000000-0005-0000-0000-000040030000}"/>
    <cellStyle name="_SubHeading_prestemp_CardioSolutions 05 31 2007 Final Model 09 27 2007 2" xfId="722" xr:uid="{00000000-0005-0000-0000-000041030000}"/>
    <cellStyle name="_SubHeading_prestemp_CardioSolutions 05 31 2007 Final Model 09 27 2007 2 2" xfId="723" xr:uid="{00000000-0005-0000-0000-000042030000}"/>
    <cellStyle name="_SubHeading_prestemp_CardioSolutions 05 31 2007 Final Model 09 27 2007 3" xfId="724" xr:uid="{00000000-0005-0000-0000-000043030000}"/>
    <cellStyle name="_SubHeading_prestemp_CardioSolutions 05 31 2007 Final Model 09 27 2007 4" xfId="725" xr:uid="{00000000-0005-0000-0000-000044030000}"/>
    <cellStyle name="_SubHeading_prestemp_CardioSolutions 05 31 2007 Final Model 09 27 2007 5" xfId="726" xr:uid="{00000000-0005-0000-0000-000045030000}"/>
    <cellStyle name="_SubHeading_prestemp_CardioSolutions 05 31 2007 Final Model 09 27 2007_CompanyABC Valuation Draft Model 04 21 2009" xfId="727" xr:uid="{00000000-0005-0000-0000-000046030000}"/>
    <cellStyle name="_SubHeading_prestemp_CardioSolutions 05 31 2007 Final Model 09 27 2007_CompanyABC Valuation Draft Model 04 21 2009 2" xfId="728" xr:uid="{00000000-0005-0000-0000-000047030000}"/>
    <cellStyle name="_SubHeading_prestemp_CardioSolutions 05 31 2007 Final Model 09 27 2007_DB" xfId="729" xr:uid="{00000000-0005-0000-0000-000048030000}"/>
    <cellStyle name="_SubHeading_prestemp_CardioSolutions 05 31 2007 Final Model 09 27 2007_DB 2" xfId="730" xr:uid="{00000000-0005-0000-0000-000049030000}"/>
    <cellStyle name="_SubHeading_prestemp_CardioSolutions 05 31 2007 Final Model 09 27 2007_DB 2 2" xfId="731" xr:uid="{00000000-0005-0000-0000-00004A030000}"/>
    <cellStyle name="_SubHeading_prestemp_CardioSolutions 05 31 2007 Final Model 09 27 2007_FAS 157 Model Template 04 26 2009" xfId="732" xr:uid="{00000000-0005-0000-0000-00004B030000}"/>
    <cellStyle name="_SubHeading_prestemp_CardioSolutions 05 31 2007 Final Model 09 27 2007_FAS 157 Model Template 04 26 2009 2" xfId="733" xr:uid="{00000000-0005-0000-0000-00004C030000}"/>
    <cellStyle name="_SubHeading_prestemp_CardioSolutions 05 31 2007 Final Model 09 27 2007_Miragen VD 05 31 2008 Model 05 22 2009" xfId="734" xr:uid="{00000000-0005-0000-0000-00004D030000}"/>
    <cellStyle name="_SubHeading_prestemp_CardioSolutions VD 05 31 08 Draft Model 07 15 2008" xfId="735" xr:uid="{00000000-0005-0000-0000-00004E030000}"/>
    <cellStyle name="_SubHeading_prestemp_CardioSolutions VD 05 31 08 Draft Model 07 15 2008 2" xfId="736" xr:uid="{00000000-0005-0000-0000-00004F030000}"/>
    <cellStyle name="_SubHeading_prestemp_CardioSolutions VD 05 31 08 Draft Model 08 06 08-u" xfId="737" xr:uid="{00000000-0005-0000-0000-000050030000}"/>
    <cellStyle name="_SubHeading_prestemp_CardioSolutions VD 05 31 08 Draft Model 08 06 08-u 2" xfId="738" xr:uid="{00000000-0005-0000-0000-000051030000}"/>
    <cellStyle name="_SubHeading_prestemp_CompanyABC Valuation Draft Model 04 21 2009" xfId="739" xr:uid="{00000000-0005-0000-0000-000052030000}"/>
    <cellStyle name="_SubHeading_prestemp_CompanyABC Valuation Draft Model 04 21 2009 2" xfId="740" xr:uid="{00000000-0005-0000-0000-000053030000}"/>
    <cellStyle name="_SubHeading_prestemp_CompanyABC Valuation Model Draft 07 07 2008" xfId="741" xr:uid="{00000000-0005-0000-0000-000054030000}"/>
    <cellStyle name="_SubHeading_prestemp_CompanyABC Valuation Model Draft 07 07 2008 2" xfId="742" xr:uid="{00000000-0005-0000-0000-000055030000}"/>
    <cellStyle name="_SubHeading_prestemp_CompanyABC Valuation Model Draft 08 07 2008" xfId="743" xr:uid="{00000000-0005-0000-0000-000056030000}"/>
    <cellStyle name="_SubHeading_prestemp_CompanyABC Valuation Model Draft 08 07 2008 2" xfId="744" xr:uid="{00000000-0005-0000-0000-000057030000}"/>
    <cellStyle name="_SubHeading_prestemp_CompanyABC Valuation Model Draft 08 25 2008" xfId="745" xr:uid="{00000000-0005-0000-0000-000058030000}"/>
    <cellStyle name="_SubHeading_prestemp_CompanyABC Valuation Model Draft 08 25 2008 2" xfId="746" xr:uid="{00000000-0005-0000-0000-000059030000}"/>
    <cellStyle name="_SubHeading_prestemp_CompanyABC Valuation Model Draft 09 25 2008-Team Liquidity" xfId="747" xr:uid="{00000000-0005-0000-0000-00005A030000}"/>
    <cellStyle name="_SubHeading_prestemp_CompanyABC Valuation Model Draft 09 25 2008-Team Liquidity 2" xfId="748" xr:uid="{00000000-0005-0000-0000-00005B030000}"/>
    <cellStyle name="_SubHeading_prestemp_CompanyABC Valuation Model Draft 10 01 2008" xfId="749" xr:uid="{00000000-0005-0000-0000-00005C030000}"/>
    <cellStyle name="_SubHeading_prestemp_CompanyABC Valuation Model Draft 10 01 2008 2" xfId="750" xr:uid="{00000000-0005-0000-0000-00005D030000}"/>
    <cellStyle name="_SubHeading_prestemp_CompanyABC Valuation Model Draft 10 27 2008" xfId="751" xr:uid="{00000000-0005-0000-0000-00005E030000}"/>
    <cellStyle name="_SubHeading_prestemp_CompanyABC Valuation Model Draft 10 27 2008 2" xfId="752" xr:uid="{00000000-0005-0000-0000-00005F030000}"/>
    <cellStyle name="_SubHeading_prestemp_DB" xfId="753" xr:uid="{00000000-0005-0000-0000-000060030000}"/>
    <cellStyle name="_SubHeading_prestemp_DB 2" xfId="754" xr:uid="{00000000-0005-0000-0000-000061030000}"/>
    <cellStyle name="_SubHeading_prestemp_EXAMPLE model C-5" xfId="755" xr:uid="{00000000-0005-0000-0000-000062030000}"/>
    <cellStyle name="_SubHeading_prestemp_EXAMPLE model C-5 2" xfId="756" xr:uid="{00000000-0005-0000-0000-000063030000}"/>
    <cellStyle name="_SubHeading_prestemp_FAS 157 Model Template 04 26 2009" xfId="757" xr:uid="{00000000-0005-0000-0000-000064030000}"/>
    <cellStyle name="_SubHeading_prestemp_FAS 157 Model Template 04 26 2009 2" xfId="758" xr:uid="{00000000-0005-0000-0000-000065030000}"/>
    <cellStyle name="_SubHeading_prestemp_Great Call VD 09 30 08 Draft Model 11 20 08" xfId="759" xr:uid="{00000000-0005-0000-0000-000066030000}"/>
    <cellStyle name="_SubHeading_prestemp_Great Call VD 09 30 08 Draft Model 11 20 08 2" xfId="760" xr:uid="{00000000-0005-0000-0000-000067030000}"/>
    <cellStyle name="_SubHeading_prestemp_Intermedia, Inc. VD 05 31 08 Draft Model 07 16 2008" xfId="761" xr:uid="{00000000-0005-0000-0000-000068030000}"/>
    <cellStyle name="_SubHeading_prestemp_Intermedia, Inc. VD 05 31 08 Draft Model 07 16 2008 2" xfId="762" xr:uid="{00000000-0005-0000-0000-000069030000}"/>
    <cellStyle name="_SubHeading_prestemp_Island Data Corporatin VD 06 30 08 Projections and Comparables 08 11 2008" xfId="763" xr:uid="{00000000-0005-0000-0000-00006A030000}"/>
    <cellStyle name="_SubHeading_prestemp_Island Data Corporatin VD 06 30 08 Projections and Comparables 08 11 2008 2" xfId="764" xr:uid="{00000000-0005-0000-0000-00006B030000}"/>
    <cellStyle name="_SubHeading_prestemp_Jentro Tech VD 03 31 2008 Model 04 10 2008" xfId="765" xr:uid="{00000000-0005-0000-0000-00006C030000}"/>
    <cellStyle name="_SubHeading_prestemp_Jentro Tech VD 03 31 2008 Model 04 10 2008 2" xfId="766" xr:uid="{00000000-0005-0000-0000-00006D030000}"/>
    <cellStyle name="_SubHeading_prestemp_Kythera Biopharmaceuticals VD 05 16 08 Draft Analysis 07 01 08" xfId="767" xr:uid="{00000000-0005-0000-0000-00006E030000}"/>
    <cellStyle name="_SubHeading_prestemp_Kythera Biopharmaceuticals VD 05 16 08 Draft Analysis 07 01 08 2" xfId="768" xr:uid="{00000000-0005-0000-0000-00006F030000}"/>
    <cellStyle name="_SubHeading_prestemp_Kythera Biopharmaceuticals VD 05 16 08 Final Model 07 20 08" xfId="769" xr:uid="{00000000-0005-0000-0000-000070030000}"/>
    <cellStyle name="_SubHeading_prestemp_Kythera Biopharmaceuticals VD 05 16 08 Final Model 07 20 08 2" xfId="770" xr:uid="{00000000-0005-0000-0000-000071030000}"/>
    <cellStyle name="_SubHeading_prestemp_Kythera Biopharmaceuticals, Inc. VD 5 16 2008 Draft 5 24 2008" xfId="771" xr:uid="{00000000-0005-0000-0000-000072030000}"/>
    <cellStyle name="_SubHeading_prestemp_Kythera Biopharmaceuticals, Inc. VD 5 16 2008 Draft 5 24 2008 2" xfId="772" xr:uid="{00000000-0005-0000-0000-000073030000}"/>
    <cellStyle name="_SubHeading_prestemp_Miragen VD 05 31 2008 Model 05 22 2009" xfId="773" xr:uid="{00000000-0005-0000-0000-000074030000}"/>
    <cellStyle name="_SubHeading_prestemp_Notes" xfId="774" xr:uid="{00000000-0005-0000-0000-000075030000}"/>
    <cellStyle name="_SubHeading_prestemp_Notes 2" xfId="775" xr:uid="{00000000-0005-0000-0000-000076030000}"/>
    <cellStyle name="_SubHeading_prestemp_OMT VD 10 15 2008 Draft Analysis 12 17 2008.xls" xfId="776" xr:uid="{00000000-0005-0000-0000-000077030000}"/>
    <cellStyle name="_SubHeading_prestemp_PubComps IPO -C-7" xfId="777" xr:uid="{00000000-0005-0000-0000-000078030000}"/>
    <cellStyle name="_SubHeading_prestemp_PubComps IPO -C-7 2" xfId="778" xr:uid="{00000000-0005-0000-0000-000079030000}"/>
    <cellStyle name="_SubHeading_prestemp_Tmax Soft VD 07 31 2008 Draft Model 08 20 2008" xfId="779" xr:uid="{00000000-0005-0000-0000-00007A030000}"/>
    <cellStyle name="_SubHeading_prestemp_Tmax Soft VD 07 31 2008 Draft Model 08 20 2008 2" xfId="780" xr:uid="{00000000-0005-0000-0000-00007B030000}"/>
    <cellStyle name="_SubHeading_prestemp_WACC -E-2" xfId="781" xr:uid="{00000000-0005-0000-0000-00007C030000}"/>
    <cellStyle name="_SubHeading_prestemp_WACC -E-2 2" xfId="782" xr:uid="{00000000-0005-0000-0000-00007D030000}"/>
    <cellStyle name="_SubHeading_prestemp_Xmos Limited VD 05 13 2008  Model 06 04 08" xfId="783" xr:uid="{00000000-0005-0000-0000-00007E030000}"/>
    <cellStyle name="_SubHeading_prestemp_Xmos Limited VD 05 13 2008  Model 06 04 08 2" xfId="784" xr:uid="{00000000-0005-0000-0000-00007F030000}"/>
    <cellStyle name="_Table" xfId="785" xr:uid="{00000000-0005-0000-0000-000080030000}"/>
    <cellStyle name="_Table 2" xfId="786" xr:uid="{00000000-0005-0000-0000-000081030000}"/>
    <cellStyle name="_Table__DCF Template" xfId="787" xr:uid="{00000000-0005-0000-0000-000082030000}"/>
    <cellStyle name="_Table__DCF Template 2" xfId="788" xr:uid="{00000000-0005-0000-0000-000083030000}"/>
    <cellStyle name="_Table__DCF Template 2 2" xfId="16388" xr:uid="{00000000-0005-0000-0000-000084030000}"/>
    <cellStyle name="_Table__DCF Template 3" xfId="16387" xr:uid="{00000000-0005-0000-0000-000085030000}"/>
    <cellStyle name="_Table_04 Alaska Model 2002-05-31 GS" xfId="789" xr:uid="{00000000-0005-0000-0000-000086030000}"/>
    <cellStyle name="_Table_04 Alaska Model 2002-05-31 GS 2" xfId="790" xr:uid="{00000000-0005-0000-0000-000087030000}"/>
    <cellStyle name="_Table_04 Alaska Model 2002-05-31 GS 2 2" xfId="16390" xr:uid="{00000000-0005-0000-0000-000088030000}"/>
    <cellStyle name="_Table_04 Alaska Model 2002-05-31 GS 3" xfId="16389" xr:uid="{00000000-0005-0000-0000-000089030000}"/>
    <cellStyle name="_Table_Book3" xfId="791" xr:uid="{00000000-0005-0000-0000-00008A030000}"/>
    <cellStyle name="_Table_Dividend Template" xfId="792" xr:uid="{00000000-0005-0000-0000-00008B030000}"/>
    <cellStyle name="_Table_Pro-Forma Financials" xfId="793" xr:uid="{00000000-0005-0000-0000-00008C030000}"/>
    <cellStyle name="_Table_Pro-Forma Spin-off" xfId="794" xr:uid="{00000000-0005-0000-0000-00008D030000}"/>
    <cellStyle name="_TableHead" xfId="795" xr:uid="{00000000-0005-0000-0000-00008E030000}"/>
    <cellStyle name="_TableHead 2" xfId="796" xr:uid="{00000000-0005-0000-0000-00008F030000}"/>
    <cellStyle name="_TableHead_Cable_Industry Overview5" xfId="797" xr:uid="{00000000-0005-0000-0000-000090030000}"/>
    <cellStyle name="_TableHead_Cable_Industry Overview5 2" xfId="798" xr:uid="{00000000-0005-0000-0000-000091030000}"/>
    <cellStyle name="_TableHead_Gelco Model" xfId="799" xr:uid="{00000000-0005-0000-0000-000092030000}"/>
    <cellStyle name="_TableHead_Gelco Model 2" xfId="800" xr:uid="{00000000-0005-0000-0000-000093030000}"/>
    <cellStyle name="_TableHead_Summary" xfId="801" xr:uid="{00000000-0005-0000-0000-000094030000}"/>
    <cellStyle name="_TableHead_Summary 2" xfId="802" xr:uid="{00000000-0005-0000-0000-000095030000}"/>
    <cellStyle name="_TableHead_Yield Tables" xfId="803" xr:uid="{00000000-0005-0000-0000-000096030000}"/>
    <cellStyle name="_TableHead_Yield Tables 2" xfId="804" xr:uid="{00000000-0005-0000-0000-000097030000}"/>
    <cellStyle name="_TableHeading" xfId="16326" xr:uid="{00000000-0005-0000-0000-000098030000}"/>
    <cellStyle name="_TableRowBorder" xfId="16327" xr:uid="{00000000-0005-0000-0000-000099030000}"/>
    <cellStyle name="_TableRowHead" xfId="805" xr:uid="{00000000-0005-0000-0000-00009A030000}"/>
    <cellStyle name="_TableRowHead 2" xfId="806" xr:uid="{00000000-0005-0000-0000-00009B030000}"/>
    <cellStyle name="_TableRowHead_Gelco Model" xfId="807" xr:uid="{00000000-0005-0000-0000-00009C030000}"/>
    <cellStyle name="_TableRowHead_Gelco Model 2" xfId="808" xr:uid="{00000000-0005-0000-0000-00009D030000}"/>
    <cellStyle name="_TableRowHead_Summary" xfId="809" xr:uid="{00000000-0005-0000-0000-00009E030000}"/>
    <cellStyle name="_TableRowHead_Summary 2" xfId="810" xr:uid="{00000000-0005-0000-0000-00009F030000}"/>
    <cellStyle name="_TableRowHeading" xfId="16328" xr:uid="{00000000-0005-0000-0000-0000A0030000}"/>
    <cellStyle name="_TableSuperHead" xfId="811" xr:uid="{00000000-0005-0000-0000-0000A1030000}"/>
    <cellStyle name="_TableSuperHead 2" xfId="812" xr:uid="{00000000-0005-0000-0000-0000A2030000}"/>
    <cellStyle name="_TableSuperHead__DCF Template" xfId="813" xr:uid="{00000000-0005-0000-0000-0000A3030000}"/>
    <cellStyle name="_TableSuperHead_04 Alaska Model 2002-05-31 GS" xfId="814" xr:uid="{00000000-0005-0000-0000-0000A4030000}"/>
    <cellStyle name="_TableSuperHead_Book3" xfId="815" xr:uid="{00000000-0005-0000-0000-0000A5030000}"/>
    <cellStyle name="_TableSuperHead_Cable_Industry Overview5" xfId="816" xr:uid="{00000000-0005-0000-0000-0000A6030000}"/>
    <cellStyle name="_TableSuperHead_Cable_Industry Overview5 2" xfId="817" xr:uid="{00000000-0005-0000-0000-0000A7030000}"/>
    <cellStyle name="_TableSuperHead_Dividend Template" xfId="818" xr:uid="{00000000-0005-0000-0000-0000A8030000}"/>
    <cellStyle name="_TableSuperHead_Gelco Model" xfId="819" xr:uid="{00000000-0005-0000-0000-0000A9030000}"/>
    <cellStyle name="_TableSuperHead_Gelco Model 2" xfId="820" xr:uid="{00000000-0005-0000-0000-0000AA030000}"/>
    <cellStyle name="_TableSuperHead_Pro-Forma Financials" xfId="821" xr:uid="{00000000-0005-0000-0000-0000AB030000}"/>
    <cellStyle name="_TableSuperHead_Pro-Forma Spin-off" xfId="822" xr:uid="{00000000-0005-0000-0000-0000AC030000}"/>
    <cellStyle name="_TableSuperHead_Summary" xfId="823" xr:uid="{00000000-0005-0000-0000-0000AD030000}"/>
    <cellStyle name="_TableSuperHead_Summary 2" xfId="824" xr:uid="{00000000-0005-0000-0000-0000AE030000}"/>
    <cellStyle name="_TableSuperHead_Yield Tables" xfId="825" xr:uid="{00000000-0005-0000-0000-0000AF030000}"/>
    <cellStyle name="_TableSuperHead_Yield Tables 2" xfId="826" xr:uid="{00000000-0005-0000-0000-0000B0030000}"/>
    <cellStyle name="_TableSuperHeading" xfId="16329" xr:uid="{00000000-0005-0000-0000-0000B1030000}"/>
    <cellStyle name="_TableText" xfId="16330" xr:uid="{00000000-0005-0000-0000-0000B2030000}"/>
    <cellStyle name="_Tax Provision 2-1-07 sent to KPMG" xfId="827" xr:uid="{00000000-0005-0000-0000-0000B3030000}"/>
    <cellStyle name="_TDI1602 Non-Food Retail Historic Transactions 060428" xfId="828" xr:uid="{00000000-0005-0000-0000-0000B4030000}"/>
    <cellStyle name="_TDI1602 Non-Food Retail Historic Transactions 060428_Medley_Financial_Model_v5" xfId="829" xr:uid="{00000000-0005-0000-0000-0000B5030000}"/>
    <cellStyle name="_TDI2246 Chemical Comps 061019" xfId="830" xr:uid="{00000000-0005-0000-0000-0000B6030000}"/>
    <cellStyle name="_TDI2246 Chemical Comps 061019_Medley_Financial_Model_v5" xfId="831" xr:uid="{00000000-0005-0000-0000-0000B7030000}"/>
    <cellStyle name="_TDU757 Fintech Comps 070227" xfId="832" xr:uid="{00000000-0005-0000-0000-0000B8030000}"/>
    <cellStyle name="_TDU757 Fintech Comps 070227_Cyrela - Goldzstein - Financial Model - v1" xfId="833" xr:uid="{00000000-0005-0000-0000-0000B9030000}"/>
    <cellStyle name="_TDU757 Fintech Comps 070227_Cyrela - Goldzstein - Financial Model - v5" xfId="834" xr:uid="{00000000-0005-0000-0000-0000BA030000}"/>
    <cellStyle name="_TDU757 Fintech Comps 070227_Gas Natural - Financial Model - April 18 2008 - v1" xfId="835" xr:uid="{00000000-0005-0000-0000-0000BB030000}"/>
    <cellStyle name="_TDU757 Fintech Comps 070227_Gas Natural - Financial Model - April 18 2008 - v2" xfId="836" xr:uid="{00000000-0005-0000-0000-0000BC030000}"/>
    <cellStyle name="_TDU757 Fintech Comps 070227_Gas Natural - Financial Model - May 20, 2009" xfId="837" xr:uid="{00000000-0005-0000-0000-0000BD030000}"/>
    <cellStyle name="_TDU757 Fintech Comps 070227_Goldzstein Cyrela - Financial Model - v7" xfId="838" xr:uid="{00000000-0005-0000-0000-0000BE030000}"/>
    <cellStyle name="_TDU757 Fintech Comps 070227_Grupo Ibmec - Financial Model - v2" xfId="839" xr:uid="{00000000-0005-0000-0000-0000BF030000}"/>
    <cellStyle name="_TDU757 Fintech Comps 070227_Grupo Ibmec - Financial Model - v5" xfId="840" xr:uid="{00000000-0005-0000-0000-0000C0030000}"/>
    <cellStyle name="_TDU757 Fintech Comps 070227_Independencia - Financial Model - Dec 02 2008 - v3" xfId="841" xr:uid="{00000000-0005-0000-0000-0000C1030000}"/>
    <cellStyle name="_TDU757 Fintech Comps 070227_Independencia - Financial Model - Nov 24 2008" xfId="842" xr:uid="{00000000-0005-0000-0000-0000C2030000}"/>
    <cellStyle name="_TDU757 Fintech Comps 070227_Medley_Financial_Model_v5" xfId="843" xr:uid="{00000000-0005-0000-0000-0000C3030000}"/>
    <cellStyle name="_TDU757 Fintech Comps 070227_Project Emet - Forecasts" xfId="844" xr:uid="{00000000-0005-0000-0000-0000C4030000}"/>
    <cellStyle name="_TDU757 Fintech Comps 070227_Rumo_Financial_Model_05jun2009_v1" xfId="845" xr:uid="{00000000-0005-0000-0000-0000C5030000}"/>
    <cellStyle name="_TDU757 Fintech Comps 070227_Rumo_Financial_Model_05jun2009_v4" xfId="846" xr:uid="{00000000-0005-0000-0000-0000C6030000}"/>
    <cellStyle name="_TDU757 Fintech Comps 070227_Rumo_Financial_Model_05jun2009_v5" xfId="847" xr:uid="{00000000-0005-0000-0000-0000C7030000}"/>
    <cellStyle name="_TDU757 Fintech Comps 070227_Rumo_Financial_Model_05jun2009_v6" xfId="848" xr:uid="{00000000-0005-0000-0000-0000C8030000}"/>
    <cellStyle name="_TDU757 Fintech Comps 070227_SCPC_Financial_Model_10jun2009_v2" xfId="849" xr:uid="{00000000-0005-0000-0000-0000C9030000}"/>
    <cellStyle name="_TDU757 Fintech Comps 070227_SCPC_Financial_Model_17jun2009_v5" xfId="850" xr:uid="{00000000-0005-0000-0000-0000CA030000}"/>
    <cellStyle name="_TDU769 Aluminium Comps Database 070303" xfId="851" xr:uid="{00000000-0005-0000-0000-0000CB030000}"/>
    <cellStyle name="_TDU769 Aluminium Comps Database 070303_Medley_Financial_Model_v5" xfId="852" xr:uid="{00000000-0005-0000-0000-0000CC030000}"/>
    <cellStyle name="_Veeco SFAS 142 &amp; 144 - Oct 2004 - v11" xfId="853" xr:uid="{00000000-0005-0000-0000-0000CD030000}"/>
    <cellStyle name="_הלוואות" xfId="854" xr:uid="{00000000-0005-0000-0000-0000CE030000}"/>
    <cellStyle name="_הלוואות 2" xfId="855" xr:uid="{00000000-0005-0000-0000-0000CF030000}"/>
    <cellStyle name="_התחיבות שכ&quot;ד" xfId="856" xr:uid="{00000000-0005-0000-0000-0000D0030000}"/>
    <cellStyle name="_התחיבות שכ&quot;ד 2" xfId="857" xr:uid="{00000000-0005-0000-0000-0000D1030000}"/>
    <cellStyle name="_מדדים" xfId="858" xr:uid="{00000000-0005-0000-0000-0000D2030000}"/>
    <cellStyle name="_מדדים 2" xfId="859" xr:uid="{00000000-0005-0000-0000-0000D3030000}"/>
    <cellStyle name="£ BP" xfId="860" xr:uid="{00000000-0005-0000-0000-0000D4030000}"/>
    <cellStyle name="£ BP 2" xfId="861" xr:uid="{00000000-0005-0000-0000-0000D5030000}"/>
    <cellStyle name="£/GJ" xfId="16331" xr:uid="{00000000-0005-0000-0000-0000D6030000}"/>
    <cellStyle name="£/t" xfId="16332" xr:uid="{00000000-0005-0000-0000-0000D7030000}"/>
    <cellStyle name="£Currency [0]" xfId="862" xr:uid="{00000000-0005-0000-0000-0000D8030000}"/>
    <cellStyle name="£Currency [0] 2" xfId="863" xr:uid="{00000000-0005-0000-0000-0000D9030000}"/>
    <cellStyle name="£Currency [1]" xfId="864" xr:uid="{00000000-0005-0000-0000-0000DA030000}"/>
    <cellStyle name="£Currency [1] 2" xfId="865" xr:uid="{00000000-0005-0000-0000-0000DB030000}"/>
    <cellStyle name="£Currency [2]" xfId="866" xr:uid="{00000000-0005-0000-0000-0000DC030000}"/>
    <cellStyle name="£Currency [2] 2" xfId="867" xr:uid="{00000000-0005-0000-0000-0000DD030000}"/>
    <cellStyle name="£Currency [p]" xfId="868" xr:uid="{00000000-0005-0000-0000-0000DE030000}"/>
    <cellStyle name="£Currency [p] 2" xfId="869" xr:uid="{00000000-0005-0000-0000-0000DF030000}"/>
    <cellStyle name="£Currency [p2]" xfId="870" xr:uid="{00000000-0005-0000-0000-0000E0030000}"/>
    <cellStyle name="£Currency [p2] 2" xfId="871" xr:uid="{00000000-0005-0000-0000-0000E1030000}"/>
    <cellStyle name="£Pounds" xfId="872" xr:uid="{00000000-0005-0000-0000-0000E2030000}"/>
    <cellStyle name="£Pounds 2" xfId="873" xr:uid="{00000000-0005-0000-0000-0000E3030000}"/>
    <cellStyle name="¤@¯ë_P721-Spd" xfId="874" xr:uid="{00000000-0005-0000-0000-0000E4030000}"/>
    <cellStyle name="¤d¤À¦ì[0]_P721-Spd" xfId="875" xr:uid="{00000000-0005-0000-0000-0000E5030000}"/>
    <cellStyle name="¤d¤À¦ì_P721-Spd" xfId="876" xr:uid="{00000000-0005-0000-0000-0000E6030000}"/>
    <cellStyle name="¥ JY" xfId="877" xr:uid="{00000000-0005-0000-0000-0000E7030000}"/>
    <cellStyle name="¥ JY 2" xfId="878" xr:uid="{00000000-0005-0000-0000-0000E8030000}"/>
    <cellStyle name="=C:\WINNT\SYSTEM32\COMMAND.COM" xfId="879" xr:uid="{00000000-0005-0000-0000-0000E9030000}"/>
    <cellStyle name="=C:\WINNT35\SYSTEM32\COMMAND.COM" xfId="16333" xr:uid="{00000000-0005-0000-0000-0000EA030000}"/>
    <cellStyle name="°" xfId="16334" xr:uid="{00000000-0005-0000-0000-0000EB030000}"/>
    <cellStyle name="°_ENS Economic Model 070802 v4" xfId="16335" xr:uid="{00000000-0005-0000-0000-0000EC030000}"/>
    <cellStyle name="•W?_Sheet1" xfId="880" xr:uid="{00000000-0005-0000-0000-0000ED030000}"/>
    <cellStyle name="•W€_Capital Structure" xfId="881" xr:uid="{00000000-0005-0000-0000-0000EE030000}"/>
    <cellStyle name="•W_Sheet1" xfId="882" xr:uid="{00000000-0005-0000-0000-0000EF030000}"/>
    <cellStyle name="\¦ÏÝÌnCp[N" xfId="883" xr:uid="{00000000-0005-0000-0000-0000F0030000}"/>
    <cellStyle name="æØè [0.00]_Affiliate Fcst Inputs" xfId="884" xr:uid="{00000000-0005-0000-0000-0000F1030000}"/>
    <cellStyle name="W_Sheet1" xfId="885" xr:uid="{00000000-0005-0000-0000-0000F2030000}"/>
    <cellStyle name="0" xfId="886" xr:uid="{00000000-0005-0000-0000-0000F3030000}"/>
    <cellStyle name="0 2" xfId="887" xr:uid="{00000000-0005-0000-0000-0000F4030000}"/>
    <cellStyle name="0%" xfId="888" xr:uid="{00000000-0005-0000-0000-0000F5030000}"/>
    <cellStyle name="0,0" xfId="889" xr:uid="{00000000-0005-0000-0000-0000F6030000}"/>
    <cellStyle name="0,0 F" xfId="890" xr:uid="{00000000-0005-0000-0000-0000F7030000}"/>
    <cellStyle name="0,0%" xfId="891" xr:uid="{00000000-0005-0000-0000-0000F8030000}"/>
    <cellStyle name="0,0_Co&amp;Lo180800" xfId="892" xr:uid="{00000000-0005-0000-0000-0000F9030000}"/>
    <cellStyle name="0,00x" xfId="893" xr:uid="{00000000-0005-0000-0000-0000FA030000}"/>
    <cellStyle name="0,0x" xfId="894" xr:uid="{00000000-0005-0000-0000-0000FB030000}"/>
    <cellStyle name="0.0" xfId="895" xr:uid="{00000000-0005-0000-0000-0000FC030000}"/>
    <cellStyle name="0.0 NORMAL" xfId="16336" xr:uid="{00000000-0005-0000-0000-0000FD030000}"/>
    <cellStyle name="0.0 PERCENT" xfId="16337" xr:uid="{00000000-0005-0000-0000-0000FE030000}"/>
    <cellStyle name="0.0 x" xfId="896" xr:uid="{00000000-0005-0000-0000-0000FF030000}"/>
    <cellStyle name="0.0%" xfId="897" xr:uid="{00000000-0005-0000-0000-000000040000}"/>
    <cellStyle name="0.0_Crystal Model final" xfId="16338" xr:uid="{00000000-0005-0000-0000-000001040000}"/>
    <cellStyle name="0.00" xfId="898" xr:uid="{00000000-0005-0000-0000-000002040000}"/>
    <cellStyle name="0.00%" xfId="899" xr:uid="{00000000-0005-0000-0000-000003040000}"/>
    <cellStyle name="0.00_Medley_Financial_Model_v5" xfId="900" xr:uid="{00000000-0005-0000-0000-000004040000}"/>
    <cellStyle name="0_APT 141 101603 ver 51" xfId="901" xr:uid="{00000000-0005-0000-0000-000005040000}"/>
    <cellStyle name="0_APT 141 101603 ver 51 2" xfId="902" xr:uid="{00000000-0005-0000-0000-000006040000}"/>
    <cellStyle name="0_Medley_Financial_Model_v5" xfId="903" xr:uid="{00000000-0005-0000-0000-000007040000}"/>
    <cellStyle name="0_Medley_Financial_Model_v5_Ubiquiti Ownership Table" xfId="904" xr:uid="{00000000-0005-0000-0000-000008040000}"/>
    <cellStyle name="0_Nomos WACC" xfId="905" xr:uid="{00000000-0005-0000-0000-000009040000}"/>
    <cellStyle name="0_Nomos WACC 2" xfId="906" xr:uid="{00000000-0005-0000-0000-00000A040000}"/>
    <cellStyle name="0_Nomos WACC_Boston Power VD 01 31 2008 Model 02 26 2008" xfId="907" xr:uid="{00000000-0005-0000-0000-00000B040000}"/>
    <cellStyle name="0_Nomos WACC_Boston Power VD 01 31 2008 Model 02 26 2008 2" xfId="908" xr:uid="{00000000-0005-0000-0000-00000C040000}"/>
    <cellStyle name="0_Nomos WACC_Boston Power VD 01 31 2008 Model 02 26 2008 2 2" xfId="909" xr:uid="{00000000-0005-0000-0000-00000D040000}"/>
    <cellStyle name="0_Nomos WACC_Boston Power VD 01 31 2008 Model 02 26 2008 3" xfId="910" xr:uid="{00000000-0005-0000-0000-00000E040000}"/>
    <cellStyle name="0_Nomos WACC_Boston Power VD 01 31 2008 Model 02 26 2008 4" xfId="911" xr:uid="{00000000-0005-0000-0000-00000F040000}"/>
    <cellStyle name="0_Nomos WACC_Boston Power VD 01 31 2008 Model 02 26 2008 5" xfId="912" xr:uid="{00000000-0005-0000-0000-000010040000}"/>
    <cellStyle name="0_Nomos WACC_Boston Power VD 01 31 2008 Model 02 26 2008_CompanyABC Valuation Draft Model 04 21 2009" xfId="913" xr:uid="{00000000-0005-0000-0000-000011040000}"/>
    <cellStyle name="0_Nomos WACC_Boston Power VD 01 31 2008 Model 02 26 2008_CompanyABC Valuation Draft Model 04 21 2009 2" xfId="914" xr:uid="{00000000-0005-0000-0000-000012040000}"/>
    <cellStyle name="0_Nomos WACC_Boston Power VD 01 31 2008 Model 02 26 2008_DB" xfId="915" xr:uid="{00000000-0005-0000-0000-000013040000}"/>
    <cellStyle name="0_Nomos WACC_Boston Power VD 01 31 2008 Model 02 26 2008_DB 2" xfId="916" xr:uid="{00000000-0005-0000-0000-000014040000}"/>
    <cellStyle name="0_Nomos WACC_Boston Power VD 01 31 2008 Model 02 26 2008_DB 2 2" xfId="917" xr:uid="{00000000-0005-0000-0000-000015040000}"/>
    <cellStyle name="0_Nomos WACC_Boston Power VD 01 31 2008 Model 02 26 2008_FAS 157 Model Template 04 26 2009" xfId="918" xr:uid="{00000000-0005-0000-0000-000016040000}"/>
    <cellStyle name="0_Nomos WACC_Boston Power VD 01 31 2008 Model 02 26 2008_FAS 157 Model Template 04 26 2009 2" xfId="919" xr:uid="{00000000-0005-0000-0000-000017040000}"/>
    <cellStyle name="0_Nomos WACC_Boston Power VD 01 31 2008 Model 02 26 2008_Miragen VD 05 31 2008 Model 05 22 2009" xfId="920" xr:uid="{00000000-0005-0000-0000-000018040000}"/>
    <cellStyle name="0_Nomos WACC_Cap Table Inputs" xfId="921" xr:uid="{00000000-0005-0000-0000-000019040000}"/>
    <cellStyle name="0_Nomos WACC_Cap Table Inputs 2" xfId="922" xr:uid="{00000000-0005-0000-0000-00001A040000}"/>
    <cellStyle name="0_Nomos WACC_Cap Table Inputs 2 2" xfId="923" xr:uid="{00000000-0005-0000-0000-00001B040000}"/>
    <cellStyle name="0_Nomos WACC_Cap Table Inputs 3" xfId="924" xr:uid="{00000000-0005-0000-0000-00001C040000}"/>
    <cellStyle name="0_Nomos WACC_Cap Table Inputs 4" xfId="925" xr:uid="{00000000-0005-0000-0000-00001D040000}"/>
    <cellStyle name="0_Nomos WACC_Cap Table Inputs 5" xfId="926" xr:uid="{00000000-0005-0000-0000-00001E040000}"/>
    <cellStyle name="0_Nomos WACC_Cap Table Inputs_CompanyABC Valuation Draft Model 04 21 2009" xfId="927" xr:uid="{00000000-0005-0000-0000-00001F040000}"/>
    <cellStyle name="0_Nomos WACC_Cap Table Inputs_CompanyABC Valuation Draft Model 04 21 2009 2" xfId="928" xr:uid="{00000000-0005-0000-0000-000020040000}"/>
    <cellStyle name="0_Nomos WACC_Cap Table Inputs_DB" xfId="929" xr:uid="{00000000-0005-0000-0000-000021040000}"/>
    <cellStyle name="0_Nomos WACC_Cap Table Inputs_DB 2" xfId="930" xr:uid="{00000000-0005-0000-0000-000022040000}"/>
    <cellStyle name="0_Nomos WACC_Cap Table Inputs_DB 2 2" xfId="931" xr:uid="{00000000-0005-0000-0000-000023040000}"/>
    <cellStyle name="0_Nomos WACC_Cap Table Inputs_FAS 157 Model Template 04 26 2009" xfId="932" xr:uid="{00000000-0005-0000-0000-000024040000}"/>
    <cellStyle name="0_Nomos WACC_Cap Table Inputs_FAS 157 Model Template 04 26 2009 2" xfId="933" xr:uid="{00000000-0005-0000-0000-000025040000}"/>
    <cellStyle name="0_Nomos WACC_Cap Table Inputs_Miragen VD 05 31 2008 Model 05 22 2009" xfId="934" xr:uid="{00000000-0005-0000-0000-000026040000}"/>
    <cellStyle name="0_Nomos WACC_CardioSolutions 05 31 2007 Final Model 09 27 2007" xfId="935" xr:uid="{00000000-0005-0000-0000-000027040000}"/>
    <cellStyle name="0_Nomos WACC_CardioSolutions 05 31 2007 Final Model 09 27 2007 2" xfId="936" xr:uid="{00000000-0005-0000-0000-000028040000}"/>
    <cellStyle name="0_Nomos WACC_CardioSolutions 05 31 2007 Final Model 09 27 2007 2 2" xfId="937" xr:uid="{00000000-0005-0000-0000-000029040000}"/>
    <cellStyle name="0_Nomos WACC_CardioSolutions 05 31 2007 Final Model 09 27 2007 3" xfId="938" xr:uid="{00000000-0005-0000-0000-00002A040000}"/>
    <cellStyle name="0_Nomos WACC_CardioSolutions 05 31 2007 Final Model 09 27 2007 4" xfId="939" xr:uid="{00000000-0005-0000-0000-00002B040000}"/>
    <cellStyle name="0_Nomos WACC_CardioSolutions 05 31 2007 Final Model 09 27 2007 5" xfId="940" xr:uid="{00000000-0005-0000-0000-00002C040000}"/>
    <cellStyle name="0_Nomos WACC_CardioSolutions 05 31 2007 Final Model 09 27 2007_CompanyABC Valuation Draft Model 04 21 2009" xfId="941" xr:uid="{00000000-0005-0000-0000-00002D040000}"/>
    <cellStyle name="0_Nomos WACC_CardioSolutions 05 31 2007 Final Model 09 27 2007_CompanyABC Valuation Draft Model 04 21 2009 2" xfId="942" xr:uid="{00000000-0005-0000-0000-00002E040000}"/>
    <cellStyle name="0_Nomos WACC_CardioSolutions 05 31 2007 Final Model 09 27 2007_DB" xfId="943" xr:uid="{00000000-0005-0000-0000-00002F040000}"/>
    <cellStyle name="0_Nomos WACC_CardioSolutions 05 31 2007 Final Model 09 27 2007_DB 2" xfId="944" xr:uid="{00000000-0005-0000-0000-000030040000}"/>
    <cellStyle name="0_Nomos WACC_CardioSolutions 05 31 2007 Final Model 09 27 2007_DB 2 2" xfId="945" xr:uid="{00000000-0005-0000-0000-000031040000}"/>
    <cellStyle name="0_Nomos WACC_CardioSolutions 05 31 2007 Final Model 09 27 2007_FAS 157 Model Template 04 26 2009" xfId="946" xr:uid="{00000000-0005-0000-0000-000032040000}"/>
    <cellStyle name="0_Nomos WACC_CardioSolutions 05 31 2007 Final Model 09 27 2007_FAS 157 Model Template 04 26 2009 2" xfId="947" xr:uid="{00000000-0005-0000-0000-000033040000}"/>
    <cellStyle name="0_Nomos WACC_CardioSolutions 05 31 2007 Final Model 09 27 2007_Miragen VD 05 31 2008 Model 05 22 2009" xfId="948" xr:uid="{00000000-0005-0000-0000-000034040000}"/>
    <cellStyle name="0_Veeco SFAS 142 &amp; 144 - Oct 2004 - v11" xfId="949" xr:uid="{00000000-0005-0000-0000-000035040000}"/>
    <cellStyle name="0_Veeco SFAS 142 &amp; 144 - Oct 2004 - v11 2" xfId="950" xr:uid="{00000000-0005-0000-0000-000036040000}"/>
    <cellStyle name="0_Veeco SFAS 142 &amp; 144 - Oct 2004 - v11_Boston Power VD 01 31 2008 Model 02 26 2008" xfId="951" xr:uid="{00000000-0005-0000-0000-000037040000}"/>
    <cellStyle name="0_Veeco SFAS 142 &amp; 144 - Oct 2004 - v11_Boston Power VD 01 31 2008 Model 02 26 2008 2" xfId="952" xr:uid="{00000000-0005-0000-0000-000038040000}"/>
    <cellStyle name="0_Veeco SFAS 142 &amp; 144 - Oct 2004 - v11_Boston Power VD 01 31 2008 Model 02 26 2008 2 2" xfId="953" xr:uid="{00000000-0005-0000-0000-000039040000}"/>
    <cellStyle name="0_Veeco SFAS 142 &amp; 144 - Oct 2004 - v11_Boston Power VD 01 31 2008 Model 02 26 2008 3" xfId="954" xr:uid="{00000000-0005-0000-0000-00003A040000}"/>
    <cellStyle name="0_Veeco SFAS 142 &amp; 144 - Oct 2004 - v11_Boston Power VD 01 31 2008 Model 02 26 2008 4" xfId="955" xr:uid="{00000000-0005-0000-0000-00003B040000}"/>
    <cellStyle name="0_Veeco SFAS 142 &amp; 144 - Oct 2004 - v11_Boston Power VD 01 31 2008 Model 02 26 2008 5" xfId="956" xr:uid="{00000000-0005-0000-0000-00003C040000}"/>
    <cellStyle name="0_Veeco SFAS 142 &amp; 144 - Oct 2004 - v11_Boston Power VD 01 31 2008 Model 02 26 2008_CompanyABC Valuation Draft Model 04 21 2009" xfId="957" xr:uid="{00000000-0005-0000-0000-00003D040000}"/>
    <cellStyle name="0_Veeco SFAS 142 &amp; 144 - Oct 2004 - v11_Boston Power VD 01 31 2008 Model 02 26 2008_CompanyABC Valuation Draft Model 04 21 2009 2" xfId="958" xr:uid="{00000000-0005-0000-0000-00003E040000}"/>
    <cellStyle name="0_Veeco SFAS 142 &amp; 144 - Oct 2004 - v11_Boston Power VD 01 31 2008 Model 02 26 2008_DB" xfId="959" xr:uid="{00000000-0005-0000-0000-00003F040000}"/>
    <cellStyle name="0_Veeco SFAS 142 &amp; 144 - Oct 2004 - v11_Boston Power VD 01 31 2008 Model 02 26 2008_DB 2" xfId="960" xr:uid="{00000000-0005-0000-0000-000040040000}"/>
    <cellStyle name="0_Veeco SFAS 142 &amp; 144 - Oct 2004 - v11_Boston Power VD 01 31 2008 Model 02 26 2008_DB 2 2" xfId="961" xr:uid="{00000000-0005-0000-0000-000041040000}"/>
    <cellStyle name="0_Veeco SFAS 142 &amp; 144 - Oct 2004 - v11_Boston Power VD 01 31 2008 Model 02 26 2008_FAS 157 Model Template 04 26 2009" xfId="962" xr:uid="{00000000-0005-0000-0000-000042040000}"/>
    <cellStyle name="0_Veeco SFAS 142 &amp; 144 - Oct 2004 - v11_Boston Power VD 01 31 2008 Model 02 26 2008_FAS 157 Model Template 04 26 2009 2" xfId="963" xr:uid="{00000000-0005-0000-0000-000043040000}"/>
    <cellStyle name="0_Veeco SFAS 142 &amp; 144 - Oct 2004 - v11_Boston Power VD 01 31 2008 Model 02 26 2008_Miragen VD 05 31 2008 Model 05 22 2009" xfId="964" xr:uid="{00000000-0005-0000-0000-000044040000}"/>
    <cellStyle name="0_Veeco SFAS 142 &amp; 144 - Oct 2004 - v11_Cap Table Inputs" xfId="965" xr:uid="{00000000-0005-0000-0000-000045040000}"/>
    <cellStyle name="0_Veeco SFAS 142 &amp; 144 - Oct 2004 - v11_Cap Table Inputs 2" xfId="966" xr:uid="{00000000-0005-0000-0000-000046040000}"/>
    <cellStyle name="0_Veeco SFAS 142 &amp; 144 - Oct 2004 - v11_Cap Table Inputs 2 2" xfId="967" xr:uid="{00000000-0005-0000-0000-000047040000}"/>
    <cellStyle name="0_Veeco SFAS 142 &amp; 144 - Oct 2004 - v11_Cap Table Inputs 3" xfId="968" xr:uid="{00000000-0005-0000-0000-000048040000}"/>
    <cellStyle name="0_Veeco SFAS 142 &amp; 144 - Oct 2004 - v11_Cap Table Inputs 4" xfId="969" xr:uid="{00000000-0005-0000-0000-000049040000}"/>
    <cellStyle name="0_Veeco SFAS 142 &amp; 144 - Oct 2004 - v11_Cap Table Inputs 5" xfId="970" xr:uid="{00000000-0005-0000-0000-00004A040000}"/>
    <cellStyle name="0_Veeco SFAS 142 &amp; 144 - Oct 2004 - v11_Cap Table Inputs_CompanyABC Valuation Draft Model 04 21 2009" xfId="971" xr:uid="{00000000-0005-0000-0000-00004B040000}"/>
    <cellStyle name="0_Veeco SFAS 142 &amp; 144 - Oct 2004 - v11_Cap Table Inputs_CompanyABC Valuation Draft Model 04 21 2009 2" xfId="972" xr:uid="{00000000-0005-0000-0000-00004C040000}"/>
    <cellStyle name="0_Veeco SFAS 142 &amp; 144 - Oct 2004 - v11_Cap Table Inputs_DB" xfId="973" xr:uid="{00000000-0005-0000-0000-00004D040000}"/>
    <cellStyle name="0_Veeco SFAS 142 &amp; 144 - Oct 2004 - v11_Cap Table Inputs_DB 2" xfId="974" xr:uid="{00000000-0005-0000-0000-00004E040000}"/>
    <cellStyle name="0_Veeco SFAS 142 &amp; 144 - Oct 2004 - v11_Cap Table Inputs_DB 2 2" xfId="975" xr:uid="{00000000-0005-0000-0000-00004F040000}"/>
    <cellStyle name="0_Veeco SFAS 142 &amp; 144 - Oct 2004 - v11_Cap Table Inputs_FAS 157 Model Template 04 26 2009" xfId="976" xr:uid="{00000000-0005-0000-0000-000050040000}"/>
    <cellStyle name="0_Veeco SFAS 142 &amp; 144 - Oct 2004 - v11_Cap Table Inputs_FAS 157 Model Template 04 26 2009 2" xfId="977" xr:uid="{00000000-0005-0000-0000-000051040000}"/>
    <cellStyle name="0_Veeco SFAS 142 &amp; 144 - Oct 2004 - v11_Cap Table Inputs_Miragen VD 05 31 2008 Model 05 22 2009" xfId="978" xr:uid="{00000000-0005-0000-0000-000052040000}"/>
    <cellStyle name="0_Veeco SFAS 142 &amp; 144 - Oct 2004 - v11_CardioSolutions 05 31 2007 Final Model 09 27 2007" xfId="979" xr:uid="{00000000-0005-0000-0000-000053040000}"/>
    <cellStyle name="0_Veeco SFAS 142 &amp; 144 - Oct 2004 - v11_CardioSolutions 05 31 2007 Final Model 09 27 2007 2" xfId="980" xr:uid="{00000000-0005-0000-0000-000054040000}"/>
    <cellStyle name="0_Veeco SFAS 142 &amp; 144 - Oct 2004 - v11_CardioSolutions 05 31 2007 Final Model 09 27 2007 2 2" xfId="981" xr:uid="{00000000-0005-0000-0000-000055040000}"/>
    <cellStyle name="0_Veeco SFAS 142 &amp; 144 - Oct 2004 - v11_CardioSolutions 05 31 2007 Final Model 09 27 2007 3" xfId="982" xr:uid="{00000000-0005-0000-0000-000056040000}"/>
    <cellStyle name="0_Veeco SFAS 142 &amp; 144 - Oct 2004 - v11_CardioSolutions 05 31 2007 Final Model 09 27 2007 4" xfId="983" xr:uid="{00000000-0005-0000-0000-000057040000}"/>
    <cellStyle name="0_Veeco SFAS 142 &amp; 144 - Oct 2004 - v11_CardioSolutions 05 31 2007 Final Model 09 27 2007 5" xfId="984" xr:uid="{00000000-0005-0000-0000-000058040000}"/>
    <cellStyle name="0_Veeco SFAS 142 &amp; 144 - Oct 2004 - v11_CardioSolutions 05 31 2007 Final Model 09 27 2007_CompanyABC Valuation Draft Model 04 21 2009" xfId="985" xr:uid="{00000000-0005-0000-0000-000059040000}"/>
    <cellStyle name="0_Veeco SFAS 142 &amp; 144 - Oct 2004 - v11_CardioSolutions 05 31 2007 Final Model 09 27 2007_CompanyABC Valuation Draft Model 04 21 2009 2" xfId="986" xr:uid="{00000000-0005-0000-0000-00005A040000}"/>
    <cellStyle name="0_Veeco SFAS 142 &amp; 144 - Oct 2004 - v11_CardioSolutions 05 31 2007 Final Model 09 27 2007_DB" xfId="987" xr:uid="{00000000-0005-0000-0000-00005B040000}"/>
    <cellStyle name="0_Veeco SFAS 142 &amp; 144 - Oct 2004 - v11_CardioSolutions 05 31 2007 Final Model 09 27 2007_DB 2" xfId="988" xr:uid="{00000000-0005-0000-0000-00005C040000}"/>
    <cellStyle name="0_Veeco SFAS 142 &amp; 144 - Oct 2004 - v11_CardioSolutions 05 31 2007 Final Model 09 27 2007_DB 2 2" xfId="989" xr:uid="{00000000-0005-0000-0000-00005D040000}"/>
    <cellStyle name="0_Veeco SFAS 142 &amp; 144 - Oct 2004 - v11_CardioSolutions 05 31 2007 Final Model 09 27 2007_FAS 157 Model Template 04 26 2009" xfId="990" xr:uid="{00000000-0005-0000-0000-00005E040000}"/>
    <cellStyle name="0_Veeco SFAS 142 &amp; 144 - Oct 2004 - v11_CardioSolutions 05 31 2007 Final Model 09 27 2007_FAS 157 Model Template 04 26 2009 2" xfId="991" xr:uid="{00000000-0005-0000-0000-00005F040000}"/>
    <cellStyle name="0_Veeco SFAS 142 &amp; 144 - Oct 2004 - v11_CardioSolutions 05 31 2007 Final Model 09 27 2007_Miragen VD 05 31 2008 Model 05 22 2009" xfId="992" xr:uid="{00000000-0005-0000-0000-000060040000}"/>
    <cellStyle name="000" xfId="993" xr:uid="{00000000-0005-0000-0000-000061040000}"/>
    <cellStyle name="000 MF" xfId="994" xr:uid="{00000000-0005-0000-0000-000062040000}"/>
    <cellStyle name="000,0" xfId="995" xr:uid="{00000000-0005-0000-0000-000063040000}"/>
    <cellStyle name="000_Halloween version SPV" xfId="996" xr:uid="{00000000-0005-0000-0000-000064040000}"/>
    <cellStyle name="0000" xfId="997" xr:uid="{00000000-0005-0000-0000-000065040000}"/>
    <cellStyle name="000000" xfId="998" xr:uid="{00000000-0005-0000-0000-000066040000}"/>
    <cellStyle name="1,comma" xfId="999" xr:uid="{00000000-0005-0000-0000-000067040000}"/>
    <cellStyle name="1.0 TITLE" xfId="16339" xr:uid="{00000000-0005-0000-0000-000068040000}"/>
    <cellStyle name="1.1 TITLE" xfId="16340" xr:uid="{00000000-0005-0000-0000-000069040000}"/>
    <cellStyle name="1000s1Place" xfId="1000" xr:uid="{00000000-0005-0000-0000-00006A040000}"/>
    <cellStyle name="18.xls]Mgmt" xfId="16341" xr:uid="{00000000-0005-0000-0000-00006B040000}"/>
    <cellStyle name="1Decimal" xfId="1001" xr:uid="{00000000-0005-0000-0000-00006C040000}"/>
    <cellStyle name="1Decimal 2" xfId="1002" xr:uid="{00000000-0005-0000-0000-00006D040000}"/>
    <cellStyle name="1Decimal 2 2" xfId="1003" xr:uid="{00000000-0005-0000-0000-00006E040000}"/>
    <cellStyle name="1Decimal 3" xfId="1004" xr:uid="{00000000-0005-0000-0000-00006F040000}"/>
    <cellStyle name="1Decimal 4" xfId="1005" xr:uid="{00000000-0005-0000-0000-000070040000}"/>
    <cellStyle name="1Decimal 5" xfId="1006" xr:uid="{00000000-0005-0000-0000-000071040000}"/>
    <cellStyle name="¹éºÐÀ²_±âÅ¸" xfId="16342" xr:uid="{00000000-0005-0000-0000-000072040000}"/>
    <cellStyle name="1MMs1Place" xfId="1007" xr:uid="{00000000-0005-0000-0000-000073040000}"/>
    <cellStyle name="1MMs2Places" xfId="1008" xr:uid="{00000000-0005-0000-0000-000074040000}"/>
    <cellStyle name="1Normal" xfId="16343" xr:uid="{00000000-0005-0000-0000-000075040000}"/>
    <cellStyle name="1place" xfId="1009" xr:uid="{00000000-0005-0000-0000-000076040000}"/>
    <cellStyle name="2" xfId="16344" xr:uid="{00000000-0005-0000-0000-000077040000}"/>
    <cellStyle name="2 Decimal Places" xfId="16345" xr:uid="{00000000-0005-0000-0000-000078040000}"/>
    <cellStyle name="20% - Accent1 10" xfId="1010" xr:uid="{00000000-0005-0000-0000-000079040000}"/>
    <cellStyle name="20% - Accent1 10 10" xfId="16391" xr:uid="{00000000-0005-0000-0000-00007A040000}"/>
    <cellStyle name="20% - Accent1 10 2" xfId="1011" xr:uid="{00000000-0005-0000-0000-00007B040000}"/>
    <cellStyle name="20% - Accent1 10 2 2" xfId="1012" xr:uid="{00000000-0005-0000-0000-00007C040000}"/>
    <cellStyle name="20% - Accent1 10 2 2 2" xfId="1013" xr:uid="{00000000-0005-0000-0000-00007D040000}"/>
    <cellStyle name="20% - Accent1 10 2 2 2 2" xfId="12443" xr:uid="{00000000-0005-0000-0000-00007E040000}"/>
    <cellStyle name="20% - Accent1 10 2 2 2 3" xfId="16394" xr:uid="{00000000-0005-0000-0000-00007F040000}"/>
    <cellStyle name="20% - Accent1 10 2 2 3" xfId="1014" xr:uid="{00000000-0005-0000-0000-000080040000}"/>
    <cellStyle name="20% - Accent1 10 2 2 3 2" xfId="12444" xr:uid="{00000000-0005-0000-0000-000081040000}"/>
    <cellStyle name="20% - Accent1 10 2 2 3 3" xfId="16395" xr:uid="{00000000-0005-0000-0000-000082040000}"/>
    <cellStyle name="20% - Accent1 10 2 2 4" xfId="12442" xr:uid="{00000000-0005-0000-0000-000083040000}"/>
    <cellStyle name="20% - Accent1 10 2 2 5" xfId="16393" xr:uid="{00000000-0005-0000-0000-000084040000}"/>
    <cellStyle name="20% - Accent1 10 2 3" xfId="1015" xr:uid="{00000000-0005-0000-0000-000085040000}"/>
    <cellStyle name="20% - Accent1 10 2 3 2" xfId="1016" xr:uid="{00000000-0005-0000-0000-000086040000}"/>
    <cellStyle name="20% - Accent1 10 2 3 2 2" xfId="12446" xr:uid="{00000000-0005-0000-0000-000087040000}"/>
    <cellStyle name="20% - Accent1 10 2 3 2 3" xfId="16397" xr:uid="{00000000-0005-0000-0000-000088040000}"/>
    <cellStyle name="20% - Accent1 10 2 3 3" xfId="1017" xr:uid="{00000000-0005-0000-0000-000089040000}"/>
    <cellStyle name="20% - Accent1 10 2 3 3 2" xfId="12447" xr:uid="{00000000-0005-0000-0000-00008A040000}"/>
    <cellStyle name="20% - Accent1 10 2 3 3 3" xfId="16398" xr:uid="{00000000-0005-0000-0000-00008B040000}"/>
    <cellStyle name="20% - Accent1 10 2 3 4" xfId="12445" xr:uid="{00000000-0005-0000-0000-00008C040000}"/>
    <cellStyle name="20% - Accent1 10 2 3 5" xfId="16396" xr:uid="{00000000-0005-0000-0000-00008D040000}"/>
    <cellStyle name="20% - Accent1 10 2 4" xfId="1018" xr:uid="{00000000-0005-0000-0000-00008E040000}"/>
    <cellStyle name="20% - Accent1 10 2 4 2" xfId="1019" xr:uid="{00000000-0005-0000-0000-00008F040000}"/>
    <cellStyle name="20% - Accent1 10 2 4 2 2" xfId="12449" xr:uid="{00000000-0005-0000-0000-000090040000}"/>
    <cellStyle name="20% - Accent1 10 2 4 2 3" xfId="16400" xr:uid="{00000000-0005-0000-0000-000091040000}"/>
    <cellStyle name="20% - Accent1 10 2 4 3" xfId="1020" xr:uid="{00000000-0005-0000-0000-000092040000}"/>
    <cellStyle name="20% - Accent1 10 2 4 3 2" xfId="12450" xr:uid="{00000000-0005-0000-0000-000093040000}"/>
    <cellStyle name="20% - Accent1 10 2 4 3 3" xfId="16401" xr:uid="{00000000-0005-0000-0000-000094040000}"/>
    <cellStyle name="20% - Accent1 10 2 4 4" xfId="12448" xr:uid="{00000000-0005-0000-0000-000095040000}"/>
    <cellStyle name="20% - Accent1 10 2 4 5" xfId="16399" xr:uid="{00000000-0005-0000-0000-000096040000}"/>
    <cellStyle name="20% - Accent1 10 2 5" xfId="1021" xr:uid="{00000000-0005-0000-0000-000097040000}"/>
    <cellStyle name="20% - Accent1 10 2 5 2" xfId="12451" xr:uid="{00000000-0005-0000-0000-000098040000}"/>
    <cellStyle name="20% - Accent1 10 2 5 3" xfId="16402" xr:uid="{00000000-0005-0000-0000-000099040000}"/>
    <cellStyle name="20% - Accent1 10 2 6" xfId="1022" xr:uid="{00000000-0005-0000-0000-00009A040000}"/>
    <cellStyle name="20% - Accent1 10 2 6 2" xfId="12452" xr:uid="{00000000-0005-0000-0000-00009B040000}"/>
    <cellStyle name="20% - Accent1 10 2 6 3" xfId="16403" xr:uid="{00000000-0005-0000-0000-00009C040000}"/>
    <cellStyle name="20% - Accent1 10 2 7" xfId="12441" xr:uid="{00000000-0005-0000-0000-00009D040000}"/>
    <cellStyle name="20% - Accent1 10 2 8" xfId="16392" xr:uid="{00000000-0005-0000-0000-00009E040000}"/>
    <cellStyle name="20% - Accent1 10 2_Volatility" xfId="1023" xr:uid="{00000000-0005-0000-0000-00009F040000}"/>
    <cellStyle name="20% - Accent1 10 3" xfId="1024" xr:uid="{00000000-0005-0000-0000-0000A0040000}"/>
    <cellStyle name="20% - Accent1 10 3 2" xfId="1025" xr:uid="{00000000-0005-0000-0000-0000A1040000}"/>
    <cellStyle name="20% - Accent1 10 3 2 2" xfId="1026" xr:uid="{00000000-0005-0000-0000-0000A2040000}"/>
    <cellStyle name="20% - Accent1 10 3 2 2 2" xfId="12455" xr:uid="{00000000-0005-0000-0000-0000A3040000}"/>
    <cellStyle name="20% - Accent1 10 3 2 2 3" xfId="16406" xr:uid="{00000000-0005-0000-0000-0000A4040000}"/>
    <cellStyle name="20% - Accent1 10 3 2 3" xfId="1027" xr:uid="{00000000-0005-0000-0000-0000A5040000}"/>
    <cellStyle name="20% - Accent1 10 3 2 3 2" xfId="12456" xr:uid="{00000000-0005-0000-0000-0000A6040000}"/>
    <cellStyle name="20% - Accent1 10 3 2 3 3" xfId="16407" xr:uid="{00000000-0005-0000-0000-0000A7040000}"/>
    <cellStyle name="20% - Accent1 10 3 2 4" xfId="12454" xr:uid="{00000000-0005-0000-0000-0000A8040000}"/>
    <cellStyle name="20% - Accent1 10 3 2 5" xfId="16405" xr:uid="{00000000-0005-0000-0000-0000A9040000}"/>
    <cellStyle name="20% - Accent1 10 3 3" xfId="1028" xr:uid="{00000000-0005-0000-0000-0000AA040000}"/>
    <cellStyle name="20% - Accent1 10 3 3 2" xfId="1029" xr:uid="{00000000-0005-0000-0000-0000AB040000}"/>
    <cellStyle name="20% - Accent1 10 3 3 2 2" xfId="12458" xr:uid="{00000000-0005-0000-0000-0000AC040000}"/>
    <cellStyle name="20% - Accent1 10 3 3 2 3" xfId="16409" xr:uid="{00000000-0005-0000-0000-0000AD040000}"/>
    <cellStyle name="20% - Accent1 10 3 3 3" xfId="1030" xr:uid="{00000000-0005-0000-0000-0000AE040000}"/>
    <cellStyle name="20% - Accent1 10 3 3 3 2" xfId="12459" xr:uid="{00000000-0005-0000-0000-0000AF040000}"/>
    <cellStyle name="20% - Accent1 10 3 3 3 3" xfId="16410" xr:uid="{00000000-0005-0000-0000-0000B0040000}"/>
    <cellStyle name="20% - Accent1 10 3 3 4" xfId="12457" xr:uid="{00000000-0005-0000-0000-0000B1040000}"/>
    <cellStyle name="20% - Accent1 10 3 3 5" xfId="16408" xr:uid="{00000000-0005-0000-0000-0000B2040000}"/>
    <cellStyle name="20% - Accent1 10 3 4" xfId="1031" xr:uid="{00000000-0005-0000-0000-0000B3040000}"/>
    <cellStyle name="20% - Accent1 10 3 4 2" xfId="12460" xr:uid="{00000000-0005-0000-0000-0000B4040000}"/>
    <cellStyle name="20% - Accent1 10 3 4 3" xfId="16411" xr:uid="{00000000-0005-0000-0000-0000B5040000}"/>
    <cellStyle name="20% - Accent1 10 3 5" xfId="1032" xr:uid="{00000000-0005-0000-0000-0000B6040000}"/>
    <cellStyle name="20% - Accent1 10 3 5 2" xfId="12461" xr:uid="{00000000-0005-0000-0000-0000B7040000}"/>
    <cellStyle name="20% - Accent1 10 3 5 3" xfId="16412" xr:uid="{00000000-0005-0000-0000-0000B8040000}"/>
    <cellStyle name="20% - Accent1 10 3 6" xfId="12453" xr:uid="{00000000-0005-0000-0000-0000B9040000}"/>
    <cellStyle name="20% - Accent1 10 3 7" xfId="16404" xr:uid="{00000000-0005-0000-0000-0000BA040000}"/>
    <cellStyle name="20% - Accent1 10 3_Volatility" xfId="1033" xr:uid="{00000000-0005-0000-0000-0000BB040000}"/>
    <cellStyle name="20% - Accent1 10 4" xfId="1034" xr:uid="{00000000-0005-0000-0000-0000BC040000}"/>
    <cellStyle name="20% - Accent1 10 4 2" xfId="1035" xr:uid="{00000000-0005-0000-0000-0000BD040000}"/>
    <cellStyle name="20% - Accent1 10 4 2 2" xfId="12463" xr:uid="{00000000-0005-0000-0000-0000BE040000}"/>
    <cellStyle name="20% - Accent1 10 4 2 3" xfId="16414" xr:uid="{00000000-0005-0000-0000-0000BF040000}"/>
    <cellStyle name="20% - Accent1 10 4 3" xfId="1036" xr:uid="{00000000-0005-0000-0000-0000C0040000}"/>
    <cellStyle name="20% - Accent1 10 4 3 2" xfId="12464" xr:uid="{00000000-0005-0000-0000-0000C1040000}"/>
    <cellStyle name="20% - Accent1 10 4 3 3" xfId="16415" xr:uid="{00000000-0005-0000-0000-0000C2040000}"/>
    <cellStyle name="20% - Accent1 10 4 4" xfId="12462" xr:uid="{00000000-0005-0000-0000-0000C3040000}"/>
    <cellStyle name="20% - Accent1 10 4 5" xfId="16413" xr:uid="{00000000-0005-0000-0000-0000C4040000}"/>
    <cellStyle name="20% - Accent1 10 5" xfId="1037" xr:uid="{00000000-0005-0000-0000-0000C5040000}"/>
    <cellStyle name="20% - Accent1 10 5 2" xfId="1038" xr:uid="{00000000-0005-0000-0000-0000C6040000}"/>
    <cellStyle name="20% - Accent1 10 5 2 2" xfId="12466" xr:uid="{00000000-0005-0000-0000-0000C7040000}"/>
    <cellStyle name="20% - Accent1 10 5 2 3" xfId="16417" xr:uid="{00000000-0005-0000-0000-0000C8040000}"/>
    <cellStyle name="20% - Accent1 10 5 3" xfId="1039" xr:uid="{00000000-0005-0000-0000-0000C9040000}"/>
    <cellStyle name="20% - Accent1 10 5 3 2" xfId="12467" xr:uid="{00000000-0005-0000-0000-0000CA040000}"/>
    <cellStyle name="20% - Accent1 10 5 3 3" xfId="16418" xr:uid="{00000000-0005-0000-0000-0000CB040000}"/>
    <cellStyle name="20% - Accent1 10 5 4" xfId="12465" xr:uid="{00000000-0005-0000-0000-0000CC040000}"/>
    <cellStyle name="20% - Accent1 10 5 5" xfId="16416" xr:uid="{00000000-0005-0000-0000-0000CD040000}"/>
    <cellStyle name="20% - Accent1 10 6" xfId="1040" xr:uid="{00000000-0005-0000-0000-0000CE040000}"/>
    <cellStyle name="20% - Accent1 10 6 2" xfId="1041" xr:uid="{00000000-0005-0000-0000-0000CF040000}"/>
    <cellStyle name="20% - Accent1 10 6 2 2" xfId="12469" xr:uid="{00000000-0005-0000-0000-0000D0040000}"/>
    <cellStyle name="20% - Accent1 10 6 2 3" xfId="16420" xr:uid="{00000000-0005-0000-0000-0000D1040000}"/>
    <cellStyle name="20% - Accent1 10 6 3" xfId="1042" xr:uid="{00000000-0005-0000-0000-0000D2040000}"/>
    <cellStyle name="20% - Accent1 10 6 3 2" xfId="12470" xr:uid="{00000000-0005-0000-0000-0000D3040000}"/>
    <cellStyle name="20% - Accent1 10 6 3 3" xfId="16421" xr:uid="{00000000-0005-0000-0000-0000D4040000}"/>
    <cellStyle name="20% - Accent1 10 6 4" xfId="12468" xr:uid="{00000000-0005-0000-0000-0000D5040000}"/>
    <cellStyle name="20% - Accent1 10 6 5" xfId="16419" xr:uid="{00000000-0005-0000-0000-0000D6040000}"/>
    <cellStyle name="20% - Accent1 10 7" xfId="1043" xr:uid="{00000000-0005-0000-0000-0000D7040000}"/>
    <cellStyle name="20% - Accent1 10 7 2" xfId="12471" xr:uid="{00000000-0005-0000-0000-0000D8040000}"/>
    <cellStyle name="20% - Accent1 10 7 3" xfId="16422" xr:uid="{00000000-0005-0000-0000-0000D9040000}"/>
    <cellStyle name="20% - Accent1 10 8" xfId="1044" xr:uid="{00000000-0005-0000-0000-0000DA040000}"/>
    <cellStyle name="20% - Accent1 10 8 2" xfId="12472" xr:uid="{00000000-0005-0000-0000-0000DB040000}"/>
    <cellStyle name="20% - Accent1 10 8 3" xfId="16423" xr:uid="{00000000-0005-0000-0000-0000DC040000}"/>
    <cellStyle name="20% - Accent1 10 9" xfId="12440" xr:uid="{00000000-0005-0000-0000-0000DD040000}"/>
    <cellStyle name="20% - Accent1 10_Volatility" xfId="1045" xr:uid="{00000000-0005-0000-0000-0000DE040000}"/>
    <cellStyle name="20% - Accent1 11" xfId="1046" xr:uid="{00000000-0005-0000-0000-0000DF040000}"/>
    <cellStyle name="20% - Accent1 11 10" xfId="16424" xr:uid="{00000000-0005-0000-0000-0000E0040000}"/>
    <cellStyle name="20% - Accent1 11 2" xfId="1047" xr:uid="{00000000-0005-0000-0000-0000E1040000}"/>
    <cellStyle name="20% - Accent1 11 2 2" xfId="1048" xr:uid="{00000000-0005-0000-0000-0000E2040000}"/>
    <cellStyle name="20% - Accent1 11 2 2 2" xfId="1049" xr:uid="{00000000-0005-0000-0000-0000E3040000}"/>
    <cellStyle name="20% - Accent1 11 2 2 2 2" xfId="12476" xr:uid="{00000000-0005-0000-0000-0000E4040000}"/>
    <cellStyle name="20% - Accent1 11 2 2 2 3" xfId="16427" xr:uid="{00000000-0005-0000-0000-0000E5040000}"/>
    <cellStyle name="20% - Accent1 11 2 2 3" xfId="1050" xr:uid="{00000000-0005-0000-0000-0000E6040000}"/>
    <cellStyle name="20% - Accent1 11 2 2 3 2" xfId="12477" xr:uid="{00000000-0005-0000-0000-0000E7040000}"/>
    <cellStyle name="20% - Accent1 11 2 2 3 3" xfId="16428" xr:uid="{00000000-0005-0000-0000-0000E8040000}"/>
    <cellStyle name="20% - Accent1 11 2 2 4" xfId="12475" xr:uid="{00000000-0005-0000-0000-0000E9040000}"/>
    <cellStyle name="20% - Accent1 11 2 2 5" xfId="16426" xr:uid="{00000000-0005-0000-0000-0000EA040000}"/>
    <cellStyle name="20% - Accent1 11 2 3" xfId="1051" xr:uid="{00000000-0005-0000-0000-0000EB040000}"/>
    <cellStyle name="20% - Accent1 11 2 3 2" xfId="1052" xr:uid="{00000000-0005-0000-0000-0000EC040000}"/>
    <cellStyle name="20% - Accent1 11 2 3 2 2" xfId="12479" xr:uid="{00000000-0005-0000-0000-0000ED040000}"/>
    <cellStyle name="20% - Accent1 11 2 3 2 3" xfId="16430" xr:uid="{00000000-0005-0000-0000-0000EE040000}"/>
    <cellStyle name="20% - Accent1 11 2 3 3" xfId="1053" xr:uid="{00000000-0005-0000-0000-0000EF040000}"/>
    <cellStyle name="20% - Accent1 11 2 3 3 2" xfId="12480" xr:uid="{00000000-0005-0000-0000-0000F0040000}"/>
    <cellStyle name="20% - Accent1 11 2 3 3 3" xfId="16431" xr:uid="{00000000-0005-0000-0000-0000F1040000}"/>
    <cellStyle name="20% - Accent1 11 2 3 4" xfId="12478" xr:uid="{00000000-0005-0000-0000-0000F2040000}"/>
    <cellStyle name="20% - Accent1 11 2 3 5" xfId="16429" xr:uid="{00000000-0005-0000-0000-0000F3040000}"/>
    <cellStyle name="20% - Accent1 11 2 4" xfId="1054" xr:uid="{00000000-0005-0000-0000-0000F4040000}"/>
    <cellStyle name="20% - Accent1 11 2 4 2" xfId="1055" xr:uid="{00000000-0005-0000-0000-0000F5040000}"/>
    <cellStyle name="20% - Accent1 11 2 4 2 2" xfId="12482" xr:uid="{00000000-0005-0000-0000-0000F6040000}"/>
    <cellStyle name="20% - Accent1 11 2 4 2 3" xfId="16433" xr:uid="{00000000-0005-0000-0000-0000F7040000}"/>
    <cellStyle name="20% - Accent1 11 2 4 3" xfId="1056" xr:uid="{00000000-0005-0000-0000-0000F8040000}"/>
    <cellStyle name="20% - Accent1 11 2 4 3 2" xfId="12483" xr:uid="{00000000-0005-0000-0000-0000F9040000}"/>
    <cellStyle name="20% - Accent1 11 2 4 3 3" xfId="16434" xr:uid="{00000000-0005-0000-0000-0000FA040000}"/>
    <cellStyle name="20% - Accent1 11 2 4 4" xfId="12481" xr:uid="{00000000-0005-0000-0000-0000FB040000}"/>
    <cellStyle name="20% - Accent1 11 2 4 5" xfId="16432" xr:uid="{00000000-0005-0000-0000-0000FC040000}"/>
    <cellStyle name="20% - Accent1 11 2 5" xfId="1057" xr:uid="{00000000-0005-0000-0000-0000FD040000}"/>
    <cellStyle name="20% - Accent1 11 2 5 2" xfId="12484" xr:uid="{00000000-0005-0000-0000-0000FE040000}"/>
    <cellStyle name="20% - Accent1 11 2 5 3" xfId="16435" xr:uid="{00000000-0005-0000-0000-0000FF040000}"/>
    <cellStyle name="20% - Accent1 11 2 6" xfId="1058" xr:uid="{00000000-0005-0000-0000-000000050000}"/>
    <cellStyle name="20% - Accent1 11 2 6 2" xfId="12485" xr:uid="{00000000-0005-0000-0000-000001050000}"/>
    <cellStyle name="20% - Accent1 11 2 6 3" xfId="16436" xr:uid="{00000000-0005-0000-0000-000002050000}"/>
    <cellStyle name="20% - Accent1 11 2 7" xfId="12474" xr:uid="{00000000-0005-0000-0000-000003050000}"/>
    <cellStyle name="20% - Accent1 11 2 8" xfId="16425" xr:uid="{00000000-0005-0000-0000-000004050000}"/>
    <cellStyle name="20% - Accent1 11 2_Volatility" xfId="1059" xr:uid="{00000000-0005-0000-0000-000005050000}"/>
    <cellStyle name="20% - Accent1 11 3" xfId="1060" xr:uid="{00000000-0005-0000-0000-000006050000}"/>
    <cellStyle name="20% - Accent1 11 3 2" xfId="1061" xr:uid="{00000000-0005-0000-0000-000007050000}"/>
    <cellStyle name="20% - Accent1 11 3 2 2" xfId="1062" xr:uid="{00000000-0005-0000-0000-000008050000}"/>
    <cellStyle name="20% - Accent1 11 3 2 2 2" xfId="12488" xr:uid="{00000000-0005-0000-0000-000009050000}"/>
    <cellStyle name="20% - Accent1 11 3 2 2 3" xfId="16439" xr:uid="{00000000-0005-0000-0000-00000A050000}"/>
    <cellStyle name="20% - Accent1 11 3 2 3" xfId="1063" xr:uid="{00000000-0005-0000-0000-00000B050000}"/>
    <cellStyle name="20% - Accent1 11 3 2 3 2" xfId="12489" xr:uid="{00000000-0005-0000-0000-00000C050000}"/>
    <cellStyle name="20% - Accent1 11 3 2 3 3" xfId="16440" xr:uid="{00000000-0005-0000-0000-00000D050000}"/>
    <cellStyle name="20% - Accent1 11 3 2 4" xfId="12487" xr:uid="{00000000-0005-0000-0000-00000E050000}"/>
    <cellStyle name="20% - Accent1 11 3 2 5" xfId="16438" xr:uid="{00000000-0005-0000-0000-00000F050000}"/>
    <cellStyle name="20% - Accent1 11 3 3" xfId="1064" xr:uid="{00000000-0005-0000-0000-000010050000}"/>
    <cellStyle name="20% - Accent1 11 3 3 2" xfId="1065" xr:uid="{00000000-0005-0000-0000-000011050000}"/>
    <cellStyle name="20% - Accent1 11 3 3 2 2" xfId="12491" xr:uid="{00000000-0005-0000-0000-000012050000}"/>
    <cellStyle name="20% - Accent1 11 3 3 2 3" xfId="16442" xr:uid="{00000000-0005-0000-0000-000013050000}"/>
    <cellStyle name="20% - Accent1 11 3 3 3" xfId="1066" xr:uid="{00000000-0005-0000-0000-000014050000}"/>
    <cellStyle name="20% - Accent1 11 3 3 3 2" xfId="12492" xr:uid="{00000000-0005-0000-0000-000015050000}"/>
    <cellStyle name="20% - Accent1 11 3 3 3 3" xfId="16443" xr:uid="{00000000-0005-0000-0000-000016050000}"/>
    <cellStyle name="20% - Accent1 11 3 3 4" xfId="12490" xr:uid="{00000000-0005-0000-0000-000017050000}"/>
    <cellStyle name="20% - Accent1 11 3 3 5" xfId="16441" xr:uid="{00000000-0005-0000-0000-000018050000}"/>
    <cellStyle name="20% - Accent1 11 3 4" xfId="1067" xr:uid="{00000000-0005-0000-0000-000019050000}"/>
    <cellStyle name="20% - Accent1 11 3 4 2" xfId="12493" xr:uid="{00000000-0005-0000-0000-00001A050000}"/>
    <cellStyle name="20% - Accent1 11 3 4 3" xfId="16444" xr:uid="{00000000-0005-0000-0000-00001B050000}"/>
    <cellStyle name="20% - Accent1 11 3 5" xfId="1068" xr:uid="{00000000-0005-0000-0000-00001C050000}"/>
    <cellStyle name="20% - Accent1 11 3 5 2" xfId="12494" xr:uid="{00000000-0005-0000-0000-00001D050000}"/>
    <cellStyle name="20% - Accent1 11 3 5 3" xfId="16445" xr:uid="{00000000-0005-0000-0000-00001E050000}"/>
    <cellStyle name="20% - Accent1 11 3 6" xfId="12486" xr:uid="{00000000-0005-0000-0000-00001F050000}"/>
    <cellStyle name="20% - Accent1 11 3 7" xfId="16437" xr:uid="{00000000-0005-0000-0000-000020050000}"/>
    <cellStyle name="20% - Accent1 11 3_Volatility" xfId="1069" xr:uid="{00000000-0005-0000-0000-000021050000}"/>
    <cellStyle name="20% - Accent1 11 4" xfId="1070" xr:uid="{00000000-0005-0000-0000-000022050000}"/>
    <cellStyle name="20% - Accent1 11 4 2" xfId="1071" xr:uid="{00000000-0005-0000-0000-000023050000}"/>
    <cellStyle name="20% - Accent1 11 4 2 2" xfId="12496" xr:uid="{00000000-0005-0000-0000-000024050000}"/>
    <cellStyle name="20% - Accent1 11 4 2 3" xfId="16447" xr:uid="{00000000-0005-0000-0000-000025050000}"/>
    <cellStyle name="20% - Accent1 11 4 3" xfId="1072" xr:uid="{00000000-0005-0000-0000-000026050000}"/>
    <cellStyle name="20% - Accent1 11 4 3 2" xfId="12497" xr:uid="{00000000-0005-0000-0000-000027050000}"/>
    <cellStyle name="20% - Accent1 11 4 3 3" xfId="16448" xr:uid="{00000000-0005-0000-0000-000028050000}"/>
    <cellStyle name="20% - Accent1 11 4 4" xfId="12495" xr:uid="{00000000-0005-0000-0000-000029050000}"/>
    <cellStyle name="20% - Accent1 11 4 5" xfId="16446" xr:uid="{00000000-0005-0000-0000-00002A050000}"/>
    <cellStyle name="20% - Accent1 11 5" xfId="1073" xr:uid="{00000000-0005-0000-0000-00002B050000}"/>
    <cellStyle name="20% - Accent1 11 5 2" xfId="1074" xr:uid="{00000000-0005-0000-0000-00002C050000}"/>
    <cellStyle name="20% - Accent1 11 5 2 2" xfId="12499" xr:uid="{00000000-0005-0000-0000-00002D050000}"/>
    <cellStyle name="20% - Accent1 11 5 2 3" xfId="16450" xr:uid="{00000000-0005-0000-0000-00002E050000}"/>
    <cellStyle name="20% - Accent1 11 5 3" xfId="1075" xr:uid="{00000000-0005-0000-0000-00002F050000}"/>
    <cellStyle name="20% - Accent1 11 5 3 2" xfId="12500" xr:uid="{00000000-0005-0000-0000-000030050000}"/>
    <cellStyle name="20% - Accent1 11 5 3 3" xfId="16451" xr:uid="{00000000-0005-0000-0000-000031050000}"/>
    <cellStyle name="20% - Accent1 11 5 4" xfId="12498" xr:uid="{00000000-0005-0000-0000-000032050000}"/>
    <cellStyle name="20% - Accent1 11 5 5" xfId="16449" xr:uid="{00000000-0005-0000-0000-000033050000}"/>
    <cellStyle name="20% - Accent1 11 6" xfId="1076" xr:uid="{00000000-0005-0000-0000-000034050000}"/>
    <cellStyle name="20% - Accent1 11 6 2" xfId="1077" xr:uid="{00000000-0005-0000-0000-000035050000}"/>
    <cellStyle name="20% - Accent1 11 6 2 2" xfId="12502" xr:uid="{00000000-0005-0000-0000-000036050000}"/>
    <cellStyle name="20% - Accent1 11 6 2 3" xfId="16453" xr:uid="{00000000-0005-0000-0000-000037050000}"/>
    <cellStyle name="20% - Accent1 11 6 3" xfId="1078" xr:uid="{00000000-0005-0000-0000-000038050000}"/>
    <cellStyle name="20% - Accent1 11 6 3 2" xfId="12503" xr:uid="{00000000-0005-0000-0000-000039050000}"/>
    <cellStyle name="20% - Accent1 11 6 3 3" xfId="16454" xr:uid="{00000000-0005-0000-0000-00003A050000}"/>
    <cellStyle name="20% - Accent1 11 6 4" xfId="12501" xr:uid="{00000000-0005-0000-0000-00003B050000}"/>
    <cellStyle name="20% - Accent1 11 6 5" xfId="16452" xr:uid="{00000000-0005-0000-0000-00003C050000}"/>
    <cellStyle name="20% - Accent1 11 7" xfId="1079" xr:uid="{00000000-0005-0000-0000-00003D050000}"/>
    <cellStyle name="20% - Accent1 11 7 2" xfId="12504" xr:uid="{00000000-0005-0000-0000-00003E050000}"/>
    <cellStyle name="20% - Accent1 11 7 3" xfId="16455" xr:uid="{00000000-0005-0000-0000-00003F050000}"/>
    <cellStyle name="20% - Accent1 11 8" xfId="1080" xr:uid="{00000000-0005-0000-0000-000040050000}"/>
    <cellStyle name="20% - Accent1 11 8 2" xfId="12505" xr:uid="{00000000-0005-0000-0000-000041050000}"/>
    <cellStyle name="20% - Accent1 11 8 3" xfId="16456" xr:uid="{00000000-0005-0000-0000-000042050000}"/>
    <cellStyle name="20% - Accent1 11 9" xfId="12473" xr:uid="{00000000-0005-0000-0000-000043050000}"/>
    <cellStyle name="20% - Accent1 11_Volatility" xfId="1081" xr:uid="{00000000-0005-0000-0000-000044050000}"/>
    <cellStyle name="20% - Accent1 12" xfId="1082" xr:uid="{00000000-0005-0000-0000-000045050000}"/>
    <cellStyle name="20% - Accent1 12 10" xfId="16457" xr:uid="{00000000-0005-0000-0000-000046050000}"/>
    <cellStyle name="20% - Accent1 12 2" xfId="1083" xr:uid="{00000000-0005-0000-0000-000047050000}"/>
    <cellStyle name="20% - Accent1 12 2 2" xfId="1084" xr:uid="{00000000-0005-0000-0000-000048050000}"/>
    <cellStyle name="20% - Accent1 12 2 2 2" xfId="1085" xr:uid="{00000000-0005-0000-0000-000049050000}"/>
    <cellStyle name="20% - Accent1 12 2 2 2 2" xfId="12509" xr:uid="{00000000-0005-0000-0000-00004A050000}"/>
    <cellStyle name="20% - Accent1 12 2 2 2 3" xfId="16460" xr:uid="{00000000-0005-0000-0000-00004B050000}"/>
    <cellStyle name="20% - Accent1 12 2 2 3" xfId="1086" xr:uid="{00000000-0005-0000-0000-00004C050000}"/>
    <cellStyle name="20% - Accent1 12 2 2 3 2" xfId="12510" xr:uid="{00000000-0005-0000-0000-00004D050000}"/>
    <cellStyle name="20% - Accent1 12 2 2 3 3" xfId="16461" xr:uid="{00000000-0005-0000-0000-00004E050000}"/>
    <cellStyle name="20% - Accent1 12 2 2 4" xfId="12508" xr:uid="{00000000-0005-0000-0000-00004F050000}"/>
    <cellStyle name="20% - Accent1 12 2 2 5" xfId="16459" xr:uid="{00000000-0005-0000-0000-000050050000}"/>
    <cellStyle name="20% - Accent1 12 2 3" xfId="1087" xr:uid="{00000000-0005-0000-0000-000051050000}"/>
    <cellStyle name="20% - Accent1 12 2 3 2" xfId="1088" xr:uid="{00000000-0005-0000-0000-000052050000}"/>
    <cellStyle name="20% - Accent1 12 2 3 2 2" xfId="12512" xr:uid="{00000000-0005-0000-0000-000053050000}"/>
    <cellStyle name="20% - Accent1 12 2 3 2 3" xfId="16463" xr:uid="{00000000-0005-0000-0000-000054050000}"/>
    <cellStyle name="20% - Accent1 12 2 3 3" xfId="1089" xr:uid="{00000000-0005-0000-0000-000055050000}"/>
    <cellStyle name="20% - Accent1 12 2 3 3 2" xfId="12513" xr:uid="{00000000-0005-0000-0000-000056050000}"/>
    <cellStyle name="20% - Accent1 12 2 3 3 3" xfId="16464" xr:uid="{00000000-0005-0000-0000-000057050000}"/>
    <cellStyle name="20% - Accent1 12 2 3 4" xfId="12511" xr:uid="{00000000-0005-0000-0000-000058050000}"/>
    <cellStyle name="20% - Accent1 12 2 3 5" xfId="16462" xr:uid="{00000000-0005-0000-0000-000059050000}"/>
    <cellStyle name="20% - Accent1 12 2 4" xfId="1090" xr:uid="{00000000-0005-0000-0000-00005A050000}"/>
    <cellStyle name="20% - Accent1 12 2 4 2" xfId="1091" xr:uid="{00000000-0005-0000-0000-00005B050000}"/>
    <cellStyle name="20% - Accent1 12 2 4 2 2" xfId="12515" xr:uid="{00000000-0005-0000-0000-00005C050000}"/>
    <cellStyle name="20% - Accent1 12 2 4 2 3" xfId="16466" xr:uid="{00000000-0005-0000-0000-00005D050000}"/>
    <cellStyle name="20% - Accent1 12 2 4 3" xfId="1092" xr:uid="{00000000-0005-0000-0000-00005E050000}"/>
    <cellStyle name="20% - Accent1 12 2 4 3 2" xfId="12516" xr:uid="{00000000-0005-0000-0000-00005F050000}"/>
    <cellStyle name="20% - Accent1 12 2 4 3 3" xfId="16467" xr:uid="{00000000-0005-0000-0000-000060050000}"/>
    <cellStyle name="20% - Accent1 12 2 4 4" xfId="12514" xr:uid="{00000000-0005-0000-0000-000061050000}"/>
    <cellStyle name="20% - Accent1 12 2 4 5" xfId="16465" xr:uid="{00000000-0005-0000-0000-000062050000}"/>
    <cellStyle name="20% - Accent1 12 2 5" xfId="1093" xr:uid="{00000000-0005-0000-0000-000063050000}"/>
    <cellStyle name="20% - Accent1 12 2 5 2" xfId="12517" xr:uid="{00000000-0005-0000-0000-000064050000}"/>
    <cellStyle name="20% - Accent1 12 2 5 3" xfId="16468" xr:uid="{00000000-0005-0000-0000-000065050000}"/>
    <cellStyle name="20% - Accent1 12 2 6" xfId="1094" xr:uid="{00000000-0005-0000-0000-000066050000}"/>
    <cellStyle name="20% - Accent1 12 2 6 2" xfId="12518" xr:uid="{00000000-0005-0000-0000-000067050000}"/>
    <cellStyle name="20% - Accent1 12 2 6 3" xfId="16469" xr:uid="{00000000-0005-0000-0000-000068050000}"/>
    <cellStyle name="20% - Accent1 12 2 7" xfId="12507" xr:uid="{00000000-0005-0000-0000-000069050000}"/>
    <cellStyle name="20% - Accent1 12 2 8" xfId="16458" xr:uid="{00000000-0005-0000-0000-00006A050000}"/>
    <cellStyle name="20% - Accent1 12 2_Volatility" xfId="1095" xr:uid="{00000000-0005-0000-0000-00006B050000}"/>
    <cellStyle name="20% - Accent1 12 3" xfId="1096" xr:uid="{00000000-0005-0000-0000-00006C050000}"/>
    <cellStyle name="20% - Accent1 12 3 2" xfId="1097" xr:uid="{00000000-0005-0000-0000-00006D050000}"/>
    <cellStyle name="20% - Accent1 12 3 2 2" xfId="1098" xr:uid="{00000000-0005-0000-0000-00006E050000}"/>
    <cellStyle name="20% - Accent1 12 3 2 2 2" xfId="12521" xr:uid="{00000000-0005-0000-0000-00006F050000}"/>
    <cellStyle name="20% - Accent1 12 3 2 2 3" xfId="16472" xr:uid="{00000000-0005-0000-0000-000070050000}"/>
    <cellStyle name="20% - Accent1 12 3 2 3" xfId="1099" xr:uid="{00000000-0005-0000-0000-000071050000}"/>
    <cellStyle name="20% - Accent1 12 3 2 3 2" xfId="12522" xr:uid="{00000000-0005-0000-0000-000072050000}"/>
    <cellStyle name="20% - Accent1 12 3 2 3 3" xfId="16473" xr:uid="{00000000-0005-0000-0000-000073050000}"/>
    <cellStyle name="20% - Accent1 12 3 2 4" xfId="12520" xr:uid="{00000000-0005-0000-0000-000074050000}"/>
    <cellStyle name="20% - Accent1 12 3 2 5" xfId="16471" xr:uid="{00000000-0005-0000-0000-000075050000}"/>
    <cellStyle name="20% - Accent1 12 3 3" xfId="1100" xr:uid="{00000000-0005-0000-0000-000076050000}"/>
    <cellStyle name="20% - Accent1 12 3 3 2" xfId="1101" xr:uid="{00000000-0005-0000-0000-000077050000}"/>
    <cellStyle name="20% - Accent1 12 3 3 2 2" xfId="12524" xr:uid="{00000000-0005-0000-0000-000078050000}"/>
    <cellStyle name="20% - Accent1 12 3 3 2 3" xfId="16475" xr:uid="{00000000-0005-0000-0000-000079050000}"/>
    <cellStyle name="20% - Accent1 12 3 3 3" xfId="1102" xr:uid="{00000000-0005-0000-0000-00007A050000}"/>
    <cellStyle name="20% - Accent1 12 3 3 3 2" xfId="12525" xr:uid="{00000000-0005-0000-0000-00007B050000}"/>
    <cellStyle name="20% - Accent1 12 3 3 3 3" xfId="16476" xr:uid="{00000000-0005-0000-0000-00007C050000}"/>
    <cellStyle name="20% - Accent1 12 3 3 4" xfId="12523" xr:uid="{00000000-0005-0000-0000-00007D050000}"/>
    <cellStyle name="20% - Accent1 12 3 3 5" xfId="16474" xr:uid="{00000000-0005-0000-0000-00007E050000}"/>
    <cellStyle name="20% - Accent1 12 3 4" xfId="1103" xr:uid="{00000000-0005-0000-0000-00007F050000}"/>
    <cellStyle name="20% - Accent1 12 3 4 2" xfId="12526" xr:uid="{00000000-0005-0000-0000-000080050000}"/>
    <cellStyle name="20% - Accent1 12 3 4 3" xfId="16477" xr:uid="{00000000-0005-0000-0000-000081050000}"/>
    <cellStyle name="20% - Accent1 12 3 5" xfId="1104" xr:uid="{00000000-0005-0000-0000-000082050000}"/>
    <cellStyle name="20% - Accent1 12 3 5 2" xfId="12527" xr:uid="{00000000-0005-0000-0000-000083050000}"/>
    <cellStyle name="20% - Accent1 12 3 5 3" xfId="16478" xr:uid="{00000000-0005-0000-0000-000084050000}"/>
    <cellStyle name="20% - Accent1 12 3 6" xfId="12519" xr:uid="{00000000-0005-0000-0000-000085050000}"/>
    <cellStyle name="20% - Accent1 12 3 7" xfId="16470" xr:uid="{00000000-0005-0000-0000-000086050000}"/>
    <cellStyle name="20% - Accent1 12 3_Volatility" xfId="1105" xr:uid="{00000000-0005-0000-0000-000087050000}"/>
    <cellStyle name="20% - Accent1 12 4" xfId="1106" xr:uid="{00000000-0005-0000-0000-000088050000}"/>
    <cellStyle name="20% - Accent1 12 4 2" xfId="1107" xr:uid="{00000000-0005-0000-0000-000089050000}"/>
    <cellStyle name="20% - Accent1 12 4 2 2" xfId="12529" xr:uid="{00000000-0005-0000-0000-00008A050000}"/>
    <cellStyle name="20% - Accent1 12 4 2 3" xfId="16480" xr:uid="{00000000-0005-0000-0000-00008B050000}"/>
    <cellStyle name="20% - Accent1 12 4 3" xfId="1108" xr:uid="{00000000-0005-0000-0000-00008C050000}"/>
    <cellStyle name="20% - Accent1 12 4 3 2" xfId="12530" xr:uid="{00000000-0005-0000-0000-00008D050000}"/>
    <cellStyle name="20% - Accent1 12 4 3 3" xfId="16481" xr:uid="{00000000-0005-0000-0000-00008E050000}"/>
    <cellStyle name="20% - Accent1 12 4 4" xfId="12528" xr:uid="{00000000-0005-0000-0000-00008F050000}"/>
    <cellStyle name="20% - Accent1 12 4 5" xfId="16479" xr:uid="{00000000-0005-0000-0000-000090050000}"/>
    <cellStyle name="20% - Accent1 12 5" xfId="1109" xr:uid="{00000000-0005-0000-0000-000091050000}"/>
    <cellStyle name="20% - Accent1 12 5 2" xfId="1110" xr:uid="{00000000-0005-0000-0000-000092050000}"/>
    <cellStyle name="20% - Accent1 12 5 2 2" xfId="12532" xr:uid="{00000000-0005-0000-0000-000093050000}"/>
    <cellStyle name="20% - Accent1 12 5 2 3" xfId="16483" xr:uid="{00000000-0005-0000-0000-000094050000}"/>
    <cellStyle name="20% - Accent1 12 5 3" xfId="1111" xr:uid="{00000000-0005-0000-0000-000095050000}"/>
    <cellStyle name="20% - Accent1 12 5 3 2" xfId="12533" xr:uid="{00000000-0005-0000-0000-000096050000}"/>
    <cellStyle name="20% - Accent1 12 5 3 3" xfId="16484" xr:uid="{00000000-0005-0000-0000-000097050000}"/>
    <cellStyle name="20% - Accent1 12 5 4" xfId="12531" xr:uid="{00000000-0005-0000-0000-000098050000}"/>
    <cellStyle name="20% - Accent1 12 5 5" xfId="16482" xr:uid="{00000000-0005-0000-0000-000099050000}"/>
    <cellStyle name="20% - Accent1 12 6" xfId="1112" xr:uid="{00000000-0005-0000-0000-00009A050000}"/>
    <cellStyle name="20% - Accent1 12 6 2" xfId="1113" xr:uid="{00000000-0005-0000-0000-00009B050000}"/>
    <cellStyle name="20% - Accent1 12 6 2 2" xfId="12535" xr:uid="{00000000-0005-0000-0000-00009C050000}"/>
    <cellStyle name="20% - Accent1 12 6 2 3" xfId="16486" xr:uid="{00000000-0005-0000-0000-00009D050000}"/>
    <cellStyle name="20% - Accent1 12 6 3" xfId="1114" xr:uid="{00000000-0005-0000-0000-00009E050000}"/>
    <cellStyle name="20% - Accent1 12 6 3 2" xfId="12536" xr:uid="{00000000-0005-0000-0000-00009F050000}"/>
    <cellStyle name="20% - Accent1 12 6 3 3" xfId="16487" xr:uid="{00000000-0005-0000-0000-0000A0050000}"/>
    <cellStyle name="20% - Accent1 12 6 4" xfId="12534" xr:uid="{00000000-0005-0000-0000-0000A1050000}"/>
    <cellStyle name="20% - Accent1 12 6 5" xfId="16485" xr:uid="{00000000-0005-0000-0000-0000A2050000}"/>
    <cellStyle name="20% - Accent1 12 7" xfId="1115" xr:uid="{00000000-0005-0000-0000-0000A3050000}"/>
    <cellStyle name="20% - Accent1 12 7 2" xfId="12537" xr:uid="{00000000-0005-0000-0000-0000A4050000}"/>
    <cellStyle name="20% - Accent1 12 7 3" xfId="16488" xr:uid="{00000000-0005-0000-0000-0000A5050000}"/>
    <cellStyle name="20% - Accent1 12 8" xfId="1116" xr:uid="{00000000-0005-0000-0000-0000A6050000}"/>
    <cellStyle name="20% - Accent1 12 8 2" xfId="12538" xr:uid="{00000000-0005-0000-0000-0000A7050000}"/>
    <cellStyle name="20% - Accent1 12 8 3" xfId="16489" xr:uid="{00000000-0005-0000-0000-0000A8050000}"/>
    <cellStyle name="20% - Accent1 12 9" xfId="12506" xr:uid="{00000000-0005-0000-0000-0000A9050000}"/>
    <cellStyle name="20% - Accent1 12_Volatility" xfId="1117" xr:uid="{00000000-0005-0000-0000-0000AA050000}"/>
    <cellStyle name="20% - Accent1 13" xfId="1118" xr:uid="{00000000-0005-0000-0000-0000AB050000}"/>
    <cellStyle name="20% - Accent1 13 10" xfId="16490" xr:uid="{00000000-0005-0000-0000-0000AC050000}"/>
    <cellStyle name="20% - Accent1 13 2" xfId="1119" xr:uid="{00000000-0005-0000-0000-0000AD050000}"/>
    <cellStyle name="20% - Accent1 13 2 2" xfId="1120" xr:uid="{00000000-0005-0000-0000-0000AE050000}"/>
    <cellStyle name="20% - Accent1 13 2 2 2" xfId="1121" xr:uid="{00000000-0005-0000-0000-0000AF050000}"/>
    <cellStyle name="20% - Accent1 13 2 2 2 2" xfId="12542" xr:uid="{00000000-0005-0000-0000-0000B0050000}"/>
    <cellStyle name="20% - Accent1 13 2 2 2 3" xfId="16493" xr:uid="{00000000-0005-0000-0000-0000B1050000}"/>
    <cellStyle name="20% - Accent1 13 2 2 3" xfId="1122" xr:uid="{00000000-0005-0000-0000-0000B2050000}"/>
    <cellStyle name="20% - Accent1 13 2 2 3 2" xfId="12543" xr:uid="{00000000-0005-0000-0000-0000B3050000}"/>
    <cellStyle name="20% - Accent1 13 2 2 3 3" xfId="16494" xr:uid="{00000000-0005-0000-0000-0000B4050000}"/>
    <cellStyle name="20% - Accent1 13 2 2 4" xfId="12541" xr:uid="{00000000-0005-0000-0000-0000B5050000}"/>
    <cellStyle name="20% - Accent1 13 2 2 5" xfId="16492" xr:uid="{00000000-0005-0000-0000-0000B6050000}"/>
    <cellStyle name="20% - Accent1 13 2 3" xfId="1123" xr:uid="{00000000-0005-0000-0000-0000B7050000}"/>
    <cellStyle name="20% - Accent1 13 2 3 2" xfId="1124" xr:uid="{00000000-0005-0000-0000-0000B8050000}"/>
    <cellStyle name="20% - Accent1 13 2 3 2 2" xfId="12545" xr:uid="{00000000-0005-0000-0000-0000B9050000}"/>
    <cellStyle name="20% - Accent1 13 2 3 2 3" xfId="16496" xr:uid="{00000000-0005-0000-0000-0000BA050000}"/>
    <cellStyle name="20% - Accent1 13 2 3 3" xfId="1125" xr:uid="{00000000-0005-0000-0000-0000BB050000}"/>
    <cellStyle name="20% - Accent1 13 2 3 3 2" xfId="12546" xr:uid="{00000000-0005-0000-0000-0000BC050000}"/>
    <cellStyle name="20% - Accent1 13 2 3 3 3" xfId="16497" xr:uid="{00000000-0005-0000-0000-0000BD050000}"/>
    <cellStyle name="20% - Accent1 13 2 3 4" xfId="12544" xr:uid="{00000000-0005-0000-0000-0000BE050000}"/>
    <cellStyle name="20% - Accent1 13 2 3 5" xfId="16495" xr:uid="{00000000-0005-0000-0000-0000BF050000}"/>
    <cellStyle name="20% - Accent1 13 2 4" xfId="1126" xr:uid="{00000000-0005-0000-0000-0000C0050000}"/>
    <cellStyle name="20% - Accent1 13 2 4 2" xfId="1127" xr:uid="{00000000-0005-0000-0000-0000C1050000}"/>
    <cellStyle name="20% - Accent1 13 2 4 2 2" xfId="12548" xr:uid="{00000000-0005-0000-0000-0000C2050000}"/>
    <cellStyle name="20% - Accent1 13 2 4 2 3" xfId="16499" xr:uid="{00000000-0005-0000-0000-0000C3050000}"/>
    <cellStyle name="20% - Accent1 13 2 4 3" xfId="1128" xr:uid="{00000000-0005-0000-0000-0000C4050000}"/>
    <cellStyle name="20% - Accent1 13 2 4 3 2" xfId="12549" xr:uid="{00000000-0005-0000-0000-0000C5050000}"/>
    <cellStyle name="20% - Accent1 13 2 4 3 3" xfId="16500" xr:uid="{00000000-0005-0000-0000-0000C6050000}"/>
    <cellStyle name="20% - Accent1 13 2 4 4" xfId="12547" xr:uid="{00000000-0005-0000-0000-0000C7050000}"/>
    <cellStyle name="20% - Accent1 13 2 4 5" xfId="16498" xr:uid="{00000000-0005-0000-0000-0000C8050000}"/>
    <cellStyle name="20% - Accent1 13 2 5" xfId="1129" xr:uid="{00000000-0005-0000-0000-0000C9050000}"/>
    <cellStyle name="20% - Accent1 13 2 5 2" xfId="12550" xr:uid="{00000000-0005-0000-0000-0000CA050000}"/>
    <cellStyle name="20% - Accent1 13 2 5 3" xfId="16501" xr:uid="{00000000-0005-0000-0000-0000CB050000}"/>
    <cellStyle name="20% - Accent1 13 2 6" xfId="1130" xr:uid="{00000000-0005-0000-0000-0000CC050000}"/>
    <cellStyle name="20% - Accent1 13 2 6 2" xfId="12551" xr:uid="{00000000-0005-0000-0000-0000CD050000}"/>
    <cellStyle name="20% - Accent1 13 2 6 3" xfId="16502" xr:uid="{00000000-0005-0000-0000-0000CE050000}"/>
    <cellStyle name="20% - Accent1 13 2 7" xfId="12540" xr:uid="{00000000-0005-0000-0000-0000CF050000}"/>
    <cellStyle name="20% - Accent1 13 2 8" xfId="16491" xr:uid="{00000000-0005-0000-0000-0000D0050000}"/>
    <cellStyle name="20% - Accent1 13 2_Volatility" xfId="1131" xr:uid="{00000000-0005-0000-0000-0000D1050000}"/>
    <cellStyle name="20% - Accent1 13 3" xfId="1132" xr:uid="{00000000-0005-0000-0000-0000D2050000}"/>
    <cellStyle name="20% - Accent1 13 3 2" xfId="1133" xr:uid="{00000000-0005-0000-0000-0000D3050000}"/>
    <cellStyle name="20% - Accent1 13 3 2 2" xfId="1134" xr:uid="{00000000-0005-0000-0000-0000D4050000}"/>
    <cellStyle name="20% - Accent1 13 3 2 2 2" xfId="12554" xr:uid="{00000000-0005-0000-0000-0000D5050000}"/>
    <cellStyle name="20% - Accent1 13 3 2 2 3" xfId="16505" xr:uid="{00000000-0005-0000-0000-0000D6050000}"/>
    <cellStyle name="20% - Accent1 13 3 2 3" xfId="1135" xr:uid="{00000000-0005-0000-0000-0000D7050000}"/>
    <cellStyle name="20% - Accent1 13 3 2 3 2" xfId="12555" xr:uid="{00000000-0005-0000-0000-0000D8050000}"/>
    <cellStyle name="20% - Accent1 13 3 2 3 3" xfId="16506" xr:uid="{00000000-0005-0000-0000-0000D9050000}"/>
    <cellStyle name="20% - Accent1 13 3 2 4" xfId="12553" xr:uid="{00000000-0005-0000-0000-0000DA050000}"/>
    <cellStyle name="20% - Accent1 13 3 2 5" xfId="16504" xr:uid="{00000000-0005-0000-0000-0000DB050000}"/>
    <cellStyle name="20% - Accent1 13 3 3" xfId="1136" xr:uid="{00000000-0005-0000-0000-0000DC050000}"/>
    <cellStyle name="20% - Accent1 13 3 3 2" xfId="1137" xr:uid="{00000000-0005-0000-0000-0000DD050000}"/>
    <cellStyle name="20% - Accent1 13 3 3 2 2" xfId="12557" xr:uid="{00000000-0005-0000-0000-0000DE050000}"/>
    <cellStyle name="20% - Accent1 13 3 3 2 3" xfId="16508" xr:uid="{00000000-0005-0000-0000-0000DF050000}"/>
    <cellStyle name="20% - Accent1 13 3 3 3" xfId="1138" xr:uid="{00000000-0005-0000-0000-0000E0050000}"/>
    <cellStyle name="20% - Accent1 13 3 3 3 2" xfId="12558" xr:uid="{00000000-0005-0000-0000-0000E1050000}"/>
    <cellStyle name="20% - Accent1 13 3 3 3 3" xfId="16509" xr:uid="{00000000-0005-0000-0000-0000E2050000}"/>
    <cellStyle name="20% - Accent1 13 3 3 4" xfId="12556" xr:uid="{00000000-0005-0000-0000-0000E3050000}"/>
    <cellStyle name="20% - Accent1 13 3 3 5" xfId="16507" xr:uid="{00000000-0005-0000-0000-0000E4050000}"/>
    <cellStyle name="20% - Accent1 13 3 4" xfId="1139" xr:uid="{00000000-0005-0000-0000-0000E5050000}"/>
    <cellStyle name="20% - Accent1 13 3 4 2" xfId="12559" xr:uid="{00000000-0005-0000-0000-0000E6050000}"/>
    <cellStyle name="20% - Accent1 13 3 4 3" xfId="16510" xr:uid="{00000000-0005-0000-0000-0000E7050000}"/>
    <cellStyle name="20% - Accent1 13 3 5" xfId="1140" xr:uid="{00000000-0005-0000-0000-0000E8050000}"/>
    <cellStyle name="20% - Accent1 13 3 5 2" xfId="12560" xr:uid="{00000000-0005-0000-0000-0000E9050000}"/>
    <cellStyle name="20% - Accent1 13 3 5 3" xfId="16511" xr:uid="{00000000-0005-0000-0000-0000EA050000}"/>
    <cellStyle name="20% - Accent1 13 3 6" xfId="12552" xr:uid="{00000000-0005-0000-0000-0000EB050000}"/>
    <cellStyle name="20% - Accent1 13 3 7" xfId="16503" xr:uid="{00000000-0005-0000-0000-0000EC050000}"/>
    <cellStyle name="20% - Accent1 13 3_Volatility" xfId="1141" xr:uid="{00000000-0005-0000-0000-0000ED050000}"/>
    <cellStyle name="20% - Accent1 13 4" xfId="1142" xr:uid="{00000000-0005-0000-0000-0000EE050000}"/>
    <cellStyle name="20% - Accent1 13 4 2" xfId="1143" xr:uid="{00000000-0005-0000-0000-0000EF050000}"/>
    <cellStyle name="20% - Accent1 13 4 2 2" xfId="12562" xr:uid="{00000000-0005-0000-0000-0000F0050000}"/>
    <cellStyle name="20% - Accent1 13 4 2 3" xfId="16513" xr:uid="{00000000-0005-0000-0000-0000F1050000}"/>
    <cellStyle name="20% - Accent1 13 4 3" xfId="1144" xr:uid="{00000000-0005-0000-0000-0000F2050000}"/>
    <cellStyle name="20% - Accent1 13 4 3 2" xfId="12563" xr:uid="{00000000-0005-0000-0000-0000F3050000}"/>
    <cellStyle name="20% - Accent1 13 4 3 3" xfId="16514" xr:uid="{00000000-0005-0000-0000-0000F4050000}"/>
    <cellStyle name="20% - Accent1 13 4 4" xfId="12561" xr:uid="{00000000-0005-0000-0000-0000F5050000}"/>
    <cellStyle name="20% - Accent1 13 4 5" xfId="16512" xr:uid="{00000000-0005-0000-0000-0000F6050000}"/>
    <cellStyle name="20% - Accent1 13 5" xfId="1145" xr:uid="{00000000-0005-0000-0000-0000F7050000}"/>
    <cellStyle name="20% - Accent1 13 5 2" xfId="1146" xr:uid="{00000000-0005-0000-0000-0000F8050000}"/>
    <cellStyle name="20% - Accent1 13 5 2 2" xfId="12565" xr:uid="{00000000-0005-0000-0000-0000F9050000}"/>
    <cellStyle name="20% - Accent1 13 5 2 3" xfId="16516" xr:uid="{00000000-0005-0000-0000-0000FA050000}"/>
    <cellStyle name="20% - Accent1 13 5 3" xfId="1147" xr:uid="{00000000-0005-0000-0000-0000FB050000}"/>
    <cellStyle name="20% - Accent1 13 5 3 2" xfId="12566" xr:uid="{00000000-0005-0000-0000-0000FC050000}"/>
    <cellStyle name="20% - Accent1 13 5 3 3" xfId="16517" xr:uid="{00000000-0005-0000-0000-0000FD050000}"/>
    <cellStyle name="20% - Accent1 13 5 4" xfId="12564" xr:uid="{00000000-0005-0000-0000-0000FE050000}"/>
    <cellStyle name="20% - Accent1 13 5 5" xfId="16515" xr:uid="{00000000-0005-0000-0000-0000FF050000}"/>
    <cellStyle name="20% - Accent1 13 6" xfId="1148" xr:uid="{00000000-0005-0000-0000-000000060000}"/>
    <cellStyle name="20% - Accent1 13 6 2" xfId="1149" xr:uid="{00000000-0005-0000-0000-000001060000}"/>
    <cellStyle name="20% - Accent1 13 6 2 2" xfId="12568" xr:uid="{00000000-0005-0000-0000-000002060000}"/>
    <cellStyle name="20% - Accent1 13 6 2 3" xfId="16519" xr:uid="{00000000-0005-0000-0000-000003060000}"/>
    <cellStyle name="20% - Accent1 13 6 3" xfId="1150" xr:uid="{00000000-0005-0000-0000-000004060000}"/>
    <cellStyle name="20% - Accent1 13 6 3 2" xfId="12569" xr:uid="{00000000-0005-0000-0000-000005060000}"/>
    <cellStyle name="20% - Accent1 13 6 3 3" xfId="16520" xr:uid="{00000000-0005-0000-0000-000006060000}"/>
    <cellStyle name="20% - Accent1 13 6 4" xfId="12567" xr:uid="{00000000-0005-0000-0000-000007060000}"/>
    <cellStyle name="20% - Accent1 13 6 5" xfId="16518" xr:uid="{00000000-0005-0000-0000-000008060000}"/>
    <cellStyle name="20% - Accent1 13 7" xfId="1151" xr:uid="{00000000-0005-0000-0000-000009060000}"/>
    <cellStyle name="20% - Accent1 13 7 2" xfId="12570" xr:uid="{00000000-0005-0000-0000-00000A060000}"/>
    <cellStyle name="20% - Accent1 13 7 3" xfId="16521" xr:uid="{00000000-0005-0000-0000-00000B060000}"/>
    <cellStyle name="20% - Accent1 13 8" xfId="1152" xr:uid="{00000000-0005-0000-0000-00000C060000}"/>
    <cellStyle name="20% - Accent1 13 8 2" xfId="12571" xr:uid="{00000000-0005-0000-0000-00000D060000}"/>
    <cellStyle name="20% - Accent1 13 8 3" xfId="16522" xr:uid="{00000000-0005-0000-0000-00000E060000}"/>
    <cellStyle name="20% - Accent1 13 9" xfId="12539" xr:uid="{00000000-0005-0000-0000-00000F060000}"/>
    <cellStyle name="20% - Accent1 13_Volatility" xfId="1153" xr:uid="{00000000-0005-0000-0000-000010060000}"/>
    <cellStyle name="20% - Accent1 14" xfId="1154" xr:uid="{00000000-0005-0000-0000-000011060000}"/>
    <cellStyle name="20% - Accent1 14 10" xfId="16523" xr:uid="{00000000-0005-0000-0000-000012060000}"/>
    <cellStyle name="20% - Accent1 14 2" xfId="1155" xr:uid="{00000000-0005-0000-0000-000013060000}"/>
    <cellStyle name="20% - Accent1 14 2 2" xfId="1156" xr:uid="{00000000-0005-0000-0000-000014060000}"/>
    <cellStyle name="20% - Accent1 14 2 2 2" xfId="1157" xr:uid="{00000000-0005-0000-0000-000015060000}"/>
    <cellStyle name="20% - Accent1 14 2 2 2 2" xfId="12575" xr:uid="{00000000-0005-0000-0000-000016060000}"/>
    <cellStyle name="20% - Accent1 14 2 2 2 3" xfId="16526" xr:uid="{00000000-0005-0000-0000-000017060000}"/>
    <cellStyle name="20% - Accent1 14 2 2 3" xfId="1158" xr:uid="{00000000-0005-0000-0000-000018060000}"/>
    <cellStyle name="20% - Accent1 14 2 2 3 2" xfId="12576" xr:uid="{00000000-0005-0000-0000-000019060000}"/>
    <cellStyle name="20% - Accent1 14 2 2 3 3" xfId="16527" xr:uid="{00000000-0005-0000-0000-00001A060000}"/>
    <cellStyle name="20% - Accent1 14 2 2 4" xfId="12574" xr:uid="{00000000-0005-0000-0000-00001B060000}"/>
    <cellStyle name="20% - Accent1 14 2 2 5" xfId="16525" xr:uid="{00000000-0005-0000-0000-00001C060000}"/>
    <cellStyle name="20% - Accent1 14 2 3" xfId="1159" xr:uid="{00000000-0005-0000-0000-00001D060000}"/>
    <cellStyle name="20% - Accent1 14 2 3 2" xfId="1160" xr:uid="{00000000-0005-0000-0000-00001E060000}"/>
    <cellStyle name="20% - Accent1 14 2 3 2 2" xfId="12578" xr:uid="{00000000-0005-0000-0000-00001F060000}"/>
    <cellStyle name="20% - Accent1 14 2 3 2 3" xfId="16529" xr:uid="{00000000-0005-0000-0000-000020060000}"/>
    <cellStyle name="20% - Accent1 14 2 3 3" xfId="1161" xr:uid="{00000000-0005-0000-0000-000021060000}"/>
    <cellStyle name="20% - Accent1 14 2 3 3 2" xfId="12579" xr:uid="{00000000-0005-0000-0000-000022060000}"/>
    <cellStyle name="20% - Accent1 14 2 3 3 3" xfId="16530" xr:uid="{00000000-0005-0000-0000-000023060000}"/>
    <cellStyle name="20% - Accent1 14 2 3 4" xfId="12577" xr:uid="{00000000-0005-0000-0000-000024060000}"/>
    <cellStyle name="20% - Accent1 14 2 3 5" xfId="16528" xr:uid="{00000000-0005-0000-0000-000025060000}"/>
    <cellStyle name="20% - Accent1 14 2 4" xfId="1162" xr:uid="{00000000-0005-0000-0000-000026060000}"/>
    <cellStyle name="20% - Accent1 14 2 4 2" xfId="1163" xr:uid="{00000000-0005-0000-0000-000027060000}"/>
    <cellStyle name="20% - Accent1 14 2 4 2 2" xfId="12581" xr:uid="{00000000-0005-0000-0000-000028060000}"/>
    <cellStyle name="20% - Accent1 14 2 4 2 3" xfId="16532" xr:uid="{00000000-0005-0000-0000-000029060000}"/>
    <cellStyle name="20% - Accent1 14 2 4 3" xfId="1164" xr:uid="{00000000-0005-0000-0000-00002A060000}"/>
    <cellStyle name="20% - Accent1 14 2 4 3 2" xfId="12582" xr:uid="{00000000-0005-0000-0000-00002B060000}"/>
    <cellStyle name="20% - Accent1 14 2 4 3 3" xfId="16533" xr:uid="{00000000-0005-0000-0000-00002C060000}"/>
    <cellStyle name="20% - Accent1 14 2 4 4" xfId="12580" xr:uid="{00000000-0005-0000-0000-00002D060000}"/>
    <cellStyle name="20% - Accent1 14 2 4 5" xfId="16531" xr:uid="{00000000-0005-0000-0000-00002E060000}"/>
    <cellStyle name="20% - Accent1 14 2 5" xfId="1165" xr:uid="{00000000-0005-0000-0000-00002F060000}"/>
    <cellStyle name="20% - Accent1 14 2 5 2" xfId="12583" xr:uid="{00000000-0005-0000-0000-000030060000}"/>
    <cellStyle name="20% - Accent1 14 2 5 3" xfId="16534" xr:uid="{00000000-0005-0000-0000-000031060000}"/>
    <cellStyle name="20% - Accent1 14 2 6" xfId="1166" xr:uid="{00000000-0005-0000-0000-000032060000}"/>
    <cellStyle name="20% - Accent1 14 2 6 2" xfId="12584" xr:uid="{00000000-0005-0000-0000-000033060000}"/>
    <cellStyle name="20% - Accent1 14 2 6 3" xfId="16535" xr:uid="{00000000-0005-0000-0000-000034060000}"/>
    <cellStyle name="20% - Accent1 14 2 7" xfId="12573" xr:uid="{00000000-0005-0000-0000-000035060000}"/>
    <cellStyle name="20% - Accent1 14 2 8" xfId="16524" xr:uid="{00000000-0005-0000-0000-000036060000}"/>
    <cellStyle name="20% - Accent1 14 2_Volatility" xfId="1167" xr:uid="{00000000-0005-0000-0000-000037060000}"/>
    <cellStyle name="20% - Accent1 14 3" xfId="1168" xr:uid="{00000000-0005-0000-0000-000038060000}"/>
    <cellStyle name="20% - Accent1 14 3 2" xfId="1169" xr:uid="{00000000-0005-0000-0000-000039060000}"/>
    <cellStyle name="20% - Accent1 14 3 2 2" xfId="1170" xr:uid="{00000000-0005-0000-0000-00003A060000}"/>
    <cellStyle name="20% - Accent1 14 3 2 2 2" xfId="12587" xr:uid="{00000000-0005-0000-0000-00003B060000}"/>
    <cellStyle name="20% - Accent1 14 3 2 2 3" xfId="16538" xr:uid="{00000000-0005-0000-0000-00003C060000}"/>
    <cellStyle name="20% - Accent1 14 3 2 3" xfId="1171" xr:uid="{00000000-0005-0000-0000-00003D060000}"/>
    <cellStyle name="20% - Accent1 14 3 2 3 2" xfId="12588" xr:uid="{00000000-0005-0000-0000-00003E060000}"/>
    <cellStyle name="20% - Accent1 14 3 2 3 3" xfId="16539" xr:uid="{00000000-0005-0000-0000-00003F060000}"/>
    <cellStyle name="20% - Accent1 14 3 2 4" xfId="12586" xr:uid="{00000000-0005-0000-0000-000040060000}"/>
    <cellStyle name="20% - Accent1 14 3 2 5" xfId="16537" xr:uid="{00000000-0005-0000-0000-000041060000}"/>
    <cellStyle name="20% - Accent1 14 3 3" xfId="1172" xr:uid="{00000000-0005-0000-0000-000042060000}"/>
    <cellStyle name="20% - Accent1 14 3 3 2" xfId="1173" xr:uid="{00000000-0005-0000-0000-000043060000}"/>
    <cellStyle name="20% - Accent1 14 3 3 2 2" xfId="12590" xr:uid="{00000000-0005-0000-0000-000044060000}"/>
    <cellStyle name="20% - Accent1 14 3 3 2 3" xfId="16541" xr:uid="{00000000-0005-0000-0000-000045060000}"/>
    <cellStyle name="20% - Accent1 14 3 3 3" xfId="1174" xr:uid="{00000000-0005-0000-0000-000046060000}"/>
    <cellStyle name="20% - Accent1 14 3 3 3 2" xfId="12591" xr:uid="{00000000-0005-0000-0000-000047060000}"/>
    <cellStyle name="20% - Accent1 14 3 3 3 3" xfId="16542" xr:uid="{00000000-0005-0000-0000-000048060000}"/>
    <cellStyle name="20% - Accent1 14 3 3 4" xfId="12589" xr:uid="{00000000-0005-0000-0000-000049060000}"/>
    <cellStyle name="20% - Accent1 14 3 3 5" xfId="16540" xr:uid="{00000000-0005-0000-0000-00004A060000}"/>
    <cellStyle name="20% - Accent1 14 3 4" xfId="1175" xr:uid="{00000000-0005-0000-0000-00004B060000}"/>
    <cellStyle name="20% - Accent1 14 3 4 2" xfId="12592" xr:uid="{00000000-0005-0000-0000-00004C060000}"/>
    <cellStyle name="20% - Accent1 14 3 4 3" xfId="16543" xr:uid="{00000000-0005-0000-0000-00004D060000}"/>
    <cellStyle name="20% - Accent1 14 3 5" xfId="1176" xr:uid="{00000000-0005-0000-0000-00004E060000}"/>
    <cellStyle name="20% - Accent1 14 3 5 2" xfId="12593" xr:uid="{00000000-0005-0000-0000-00004F060000}"/>
    <cellStyle name="20% - Accent1 14 3 5 3" xfId="16544" xr:uid="{00000000-0005-0000-0000-000050060000}"/>
    <cellStyle name="20% - Accent1 14 3 6" xfId="12585" xr:uid="{00000000-0005-0000-0000-000051060000}"/>
    <cellStyle name="20% - Accent1 14 3 7" xfId="16536" xr:uid="{00000000-0005-0000-0000-000052060000}"/>
    <cellStyle name="20% - Accent1 14 3_Volatility" xfId="1177" xr:uid="{00000000-0005-0000-0000-000053060000}"/>
    <cellStyle name="20% - Accent1 14 4" xfId="1178" xr:uid="{00000000-0005-0000-0000-000054060000}"/>
    <cellStyle name="20% - Accent1 14 4 2" xfId="1179" xr:uid="{00000000-0005-0000-0000-000055060000}"/>
    <cellStyle name="20% - Accent1 14 4 2 2" xfId="12595" xr:uid="{00000000-0005-0000-0000-000056060000}"/>
    <cellStyle name="20% - Accent1 14 4 2 3" xfId="16546" xr:uid="{00000000-0005-0000-0000-000057060000}"/>
    <cellStyle name="20% - Accent1 14 4 3" xfId="1180" xr:uid="{00000000-0005-0000-0000-000058060000}"/>
    <cellStyle name="20% - Accent1 14 4 3 2" xfId="12596" xr:uid="{00000000-0005-0000-0000-000059060000}"/>
    <cellStyle name="20% - Accent1 14 4 3 3" xfId="16547" xr:uid="{00000000-0005-0000-0000-00005A060000}"/>
    <cellStyle name="20% - Accent1 14 4 4" xfId="12594" xr:uid="{00000000-0005-0000-0000-00005B060000}"/>
    <cellStyle name="20% - Accent1 14 4 5" xfId="16545" xr:uid="{00000000-0005-0000-0000-00005C060000}"/>
    <cellStyle name="20% - Accent1 14 5" xfId="1181" xr:uid="{00000000-0005-0000-0000-00005D060000}"/>
    <cellStyle name="20% - Accent1 14 5 2" xfId="1182" xr:uid="{00000000-0005-0000-0000-00005E060000}"/>
    <cellStyle name="20% - Accent1 14 5 2 2" xfId="12598" xr:uid="{00000000-0005-0000-0000-00005F060000}"/>
    <cellStyle name="20% - Accent1 14 5 2 3" xfId="16549" xr:uid="{00000000-0005-0000-0000-000060060000}"/>
    <cellStyle name="20% - Accent1 14 5 3" xfId="1183" xr:uid="{00000000-0005-0000-0000-000061060000}"/>
    <cellStyle name="20% - Accent1 14 5 3 2" xfId="12599" xr:uid="{00000000-0005-0000-0000-000062060000}"/>
    <cellStyle name="20% - Accent1 14 5 3 3" xfId="16550" xr:uid="{00000000-0005-0000-0000-000063060000}"/>
    <cellStyle name="20% - Accent1 14 5 4" xfId="12597" xr:uid="{00000000-0005-0000-0000-000064060000}"/>
    <cellStyle name="20% - Accent1 14 5 5" xfId="16548" xr:uid="{00000000-0005-0000-0000-000065060000}"/>
    <cellStyle name="20% - Accent1 14 6" xfId="1184" xr:uid="{00000000-0005-0000-0000-000066060000}"/>
    <cellStyle name="20% - Accent1 14 6 2" xfId="1185" xr:uid="{00000000-0005-0000-0000-000067060000}"/>
    <cellStyle name="20% - Accent1 14 6 2 2" xfId="12601" xr:uid="{00000000-0005-0000-0000-000068060000}"/>
    <cellStyle name="20% - Accent1 14 6 2 3" xfId="16552" xr:uid="{00000000-0005-0000-0000-000069060000}"/>
    <cellStyle name="20% - Accent1 14 6 3" xfId="1186" xr:uid="{00000000-0005-0000-0000-00006A060000}"/>
    <cellStyle name="20% - Accent1 14 6 3 2" xfId="12602" xr:uid="{00000000-0005-0000-0000-00006B060000}"/>
    <cellStyle name="20% - Accent1 14 6 3 3" xfId="16553" xr:uid="{00000000-0005-0000-0000-00006C060000}"/>
    <cellStyle name="20% - Accent1 14 6 4" xfId="12600" xr:uid="{00000000-0005-0000-0000-00006D060000}"/>
    <cellStyle name="20% - Accent1 14 6 5" xfId="16551" xr:uid="{00000000-0005-0000-0000-00006E060000}"/>
    <cellStyle name="20% - Accent1 14 7" xfId="1187" xr:uid="{00000000-0005-0000-0000-00006F060000}"/>
    <cellStyle name="20% - Accent1 14 7 2" xfId="12603" xr:uid="{00000000-0005-0000-0000-000070060000}"/>
    <cellStyle name="20% - Accent1 14 7 3" xfId="16554" xr:uid="{00000000-0005-0000-0000-000071060000}"/>
    <cellStyle name="20% - Accent1 14 8" xfId="1188" xr:uid="{00000000-0005-0000-0000-000072060000}"/>
    <cellStyle name="20% - Accent1 14 8 2" xfId="12604" xr:uid="{00000000-0005-0000-0000-000073060000}"/>
    <cellStyle name="20% - Accent1 14 8 3" xfId="16555" xr:uid="{00000000-0005-0000-0000-000074060000}"/>
    <cellStyle name="20% - Accent1 14 9" xfId="12572" xr:uid="{00000000-0005-0000-0000-000075060000}"/>
    <cellStyle name="20% - Accent1 14_Volatility" xfId="1189" xr:uid="{00000000-0005-0000-0000-000076060000}"/>
    <cellStyle name="20% - Accent1 15" xfId="1190" xr:uid="{00000000-0005-0000-0000-000077060000}"/>
    <cellStyle name="20% - Accent1 15 10" xfId="16556" xr:uid="{00000000-0005-0000-0000-000078060000}"/>
    <cellStyle name="20% - Accent1 15 2" xfId="1191" xr:uid="{00000000-0005-0000-0000-000079060000}"/>
    <cellStyle name="20% - Accent1 15 2 2" xfId="1192" xr:uid="{00000000-0005-0000-0000-00007A060000}"/>
    <cellStyle name="20% - Accent1 15 2 2 2" xfId="1193" xr:uid="{00000000-0005-0000-0000-00007B060000}"/>
    <cellStyle name="20% - Accent1 15 2 2 2 2" xfId="12608" xr:uid="{00000000-0005-0000-0000-00007C060000}"/>
    <cellStyle name="20% - Accent1 15 2 2 2 3" xfId="16559" xr:uid="{00000000-0005-0000-0000-00007D060000}"/>
    <cellStyle name="20% - Accent1 15 2 2 3" xfId="1194" xr:uid="{00000000-0005-0000-0000-00007E060000}"/>
    <cellStyle name="20% - Accent1 15 2 2 3 2" xfId="12609" xr:uid="{00000000-0005-0000-0000-00007F060000}"/>
    <cellStyle name="20% - Accent1 15 2 2 3 3" xfId="16560" xr:uid="{00000000-0005-0000-0000-000080060000}"/>
    <cellStyle name="20% - Accent1 15 2 2 4" xfId="12607" xr:uid="{00000000-0005-0000-0000-000081060000}"/>
    <cellStyle name="20% - Accent1 15 2 2 5" xfId="16558" xr:uid="{00000000-0005-0000-0000-000082060000}"/>
    <cellStyle name="20% - Accent1 15 2 3" xfId="1195" xr:uid="{00000000-0005-0000-0000-000083060000}"/>
    <cellStyle name="20% - Accent1 15 2 3 2" xfId="1196" xr:uid="{00000000-0005-0000-0000-000084060000}"/>
    <cellStyle name="20% - Accent1 15 2 3 2 2" xfId="12611" xr:uid="{00000000-0005-0000-0000-000085060000}"/>
    <cellStyle name="20% - Accent1 15 2 3 2 3" xfId="16562" xr:uid="{00000000-0005-0000-0000-000086060000}"/>
    <cellStyle name="20% - Accent1 15 2 3 3" xfId="1197" xr:uid="{00000000-0005-0000-0000-000087060000}"/>
    <cellStyle name="20% - Accent1 15 2 3 3 2" xfId="12612" xr:uid="{00000000-0005-0000-0000-000088060000}"/>
    <cellStyle name="20% - Accent1 15 2 3 3 3" xfId="16563" xr:uid="{00000000-0005-0000-0000-000089060000}"/>
    <cellStyle name="20% - Accent1 15 2 3 4" xfId="12610" xr:uid="{00000000-0005-0000-0000-00008A060000}"/>
    <cellStyle name="20% - Accent1 15 2 3 5" xfId="16561" xr:uid="{00000000-0005-0000-0000-00008B060000}"/>
    <cellStyle name="20% - Accent1 15 2 4" xfId="1198" xr:uid="{00000000-0005-0000-0000-00008C060000}"/>
    <cellStyle name="20% - Accent1 15 2 4 2" xfId="1199" xr:uid="{00000000-0005-0000-0000-00008D060000}"/>
    <cellStyle name="20% - Accent1 15 2 4 2 2" xfId="12614" xr:uid="{00000000-0005-0000-0000-00008E060000}"/>
    <cellStyle name="20% - Accent1 15 2 4 2 3" xfId="16565" xr:uid="{00000000-0005-0000-0000-00008F060000}"/>
    <cellStyle name="20% - Accent1 15 2 4 3" xfId="1200" xr:uid="{00000000-0005-0000-0000-000090060000}"/>
    <cellStyle name="20% - Accent1 15 2 4 3 2" xfId="12615" xr:uid="{00000000-0005-0000-0000-000091060000}"/>
    <cellStyle name="20% - Accent1 15 2 4 3 3" xfId="16566" xr:uid="{00000000-0005-0000-0000-000092060000}"/>
    <cellStyle name="20% - Accent1 15 2 4 4" xfId="12613" xr:uid="{00000000-0005-0000-0000-000093060000}"/>
    <cellStyle name="20% - Accent1 15 2 4 5" xfId="16564" xr:uid="{00000000-0005-0000-0000-000094060000}"/>
    <cellStyle name="20% - Accent1 15 2 5" xfId="1201" xr:uid="{00000000-0005-0000-0000-000095060000}"/>
    <cellStyle name="20% - Accent1 15 2 5 2" xfId="12616" xr:uid="{00000000-0005-0000-0000-000096060000}"/>
    <cellStyle name="20% - Accent1 15 2 5 3" xfId="16567" xr:uid="{00000000-0005-0000-0000-000097060000}"/>
    <cellStyle name="20% - Accent1 15 2 6" xfId="1202" xr:uid="{00000000-0005-0000-0000-000098060000}"/>
    <cellStyle name="20% - Accent1 15 2 6 2" xfId="12617" xr:uid="{00000000-0005-0000-0000-000099060000}"/>
    <cellStyle name="20% - Accent1 15 2 6 3" xfId="16568" xr:uid="{00000000-0005-0000-0000-00009A060000}"/>
    <cellStyle name="20% - Accent1 15 2 7" xfId="12606" xr:uid="{00000000-0005-0000-0000-00009B060000}"/>
    <cellStyle name="20% - Accent1 15 2 8" xfId="16557" xr:uid="{00000000-0005-0000-0000-00009C060000}"/>
    <cellStyle name="20% - Accent1 15 2_Volatility" xfId="1203" xr:uid="{00000000-0005-0000-0000-00009D060000}"/>
    <cellStyle name="20% - Accent1 15 3" xfId="1204" xr:uid="{00000000-0005-0000-0000-00009E060000}"/>
    <cellStyle name="20% - Accent1 15 3 2" xfId="1205" xr:uid="{00000000-0005-0000-0000-00009F060000}"/>
    <cellStyle name="20% - Accent1 15 3 2 2" xfId="1206" xr:uid="{00000000-0005-0000-0000-0000A0060000}"/>
    <cellStyle name="20% - Accent1 15 3 2 2 2" xfId="12620" xr:uid="{00000000-0005-0000-0000-0000A1060000}"/>
    <cellStyle name="20% - Accent1 15 3 2 2 3" xfId="16571" xr:uid="{00000000-0005-0000-0000-0000A2060000}"/>
    <cellStyle name="20% - Accent1 15 3 2 3" xfId="1207" xr:uid="{00000000-0005-0000-0000-0000A3060000}"/>
    <cellStyle name="20% - Accent1 15 3 2 3 2" xfId="12621" xr:uid="{00000000-0005-0000-0000-0000A4060000}"/>
    <cellStyle name="20% - Accent1 15 3 2 3 3" xfId="16572" xr:uid="{00000000-0005-0000-0000-0000A5060000}"/>
    <cellStyle name="20% - Accent1 15 3 2 4" xfId="12619" xr:uid="{00000000-0005-0000-0000-0000A6060000}"/>
    <cellStyle name="20% - Accent1 15 3 2 5" xfId="16570" xr:uid="{00000000-0005-0000-0000-0000A7060000}"/>
    <cellStyle name="20% - Accent1 15 3 3" xfId="1208" xr:uid="{00000000-0005-0000-0000-0000A8060000}"/>
    <cellStyle name="20% - Accent1 15 3 3 2" xfId="1209" xr:uid="{00000000-0005-0000-0000-0000A9060000}"/>
    <cellStyle name="20% - Accent1 15 3 3 2 2" xfId="12623" xr:uid="{00000000-0005-0000-0000-0000AA060000}"/>
    <cellStyle name="20% - Accent1 15 3 3 2 3" xfId="16574" xr:uid="{00000000-0005-0000-0000-0000AB060000}"/>
    <cellStyle name="20% - Accent1 15 3 3 3" xfId="1210" xr:uid="{00000000-0005-0000-0000-0000AC060000}"/>
    <cellStyle name="20% - Accent1 15 3 3 3 2" xfId="12624" xr:uid="{00000000-0005-0000-0000-0000AD060000}"/>
    <cellStyle name="20% - Accent1 15 3 3 3 3" xfId="16575" xr:uid="{00000000-0005-0000-0000-0000AE060000}"/>
    <cellStyle name="20% - Accent1 15 3 3 4" xfId="12622" xr:uid="{00000000-0005-0000-0000-0000AF060000}"/>
    <cellStyle name="20% - Accent1 15 3 3 5" xfId="16573" xr:uid="{00000000-0005-0000-0000-0000B0060000}"/>
    <cellStyle name="20% - Accent1 15 3 4" xfId="1211" xr:uid="{00000000-0005-0000-0000-0000B1060000}"/>
    <cellStyle name="20% - Accent1 15 3 4 2" xfId="12625" xr:uid="{00000000-0005-0000-0000-0000B2060000}"/>
    <cellStyle name="20% - Accent1 15 3 4 3" xfId="16576" xr:uid="{00000000-0005-0000-0000-0000B3060000}"/>
    <cellStyle name="20% - Accent1 15 3 5" xfId="1212" xr:uid="{00000000-0005-0000-0000-0000B4060000}"/>
    <cellStyle name="20% - Accent1 15 3 5 2" xfId="12626" xr:uid="{00000000-0005-0000-0000-0000B5060000}"/>
    <cellStyle name="20% - Accent1 15 3 5 3" xfId="16577" xr:uid="{00000000-0005-0000-0000-0000B6060000}"/>
    <cellStyle name="20% - Accent1 15 3 6" xfId="12618" xr:uid="{00000000-0005-0000-0000-0000B7060000}"/>
    <cellStyle name="20% - Accent1 15 3 7" xfId="16569" xr:uid="{00000000-0005-0000-0000-0000B8060000}"/>
    <cellStyle name="20% - Accent1 15 3_Volatility" xfId="1213" xr:uid="{00000000-0005-0000-0000-0000B9060000}"/>
    <cellStyle name="20% - Accent1 15 4" xfId="1214" xr:uid="{00000000-0005-0000-0000-0000BA060000}"/>
    <cellStyle name="20% - Accent1 15 4 2" xfId="1215" xr:uid="{00000000-0005-0000-0000-0000BB060000}"/>
    <cellStyle name="20% - Accent1 15 4 2 2" xfId="12628" xr:uid="{00000000-0005-0000-0000-0000BC060000}"/>
    <cellStyle name="20% - Accent1 15 4 2 3" xfId="16579" xr:uid="{00000000-0005-0000-0000-0000BD060000}"/>
    <cellStyle name="20% - Accent1 15 4 3" xfId="1216" xr:uid="{00000000-0005-0000-0000-0000BE060000}"/>
    <cellStyle name="20% - Accent1 15 4 3 2" xfId="12629" xr:uid="{00000000-0005-0000-0000-0000BF060000}"/>
    <cellStyle name="20% - Accent1 15 4 3 3" xfId="16580" xr:uid="{00000000-0005-0000-0000-0000C0060000}"/>
    <cellStyle name="20% - Accent1 15 4 4" xfId="12627" xr:uid="{00000000-0005-0000-0000-0000C1060000}"/>
    <cellStyle name="20% - Accent1 15 4 5" xfId="16578" xr:uid="{00000000-0005-0000-0000-0000C2060000}"/>
    <cellStyle name="20% - Accent1 15 5" xfId="1217" xr:uid="{00000000-0005-0000-0000-0000C3060000}"/>
    <cellStyle name="20% - Accent1 15 5 2" xfId="1218" xr:uid="{00000000-0005-0000-0000-0000C4060000}"/>
    <cellStyle name="20% - Accent1 15 5 2 2" xfId="12631" xr:uid="{00000000-0005-0000-0000-0000C5060000}"/>
    <cellStyle name="20% - Accent1 15 5 2 3" xfId="16582" xr:uid="{00000000-0005-0000-0000-0000C6060000}"/>
    <cellStyle name="20% - Accent1 15 5 3" xfId="1219" xr:uid="{00000000-0005-0000-0000-0000C7060000}"/>
    <cellStyle name="20% - Accent1 15 5 3 2" xfId="12632" xr:uid="{00000000-0005-0000-0000-0000C8060000}"/>
    <cellStyle name="20% - Accent1 15 5 3 3" xfId="16583" xr:uid="{00000000-0005-0000-0000-0000C9060000}"/>
    <cellStyle name="20% - Accent1 15 5 4" xfId="12630" xr:uid="{00000000-0005-0000-0000-0000CA060000}"/>
    <cellStyle name="20% - Accent1 15 5 5" xfId="16581" xr:uid="{00000000-0005-0000-0000-0000CB060000}"/>
    <cellStyle name="20% - Accent1 15 6" xfId="1220" xr:uid="{00000000-0005-0000-0000-0000CC060000}"/>
    <cellStyle name="20% - Accent1 15 6 2" xfId="1221" xr:uid="{00000000-0005-0000-0000-0000CD060000}"/>
    <cellStyle name="20% - Accent1 15 6 2 2" xfId="12634" xr:uid="{00000000-0005-0000-0000-0000CE060000}"/>
    <cellStyle name="20% - Accent1 15 6 2 3" xfId="16585" xr:uid="{00000000-0005-0000-0000-0000CF060000}"/>
    <cellStyle name="20% - Accent1 15 6 3" xfId="1222" xr:uid="{00000000-0005-0000-0000-0000D0060000}"/>
    <cellStyle name="20% - Accent1 15 6 3 2" xfId="12635" xr:uid="{00000000-0005-0000-0000-0000D1060000}"/>
    <cellStyle name="20% - Accent1 15 6 3 3" xfId="16586" xr:uid="{00000000-0005-0000-0000-0000D2060000}"/>
    <cellStyle name="20% - Accent1 15 6 4" xfId="12633" xr:uid="{00000000-0005-0000-0000-0000D3060000}"/>
    <cellStyle name="20% - Accent1 15 6 5" xfId="16584" xr:uid="{00000000-0005-0000-0000-0000D4060000}"/>
    <cellStyle name="20% - Accent1 15 7" xfId="1223" xr:uid="{00000000-0005-0000-0000-0000D5060000}"/>
    <cellStyle name="20% - Accent1 15 7 2" xfId="12636" xr:uid="{00000000-0005-0000-0000-0000D6060000}"/>
    <cellStyle name="20% - Accent1 15 7 3" xfId="16587" xr:uid="{00000000-0005-0000-0000-0000D7060000}"/>
    <cellStyle name="20% - Accent1 15 8" xfId="1224" xr:uid="{00000000-0005-0000-0000-0000D8060000}"/>
    <cellStyle name="20% - Accent1 15 8 2" xfId="12637" xr:uid="{00000000-0005-0000-0000-0000D9060000}"/>
    <cellStyle name="20% - Accent1 15 8 3" xfId="16588" xr:uid="{00000000-0005-0000-0000-0000DA060000}"/>
    <cellStyle name="20% - Accent1 15 9" xfId="12605" xr:uid="{00000000-0005-0000-0000-0000DB060000}"/>
    <cellStyle name="20% - Accent1 15_Volatility" xfId="1225" xr:uid="{00000000-0005-0000-0000-0000DC060000}"/>
    <cellStyle name="20% - Accent1 16" xfId="1226" xr:uid="{00000000-0005-0000-0000-0000DD060000}"/>
    <cellStyle name="20% - Accent1 16 2" xfId="12638" xr:uid="{00000000-0005-0000-0000-0000DE060000}"/>
    <cellStyle name="20% - Accent1 16 3" xfId="16589" xr:uid="{00000000-0005-0000-0000-0000DF060000}"/>
    <cellStyle name="20% - Accent1 17" xfId="1227" xr:uid="{00000000-0005-0000-0000-0000E0060000}"/>
    <cellStyle name="20% - Accent1 17 2" xfId="12639" xr:uid="{00000000-0005-0000-0000-0000E1060000}"/>
    <cellStyle name="20% - Accent1 17 3" xfId="16590" xr:uid="{00000000-0005-0000-0000-0000E2060000}"/>
    <cellStyle name="20% - Accent1 18" xfId="1228" xr:uid="{00000000-0005-0000-0000-0000E3060000}"/>
    <cellStyle name="20% - Accent1 18 2" xfId="12640" xr:uid="{00000000-0005-0000-0000-0000E4060000}"/>
    <cellStyle name="20% - Accent1 18 3" xfId="16591" xr:uid="{00000000-0005-0000-0000-0000E5060000}"/>
    <cellStyle name="20% - Accent1 19" xfId="1229" xr:uid="{00000000-0005-0000-0000-0000E6060000}"/>
    <cellStyle name="20% - Accent1 19 2" xfId="12641" xr:uid="{00000000-0005-0000-0000-0000E7060000}"/>
    <cellStyle name="20% - Accent1 19 3" xfId="16592" xr:uid="{00000000-0005-0000-0000-0000E8060000}"/>
    <cellStyle name="20% - Accent1 2" xfId="1230" xr:uid="{00000000-0005-0000-0000-0000E9060000}"/>
    <cellStyle name="20% - Accent1 2 10" xfId="16593" xr:uid="{00000000-0005-0000-0000-0000EA060000}"/>
    <cellStyle name="20% - Accent1 2 2" xfId="1231" xr:uid="{00000000-0005-0000-0000-0000EB060000}"/>
    <cellStyle name="20% - Accent1 2 2 2" xfId="1232" xr:uid="{00000000-0005-0000-0000-0000EC060000}"/>
    <cellStyle name="20% - Accent1 2 2 2 2" xfId="1233" xr:uid="{00000000-0005-0000-0000-0000ED060000}"/>
    <cellStyle name="20% - Accent1 2 2 2 2 2" xfId="12645" xr:uid="{00000000-0005-0000-0000-0000EE060000}"/>
    <cellStyle name="20% - Accent1 2 2 2 2 3" xfId="16596" xr:uid="{00000000-0005-0000-0000-0000EF060000}"/>
    <cellStyle name="20% - Accent1 2 2 2 3" xfId="1234" xr:uid="{00000000-0005-0000-0000-0000F0060000}"/>
    <cellStyle name="20% - Accent1 2 2 2 3 2" xfId="12646" xr:uid="{00000000-0005-0000-0000-0000F1060000}"/>
    <cellStyle name="20% - Accent1 2 2 2 3 3" xfId="16597" xr:uid="{00000000-0005-0000-0000-0000F2060000}"/>
    <cellStyle name="20% - Accent1 2 2 2 4" xfId="12644" xr:uid="{00000000-0005-0000-0000-0000F3060000}"/>
    <cellStyle name="20% - Accent1 2 2 2 5" xfId="16595" xr:uid="{00000000-0005-0000-0000-0000F4060000}"/>
    <cellStyle name="20% - Accent1 2 2 3" xfId="1235" xr:uid="{00000000-0005-0000-0000-0000F5060000}"/>
    <cellStyle name="20% - Accent1 2 2 3 2" xfId="1236" xr:uid="{00000000-0005-0000-0000-0000F6060000}"/>
    <cellStyle name="20% - Accent1 2 2 3 2 2" xfId="12648" xr:uid="{00000000-0005-0000-0000-0000F7060000}"/>
    <cellStyle name="20% - Accent1 2 2 3 2 3" xfId="16599" xr:uid="{00000000-0005-0000-0000-0000F8060000}"/>
    <cellStyle name="20% - Accent1 2 2 3 3" xfId="1237" xr:uid="{00000000-0005-0000-0000-0000F9060000}"/>
    <cellStyle name="20% - Accent1 2 2 3 3 2" xfId="12649" xr:uid="{00000000-0005-0000-0000-0000FA060000}"/>
    <cellStyle name="20% - Accent1 2 2 3 3 3" xfId="16600" xr:uid="{00000000-0005-0000-0000-0000FB060000}"/>
    <cellStyle name="20% - Accent1 2 2 3 4" xfId="12647" xr:uid="{00000000-0005-0000-0000-0000FC060000}"/>
    <cellStyle name="20% - Accent1 2 2 3 5" xfId="16598" xr:uid="{00000000-0005-0000-0000-0000FD060000}"/>
    <cellStyle name="20% - Accent1 2 2 4" xfId="1238" xr:uid="{00000000-0005-0000-0000-0000FE060000}"/>
    <cellStyle name="20% - Accent1 2 2 4 2" xfId="1239" xr:uid="{00000000-0005-0000-0000-0000FF060000}"/>
    <cellStyle name="20% - Accent1 2 2 4 2 2" xfId="12651" xr:uid="{00000000-0005-0000-0000-000000070000}"/>
    <cellStyle name="20% - Accent1 2 2 4 2 3" xfId="16602" xr:uid="{00000000-0005-0000-0000-000001070000}"/>
    <cellStyle name="20% - Accent1 2 2 4 3" xfId="1240" xr:uid="{00000000-0005-0000-0000-000002070000}"/>
    <cellStyle name="20% - Accent1 2 2 4 3 2" xfId="12652" xr:uid="{00000000-0005-0000-0000-000003070000}"/>
    <cellStyle name="20% - Accent1 2 2 4 3 3" xfId="16603" xr:uid="{00000000-0005-0000-0000-000004070000}"/>
    <cellStyle name="20% - Accent1 2 2 4 4" xfId="12650" xr:uid="{00000000-0005-0000-0000-000005070000}"/>
    <cellStyle name="20% - Accent1 2 2 4 5" xfId="16601" xr:uid="{00000000-0005-0000-0000-000006070000}"/>
    <cellStyle name="20% - Accent1 2 2 5" xfId="1241" xr:uid="{00000000-0005-0000-0000-000007070000}"/>
    <cellStyle name="20% - Accent1 2 2 5 2" xfId="12653" xr:uid="{00000000-0005-0000-0000-000008070000}"/>
    <cellStyle name="20% - Accent1 2 2 5 3" xfId="16604" xr:uid="{00000000-0005-0000-0000-000009070000}"/>
    <cellStyle name="20% - Accent1 2 2 6" xfId="1242" xr:uid="{00000000-0005-0000-0000-00000A070000}"/>
    <cellStyle name="20% - Accent1 2 2 6 2" xfId="12654" xr:uid="{00000000-0005-0000-0000-00000B070000}"/>
    <cellStyle name="20% - Accent1 2 2 6 3" xfId="16605" xr:uid="{00000000-0005-0000-0000-00000C070000}"/>
    <cellStyle name="20% - Accent1 2 2 7" xfId="12643" xr:uid="{00000000-0005-0000-0000-00000D070000}"/>
    <cellStyle name="20% - Accent1 2 2 8" xfId="16594" xr:uid="{00000000-0005-0000-0000-00000E070000}"/>
    <cellStyle name="20% - Accent1 2 2_Volatility" xfId="1243" xr:uid="{00000000-0005-0000-0000-00000F070000}"/>
    <cellStyle name="20% - Accent1 2 3" xfId="1244" xr:uid="{00000000-0005-0000-0000-000010070000}"/>
    <cellStyle name="20% - Accent1 2 3 2" xfId="1245" xr:uid="{00000000-0005-0000-0000-000011070000}"/>
    <cellStyle name="20% - Accent1 2 3 2 2" xfId="1246" xr:uid="{00000000-0005-0000-0000-000012070000}"/>
    <cellStyle name="20% - Accent1 2 3 2 2 2" xfId="12657" xr:uid="{00000000-0005-0000-0000-000013070000}"/>
    <cellStyle name="20% - Accent1 2 3 2 2 3" xfId="16608" xr:uid="{00000000-0005-0000-0000-000014070000}"/>
    <cellStyle name="20% - Accent1 2 3 2 3" xfId="1247" xr:uid="{00000000-0005-0000-0000-000015070000}"/>
    <cellStyle name="20% - Accent1 2 3 2 3 2" xfId="12658" xr:uid="{00000000-0005-0000-0000-000016070000}"/>
    <cellStyle name="20% - Accent1 2 3 2 3 3" xfId="16609" xr:uid="{00000000-0005-0000-0000-000017070000}"/>
    <cellStyle name="20% - Accent1 2 3 2 4" xfId="12656" xr:uid="{00000000-0005-0000-0000-000018070000}"/>
    <cellStyle name="20% - Accent1 2 3 2 5" xfId="16607" xr:uid="{00000000-0005-0000-0000-000019070000}"/>
    <cellStyle name="20% - Accent1 2 3 3" xfId="1248" xr:uid="{00000000-0005-0000-0000-00001A070000}"/>
    <cellStyle name="20% - Accent1 2 3 3 2" xfId="1249" xr:uid="{00000000-0005-0000-0000-00001B070000}"/>
    <cellStyle name="20% - Accent1 2 3 3 2 2" xfId="12660" xr:uid="{00000000-0005-0000-0000-00001C070000}"/>
    <cellStyle name="20% - Accent1 2 3 3 2 3" xfId="16611" xr:uid="{00000000-0005-0000-0000-00001D070000}"/>
    <cellStyle name="20% - Accent1 2 3 3 3" xfId="1250" xr:uid="{00000000-0005-0000-0000-00001E070000}"/>
    <cellStyle name="20% - Accent1 2 3 3 3 2" xfId="12661" xr:uid="{00000000-0005-0000-0000-00001F070000}"/>
    <cellStyle name="20% - Accent1 2 3 3 3 3" xfId="16612" xr:uid="{00000000-0005-0000-0000-000020070000}"/>
    <cellStyle name="20% - Accent1 2 3 3 4" xfId="12659" xr:uid="{00000000-0005-0000-0000-000021070000}"/>
    <cellStyle name="20% - Accent1 2 3 3 5" xfId="16610" xr:uid="{00000000-0005-0000-0000-000022070000}"/>
    <cellStyle name="20% - Accent1 2 3 4" xfId="1251" xr:uid="{00000000-0005-0000-0000-000023070000}"/>
    <cellStyle name="20% - Accent1 2 3 4 2" xfId="12662" xr:uid="{00000000-0005-0000-0000-000024070000}"/>
    <cellStyle name="20% - Accent1 2 3 4 3" xfId="16613" xr:uid="{00000000-0005-0000-0000-000025070000}"/>
    <cellStyle name="20% - Accent1 2 3 5" xfId="1252" xr:uid="{00000000-0005-0000-0000-000026070000}"/>
    <cellStyle name="20% - Accent1 2 3 5 2" xfId="12663" xr:uid="{00000000-0005-0000-0000-000027070000}"/>
    <cellStyle name="20% - Accent1 2 3 5 3" xfId="16614" xr:uid="{00000000-0005-0000-0000-000028070000}"/>
    <cellStyle name="20% - Accent1 2 3 6" xfId="12655" xr:uid="{00000000-0005-0000-0000-000029070000}"/>
    <cellStyle name="20% - Accent1 2 3 7" xfId="16606" xr:uid="{00000000-0005-0000-0000-00002A070000}"/>
    <cellStyle name="20% - Accent1 2 3_Volatility" xfId="1253" xr:uid="{00000000-0005-0000-0000-00002B070000}"/>
    <cellStyle name="20% - Accent1 2 4" xfId="1254" xr:uid="{00000000-0005-0000-0000-00002C070000}"/>
    <cellStyle name="20% - Accent1 2 4 2" xfId="1255" xr:uid="{00000000-0005-0000-0000-00002D070000}"/>
    <cellStyle name="20% - Accent1 2 4 2 2" xfId="12665" xr:uid="{00000000-0005-0000-0000-00002E070000}"/>
    <cellStyle name="20% - Accent1 2 4 2 3" xfId="16616" xr:uid="{00000000-0005-0000-0000-00002F070000}"/>
    <cellStyle name="20% - Accent1 2 4 3" xfId="1256" xr:uid="{00000000-0005-0000-0000-000030070000}"/>
    <cellStyle name="20% - Accent1 2 4 3 2" xfId="12666" xr:uid="{00000000-0005-0000-0000-000031070000}"/>
    <cellStyle name="20% - Accent1 2 4 3 3" xfId="16617" xr:uid="{00000000-0005-0000-0000-000032070000}"/>
    <cellStyle name="20% - Accent1 2 4 4" xfId="12664" xr:uid="{00000000-0005-0000-0000-000033070000}"/>
    <cellStyle name="20% - Accent1 2 4 5" xfId="16615" xr:uid="{00000000-0005-0000-0000-000034070000}"/>
    <cellStyle name="20% - Accent1 2 5" xfId="1257" xr:uid="{00000000-0005-0000-0000-000035070000}"/>
    <cellStyle name="20% - Accent1 2 5 2" xfId="1258" xr:uid="{00000000-0005-0000-0000-000036070000}"/>
    <cellStyle name="20% - Accent1 2 5 2 2" xfId="12668" xr:uid="{00000000-0005-0000-0000-000037070000}"/>
    <cellStyle name="20% - Accent1 2 5 2 3" xfId="16619" xr:uid="{00000000-0005-0000-0000-000038070000}"/>
    <cellStyle name="20% - Accent1 2 5 3" xfId="1259" xr:uid="{00000000-0005-0000-0000-000039070000}"/>
    <cellStyle name="20% - Accent1 2 5 3 2" xfId="12669" xr:uid="{00000000-0005-0000-0000-00003A070000}"/>
    <cellStyle name="20% - Accent1 2 5 3 3" xfId="16620" xr:uid="{00000000-0005-0000-0000-00003B070000}"/>
    <cellStyle name="20% - Accent1 2 5 4" xfId="12667" xr:uid="{00000000-0005-0000-0000-00003C070000}"/>
    <cellStyle name="20% - Accent1 2 5 5" xfId="16618" xr:uid="{00000000-0005-0000-0000-00003D070000}"/>
    <cellStyle name="20% - Accent1 2 6" xfId="1260" xr:uid="{00000000-0005-0000-0000-00003E070000}"/>
    <cellStyle name="20% - Accent1 2 6 2" xfId="1261" xr:uid="{00000000-0005-0000-0000-00003F070000}"/>
    <cellStyle name="20% - Accent1 2 6 2 2" xfId="12671" xr:uid="{00000000-0005-0000-0000-000040070000}"/>
    <cellStyle name="20% - Accent1 2 6 2 3" xfId="16622" xr:uid="{00000000-0005-0000-0000-000041070000}"/>
    <cellStyle name="20% - Accent1 2 6 3" xfId="1262" xr:uid="{00000000-0005-0000-0000-000042070000}"/>
    <cellStyle name="20% - Accent1 2 6 3 2" xfId="12672" xr:uid="{00000000-0005-0000-0000-000043070000}"/>
    <cellStyle name="20% - Accent1 2 6 3 3" xfId="16623" xr:uid="{00000000-0005-0000-0000-000044070000}"/>
    <cellStyle name="20% - Accent1 2 6 4" xfId="12670" xr:uid="{00000000-0005-0000-0000-000045070000}"/>
    <cellStyle name="20% - Accent1 2 6 5" xfId="16621" xr:uid="{00000000-0005-0000-0000-000046070000}"/>
    <cellStyle name="20% - Accent1 2 7" xfId="1263" xr:uid="{00000000-0005-0000-0000-000047070000}"/>
    <cellStyle name="20% - Accent1 2 7 2" xfId="12673" xr:uid="{00000000-0005-0000-0000-000048070000}"/>
    <cellStyle name="20% - Accent1 2 7 3" xfId="16624" xr:uid="{00000000-0005-0000-0000-000049070000}"/>
    <cellStyle name="20% - Accent1 2 8" xfId="1264" xr:uid="{00000000-0005-0000-0000-00004A070000}"/>
    <cellStyle name="20% - Accent1 2 8 2" xfId="12674" xr:uid="{00000000-0005-0000-0000-00004B070000}"/>
    <cellStyle name="20% - Accent1 2 8 3" xfId="16625" xr:uid="{00000000-0005-0000-0000-00004C070000}"/>
    <cellStyle name="20% - Accent1 2 9" xfId="12642" xr:uid="{00000000-0005-0000-0000-00004D070000}"/>
    <cellStyle name="20% - Accent1 2_Volatility" xfId="1265" xr:uid="{00000000-0005-0000-0000-00004E070000}"/>
    <cellStyle name="20% - Accent1 3" xfId="1266" xr:uid="{00000000-0005-0000-0000-00004F070000}"/>
    <cellStyle name="20% - Accent1 3 10" xfId="16626" xr:uid="{00000000-0005-0000-0000-000050070000}"/>
    <cellStyle name="20% - Accent1 3 2" xfId="1267" xr:uid="{00000000-0005-0000-0000-000051070000}"/>
    <cellStyle name="20% - Accent1 3 2 2" xfId="1268" xr:uid="{00000000-0005-0000-0000-000052070000}"/>
    <cellStyle name="20% - Accent1 3 2 2 2" xfId="1269" xr:uid="{00000000-0005-0000-0000-000053070000}"/>
    <cellStyle name="20% - Accent1 3 2 2 2 2" xfId="12678" xr:uid="{00000000-0005-0000-0000-000054070000}"/>
    <cellStyle name="20% - Accent1 3 2 2 2 3" xfId="16629" xr:uid="{00000000-0005-0000-0000-000055070000}"/>
    <cellStyle name="20% - Accent1 3 2 2 3" xfId="1270" xr:uid="{00000000-0005-0000-0000-000056070000}"/>
    <cellStyle name="20% - Accent1 3 2 2 3 2" xfId="12679" xr:uid="{00000000-0005-0000-0000-000057070000}"/>
    <cellStyle name="20% - Accent1 3 2 2 3 3" xfId="16630" xr:uid="{00000000-0005-0000-0000-000058070000}"/>
    <cellStyle name="20% - Accent1 3 2 2 4" xfId="12677" xr:uid="{00000000-0005-0000-0000-000059070000}"/>
    <cellStyle name="20% - Accent1 3 2 2 5" xfId="16628" xr:uid="{00000000-0005-0000-0000-00005A070000}"/>
    <cellStyle name="20% - Accent1 3 2 3" xfId="1271" xr:uid="{00000000-0005-0000-0000-00005B070000}"/>
    <cellStyle name="20% - Accent1 3 2 3 2" xfId="1272" xr:uid="{00000000-0005-0000-0000-00005C070000}"/>
    <cellStyle name="20% - Accent1 3 2 3 2 2" xfId="12681" xr:uid="{00000000-0005-0000-0000-00005D070000}"/>
    <cellStyle name="20% - Accent1 3 2 3 2 3" xfId="16632" xr:uid="{00000000-0005-0000-0000-00005E070000}"/>
    <cellStyle name="20% - Accent1 3 2 3 3" xfId="1273" xr:uid="{00000000-0005-0000-0000-00005F070000}"/>
    <cellStyle name="20% - Accent1 3 2 3 3 2" xfId="12682" xr:uid="{00000000-0005-0000-0000-000060070000}"/>
    <cellStyle name="20% - Accent1 3 2 3 3 3" xfId="16633" xr:uid="{00000000-0005-0000-0000-000061070000}"/>
    <cellStyle name="20% - Accent1 3 2 3 4" xfId="12680" xr:uid="{00000000-0005-0000-0000-000062070000}"/>
    <cellStyle name="20% - Accent1 3 2 3 5" xfId="16631" xr:uid="{00000000-0005-0000-0000-000063070000}"/>
    <cellStyle name="20% - Accent1 3 2 4" xfId="1274" xr:uid="{00000000-0005-0000-0000-000064070000}"/>
    <cellStyle name="20% - Accent1 3 2 4 2" xfId="1275" xr:uid="{00000000-0005-0000-0000-000065070000}"/>
    <cellStyle name="20% - Accent1 3 2 4 2 2" xfId="12684" xr:uid="{00000000-0005-0000-0000-000066070000}"/>
    <cellStyle name="20% - Accent1 3 2 4 2 3" xfId="16635" xr:uid="{00000000-0005-0000-0000-000067070000}"/>
    <cellStyle name="20% - Accent1 3 2 4 3" xfId="1276" xr:uid="{00000000-0005-0000-0000-000068070000}"/>
    <cellStyle name="20% - Accent1 3 2 4 3 2" xfId="12685" xr:uid="{00000000-0005-0000-0000-000069070000}"/>
    <cellStyle name="20% - Accent1 3 2 4 3 3" xfId="16636" xr:uid="{00000000-0005-0000-0000-00006A070000}"/>
    <cellStyle name="20% - Accent1 3 2 4 4" xfId="12683" xr:uid="{00000000-0005-0000-0000-00006B070000}"/>
    <cellStyle name="20% - Accent1 3 2 4 5" xfId="16634" xr:uid="{00000000-0005-0000-0000-00006C070000}"/>
    <cellStyle name="20% - Accent1 3 2 5" xfId="1277" xr:uid="{00000000-0005-0000-0000-00006D070000}"/>
    <cellStyle name="20% - Accent1 3 2 5 2" xfId="12686" xr:uid="{00000000-0005-0000-0000-00006E070000}"/>
    <cellStyle name="20% - Accent1 3 2 5 3" xfId="16637" xr:uid="{00000000-0005-0000-0000-00006F070000}"/>
    <cellStyle name="20% - Accent1 3 2 6" xfId="1278" xr:uid="{00000000-0005-0000-0000-000070070000}"/>
    <cellStyle name="20% - Accent1 3 2 6 2" xfId="12687" xr:uid="{00000000-0005-0000-0000-000071070000}"/>
    <cellStyle name="20% - Accent1 3 2 6 3" xfId="16638" xr:uid="{00000000-0005-0000-0000-000072070000}"/>
    <cellStyle name="20% - Accent1 3 2 7" xfId="12676" xr:uid="{00000000-0005-0000-0000-000073070000}"/>
    <cellStyle name="20% - Accent1 3 2 8" xfId="16627" xr:uid="{00000000-0005-0000-0000-000074070000}"/>
    <cellStyle name="20% - Accent1 3 2_Volatility" xfId="1279" xr:uid="{00000000-0005-0000-0000-000075070000}"/>
    <cellStyle name="20% - Accent1 3 3" xfId="1280" xr:uid="{00000000-0005-0000-0000-000076070000}"/>
    <cellStyle name="20% - Accent1 3 3 2" xfId="1281" xr:uid="{00000000-0005-0000-0000-000077070000}"/>
    <cellStyle name="20% - Accent1 3 3 2 2" xfId="1282" xr:uid="{00000000-0005-0000-0000-000078070000}"/>
    <cellStyle name="20% - Accent1 3 3 2 2 2" xfId="12690" xr:uid="{00000000-0005-0000-0000-000079070000}"/>
    <cellStyle name="20% - Accent1 3 3 2 2 3" xfId="16641" xr:uid="{00000000-0005-0000-0000-00007A070000}"/>
    <cellStyle name="20% - Accent1 3 3 2 3" xfId="1283" xr:uid="{00000000-0005-0000-0000-00007B070000}"/>
    <cellStyle name="20% - Accent1 3 3 2 3 2" xfId="12691" xr:uid="{00000000-0005-0000-0000-00007C070000}"/>
    <cellStyle name="20% - Accent1 3 3 2 3 3" xfId="16642" xr:uid="{00000000-0005-0000-0000-00007D070000}"/>
    <cellStyle name="20% - Accent1 3 3 2 4" xfId="12689" xr:uid="{00000000-0005-0000-0000-00007E070000}"/>
    <cellStyle name="20% - Accent1 3 3 2 5" xfId="16640" xr:uid="{00000000-0005-0000-0000-00007F070000}"/>
    <cellStyle name="20% - Accent1 3 3 3" xfId="1284" xr:uid="{00000000-0005-0000-0000-000080070000}"/>
    <cellStyle name="20% - Accent1 3 3 3 2" xfId="1285" xr:uid="{00000000-0005-0000-0000-000081070000}"/>
    <cellStyle name="20% - Accent1 3 3 3 2 2" xfId="12693" xr:uid="{00000000-0005-0000-0000-000082070000}"/>
    <cellStyle name="20% - Accent1 3 3 3 2 3" xfId="16644" xr:uid="{00000000-0005-0000-0000-000083070000}"/>
    <cellStyle name="20% - Accent1 3 3 3 3" xfId="1286" xr:uid="{00000000-0005-0000-0000-000084070000}"/>
    <cellStyle name="20% - Accent1 3 3 3 3 2" xfId="12694" xr:uid="{00000000-0005-0000-0000-000085070000}"/>
    <cellStyle name="20% - Accent1 3 3 3 3 3" xfId="16645" xr:uid="{00000000-0005-0000-0000-000086070000}"/>
    <cellStyle name="20% - Accent1 3 3 3 4" xfId="12692" xr:uid="{00000000-0005-0000-0000-000087070000}"/>
    <cellStyle name="20% - Accent1 3 3 3 5" xfId="16643" xr:uid="{00000000-0005-0000-0000-000088070000}"/>
    <cellStyle name="20% - Accent1 3 3 4" xfId="1287" xr:uid="{00000000-0005-0000-0000-000089070000}"/>
    <cellStyle name="20% - Accent1 3 3 4 2" xfId="12695" xr:uid="{00000000-0005-0000-0000-00008A070000}"/>
    <cellStyle name="20% - Accent1 3 3 4 3" xfId="16646" xr:uid="{00000000-0005-0000-0000-00008B070000}"/>
    <cellStyle name="20% - Accent1 3 3 5" xfId="1288" xr:uid="{00000000-0005-0000-0000-00008C070000}"/>
    <cellStyle name="20% - Accent1 3 3 5 2" xfId="12696" xr:uid="{00000000-0005-0000-0000-00008D070000}"/>
    <cellStyle name="20% - Accent1 3 3 5 3" xfId="16647" xr:uid="{00000000-0005-0000-0000-00008E070000}"/>
    <cellStyle name="20% - Accent1 3 3 6" xfId="12688" xr:uid="{00000000-0005-0000-0000-00008F070000}"/>
    <cellStyle name="20% - Accent1 3 3 7" xfId="16639" xr:uid="{00000000-0005-0000-0000-000090070000}"/>
    <cellStyle name="20% - Accent1 3 3_Volatility" xfId="1289" xr:uid="{00000000-0005-0000-0000-000091070000}"/>
    <cellStyle name="20% - Accent1 3 4" xfId="1290" xr:uid="{00000000-0005-0000-0000-000092070000}"/>
    <cellStyle name="20% - Accent1 3 4 2" xfId="1291" xr:uid="{00000000-0005-0000-0000-000093070000}"/>
    <cellStyle name="20% - Accent1 3 4 2 2" xfId="12698" xr:uid="{00000000-0005-0000-0000-000094070000}"/>
    <cellStyle name="20% - Accent1 3 4 2 3" xfId="16649" xr:uid="{00000000-0005-0000-0000-000095070000}"/>
    <cellStyle name="20% - Accent1 3 4 3" xfId="1292" xr:uid="{00000000-0005-0000-0000-000096070000}"/>
    <cellStyle name="20% - Accent1 3 4 3 2" xfId="12699" xr:uid="{00000000-0005-0000-0000-000097070000}"/>
    <cellStyle name="20% - Accent1 3 4 3 3" xfId="16650" xr:uid="{00000000-0005-0000-0000-000098070000}"/>
    <cellStyle name="20% - Accent1 3 4 4" xfId="12697" xr:uid="{00000000-0005-0000-0000-000099070000}"/>
    <cellStyle name="20% - Accent1 3 4 5" xfId="16648" xr:uid="{00000000-0005-0000-0000-00009A070000}"/>
    <cellStyle name="20% - Accent1 3 5" xfId="1293" xr:uid="{00000000-0005-0000-0000-00009B070000}"/>
    <cellStyle name="20% - Accent1 3 5 2" xfId="1294" xr:uid="{00000000-0005-0000-0000-00009C070000}"/>
    <cellStyle name="20% - Accent1 3 5 2 2" xfId="12701" xr:uid="{00000000-0005-0000-0000-00009D070000}"/>
    <cellStyle name="20% - Accent1 3 5 2 3" xfId="16652" xr:uid="{00000000-0005-0000-0000-00009E070000}"/>
    <cellStyle name="20% - Accent1 3 5 3" xfId="1295" xr:uid="{00000000-0005-0000-0000-00009F070000}"/>
    <cellStyle name="20% - Accent1 3 5 3 2" xfId="12702" xr:uid="{00000000-0005-0000-0000-0000A0070000}"/>
    <cellStyle name="20% - Accent1 3 5 3 3" xfId="16653" xr:uid="{00000000-0005-0000-0000-0000A1070000}"/>
    <cellStyle name="20% - Accent1 3 5 4" xfId="12700" xr:uid="{00000000-0005-0000-0000-0000A2070000}"/>
    <cellStyle name="20% - Accent1 3 5 5" xfId="16651" xr:uid="{00000000-0005-0000-0000-0000A3070000}"/>
    <cellStyle name="20% - Accent1 3 6" xfId="1296" xr:uid="{00000000-0005-0000-0000-0000A4070000}"/>
    <cellStyle name="20% - Accent1 3 6 2" xfId="1297" xr:uid="{00000000-0005-0000-0000-0000A5070000}"/>
    <cellStyle name="20% - Accent1 3 6 2 2" xfId="12704" xr:uid="{00000000-0005-0000-0000-0000A6070000}"/>
    <cellStyle name="20% - Accent1 3 6 2 3" xfId="16655" xr:uid="{00000000-0005-0000-0000-0000A7070000}"/>
    <cellStyle name="20% - Accent1 3 6 3" xfId="1298" xr:uid="{00000000-0005-0000-0000-0000A8070000}"/>
    <cellStyle name="20% - Accent1 3 6 3 2" xfId="12705" xr:uid="{00000000-0005-0000-0000-0000A9070000}"/>
    <cellStyle name="20% - Accent1 3 6 3 3" xfId="16656" xr:uid="{00000000-0005-0000-0000-0000AA070000}"/>
    <cellStyle name="20% - Accent1 3 6 4" xfId="12703" xr:uid="{00000000-0005-0000-0000-0000AB070000}"/>
    <cellStyle name="20% - Accent1 3 6 5" xfId="16654" xr:uid="{00000000-0005-0000-0000-0000AC070000}"/>
    <cellStyle name="20% - Accent1 3 7" xfId="1299" xr:uid="{00000000-0005-0000-0000-0000AD070000}"/>
    <cellStyle name="20% - Accent1 3 7 2" xfId="12706" xr:uid="{00000000-0005-0000-0000-0000AE070000}"/>
    <cellStyle name="20% - Accent1 3 7 3" xfId="16657" xr:uid="{00000000-0005-0000-0000-0000AF070000}"/>
    <cellStyle name="20% - Accent1 3 8" xfId="1300" xr:uid="{00000000-0005-0000-0000-0000B0070000}"/>
    <cellStyle name="20% - Accent1 3 8 2" xfId="12707" xr:uid="{00000000-0005-0000-0000-0000B1070000}"/>
    <cellStyle name="20% - Accent1 3 8 3" xfId="16658" xr:uid="{00000000-0005-0000-0000-0000B2070000}"/>
    <cellStyle name="20% - Accent1 3 9" xfId="12675" xr:uid="{00000000-0005-0000-0000-0000B3070000}"/>
    <cellStyle name="20% - Accent1 3_Volatility" xfId="1301" xr:uid="{00000000-0005-0000-0000-0000B4070000}"/>
    <cellStyle name="20% - Accent1 4" xfId="1302" xr:uid="{00000000-0005-0000-0000-0000B5070000}"/>
    <cellStyle name="20% - Accent1 4 10" xfId="16659" xr:uid="{00000000-0005-0000-0000-0000B6070000}"/>
    <cellStyle name="20% - Accent1 4 2" xfId="1303" xr:uid="{00000000-0005-0000-0000-0000B7070000}"/>
    <cellStyle name="20% - Accent1 4 2 2" xfId="1304" xr:uid="{00000000-0005-0000-0000-0000B8070000}"/>
    <cellStyle name="20% - Accent1 4 2 2 2" xfId="1305" xr:uid="{00000000-0005-0000-0000-0000B9070000}"/>
    <cellStyle name="20% - Accent1 4 2 2 2 2" xfId="12711" xr:uid="{00000000-0005-0000-0000-0000BA070000}"/>
    <cellStyle name="20% - Accent1 4 2 2 2 3" xfId="16662" xr:uid="{00000000-0005-0000-0000-0000BB070000}"/>
    <cellStyle name="20% - Accent1 4 2 2 3" xfId="1306" xr:uid="{00000000-0005-0000-0000-0000BC070000}"/>
    <cellStyle name="20% - Accent1 4 2 2 3 2" xfId="12712" xr:uid="{00000000-0005-0000-0000-0000BD070000}"/>
    <cellStyle name="20% - Accent1 4 2 2 3 3" xfId="16663" xr:uid="{00000000-0005-0000-0000-0000BE070000}"/>
    <cellStyle name="20% - Accent1 4 2 2 4" xfId="12710" xr:uid="{00000000-0005-0000-0000-0000BF070000}"/>
    <cellStyle name="20% - Accent1 4 2 2 5" xfId="16661" xr:uid="{00000000-0005-0000-0000-0000C0070000}"/>
    <cellStyle name="20% - Accent1 4 2 3" xfId="1307" xr:uid="{00000000-0005-0000-0000-0000C1070000}"/>
    <cellStyle name="20% - Accent1 4 2 3 2" xfId="1308" xr:uid="{00000000-0005-0000-0000-0000C2070000}"/>
    <cellStyle name="20% - Accent1 4 2 3 2 2" xfId="12714" xr:uid="{00000000-0005-0000-0000-0000C3070000}"/>
    <cellStyle name="20% - Accent1 4 2 3 2 3" xfId="16665" xr:uid="{00000000-0005-0000-0000-0000C4070000}"/>
    <cellStyle name="20% - Accent1 4 2 3 3" xfId="1309" xr:uid="{00000000-0005-0000-0000-0000C5070000}"/>
    <cellStyle name="20% - Accent1 4 2 3 3 2" xfId="12715" xr:uid="{00000000-0005-0000-0000-0000C6070000}"/>
    <cellStyle name="20% - Accent1 4 2 3 3 3" xfId="16666" xr:uid="{00000000-0005-0000-0000-0000C7070000}"/>
    <cellStyle name="20% - Accent1 4 2 3 4" xfId="12713" xr:uid="{00000000-0005-0000-0000-0000C8070000}"/>
    <cellStyle name="20% - Accent1 4 2 3 5" xfId="16664" xr:uid="{00000000-0005-0000-0000-0000C9070000}"/>
    <cellStyle name="20% - Accent1 4 2 4" xfId="1310" xr:uid="{00000000-0005-0000-0000-0000CA070000}"/>
    <cellStyle name="20% - Accent1 4 2 4 2" xfId="1311" xr:uid="{00000000-0005-0000-0000-0000CB070000}"/>
    <cellStyle name="20% - Accent1 4 2 4 2 2" xfId="12717" xr:uid="{00000000-0005-0000-0000-0000CC070000}"/>
    <cellStyle name="20% - Accent1 4 2 4 2 3" xfId="16668" xr:uid="{00000000-0005-0000-0000-0000CD070000}"/>
    <cellStyle name="20% - Accent1 4 2 4 3" xfId="1312" xr:uid="{00000000-0005-0000-0000-0000CE070000}"/>
    <cellStyle name="20% - Accent1 4 2 4 3 2" xfId="12718" xr:uid="{00000000-0005-0000-0000-0000CF070000}"/>
    <cellStyle name="20% - Accent1 4 2 4 3 3" xfId="16669" xr:uid="{00000000-0005-0000-0000-0000D0070000}"/>
    <cellStyle name="20% - Accent1 4 2 4 4" xfId="12716" xr:uid="{00000000-0005-0000-0000-0000D1070000}"/>
    <cellStyle name="20% - Accent1 4 2 4 5" xfId="16667" xr:uid="{00000000-0005-0000-0000-0000D2070000}"/>
    <cellStyle name="20% - Accent1 4 2 5" xfId="1313" xr:uid="{00000000-0005-0000-0000-0000D3070000}"/>
    <cellStyle name="20% - Accent1 4 2 5 2" xfId="12719" xr:uid="{00000000-0005-0000-0000-0000D4070000}"/>
    <cellStyle name="20% - Accent1 4 2 5 3" xfId="16670" xr:uid="{00000000-0005-0000-0000-0000D5070000}"/>
    <cellStyle name="20% - Accent1 4 2 6" xfId="1314" xr:uid="{00000000-0005-0000-0000-0000D6070000}"/>
    <cellStyle name="20% - Accent1 4 2 6 2" xfId="12720" xr:uid="{00000000-0005-0000-0000-0000D7070000}"/>
    <cellStyle name="20% - Accent1 4 2 6 3" xfId="16671" xr:uid="{00000000-0005-0000-0000-0000D8070000}"/>
    <cellStyle name="20% - Accent1 4 2 7" xfId="12709" xr:uid="{00000000-0005-0000-0000-0000D9070000}"/>
    <cellStyle name="20% - Accent1 4 2 8" xfId="16660" xr:uid="{00000000-0005-0000-0000-0000DA070000}"/>
    <cellStyle name="20% - Accent1 4 2_Volatility" xfId="1315" xr:uid="{00000000-0005-0000-0000-0000DB070000}"/>
    <cellStyle name="20% - Accent1 4 3" xfId="1316" xr:uid="{00000000-0005-0000-0000-0000DC070000}"/>
    <cellStyle name="20% - Accent1 4 3 2" xfId="1317" xr:uid="{00000000-0005-0000-0000-0000DD070000}"/>
    <cellStyle name="20% - Accent1 4 3 2 2" xfId="1318" xr:uid="{00000000-0005-0000-0000-0000DE070000}"/>
    <cellStyle name="20% - Accent1 4 3 2 2 2" xfId="12723" xr:uid="{00000000-0005-0000-0000-0000DF070000}"/>
    <cellStyle name="20% - Accent1 4 3 2 2 3" xfId="16674" xr:uid="{00000000-0005-0000-0000-0000E0070000}"/>
    <cellStyle name="20% - Accent1 4 3 2 3" xfId="1319" xr:uid="{00000000-0005-0000-0000-0000E1070000}"/>
    <cellStyle name="20% - Accent1 4 3 2 3 2" xfId="12724" xr:uid="{00000000-0005-0000-0000-0000E2070000}"/>
    <cellStyle name="20% - Accent1 4 3 2 3 3" xfId="16675" xr:uid="{00000000-0005-0000-0000-0000E3070000}"/>
    <cellStyle name="20% - Accent1 4 3 2 4" xfId="12722" xr:uid="{00000000-0005-0000-0000-0000E4070000}"/>
    <cellStyle name="20% - Accent1 4 3 2 5" xfId="16673" xr:uid="{00000000-0005-0000-0000-0000E5070000}"/>
    <cellStyle name="20% - Accent1 4 3 3" xfId="1320" xr:uid="{00000000-0005-0000-0000-0000E6070000}"/>
    <cellStyle name="20% - Accent1 4 3 3 2" xfId="1321" xr:uid="{00000000-0005-0000-0000-0000E7070000}"/>
    <cellStyle name="20% - Accent1 4 3 3 2 2" xfId="12726" xr:uid="{00000000-0005-0000-0000-0000E8070000}"/>
    <cellStyle name="20% - Accent1 4 3 3 2 3" xfId="16677" xr:uid="{00000000-0005-0000-0000-0000E9070000}"/>
    <cellStyle name="20% - Accent1 4 3 3 3" xfId="1322" xr:uid="{00000000-0005-0000-0000-0000EA070000}"/>
    <cellStyle name="20% - Accent1 4 3 3 3 2" xfId="12727" xr:uid="{00000000-0005-0000-0000-0000EB070000}"/>
    <cellStyle name="20% - Accent1 4 3 3 3 3" xfId="16678" xr:uid="{00000000-0005-0000-0000-0000EC070000}"/>
    <cellStyle name="20% - Accent1 4 3 3 4" xfId="12725" xr:uid="{00000000-0005-0000-0000-0000ED070000}"/>
    <cellStyle name="20% - Accent1 4 3 3 5" xfId="16676" xr:uid="{00000000-0005-0000-0000-0000EE070000}"/>
    <cellStyle name="20% - Accent1 4 3 4" xfId="1323" xr:uid="{00000000-0005-0000-0000-0000EF070000}"/>
    <cellStyle name="20% - Accent1 4 3 4 2" xfId="12728" xr:uid="{00000000-0005-0000-0000-0000F0070000}"/>
    <cellStyle name="20% - Accent1 4 3 4 3" xfId="16679" xr:uid="{00000000-0005-0000-0000-0000F1070000}"/>
    <cellStyle name="20% - Accent1 4 3 5" xfId="1324" xr:uid="{00000000-0005-0000-0000-0000F2070000}"/>
    <cellStyle name="20% - Accent1 4 3 5 2" xfId="12729" xr:uid="{00000000-0005-0000-0000-0000F3070000}"/>
    <cellStyle name="20% - Accent1 4 3 5 3" xfId="16680" xr:uid="{00000000-0005-0000-0000-0000F4070000}"/>
    <cellStyle name="20% - Accent1 4 3 6" xfId="12721" xr:uid="{00000000-0005-0000-0000-0000F5070000}"/>
    <cellStyle name="20% - Accent1 4 3 7" xfId="16672" xr:uid="{00000000-0005-0000-0000-0000F6070000}"/>
    <cellStyle name="20% - Accent1 4 3_Volatility" xfId="1325" xr:uid="{00000000-0005-0000-0000-0000F7070000}"/>
    <cellStyle name="20% - Accent1 4 4" xfId="1326" xr:uid="{00000000-0005-0000-0000-0000F8070000}"/>
    <cellStyle name="20% - Accent1 4 4 2" xfId="1327" xr:uid="{00000000-0005-0000-0000-0000F9070000}"/>
    <cellStyle name="20% - Accent1 4 4 2 2" xfId="12731" xr:uid="{00000000-0005-0000-0000-0000FA070000}"/>
    <cellStyle name="20% - Accent1 4 4 2 3" xfId="16682" xr:uid="{00000000-0005-0000-0000-0000FB070000}"/>
    <cellStyle name="20% - Accent1 4 4 3" xfId="1328" xr:uid="{00000000-0005-0000-0000-0000FC070000}"/>
    <cellStyle name="20% - Accent1 4 4 3 2" xfId="12732" xr:uid="{00000000-0005-0000-0000-0000FD070000}"/>
    <cellStyle name="20% - Accent1 4 4 3 3" xfId="16683" xr:uid="{00000000-0005-0000-0000-0000FE070000}"/>
    <cellStyle name="20% - Accent1 4 4 4" xfId="12730" xr:uid="{00000000-0005-0000-0000-0000FF070000}"/>
    <cellStyle name="20% - Accent1 4 4 5" xfId="16681" xr:uid="{00000000-0005-0000-0000-000000080000}"/>
    <cellStyle name="20% - Accent1 4 5" xfId="1329" xr:uid="{00000000-0005-0000-0000-000001080000}"/>
    <cellStyle name="20% - Accent1 4 5 2" xfId="1330" xr:uid="{00000000-0005-0000-0000-000002080000}"/>
    <cellStyle name="20% - Accent1 4 5 2 2" xfId="12734" xr:uid="{00000000-0005-0000-0000-000003080000}"/>
    <cellStyle name="20% - Accent1 4 5 2 3" xfId="16685" xr:uid="{00000000-0005-0000-0000-000004080000}"/>
    <cellStyle name="20% - Accent1 4 5 3" xfId="1331" xr:uid="{00000000-0005-0000-0000-000005080000}"/>
    <cellStyle name="20% - Accent1 4 5 3 2" xfId="12735" xr:uid="{00000000-0005-0000-0000-000006080000}"/>
    <cellStyle name="20% - Accent1 4 5 3 3" xfId="16686" xr:uid="{00000000-0005-0000-0000-000007080000}"/>
    <cellStyle name="20% - Accent1 4 5 4" xfId="12733" xr:uid="{00000000-0005-0000-0000-000008080000}"/>
    <cellStyle name="20% - Accent1 4 5 5" xfId="16684" xr:uid="{00000000-0005-0000-0000-000009080000}"/>
    <cellStyle name="20% - Accent1 4 6" xfId="1332" xr:uid="{00000000-0005-0000-0000-00000A080000}"/>
    <cellStyle name="20% - Accent1 4 6 2" xfId="1333" xr:uid="{00000000-0005-0000-0000-00000B080000}"/>
    <cellStyle name="20% - Accent1 4 6 2 2" xfId="12737" xr:uid="{00000000-0005-0000-0000-00000C080000}"/>
    <cellStyle name="20% - Accent1 4 6 2 3" xfId="16688" xr:uid="{00000000-0005-0000-0000-00000D080000}"/>
    <cellStyle name="20% - Accent1 4 6 3" xfId="1334" xr:uid="{00000000-0005-0000-0000-00000E080000}"/>
    <cellStyle name="20% - Accent1 4 6 3 2" xfId="12738" xr:uid="{00000000-0005-0000-0000-00000F080000}"/>
    <cellStyle name="20% - Accent1 4 6 3 3" xfId="16689" xr:uid="{00000000-0005-0000-0000-000010080000}"/>
    <cellStyle name="20% - Accent1 4 6 4" xfId="12736" xr:uid="{00000000-0005-0000-0000-000011080000}"/>
    <cellStyle name="20% - Accent1 4 6 5" xfId="16687" xr:uid="{00000000-0005-0000-0000-000012080000}"/>
    <cellStyle name="20% - Accent1 4 7" xfId="1335" xr:uid="{00000000-0005-0000-0000-000013080000}"/>
    <cellStyle name="20% - Accent1 4 7 2" xfId="12739" xr:uid="{00000000-0005-0000-0000-000014080000}"/>
    <cellStyle name="20% - Accent1 4 7 3" xfId="16690" xr:uid="{00000000-0005-0000-0000-000015080000}"/>
    <cellStyle name="20% - Accent1 4 8" xfId="1336" xr:uid="{00000000-0005-0000-0000-000016080000}"/>
    <cellStyle name="20% - Accent1 4 8 2" xfId="12740" xr:uid="{00000000-0005-0000-0000-000017080000}"/>
    <cellStyle name="20% - Accent1 4 8 3" xfId="16691" xr:uid="{00000000-0005-0000-0000-000018080000}"/>
    <cellStyle name="20% - Accent1 4 9" xfId="12708" xr:uid="{00000000-0005-0000-0000-000019080000}"/>
    <cellStyle name="20% - Accent1 4_Volatility" xfId="1337" xr:uid="{00000000-0005-0000-0000-00001A080000}"/>
    <cellStyle name="20% - Accent1 5" xfId="1338" xr:uid="{00000000-0005-0000-0000-00001B080000}"/>
    <cellStyle name="20% - Accent1 5 10" xfId="16692" xr:uid="{00000000-0005-0000-0000-00001C080000}"/>
    <cellStyle name="20% - Accent1 5 2" xfId="1339" xr:uid="{00000000-0005-0000-0000-00001D080000}"/>
    <cellStyle name="20% - Accent1 5 2 2" xfId="1340" xr:uid="{00000000-0005-0000-0000-00001E080000}"/>
    <cellStyle name="20% - Accent1 5 2 2 2" xfId="1341" xr:uid="{00000000-0005-0000-0000-00001F080000}"/>
    <cellStyle name="20% - Accent1 5 2 2 2 2" xfId="12744" xr:uid="{00000000-0005-0000-0000-000020080000}"/>
    <cellStyle name="20% - Accent1 5 2 2 2 3" xfId="16695" xr:uid="{00000000-0005-0000-0000-000021080000}"/>
    <cellStyle name="20% - Accent1 5 2 2 3" xfId="1342" xr:uid="{00000000-0005-0000-0000-000022080000}"/>
    <cellStyle name="20% - Accent1 5 2 2 3 2" xfId="12745" xr:uid="{00000000-0005-0000-0000-000023080000}"/>
    <cellStyle name="20% - Accent1 5 2 2 3 3" xfId="16696" xr:uid="{00000000-0005-0000-0000-000024080000}"/>
    <cellStyle name="20% - Accent1 5 2 2 4" xfId="12743" xr:uid="{00000000-0005-0000-0000-000025080000}"/>
    <cellStyle name="20% - Accent1 5 2 2 5" xfId="16694" xr:uid="{00000000-0005-0000-0000-000026080000}"/>
    <cellStyle name="20% - Accent1 5 2 3" xfId="1343" xr:uid="{00000000-0005-0000-0000-000027080000}"/>
    <cellStyle name="20% - Accent1 5 2 3 2" xfId="1344" xr:uid="{00000000-0005-0000-0000-000028080000}"/>
    <cellStyle name="20% - Accent1 5 2 3 2 2" xfId="12747" xr:uid="{00000000-0005-0000-0000-000029080000}"/>
    <cellStyle name="20% - Accent1 5 2 3 2 3" xfId="16698" xr:uid="{00000000-0005-0000-0000-00002A080000}"/>
    <cellStyle name="20% - Accent1 5 2 3 3" xfId="1345" xr:uid="{00000000-0005-0000-0000-00002B080000}"/>
    <cellStyle name="20% - Accent1 5 2 3 3 2" xfId="12748" xr:uid="{00000000-0005-0000-0000-00002C080000}"/>
    <cellStyle name="20% - Accent1 5 2 3 3 3" xfId="16699" xr:uid="{00000000-0005-0000-0000-00002D080000}"/>
    <cellStyle name="20% - Accent1 5 2 3 4" xfId="12746" xr:uid="{00000000-0005-0000-0000-00002E080000}"/>
    <cellStyle name="20% - Accent1 5 2 3 5" xfId="16697" xr:uid="{00000000-0005-0000-0000-00002F080000}"/>
    <cellStyle name="20% - Accent1 5 2 4" xfId="1346" xr:uid="{00000000-0005-0000-0000-000030080000}"/>
    <cellStyle name="20% - Accent1 5 2 4 2" xfId="1347" xr:uid="{00000000-0005-0000-0000-000031080000}"/>
    <cellStyle name="20% - Accent1 5 2 4 2 2" xfId="12750" xr:uid="{00000000-0005-0000-0000-000032080000}"/>
    <cellStyle name="20% - Accent1 5 2 4 2 3" xfId="16701" xr:uid="{00000000-0005-0000-0000-000033080000}"/>
    <cellStyle name="20% - Accent1 5 2 4 3" xfId="1348" xr:uid="{00000000-0005-0000-0000-000034080000}"/>
    <cellStyle name="20% - Accent1 5 2 4 3 2" xfId="12751" xr:uid="{00000000-0005-0000-0000-000035080000}"/>
    <cellStyle name="20% - Accent1 5 2 4 3 3" xfId="16702" xr:uid="{00000000-0005-0000-0000-000036080000}"/>
    <cellStyle name="20% - Accent1 5 2 4 4" xfId="12749" xr:uid="{00000000-0005-0000-0000-000037080000}"/>
    <cellStyle name="20% - Accent1 5 2 4 5" xfId="16700" xr:uid="{00000000-0005-0000-0000-000038080000}"/>
    <cellStyle name="20% - Accent1 5 2 5" xfId="1349" xr:uid="{00000000-0005-0000-0000-000039080000}"/>
    <cellStyle name="20% - Accent1 5 2 5 2" xfId="12752" xr:uid="{00000000-0005-0000-0000-00003A080000}"/>
    <cellStyle name="20% - Accent1 5 2 5 3" xfId="16703" xr:uid="{00000000-0005-0000-0000-00003B080000}"/>
    <cellStyle name="20% - Accent1 5 2 6" xfId="1350" xr:uid="{00000000-0005-0000-0000-00003C080000}"/>
    <cellStyle name="20% - Accent1 5 2 6 2" xfId="12753" xr:uid="{00000000-0005-0000-0000-00003D080000}"/>
    <cellStyle name="20% - Accent1 5 2 6 3" xfId="16704" xr:uid="{00000000-0005-0000-0000-00003E080000}"/>
    <cellStyle name="20% - Accent1 5 2 7" xfId="12742" xr:uid="{00000000-0005-0000-0000-00003F080000}"/>
    <cellStyle name="20% - Accent1 5 2 8" xfId="16693" xr:uid="{00000000-0005-0000-0000-000040080000}"/>
    <cellStyle name="20% - Accent1 5 2_Volatility" xfId="1351" xr:uid="{00000000-0005-0000-0000-000041080000}"/>
    <cellStyle name="20% - Accent1 5 3" xfId="1352" xr:uid="{00000000-0005-0000-0000-000042080000}"/>
    <cellStyle name="20% - Accent1 5 3 2" xfId="1353" xr:uid="{00000000-0005-0000-0000-000043080000}"/>
    <cellStyle name="20% - Accent1 5 3 2 2" xfId="1354" xr:uid="{00000000-0005-0000-0000-000044080000}"/>
    <cellStyle name="20% - Accent1 5 3 2 2 2" xfId="12756" xr:uid="{00000000-0005-0000-0000-000045080000}"/>
    <cellStyle name="20% - Accent1 5 3 2 2 3" xfId="16707" xr:uid="{00000000-0005-0000-0000-000046080000}"/>
    <cellStyle name="20% - Accent1 5 3 2 3" xfId="1355" xr:uid="{00000000-0005-0000-0000-000047080000}"/>
    <cellStyle name="20% - Accent1 5 3 2 3 2" xfId="12757" xr:uid="{00000000-0005-0000-0000-000048080000}"/>
    <cellStyle name="20% - Accent1 5 3 2 3 3" xfId="16708" xr:uid="{00000000-0005-0000-0000-000049080000}"/>
    <cellStyle name="20% - Accent1 5 3 2 4" xfId="12755" xr:uid="{00000000-0005-0000-0000-00004A080000}"/>
    <cellStyle name="20% - Accent1 5 3 2 5" xfId="16706" xr:uid="{00000000-0005-0000-0000-00004B080000}"/>
    <cellStyle name="20% - Accent1 5 3 3" xfId="1356" xr:uid="{00000000-0005-0000-0000-00004C080000}"/>
    <cellStyle name="20% - Accent1 5 3 3 2" xfId="1357" xr:uid="{00000000-0005-0000-0000-00004D080000}"/>
    <cellStyle name="20% - Accent1 5 3 3 2 2" xfId="12759" xr:uid="{00000000-0005-0000-0000-00004E080000}"/>
    <cellStyle name="20% - Accent1 5 3 3 2 3" xfId="16710" xr:uid="{00000000-0005-0000-0000-00004F080000}"/>
    <cellStyle name="20% - Accent1 5 3 3 3" xfId="1358" xr:uid="{00000000-0005-0000-0000-000050080000}"/>
    <cellStyle name="20% - Accent1 5 3 3 3 2" xfId="12760" xr:uid="{00000000-0005-0000-0000-000051080000}"/>
    <cellStyle name="20% - Accent1 5 3 3 3 3" xfId="16711" xr:uid="{00000000-0005-0000-0000-000052080000}"/>
    <cellStyle name="20% - Accent1 5 3 3 4" xfId="12758" xr:uid="{00000000-0005-0000-0000-000053080000}"/>
    <cellStyle name="20% - Accent1 5 3 3 5" xfId="16709" xr:uid="{00000000-0005-0000-0000-000054080000}"/>
    <cellStyle name="20% - Accent1 5 3 4" xfId="1359" xr:uid="{00000000-0005-0000-0000-000055080000}"/>
    <cellStyle name="20% - Accent1 5 3 4 2" xfId="12761" xr:uid="{00000000-0005-0000-0000-000056080000}"/>
    <cellStyle name="20% - Accent1 5 3 4 3" xfId="16712" xr:uid="{00000000-0005-0000-0000-000057080000}"/>
    <cellStyle name="20% - Accent1 5 3 5" xfId="1360" xr:uid="{00000000-0005-0000-0000-000058080000}"/>
    <cellStyle name="20% - Accent1 5 3 5 2" xfId="12762" xr:uid="{00000000-0005-0000-0000-000059080000}"/>
    <cellStyle name="20% - Accent1 5 3 5 3" xfId="16713" xr:uid="{00000000-0005-0000-0000-00005A080000}"/>
    <cellStyle name="20% - Accent1 5 3 6" xfId="12754" xr:uid="{00000000-0005-0000-0000-00005B080000}"/>
    <cellStyle name="20% - Accent1 5 3 7" xfId="16705" xr:uid="{00000000-0005-0000-0000-00005C080000}"/>
    <cellStyle name="20% - Accent1 5 3_Volatility" xfId="1361" xr:uid="{00000000-0005-0000-0000-00005D080000}"/>
    <cellStyle name="20% - Accent1 5 4" xfId="1362" xr:uid="{00000000-0005-0000-0000-00005E080000}"/>
    <cellStyle name="20% - Accent1 5 4 2" xfId="1363" xr:uid="{00000000-0005-0000-0000-00005F080000}"/>
    <cellStyle name="20% - Accent1 5 4 2 2" xfId="12764" xr:uid="{00000000-0005-0000-0000-000060080000}"/>
    <cellStyle name="20% - Accent1 5 4 2 3" xfId="16715" xr:uid="{00000000-0005-0000-0000-000061080000}"/>
    <cellStyle name="20% - Accent1 5 4 3" xfId="1364" xr:uid="{00000000-0005-0000-0000-000062080000}"/>
    <cellStyle name="20% - Accent1 5 4 3 2" xfId="12765" xr:uid="{00000000-0005-0000-0000-000063080000}"/>
    <cellStyle name="20% - Accent1 5 4 3 3" xfId="16716" xr:uid="{00000000-0005-0000-0000-000064080000}"/>
    <cellStyle name="20% - Accent1 5 4 4" xfId="12763" xr:uid="{00000000-0005-0000-0000-000065080000}"/>
    <cellStyle name="20% - Accent1 5 4 5" xfId="16714" xr:uid="{00000000-0005-0000-0000-000066080000}"/>
    <cellStyle name="20% - Accent1 5 5" xfId="1365" xr:uid="{00000000-0005-0000-0000-000067080000}"/>
    <cellStyle name="20% - Accent1 5 5 2" xfId="1366" xr:uid="{00000000-0005-0000-0000-000068080000}"/>
    <cellStyle name="20% - Accent1 5 5 2 2" xfId="12767" xr:uid="{00000000-0005-0000-0000-000069080000}"/>
    <cellStyle name="20% - Accent1 5 5 2 3" xfId="16718" xr:uid="{00000000-0005-0000-0000-00006A080000}"/>
    <cellStyle name="20% - Accent1 5 5 3" xfId="1367" xr:uid="{00000000-0005-0000-0000-00006B080000}"/>
    <cellStyle name="20% - Accent1 5 5 3 2" xfId="12768" xr:uid="{00000000-0005-0000-0000-00006C080000}"/>
    <cellStyle name="20% - Accent1 5 5 3 3" xfId="16719" xr:uid="{00000000-0005-0000-0000-00006D080000}"/>
    <cellStyle name="20% - Accent1 5 5 4" xfId="12766" xr:uid="{00000000-0005-0000-0000-00006E080000}"/>
    <cellStyle name="20% - Accent1 5 5 5" xfId="16717" xr:uid="{00000000-0005-0000-0000-00006F080000}"/>
    <cellStyle name="20% - Accent1 5 6" xfId="1368" xr:uid="{00000000-0005-0000-0000-000070080000}"/>
    <cellStyle name="20% - Accent1 5 6 2" xfId="1369" xr:uid="{00000000-0005-0000-0000-000071080000}"/>
    <cellStyle name="20% - Accent1 5 6 2 2" xfId="12770" xr:uid="{00000000-0005-0000-0000-000072080000}"/>
    <cellStyle name="20% - Accent1 5 6 2 3" xfId="16721" xr:uid="{00000000-0005-0000-0000-000073080000}"/>
    <cellStyle name="20% - Accent1 5 6 3" xfId="1370" xr:uid="{00000000-0005-0000-0000-000074080000}"/>
    <cellStyle name="20% - Accent1 5 6 3 2" xfId="12771" xr:uid="{00000000-0005-0000-0000-000075080000}"/>
    <cellStyle name="20% - Accent1 5 6 3 3" xfId="16722" xr:uid="{00000000-0005-0000-0000-000076080000}"/>
    <cellStyle name="20% - Accent1 5 6 4" xfId="12769" xr:uid="{00000000-0005-0000-0000-000077080000}"/>
    <cellStyle name="20% - Accent1 5 6 5" xfId="16720" xr:uid="{00000000-0005-0000-0000-000078080000}"/>
    <cellStyle name="20% - Accent1 5 7" xfId="1371" xr:uid="{00000000-0005-0000-0000-000079080000}"/>
    <cellStyle name="20% - Accent1 5 7 2" xfId="12772" xr:uid="{00000000-0005-0000-0000-00007A080000}"/>
    <cellStyle name="20% - Accent1 5 7 3" xfId="16723" xr:uid="{00000000-0005-0000-0000-00007B080000}"/>
    <cellStyle name="20% - Accent1 5 8" xfId="1372" xr:uid="{00000000-0005-0000-0000-00007C080000}"/>
    <cellStyle name="20% - Accent1 5 8 2" xfId="12773" xr:uid="{00000000-0005-0000-0000-00007D080000}"/>
    <cellStyle name="20% - Accent1 5 8 3" xfId="16724" xr:uid="{00000000-0005-0000-0000-00007E080000}"/>
    <cellStyle name="20% - Accent1 5 9" xfId="12741" xr:uid="{00000000-0005-0000-0000-00007F080000}"/>
    <cellStyle name="20% - Accent1 5_Volatility" xfId="1373" xr:uid="{00000000-0005-0000-0000-000080080000}"/>
    <cellStyle name="20% - Accent1 6" xfId="1374" xr:uid="{00000000-0005-0000-0000-000081080000}"/>
    <cellStyle name="20% - Accent1 6 10" xfId="16725" xr:uid="{00000000-0005-0000-0000-000082080000}"/>
    <cellStyle name="20% - Accent1 6 2" xfId="1375" xr:uid="{00000000-0005-0000-0000-000083080000}"/>
    <cellStyle name="20% - Accent1 6 2 2" xfId="1376" xr:uid="{00000000-0005-0000-0000-000084080000}"/>
    <cellStyle name="20% - Accent1 6 2 2 2" xfId="1377" xr:uid="{00000000-0005-0000-0000-000085080000}"/>
    <cellStyle name="20% - Accent1 6 2 2 2 2" xfId="12777" xr:uid="{00000000-0005-0000-0000-000086080000}"/>
    <cellStyle name="20% - Accent1 6 2 2 2 3" xfId="16728" xr:uid="{00000000-0005-0000-0000-000087080000}"/>
    <cellStyle name="20% - Accent1 6 2 2 3" xfId="1378" xr:uid="{00000000-0005-0000-0000-000088080000}"/>
    <cellStyle name="20% - Accent1 6 2 2 3 2" xfId="12778" xr:uid="{00000000-0005-0000-0000-000089080000}"/>
    <cellStyle name="20% - Accent1 6 2 2 3 3" xfId="16729" xr:uid="{00000000-0005-0000-0000-00008A080000}"/>
    <cellStyle name="20% - Accent1 6 2 2 4" xfId="12776" xr:uid="{00000000-0005-0000-0000-00008B080000}"/>
    <cellStyle name="20% - Accent1 6 2 2 5" xfId="16727" xr:uid="{00000000-0005-0000-0000-00008C080000}"/>
    <cellStyle name="20% - Accent1 6 2 3" xfId="1379" xr:uid="{00000000-0005-0000-0000-00008D080000}"/>
    <cellStyle name="20% - Accent1 6 2 3 2" xfId="1380" xr:uid="{00000000-0005-0000-0000-00008E080000}"/>
    <cellStyle name="20% - Accent1 6 2 3 2 2" xfId="12780" xr:uid="{00000000-0005-0000-0000-00008F080000}"/>
    <cellStyle name="20% - Accent1 6 2 3 2 3" xfId="16731" xr:uid="{00000000-0005-0000-0000-000090080000}"/>
    <cellStyle name="20% - Accent1 6 2 3 3" xfId="1381" xr:uid="{00000000-0005-0000-0000-000091080000}"/>
    <cellStyle name="20% - Accent1 6 2 3 3 2" xfId="12781" xr:uid="{00000000-0005-0000-0000-000092080000}"/>
    <cellStyle name="20% - Accent1 6 2 3 3 3" xfId="16732" xr:uid="{00000000-0005-0000-0000-000093080000}"/>
    <cellStyle name="20% - Accent1 6 2 3 4" xfId="12779" xr:uid="{00000000-0005-0000-0000-000094080000}"/>
    <cellStyle name="20% - Accent1 6 2 3 5" xfId="16730" xr:uid="{00000000-0005-0000-0000-000095080000}"/>
    <cellStyle name="20% - Accent1 6 2 4" xfId="1382" xr:uid="{00000000-0005-0000-0000-000096080000}"/>
    <cellStyle name="20% - Accent1 6 2 4 2" xfId="1383" xr:uid="{00000000-0005-0000-0000-000097080000}"/>
    <cellStyle name="20% - Accent1 6 2 4 2 2" xfId="12783" xr:uid="{00000000-0005-0000-0000-000098080000}"/>
    <cellStyle name="20% - Accent1 6 2 4 2 3" xfId="16734" xr:uid="{00000000-0005-0000-0000-000099080000}"/>
    <cellStyle name="20% - Accent1 6 2 4 3" xfId="1384" xr:uid="{00000000-0005-0000-0000-00009A080000}"/>
    <cellStyle name="20% - Accent1 6 2 4 3 2" xfId="12784" xr:uid="{00000000-0005-0000-0000-00009B080000}"/>
    <cellStyle name="20% - Accent1 6 2 4 3 3" xfId="16735" xr:uid="{00000000-0005-0000-0000-00009C080000}"/>
    <cellStyle name="20% - Accent1 6 2 4 4" xfId="12782" xr:uid="{00000000-0005-0000-0000-00009D080000}"/>
    <cellStyle name="20% - Accent1 6 2 4 5" xfId="16733" xr:uid="{00000000-0005-0000-0000-00009E080000}"/>
    <cellStyle name="20% - Accent1 6 2 5" xfId="1385" xr:uid="{00000000-0005-0000-0000-00009F080000}"/>
    <cellStyle name="20% - Accent1 6 2 5 2" xfId="12785" xr:uid="{00000000-0005-0000-0000-0000A0080000}"/>
    <cellStyle name="20% - Accent1 6 2 5 3" xfId="16736" xr:uid="{00000000-0005-0000-0000-0000A1080000}"/>
    <cellStyle name="20% - Accent1 6 2 6" xfId="1386" xr:uid="{00000000-0005-0000-0000-0000A2080000}"/>
    <cellStyle name="20% - Accent1 6 2 6 2" xfId="12786" xr:uid="{00000000-0005-0000-0000-0000A3080000}"/>
    <cellStyle name="20% - Accent1 6 2 6 3" xfId="16737" xr:uid="{00000000-0005-0000-0000-0000A4080000}"/>
    <cellStyle name="20% - Accent1 6 2 7" xfId="12775" xr:uid="{00000000-0005-0000-0000-0000A5080000}"/>
    <cellStyle name="20% - Accent1 6 2 8" xfId="16726" xr:uid="{00000000-0005-0000-0000-0000A6080000}"/>
    <cellStyle name="20% - Accent1 6 2_Volatility" xfId="1387" xr:uid="{00000000-0005-0000-0000-0000A7080000}"/>
    <cellStyle name="20% - Accent1 6 3" xfId="1388" xr:uid="{00000000-0005-0000-0000-0000A8080000}"/>
    <cellStyle name="20% - Accent1 6 3 2" xfId="1389" xr:uid="{00000000-0005-0000-0000-0000A9080000}"/>
    <cellStyle name="20% - Accent1 6 3 2 2" xfId="1390" xr:uid="{00000000-0005-0000-0000-0000AA080000}"/>
    <cellStyle name="20% - Accent1 6 3 2 2 2" xfId="12789" xr:uid="{00000000-0005-0000-0000-0000AB080000}"/>
    <cellStyle name="20% - Accent1 6 3 2 2 3" xfId="16740" xr:uid="{00000000-0005-0000-0000-0000AC080000}"/>
    <cellStyle name="20% - Accent1 6 3 2 3" xfId="1391" xr:uid="{00000000-0005-0000-0000-0000AD080000}"/>
    <cellStyle name="20% - Accent1 6 3 2 3 2" xfId="12790" xr:uid="{00000000-0005-0000-0000-0000AE080000}"/>
    <cellStyle name="20% - Accent1 6 3 2 3 3" xfId="16741" xr:uid="{00000000-0005-0000-0000-0000AF080000}"/>
    <cellStyle name="20% - Accent1 6 3 2 4" xfId="12788" xr:uid="{00000000-0005-0000-0000-0000B0080000}"/>
    <cellStyle name="20% - Accent1 6 3 2 5" xfId="16739" xr:uid="{00000000-0005-0000-0000-0000B1080000}"/>
    <cellStyle name="20% - Accent1 6 3 3" xfId="1392" xr:uid="{00000000-0005-0000-0000-0000B2080000}"/>
    <cellStyle name="20% - Accent1 6 3 3 2" xfId="1393" xr:uid="{00000000-0005-0000-0000-0000B3080000}"/>
    <cellStyle name="20% - Accent1 6 3 3 2 2" xfId="12792" xr:uid="{00000000-0005-0000-0000-0000B4080000}"/>
    <cellStyle name="20% - Accent1 6 3 3 2 3" xfId="16743" xr:uid="{00000000-0005-0000-0000-0000B5080000}"/>
    <cellStyle name="20% - Accent1 6 3 3 3" xfId="1394" xr:uid="{00000000-0005-0000-0000-0000B6080000}"/>
    <cellStyle name="20% - Accent1 6 3 3 3 2" xfId="12793" xr:uid="{00000000-0005-0000-0000-0000B7080000}"/>
    <cellStyle name="20% - Accent1 6 3 3 3 3" xfId="16744" xr:uid="{00000000-0005-0000-0000-0000B8080000}"/>
    <cellStyle name="20% - Accent1 6 3 3 4" xfId="12791" xr:uid="{00000000-0005-0000-0000-0000B9080000}"/>
    <cellStyle name="20% - Accent1 6 3 3 5" xfId="16742" xr:uid="{00000000-0005-0000-0000-0000BA080000}"/>
    <cellStyle name="20% - Accent1 6 3 4" xfId="1395" xr:uid="{00000000-0005-0000-0000-0000BB080000}"/>
    <cellStyle name="20% - Accent1 6 3 4 2" xfId="12794" xr:uid="{00000000-0005-0000-0000-0000BC080000}"/>
    <cellStyle name="20% - Accent1 6 3 4 3" xfId="16745" xr:uid="{00000000-0005-0000-0000-0000BD080000}"/>
    <cellStyle name="20% - Accent1 6 3 5" xfId="1396" xr:uid="{00000000-0005-0000-0000-0000BE080000}"/>
    <cellStyle name="20% - Accent1 6 3 5 2" xfId="12795" xr:uid="{00000000-0005-0000-0000-0000BF080000}"/>
    <cellStyle name="20% - Accent1 6 3 5 3" xfId="16746" xr:uid="{00000000-0005-0000-0000-0000C0080000}"/>
    <cellStyle name="20% - Accent1 6 3 6" xfId="12787" xr:uid="{00000000-0005-0000-0000-0000C1080000}"/>
    <cellStyle name="20% - Accent1 6 3 7" xfId="16738" xr:uid="{00000000-0005-0000-0000-0000C2080000}"/>
    <cellStyle name="20% - Accent1 6 3_Volatility" xfId="1397" xr:uid="{00000000-0005-0000-0000-0000C3080000}"/>
    <cellStyle name="20% - Accent1 6 4" xfId="1398" xr:uid="{00000000-0005-0000-0000-0000C4080000}"/>
    <cellStyle name="20% - Accent1 6 4 2" xfId="1399" xr:uid="{00000000-0005-0000-0000-0000C5080000}"/>
    <cellStyle name="20% - Accent1 6 4 2 2" xfId="12797" xr:uid="{00000000-0005-0000-0000-0000C6080000}"/>
    <cellStyle name="20% - Accent1 6 4 2 3" xfId="16748" xr:uid="{00000000-0005-0000-0000-0000C7080000}"/>
    <cellStyle name="20% - Accent1 6 4 3" xfId="1400" xr:uid="{00000000-0005-0000-0000-0000C8080000}"/>
    <cellStyle name="20% - Accent1 6 4 3 2" xfId="12798" xr:uid="{00000000-0005-0000-0000-0000C9080000}"/>
    <cellStyle name="20% - Accent1 6 4 3 3" xfId="16749" xr:uid="{00000000-0005-0000-0000-0000CA080000}"/>
    <cellStyle name="20% - Accent1 6 4 4" xfId="12796" xr:uid="{00000000-0005-0000-0000-0000CB080000}"/>
    <cellStyle name="20% - Accent1 6 4 5" xfId="16747" xr:uid="{00000000-0005-0000-0000-0000CC080000}"/>
    <cellStyle name="20% - Accent1 6 5" xfId="1401" xr:uid="{00000000-0005-0000-0000-0000CD080000}"/>
    <cellStyle name="20% - Accent1 6 5 2" xfId="1402" xr:uid="{00000000-0005-0000-0000-0000CE080000}"/>
    <cellStyle name="20% - Accent1 6 5 2 2" xfId="12800" xr:uid="{00000000-0005-0000-0000-0000CF080000}"/>
    <cellStyle name="20% - Accent1 6 5 2 3" xfId="16751" xr:uid="{00000000-0005-0000-0000-0000D0080000}"/>
    <cellStyle name="20% - Accent1 6 5 3" xfId="1403" xr:uid="{00000000-0005-0000-0000-0000D1080000}"/>
    <cellStyle name="20% - Accent1 6 5 3 2" xfId="12801" xr:uid="{00000000-0005-0000-0000-0000D2080000}"/>
    <cellStyle name="20% - Accent1 6 5 3 3" xfId="16752" xr:uid="{00000000-0005-0000-0000-0000D3080000}"/>
    <cellStyle name="20% - Accent1 6 5 4" xfId="12799" xr:uid="{00000000-0005-0000-0000-0000D4080000}"/>
    <cellStyle name="20% - Accent1 6 5 5" xfId="16750" xr:uid="{00000000-0005-0000-0000-0000D5080000}"/>
    <cellStyle name="20% - Accent1 6 6" xfId="1404" xr:uid="{00000000-0005-0000-0000-0000D6080000}"/>
    <cellStyle name="20% - Accent1 6 6 2" xfId="1405" xr:uid="{00000000-0005-0000-0000-0000D7080000}"/>
    <cellStyle name="20% - Accent1 6 6 2 2" xfId="12803" xr:uid="{00000000-0005-0000-0000-0000D8080000}"/>
    <cellStyle name="20% - Accent1 6 6 2 3" xfId="16754" xr:uid="{00000000-0005-0000-0000-0000D9080000}"/>
    <cellStyle name="20% - Accent1 6 6 3" xfId="1406" xr:uid="{00000000-0005-0000-0000-0000DA080000}"/>
    <cellStyle name="20% - Accent1 6 6 3 2" xfId="12804" xr:uid="{00000000-0005-0000-0000-0000DB080000}"/>
    <cellStyle name="20% - Accent1 6 6 3 3" xfId="16755" xr:uid="{00000000-0005-0000-0000-0000DC080000}"/>
    <cellStyle name="20% - Accent1 6 6 4" xfId="12802" xr:uid="{00000000-0005-0000-0000-0000DD080000}"/>
    <cellStyle name="20% - Accent1 6 6 5" xfId="16753" xr:uid="{00000000-0005-0000-0000-0000DE080000}"/>
    <cellStyle name="20% - Accent1 6 7" xfId="1407" xr:uid="{00000000-0005-0000-0000-0000DF080000}"/>
    <cellStyle name="20% - Accent1 6 7 2" xfId="12805" xr:uid="{00000000-0005-0000-0000-0000E0080000}"/>
    <cellStyle name="20% - Accent1 6 7 3" xfId="16756" xr:uid="{00000000-0005-0000-0000-0000E1080000}"/>
    <cellStyle name="20% - Accent1 6 8" xfId="1408" xr:uid="{00000000-0005-0000-0000-0000E2080000}"/>
    <cellStyle name="20% - Accent1 6 8 2" xfId="12806" xr:uid="{00000000-0005-0000-0000-0000E3080000}"/>
    <cellStyle name="20% - Accent1 6 8 3" xfId="16757" xr:uid="{00000000-0005-0000-0000-0000E4080000}"/>
    <cellStyle name="20% - Accent1 6 9" xfId="12774" xr:uid="{00000000-0005-0000-0000-0000E5080000}"/>
    <cellStyle name="20% - Accent1 6_Volatility" xfId="1409" xr:uid="{00000000-0005-0000-0000-0000E6080000}"/>
    <cellStyle name="20% - Accent1 7" xfId="1410" xr:uid="{00000000-0005-0000-0000-0000E7080000}"/>
    <cellStyle name="20% - Accent1 7 10" xfId="16758" xr:uid="{00000000-0005-0000-0000-0000E8080000}"/>
    <cellStyle name="20% - Accent1 7 2" xfId="1411" xr:uid="{00000000-0005-0000-0000-0000E9080000}"/>
    <cellStyle name="20% - Accent1 7 2 2" xfId="1412" xr:uid="{00000000-0005-0000-0000-0000EA080000}"/>
    <cellStyle name="20% - Accent1 7 2 2 2" xfId="1413" xr:uid="{00000000-0005-0000-0000-0000EB080000}"/>
    <cellStyle name="20% - Accent1 7 2 2 2 2" xfId="12810" xr:uid="{00000000-0005-0000-0000-0000EC080000}"/>
    <cellStyle name="20% - Accent1 7 2 2 2 3" xfId="16761" xr:uid="{00000000-0005-0000-0000-0000ED080000}"/>
    <cellStyle name="20% - Accent1 7 2 2 3" xfId="1414" xr:uid="{00000000-0005-0000-0000-0000EE080000}"/>
    <cellStyle name="20% - Accent1 7 2 2 3 2" xfId="12811" xr:uid="{00000000-0005-0000-0000-0000EF080000}"/>
    <cellStyle name="20% - Accent1 7 2 2 3 3" xfId="16762" xr:uid="{00000000-0005-0000-0000-0000F0080000}"/>
    <cellStyle name="20% - Accent1 7 2 2 4" xfId="12809" xr:uid="{00000000-0005-0000-0000-0000F1080000}"/>
    <cellStyle name="20% - Accent1 7 2 2 5" xfId="16760" xr:uid="{00000000-0005-0000-0000-0000F2080000}"/>
    <cellStyle name="20% - Accent1 7 2 3" xfId="1415" xr:uid="{00000000-0005-0000-0000-0000F3080000}"/>
    <cellStyle name="20% - Accent1 7 2 3 2" xfId="1416" xr:uid="{00000000-0005-0000-0000-0000F4080000}"/>
    <cellStyle name="20% - Accent1 7 2 3 2 2" xfId="12813" xr:uid="{00000000-0005-0000-0000-0000F5080000}"/>
    <cellStyle name="20% - Accent1 7 2 3 2 3" xfId="16764" xr:uid="{00000000-0005-0000-0000-0000F6080000}"/>
    <cellStyle name="20% - Accent1 7 2 3 3" xfId="1417" xr:uid="{00000000-0005-0000-0000-0000F7080000}"/>
    <cellStyle name="20% - Accent1 7 2 3 3 2" xfId="12814" xr:uid="{00000000-0005-0000-0000-0000F8080000}"/>
    <cellStyle name="20% - Accent1 7 2 3 3 3" xfId="16765" xr:uid="{00000000-0005-0000-0000-0000F9080000}"/>
    <cellStyle name="20% - Accent1 7 2 3 4" xfId="12812" xr:uid="{00000000-0005-0000-0000-0000FA080000}"/>
    <cellStyle name="20% - Accent1 7 2 3 5" xfId="16763" xr:uid="{00000000-0005-0000-0000-0000FB080000}"/>
    <cellStyle name="20% - Accent1 7 2 4" xfId="1418" xr:uid="{00000000-0005-0000-0000-0000FC080000}"/>
    <cellStyle name="20% - Accent1 7 2 4 2" xfId="1419" xr:uid="{00000000-0005-0000-0000-0000FD080000}"/>
    <cellStyle name="20% - Accent1 7 2 4 2 2" xfId="12816" xr:uid="{00000000-0005-0000-0000-0000FE080000}"/>
    <cellStyle name="20% - Accent1 7 2 4 2 3" xfId="16767" xr:uid="{00000000-0005-0000-0000-0000FF080000}"/>
    <cellStyle name="20% - Accent1 7 2 4 3" xfId="1420" xr:uid="{00000000-0005-0000-0000-000000090000}"/>
    <cellStyle name="20% - Accent1 7 2 4 3 2" xfId="12817" xr:uid="{00000000-0005-0000-0000-000001090000}"/>
    <cellStyle name="20% - Accent1 7 2 4 3 3" xfId="16768" xr:uid="{00000000-0005-0000-0000-000002090000}"/>
    <cellStyle name="20% - Accent1 7 2 4 4" xfId="12815" xr:uid="{00000000-0005-0000-0000-000003090000}"/>
    <cellStyle name="20% - Accent1 7 2 4 5" xfId="16766" xr:uid="{00000000-0005-0000-0000-000004090000}"/>
    <cellStyle name="20% - Accent1 7 2 5" xfId="1421" xr:uid="{00000000-0005-0000-0000-000005090000}"/>
    <cellStyle name="20% - Accent1 7 2 5 2" xfId="12818" xr:uid="{00000000-0005-0000-0000-000006090000}"/>
    <cellStyle name="20% - Accent1 7 2 5 3" xfId="16769" xr:uid="{00000000-0005-0000-0000-000007090000}"/>
    <cellStyle name="20% - Accent1 7 2 6" xfId="1422" xr:uid="{00000000-0005-0000-0000-000008090000}"/>
    <cellStyle name="20% - Accent1 7 2 6 2" xfId="12819" xr:uid="{00000000-0005-0000-0000-000009090000}"/>
    <cellStyle name="20% - Accent1 7 2 6 3" xfId="16770" xr:uid="{00000000-0005-0000-0000-00000A090000}"/>
    <cellStyle name="20% - Accent1 7 2 7" xfId="12808" xr:uid="{00000000-0005-0000-0000-00000B090000}"/>
    <cellStyle name="20% - Accent1 7 2 8" xfId="16759" xr:uid="{00000000-0005-0000-0000-00000C090000}"/>
    <cellStyle name="20% - Accent1 7 2_Volatility" xfId="1423" xr:uid="{00000000-0005-0000-0000-00000D090000}"/>
    <cellStyle name="20% - Accent1 7 3" xfId="1424" xr:uid="{00000000-0005-0000-0000-00000E090000}"/>
    <cellStyle name="20% - Accent1 7 3 2" xfId="1425" xr:uid="{00000000-0005-0000-0000-00000F090000}"/>
    <cellStyle name="20% - Accent1 7 3 2 2" xfId="1426" xr:uid="{00000000-0005-0000-0000-000010090000}"/>
    <cellStyle name="20% - Accent1 7 3 2 2 2" xfId="12822" xr:uid="{00000000-0005-0000-0000-000011090000}"/>
    <cellStyle name="20% - Accent1 7 3 2 2 3" xfId="16773" xr:uid="{00000000-0005-0000-0000-000012090000}"/>
    <cellStyle name="20% - Accent1 7 3 2 3" xfId="1427" xr:uid="{00000000-0005-0000-0000-000013090000}"/>
    <cellStyle name="20% - Accent1 7 3 2 3 2" xfId="12823" xr:uid="{00000000-0005-0000-0000-000014090000}"/>
    <cellStyle name="20% - Accent1 7 3 2 3 3" xfId="16774" xr:uid="{00000000-0005-0000-0000-000015090000}"/>
    <cellStyle name="20% - Accent1 7 3 2 4" xfId="12821" xr:uid="{00000000-0005-0000-0000-000016090000}"/>
    <cellStyle name="20% - Accent1 7 3 2 5" xfId="16772" xr:uid="{00000000-0005-0000-0000-000017090000}"/>
    <cellStyle name="20% - Accent1 7 3 3" xfId="1428" xr:uid="{00000000-0005-0000-0000-000018090000}"/>
    <cellStyle name="20% - Accent1 7 3 3 2" xfId="1429" xr:uid="{00000000-0005-0000-0000-000019090000}"/>
    <cellStyle name="20% - Accent1 7 3 3 2 2" xfId="12825" xr:uid="{00000000-0005-0000-0000-00001A090000}"/>
    <cellStyle name="20% - Accent1 7 3 3 2 3" xfId="16776" xr:uid="{00000000-0005-0000-0000-00001B090000}"/>
    <cellStyle name="20% - Accent1 7 3 3 3" xfId="1430" xr:uid="{00000000-0005-0000-0000-00001C090000}"/>
    <cellStyle name="20% - Accent1 7 3 3 3 2" xfId="12826" xr:uid="{00000000-0005-0000-0000-00001D090000}"/>
    <cellStyle name="20% - Accent1 7 3 3 3 3" xfId="16777" xr:uid="{00000000-0005-0000-0000-00001E090000}"/>
    <cellStyle name="20% - Accent1 7 3 3 4" xfId="12824" xr:uid="{00000000-0005-0000-0000-00001F090000}"/>
    <cellStyle name="20% - Accent1 7 3 3 5" xfId="16775" xr:uid="{00000000-0005-0000-0000-000020090000}"/>
    <cellStyle name="20% - Accent1 7 3 4" xfId="1431" xr:uid="{00000000-0005-0000-0000-000021090000}"/>
    <cellStyle name="20% - Accent1 7 3 4 2" xfId="12827" xr:uid="{00000000-0005-0000-0000-000022090000}"/>
    <cellStyle name="20% - Accent1 7 3 4 3" xfId="16778" xr:uid="{00000000-0005-0000-0000-000023090000}"/>
    <cellStyle name="20% - Accent1 7 3 5" xfId="1432" xr:uid="{00000000-0005-0000-0000-000024090000}"/>
    <cellStyle name="20% - Accent1 7 3 5 2" xfId="12828" xr:uid="{00000000-0005-0000-0000-000025090000}"/>
    <cellStyle name="20% - Accent1 7 3 5 3" xfId="16779" xr:uid="{00000000-0005-0000-0000-000026090000}"/>
    <cellStyle name="20% - Accent1 7 3 6" xfId="12820" xr:uid="{00000000-0005-0000-0000-000027090000}"/>
    <cellStyle name="20% - Accent1 7 3 7" xfId="16771" xr:uid="{00000000-0005-0000-0000-000028090000}"/>
    <cellStyle name="20% - Accent1 7 3_Volatility" xfId="1433" xr:uid="{00000000-0005-0000-0000-000029090000}"/>
    <cellStyle name="20% - Accent1 7 4" xfId="1434" xr:uid="{00000000-0005-0000-0000-00002A090000}"/>
    <cellStyle name="20% - Accent1 7 4 2" xfId="1435" xr:uid="{00000000-0005-0000-0000-00002B090000}"/>
    <cellStyle name="20% - Accent1 7 4 2 2" xfId="12830" xr:uid="{00000000-0005-0000-0000-00002C090000}"/>
    <cellStyle name="20% - Accent1 7 4 2 3" xfId="16781" xr:uid="{00000000-0005-0000-0000-00002D090000}"/>
    <cellStyle name="20% - Accent1 7 4 3" xfId="1436" xr:uid="{00000000-0005-0000-0000-00002E090000}"/>
    <cellStyle name="20% - Accent1 7 4 3 2" xfId="12831" xr:uid="{00000000-0005-0000-0000-00002F090000}"/>
    <cellStyle name="20% - Accent1 7 4 3 3" xfId="16782" xr:uid="{00000000-0005-0000-0000-000030090000}"/>
    <cellStyle name="20% - Accent1 7 4 4" xfId="12829" xr:uid="{00000000-0005-0000-0000-000031090000}"/>
    <cellStyle name="20% - Accent1 7 4 5" xfId="16780" xr:uid="{00000000-0005-0000-0000-000032090000}"/>
    <cellStyle name="20% - Accent1 7 5" xfId="1437" xr:uid="{00000000-0005-0000-0000-000033090000}"/>
    <cellStyle name="20% - Accent1 7 5 2" xfId="1438" xr:uid="{00000000-0005-0000-0000-000034090000}"/>
    <cellStyle name="20% - Accent1 7 5 2 2" xfId="12833" xr:uid="{00000000-0005-0000-0000-000035090000}"/>
    <cellStyle name="20% - Accent1 7 5 2 3" xfId="16784" xr:uid="{00000000-0005-0000-0000-000036090000}"/>
    <cellStyle name="20% - Accent1 7 5 3" xfId="1439" xr:uid="{00000000-0005-0000-0000-000037090000}"/>
    <cellStyle name="20% - Accent1 7 5 3 2" xfId="12834" xr:uid="{00000000-0005-0000-0000-000038090000}"/>
    <cellStyle name="20% - Accent1 7 5 3 3" xfId="16785" xr:uid="{00000000-0005-0000-0000-000039090000}"/>
    <cellStyle name="20% - Accent1 7 5 4" xfId="12832" xr:uid="{00000000-0005-0000-0000-00003A090000}"/>
    <cellStyle name="20% - Accent1 7 5 5" xfId="16783" xr:uid="{00000000-0005-0000-0000-00003B090000}"/>
    <cellStyle name="20% - Accent1 7 6" xfId="1440" xr:uid="{00000000-0005-0000-0000-00003C090000}"/>
    <cellStyle name="20% - Accent1 7 6 2" xfId="1441" xr:uid="{00000000-0005-0000-0000-00003D090000}"/>
    <cellStyle name="20% - Accent1 7 6 2 2" xfId="12836" xr:uid="{00000000-0005-0000-0000-00003E090000}"/>
    <cellStyle name="20% - Accent1 7 6 2 3" xfId="16787" xr:uid="{00000000-0005-0000-0000-00003F090000}"/>
    <cellStyle name="20% - Accent1 7 6 3" xfId="1442" xr:uid="{00000000-0005-0000-0000-000040090000}"/>
    <cellStyle name="20% - Accent1 7 6 3 2" xfId="12837" xr:uid="{00000000-0005-0000-0000-000041090000}"/>
    <cellStyle name="20% - Accent1 7 6 3 3" xfId="16788" xr:uid="{00000000-0005-0000-0000-000042090000}"/>
    <cellStyle name="20% - Accent1 7 6 4" xfId="12835" xr:uid="{00000000-0005-0000-0000-000043090000}"/>
    <cellStyle name="20% - Accent1 7 6 5" xfId="16786" xr:uid="{00000000-0005-0000-0000-000044090000}"/>
    <cellStyle name="20% - Accent1 7 7" xfId="1443" xr:uid="{00000000-0005-0000-0000-000045090000}"/>
    <cellStyle name="20% - Accent1 7 7 2" xfId="12838" xr:uid="{00000000-0005-0000-0000-000046090000}"/>
    <cellStyle name="20% - Accent1 7 7 3" xfId="16789" xr:uid="{00000000-0005-0000-0000-000047090000}"/>
    <cellStyle name="20% - Accent1 7 8" xfId="1444" xr:uid="{00000000-0005-0000-0000-000048090000}"/>
    <cellStyle name="20% - Accent1 7 8 2" xfId="12839" xr:uid="{00000000-0005-0000-0000-000049090000}"/>
    <cellStyle name="20% - Accent1 7 8 3" xfId="16790" xr:uid="{00000000-0005-0000-0000-00004A090000}"/>
    <cellStyle name="20% - Accent1 7 9" xfId="12807" xr:uid="{00000000-0005-0000-0000-00004B090000}"/>
    <cellStyle name="20% - Accent1 7_Volatility" xfId="1445" xr:uid="{00000000-0005-0000-0000-00004C090000}"/>
    <cellStyle name="20% - Accent1 8" xfId="1446" xr:uid="{00000000-0005-0000-0000-00004D090000}"/>
    <cellStyle name="20% - Accent1 8 10" xfId="16791" xr:uid="{00000000-0005-0000-0000-00004E090000}"/>
    <cellStyle name="20% - Accent1 8 2" xfId="1447" xr:uid="{00000000-0005-0000-0000-00004F090000}"/>
    <cellStyle name="20% - Accent1 8 2 2" xfId="1448" xr:uid="{00000000-0005-0000-0000-000050090000}"/>
    <cellStyle name="20% - Accent1 8 2 2 2" xfId="1449" xr:uid="{00000000-0005-0000-0000-000051090000}"/>
    <cellStyle name="20% - Accent1 8 2 2 2 2" xfId="12843" xr:uid="{00000000-0005-0000-0000-000052090000}"/>
    <cellStyle name="20% - Accent1 8 2 2 2 3" xfId="16794" xr:uid="{00000000-0005-0000-0000-000053090000}"/>
    <cellStyle name="20% - Accent1 8 2 2 3" xfId="1450" xr:uid="{00000000-0005-0000-0000-000054090000}"/>
    <cellStyle name="20% - Accent1 8 2 2 3 2" xfId="12844" xr:uid="{00000000-0005-0000-0000-000055090000}"/>
    <cellStyle name="20% - Accent1 8 2 2 3 3" xfId="16795" xr:uid="{00000000-0005-0000-0000-000056090000}"/>
    <cellStyle name="20% - Accent1 8 2 2 4" xfId="12842" xr:uid="{00000000-0005-0000-0000-000057090000}"/>
    <cellStyle name="20% - Accent1 8 2 2 5" xfId="16793" xr:uid="{00000000-0005-0000-0000-000058090000}"/>
    <cellStyle name="20% - Accent1 8 2 3" xfId="1451" xr:uid="{00000000-0005-0000-0000-000059090000}"/>
    <cellStyle name="20% - Accent1 8 2 3 2" xfId="1452" xr:uid="{00000000-0005-0000-0000-00005A090000}"/>
    <cellStyle name="20% - Accent1 8 2 3 2 2" xfId="12846" xr:uid="{00000000-0005-0000-0000-00005B090000}"/>
    <cellStyle name="20% - Accent1 8 2 3 2 3" xfId="16797" xr:uid="{00000000-0005-0000-0000-00005C090000}"/>
    <cellStyle name="20% - Accent1 8 2 3 3" xfId="1453" xr:uid="{00000000-0005-0000-0000-00005D090000}"/>
    <cellStyle name="20% - Accent1 8 2 3 3 2" xfId="12847" xr:uid="{00000000-0005-0000-0000-00005E090000}"/>
    <cellStyle name="20% - Accent1 8 2 3 3 3" xfId="16798" xr:uid="{00000000-0005-0000-0000-00005F090000}"/>
    <cellStyle name="20% - Accent1 8 2 3 4" xfId="12845" xr:uid="{00000000-0005-0000-0000-000060090000}"/>
    <cellStyle name="20% - Accent1 8 2 3 5" xfId="16796" xr:uid="{00000000-0005-0000-0000-000061090000}"/>
    <cellStyle name="20% - Accent1 8 2 4" xfId="1454" xr:uid="{00000000-0005-0000-0000-000062090000}"/>
    <cellStyle name="20% - Accent1 8 2 4 2" xfId="1455" xr:uid="{00000000-0005-0000-0000-000063090000}"/>
    <cellStyle name="20% - Accent1 8 2 4 2 2" xfId="12849" xr:uid="{00000000-0005-0000-0000-000064090000}"/>
    <cellStyle name="20% - Accent1 8 2 4 2 3" xfId="16800" xr:uid="{00000000-0005-0000-0000-000065090000}"/>
    <cellStyle name="20% - Accent1 8 2 4 3" xfId="1456" xr:uid="{00000000-0005-0000-0000-000066090000}"/>
    <cellStyle name="20% - Accent1 8 2 4 3 2" xfId="12850" xr:uid="{00000000-0005-0000-0000-000067090000}"/>
    <cellStyle name="20% - Accent1 8 2 4 3 3" xfId="16801" xr:uid="{00000000-0005-0000-0000-000068090000}"/>
    <cellStyle name="20% - Accent1 8 2 4 4" xfId="12848" xr:uid="{00000000-0005-0000-0000-000069090000}"/>
    <cellStyle name="20% - Accent1 8 2 4 5" xfId="16799" xr:uid="{00000000-0005-0000-0000-00006A090000}"/>
    <cellStyle name="20% - Accent1 8 2 5" xfId="1457" xr:uid="{00000000-0005-0000-0000-00006B090000}"/>
    <cellStyle name="20% - Accent1 8 2 5 2" xfId="12851" xr:uid="{00000000-0005-0000-0000-00006C090000}"/>
    <cellStyle name="20% - Accent1 8 2 5 3" xfId="16802" xr:uid="{00000000-0005-0000-0000-00006D090000}"/>
    <cellStyle name="20% - Accent1 8 2 6" xfId="1458" xr:uid="{00000000-0005-0000-0000-00006E090000}"/>
    <cellStyle name="20% - Accent1 8 2 6 2" xfId="12852" xr:uid="{00000000-0005-0000-0000-00006F090000}"/>
    <cellStyle name="20% - Accent1 8 2 6 3" xfId="16803" xr:uid="{00000000-0005-0000-0000-000070090000}"/>
    <cellStyle name="20% - Accent1 8 2 7" xfId="12841" xr:uid="{00000000-0005-0000-0000-000071090000}"/>
    <cellStyle name="20% - Accent1 8 2 8" xfId="16792" xr:uid="{00000000-0005-0000-0000-000072090000}"/>
    <cellStyle name="20% - Accent1 8 2_Volatility" xfId="1459" xr:uid="{00000000-0005-0000-0000-000073090000}"/>
    <cellStyle name="20% - Accent1 8 3" xfId="1460" xr:uid="{00000000-0005-0000-0000-000074090000}"/>
    <cellStyle name="20% - Accent1 8 3 2" xfId="1461" xr:uid="{00000000-0005-0000-0000-000075090000}"/>
    <cellStyle name="20% - Accent1 8 3 2 2" xfId="1462" xr:uid="{00000000-0005-0000-0000-000076090000}"/>
    <cellStyle name="20% - Accent1 8 3 2 2 2" xfId="12855" xr:uid="{00000000-0005-0000-0000-000077090000}"/>
    <cellStyle name="20% - Accent1 8 3 2 2 3" xfId="16806" xr:uid="{00000000-0005-0000-0000-000078090000}"/>
    <cellStyle name="20% - Accent1 8 3 2 3" xfId="1463" xr:uid="{00000000-0005-0000-0000-000079090000}"/>
    <cellStyle name="20% - Accent1 8 3 2 3 2" xfId="12856" xr:uid="{00000000-0005-0000-0000-00007A090000}"/>
    <cellStyle name="20% - Accent1 8 3 2 3 3" xfId="16807" xr:uid="{00000000-0005-0000-0000-00007B090000}"/>
    <cellStyle name="20% - Accent1 8 3 2 4" xfId="12854" xr:uid="{00000000-0005-0000-0000-00007C090000}"/>
    <cellStyle name="20% - Accent1 8 3 2 5" xfId="16805" xr:uid="{00000000-0005-0000-0000-00007D090000}"/>
    <cellStyle name="20% - Accent1 8 3 3" xfId="1464" xr:uid="{00000000-0005-0000-0000-00007E090000}"/>
    <cellStyle name="20% - Accent1 8 3 3 2" xfId="1465" xr:uid="{00000000-0005-0000-0000-00007F090000}"/>
    <cellStyle name="20% - Accent1 8 3 3 2 2" xfId="12858" xr:uid="{00000000-0005-0000-0000-000080090000}"/>
    <cellStyle name="20% - Accent1 8 3 3 2 3" xfId="16809" xr:uid="{00000000-0005-0000-0000-000081090000}"/>
    <cellStyle name="20% - Accent1 8 3 3 3" xfId="1466" xr:uid="{00000000-0005-0000-0000-000082090000}"/>
    <cellStyle name="20% - Accent1 8 3 3 3 2" xfId="12859" xr:uid="{00000000-0005-0000-0000-000083090000}"/>
    <cellStyle name="20% - Accent1 8 3 3 3 3" xfId="16810" xr:uid="{00000000-0005-0000-0000-000084090000}"/>
    <cellStyle name="20% - Accent1 8 3 3 4" xfId="12857" xr:uid="{00000000-0005-0000-0000-000085090000}"/>
    <cellStyle name="20% - Accent1 8 3 3 5" xfId="16808" xr:uid="{00000000-0005-0000-0000-000086090000}"/>
    <cellStyle name="20% - Accent1 8 3 4" xfId="1467" xr:uid="{00000000-0005-0000-0000-000087090000}"/>
    <cellStyle name="20% - Accent1 8 3 4 2" xfId="12860" xr:uid="{00000000-0005-0000-0000-000088090000}"/>
    <cellStyle name="20% - Accent1 8 3 4 3" xfId="16811" xr:uid="{00000000-0005-0000-0000-000089090000}"/>
    <cellStyle name="20% - Accent1 8 3 5" xfId="1468" xr:uid="{00000000-0005-0000-0000-00008A090000}"/>
    <cellStyle name="20% - Accent1 8 3 5 2" xfId="12861" xr:uid="{00000000-0005-0000-0000-00008B090000}"/>
    <cellStyle name="20% - Accent1 8 3 5 3" xfId="16812" xr:uid="{00000000-0005-0000-0000-00008C090000}"/>
    <cellStyle name="20% - Accent1 8 3 6" xfId="12853" xr:uid="{00000000-0005-0000-0000-00008D090000}"/>
    <cellStyle name="20% - Accent1 8 3 7" xfId="16804" xr:uid="{00000000-0005-0000-0000-00008E090000}"/>
    <cellStyle name="20% - Accent1 8 3_Volatility" xfId="1469" xr:uid="{00000000-0005-0000-0000-00008F090000}"/>
    <cellStyle name="20% - Accent1 8 4" xfId="1470" xr:uid="{00000000-0005-0000-0000-000090090000}"/>
    <cellStyle name="20% - Accent1 8 4 2" xfId="1471" xr:uid="{00000000-0005-0000-0000-000091090000}"/>
    <cellStyle name="20% - Accent1 8 4 2 2" xfId="12863" xr:uid="{00000000-0005-0000-0000-000092090000}"/>
    <cellStyle name="20% - Accent1 8 4 2 3" xfId="16814" xr:uid="{00000000-0005-0000-0000-000093090000}"/>
    <cellStyle name="20% - Accent1 8 4 3" xfId="1472" xr:uid="{00000000-0005-0000-0000-000094090000}"/>
    <cellStyle name="20% - Accent1 8 4 3 2" xfId="12864" xr:uid="{00000000-0005-0000-0000-000095090000}"/>
    <cellStyle name="20% - Accent1 8 4 3 3" xfId="16815" xr:uid="{00000000-0005-0000-0000-000096090000}"/>
    <cellStyle name="20% - Accent1 8 4 4" xfId="12862" xr:uid="{00000000-0005-0000-0000-000097090000}"/>
    <cellStyle name="20% - Accent1 8 4 5" xfId="16813" xr:uid="{00000000-0005-0000-0000-000098090000}"/>
    <cellStyle name="20% - Accent1 8 5" xfId="1473" xr:uid="{00000000-0005-0000-0000-000099090000}"/>
    <cellStyle name="20% - Accent1 8 5 2" xfId="1474" xr:uid="{00000000-0005-0000-0000-00009A090000}"/>
    <cellStyle name="20% - Accent1 8 5 2 2" xfId="12866" xr:uid="{00000000-0005-0000-0000-00009B090000}"/>
    <cellStyle name="20% - Accent1 8 5 2 3" xfId="16817" xr:uid="{00000000-0005-0000-0000-00009C090000}"/>
    <cellStyle name="20% - Accent1 8 5 3" xfId="1475" xr:uid="{00000000-0005-0000-0000-00009D090000}"/>
    <cellStyle name="20% - Accent1 8 5 3 2" xfId="12867" xr:uid="{00000000-0005-0000-0000-00009E090000}"/>
    <cellStyle name="20% - Accent1 8 5 3 3" xfId="16818" xr:uid="{00000000-0005-0000-0000-00009F090000}"/>
    <cellStyle name="20% - Accent1 8 5 4" xfId="12865" xr:uid="{00000000-0005-0000-0000-0000A0090000}"/>
    <cellStyle name="20% - Accent1 8 5 5" xfId="16816" xr:uid="{00000000-0005-0000-0000-0000A1090000}"/>
    <cellStyle name="20% - Accent1 8 6" xfId="1476" xr:uid="{00000000-0005-0000-0000-0000A2090000}"/>
    <cellStyle name="20% - Accent1 8 6 2" xfId="1477" xr:uid="{00000000-0005-0000-0000-0000A3090000}"/>
    <cellStyle name="20% - Accent1 8 6 2 2" xfId="12869" xr:uid="{00000000-0005-0000-0000-0000A4090000}"/>
    <cellStyle name="20% - Accent1 8 6 2 3" xfId="16820" xr:uid="{00000000-0005-0000-0000-0000A5090000}"/>
    <cellStyle name="20% - Accent1 8 6 3" xfId="1478" xr:uid="{00000000-0005-0000-0000-0000A6090000}"/>
    <cellStyle name="20% - Accent1 8 6 3 2" xfId="12870" xr:uid="{00000000-0005-0000-0000-0000A7090000}"/>
    <cellStyle name="20% - Accent1 8 6 3 3" xfId="16821" xr:uid="{00000000-0005-0000-0000-0000A8090000}"/>
    <cellStyle name="20% - Accent1 8 6 4" xfId="12868" xr:uid="{00000000-0005-0000-0000-0000A9090000}"/>
    <cellStyle name="20% - Accent1 8 6 5" xfId="16819" xr:uid="{00000000-0005-0000-0000-0000AA090000}"/>
    <cellStyle name="20% - Accent1 8 7" xfId="1479" xr:uid="{00000000-0005-0000-0000-0000AB090000}"/>
    <cellStyle name="20% - Accent1 8 7 2" xfId="12871" xr:uid="{00000000-0005-0000-0000-0000AC090000}"/>
    <cellStyle name="20% - Accent1 8 7 3" xfId="16822" xr:uid="{00000000-0005-0000-0000-0000AD090000}"/>
    <cellStyle name="20% - Accent1 8 8" xfId="1480" xr:uid="{00000000-0005-0000-0000-0000AE090000}"/>
    <cellStyle name="20% - Accent1 8 8 2" xfId="12872" xr:uid="{00000000-0005-0000-0000-0000AF090000}"/>
    <cellStyle name="20% - Accent1 8 8 3" xfId="16823" xr:uid="{00000000-0005-0000-0000-0000B0090000}"/>
    <cellStyle name="20% - Accent1 8 9" xfId="12840" xr:uid="{00000000-0005-0000-0000-0000B1090000}"/>
    <cellStyle name="20% - Accent1 8_Volatility" xfId="1481" xr:uid="{00000000-0005-0000-0000-0000B2090000}"/>
    <cellStyle name="20% - Accent1 9" xfId="1482" xr:uid="{00000000-0005-0000-0000-0000B3090000}"/>
    <cellStyle name="20% - Accent1 9 10" xfId="16824" xr:uid="{00000000-0005-0000-0000-0000B4090000}"/>
    <cellStyle name="20% - Accent1 9 2" xfId="1483" xr:uid="{00000000-0005-0000-0000-0000B5090000}"/>
    <cellStyle name="20% - Accent1 9 2 2" xfId="1484" xr:uid="{00000000-0005-0000-0000-0000B6090000}"/>
    <cellStyle name="20% - Accent1 9 2 2 2" xfId="1485" xr:uid="{00000000-0005-0000-0000-0000B7090000}"/>
    <cellStyle name="20% - Accent1 9 2 2 2 2" xfId="12876" xr:uid="{00000000-0005-0000-0000-0000B8090000}"/>
    <cellStyle name="20% - Accent1 9 2 2 2 3" xfId="16827" xr:uid="{00000000-0005-0000-0000-0000B9090000}"/>
    <cellStyle name="20% - Accent1 9 2 2 3" xfId="1486" xr:uid="{00000000-0005-0000-0000-0000BA090000}"/>
    <cellStyle name="20% - Accent1 9 2 2 3 2" xfId="12877" xr:uid="{00000000-0005-0000-0000-0000BB090000}"/>
    <cellStyle name="20% - Accent1 9 2 2 3 3" xfId="16828" xr:uid="{00000000-0005-0000-0000-0000BC090000}"/>
    <cellStyle name="20% - Accent1 9 2 2 4" xfId="12875" xr:uid="{00000000-0005-0000-0000-0000BD090000}"/>
    <cellStyle name="20% - Accent1 9 2 2 5" xfId="16826" xr:uid="{00000000-0005-0000-0000-0000BE090000}"/>
    <cellStyle name="20% - Accent1 9 2 3" xfId="1487" xr:uid="{00000000-0005-0000-0000-0000BF090000}"/>
    <cellStyle name="20% - Accent1 9 2 3 2" xfId="1488" xr:uid="{00000000-0005-0000-0000-0000C0090000}"/>
    <cellStyle name="20% - Accent1 9 2 3 2 2" xfId="12879" xr:uid="{00000000-0005-0000-0000-0000C1090000}"/>
    <cellStyle name="20% - Accent1 9 2 3 2 3" xfId="16830" xr:uid="{00000000-0005-0000-0000-0000C2090000}"/>
    <cellStyle name="20% - Accent1 9 2 3 3" xfId="1489" xr:uid="{00000000-0005-0000-0000-0000C3090000}"/>
    <cellStyle name="20% - Accent1 9 2 3 3 2" xfId="12880" xr:uid="{00000000-0005-0000-0000-0000C4090000}"/>
    <cellStyle name="20% - Accent1 9 2 3 3 3" xfId="16831" xr:uid="{00000000-0005-0000-0000-0000C5090000}"/>
    <cellStyle name="20% - Accent1 9 2 3 4" xfId="12878" xr:uid="{00000000-0005-0000-0000-0000C6090000}"/>
    <cellStyle name="20% - Accent1 9 2 3 5" xfId="16829" xr:uid="{00000000-0005-0000-0000-0000C7090000}"/>
    <cellStyle name="20% - Accent1 9 2 4" xfId="1490" xr:uid="{00000000-0005-0000-0000-0000C8090000}"/>
    <cellStyle name="20% - Accent1 9 2 4 2" xfId="1491" xr:uid="{00000000-0005-0000-0000-0000C9090000}"/>
    <cellStyle name="20% - Accent1 9 2 4 2 2" xfId="12882" xr:uid="{00000000-0005-0000-0000-0000CA090000}"/>
    <cellStyle name="20% - Accent1 9 2 4 2 3" xfId="16833" xr:uid="{00000000-0005-0000-0000-0000CB090000}"/>
    <cellStyle name="20% - Accent1 9 2 4 3" xfId="1492" xr:uid="{00000000-0005-0000-0000-0000CC090000}"/>
    <cellStyle name="20% - Accent1 9 2 4 3 2" xfId="12883" xr:uid="{00000000-0005-0000-0000-0000CD090000}"/>
    <cellStyle name="20% - Accent1 9 2 4 3 3" xfId="16834" xr:uid="{00000000-0005-0000-0000-0000CE090000}"/>
    <cellStyle name="20% - Accent1 9 2 4 4" xfId="12881" xr:uid="{00000000-0005-0000-0000-0000CF090000}"/>
    <cellStyle name="20% - Accent1 9 2 4 5" xfId="16832" xr:uid="{00000000-0005-0000-0000-0000D0090000}"/>
    <cellStyle name="20% - Accent1 9 2 5" xfId="1493" xr:uid="{00000000-0005-0000-0000-0000D1090000}"/>
    <cellStyle name="20% - Accent1 9 2 5 2" xfId="12884" xr:uid="{00000000-0005-0000-0000-0000D2090000}"/>
    <cellStyle name="20% - Accent1 9 2 5 3" xfId="16835" xr:uid="{00000000-0005-0000-0000-0000D3090000}"/>
    <cellStyle name="20% - Accent1 9 2 6" xfId="1494" xr:uid="{00000000-0005-0000-0000-0000D4090000}"/>
    <cellStyle name="20% - Accent1 9 2 6 2" xfId="12885" xr:uid="{00000000-0005-0000-0000-0000D5090000}"/>
    <cellStyle name="20% - Accent1 9 2 6 3" xfId="16836" xr:uid="{00000000-0005-0000-0000-0000D6090000}"/>
    <cellStyle name="20% - Accent1 9 2 7" xfId="12874" xr:uid="{00000000-0005-0000-0000-0000D7090000}"/>
    <cellStyle name="20% - Accent1 9 2 8" xfId="16825" xr:uid="{00000000-0005-0000-0000-0000D8090000}"/>
    <cellStyle name="20% - Accent1 9 2_Volatility" xfId="1495" xr:uid="{00000000-0005-0000-0000-0000D9090000}"/>
    <cellStyle name="20% - Accent1 9 3" xfId="1496" xr:uid="{00000000-0005-0000-0000-0000DA090000}"/>
    <cellStyle name="20% - Accent1 9 3 2" xfId="1497" xr:uid="{00000000-0005-0000-0000-0000DB090000}"/>
    <cellStyle name="20% - Accent1 9 3 2 2" xfId="1498" xr:uid="{00000000-0005-0000-0000-0000DC090000}"/>
    <cellStyle name="20% - Accent1 9 3 2 2 2" xfId="12888" xr:uid="{00000000-0005-0000-0000-0000DD090000}"/>
    <cellStyle name="20% - Accent1 9 3 2 2 3" xfId="16839" xr:uid="{00000000-0005-0000-0000-0000DE090000}"/>
    <cellStyle name="20% - Accent1 9 3 2 3" xfId="1499" xr:uid="{00000000-0005-0000-0000-0000DF090000}"/>
    <cellStyle name="20% - Accent1 9 3 2 3 2" xfId="12889" xr:uid="{00000000-0005-0000-0000-0000E0090000}"/>
    <cellStyle name="20% - Accent1 9 3 2 3 3" xfId="16840" xr:uid="{00000000-0005-0000-0000-0000E1090000}"/>
    <cellStyle name="20% - Accent1 9 3 2 4" xfId="12887" xr:uid="{00000000-0005-0000-0000-0000E2090000}"/>
    <cellStyle name="20% - Accent1 9 3 2 5" xfId="16838" xr:uid="{00000000-0005-0000-0000-0000E3090000}"/>
    <cellStyle name="20% - Accent1 9 3 3" xfId="1500" xr:uid="{00000000-0005-0000-0000-0000E4090000}"/>
    <cellStyle name="20% - Accent1 9 3 3 2" xfId="1501" xr:uid="{00000000-0005-0000-0000-0000E5090000}"/>
    <cellStyle name="20% - Accent1 9 3 3 2 2" xfId="12891" xr:uid="{00000000-0005-0000-0000-0000E6090000}"/>
    <cellStyle name="20% - Accent1 9 3 3 2 3" xfId="16842" xr:uid="{00000000-0005-0000-0000-0000E7090000}"/>
    <cellStyle name="20% - Accent1 9 3 3 3" xfId="1502" xr:uid="{00000000-0005-0000-0000-0000E8090000}"/>
    <cellStyle name="20% - Accent1 9 3 3 3 2" xfId="12892" xr:uid="{00000000-0005-0000-0000-0000E9090000}"/>
    <cellStyle name="20% - Accent1 9 3 3 3 3" xfId="16843" xr:uid="{00000000-0005-0000-0000-0000EA090000}"/>
    <cellStyle name="20% - Accent1 9 3 3 4" xfId="12890" xr:uid="{00000000-0005-0000-0000-0000EB090000}"/>
    <cellStyle name="20% - Accent1 9 3 3 5" xfId="16841" xr:uid="{00000000-0005-0000-0000-0000EC090000}"/>
    <cellStyle name="20% - Accent1 9 3 4" xfId="1503" xr:uid="{00000000-0005-0000-0000-0000ED090000}"/>
    <cellStyle name="20% - Accent1 9 3 4 2" xfId="12893" xr:uid="{00000000-0005-0000-0000-0000EE090000}"/>
    <cellStyle name="20% - Accent1 9 3 4 3" xfId="16844" xr:uid="{00000000-0005-0000-0000-0000EF090000}"/>
    <cellStyle name="20% - Accent1 9 3 5" xfId="1504" xr:uid="{00000000-0005-0000-0000-0000F0090000}"/>
    <cellStyle name="20% - Accent1 9 3 5 2" xfId="12894" xr:uid="{00000000-0005-0000-0000-0000F1090000}"/>
    <cellStyle name="20% - Accent1 9 3 5 3" xfId="16845" xr:uid="{00000000-0005-0000-0000-0000F2090000}"/>
    <cellStyle name="20% - Accent1 9 3 6" xfId="12886" xr:uid="{00000000-0005-0000-0000-0000F3090000}"/>
    <cellStyle name="20% - Accent1 9 3 7" xfId="16837" xr:uid="{00000000-0005-0000-0000-0000F4090000}"/>
    <cellStyle name="20% - Accent1 9 3_Volatility" xfId="1505" xr:uid="{00000000-0005-0000-0000-0000F5090000}"/>
    <cellStyle name="20% - Accent1 9 4" xfId="1506" xr:uid="{00000000-0005-0000-0000-0000F6090000}"/>
    <cellStyle name="20% - Accent1 9 4 2" xfId="1507" xr:uid="{00000000-0005-0000-0000-0000F7090000}"/>
    <cellStyle name="20% - Accent1 9 4 2 2" xfId="12896" xr:uid="{00000000-0005-0000-0000-0000F8090000}"/>
    <cellStyle name="20% - Accent1 9 4 2 3" xfId="16847" xr:uid="{00000000-0005-0000-0000-0000F9090000}"/>
    <cellStyle name="20% - Accent1 9 4 3" xfId="1508" xr:uid="{00000000-0005-0000-0000-0000FA090000}"/>
    <cellStyle name="20% - Accent1 9 4 3 2" xfId="12897" xr:uid="{00000000-0005-0000-0000-0000FB090000}"/>
    <cellStyle name="20% - Accent1 9 4 3 3" xfId="16848" xr:uid="{00000000-0005-0000-0000-0000FC090000}"/>
    <cellStyle name="20% - Accent1 9 4 4" xfId="12895" xr:uid="{00000000-0005-0000-0000-0000FD090000}"/>
    <cellStyle name="20% - Accent1 9 4 5" xfId="16846" xr:uid="{00000000-0005-0000-0000-0000FE090000}"/>
    <cellStyle name="20% - Accent1 9 5" xfId="1509" xr:uid="{00000000-0005-0000-0000-0000FF090000}"/>
    <cellStyle name="20% - Accent1 9 5 2" xfId="1510" xr:uid="{00000000-0005-0000-0000-0000000A0000}"/>
    <cellStyle name="20% - Accent1 9 5 2 2" xfId="12899" xr:uid="{00000000-0005-0000-0000-0000010A0000}"/>
    <cellStyle name="20% - Accent1 9 5 2 3" xfId="16850" xr:uid="{00000000-0005-0000-0000-0000020A0000}"/>
    <cellStyle name="20% - Accent1 9 5 3" xfId="1511" xr:uid="{00000000-0005-0000-0000-0000030A0000}"/>
    <cellStyle name="20% - Accent1 9 5 3 2" xfId="12900" xr:uid="{00000000-0005-0000-0000-0000040A0000}"/>
    <cellStyle name="20% - Accent1 9 5 3 3" xfId="16851" xr:uid="{00000000-0005-0000-0000-0000050A0000}"/>
    <cellStyle name="20% - Accent1 9 5 4" xfId="12898" xr:uid="{00000000-0005-0000-0000-0000060A0000}"/>
    <cellStyle name="20% - Accent1 9 5 5" xfId="16849" xr:uid="{00000000-0005-0000-0000-0000070A0000}"/>
    <cellStyle name="20% - Accent1 9 6" xfId="1512" xr:uid="{00000000-0005-0000-0000-0000080A0000}"/>
    <cellStyle name="20% - Accent1 9 6 2" xfId="1513" xr:uid="{00000000-0005-0000-0000-0000090A0000}"/>
    <cellStyle name="20% - Accent1 9 6 2 2" xfId="12902" xr:uid="{00000000-0005-0000-0000-00000A0A0000}"/>
    <cellStyle name="20% - Accent1 9 6 2 3" xfId="16853" xr:uid="{00000000-0005-0000-0000-00000B0A0000}"/>
    <cellStyle name="20% - Accent1 9 6 3" xfId="1514" xr:uid="{00000000-0005-0000-0000-00000C0A0000}"/>
    <cellStyle name="20% - Accent1 9 6 3 2" xfId="12903" xr:uid="{00000000-0005-0000-0000-00000D0A0000}"/>
    <cellStyle name="20% - Accent1 9 6 3 3" xfId="16854" xr:uid="{00000000-0005-0000-0000-00000E0A0000}"/>
    <cellStyle name="20% - Accent1 9 6 4" xfId="12901" xr:uid="{00000000-0005-0000-0000-00000F0A0000}"/>
    <cellStyle name="20% - Accent1 9 6 5" xfId="16852" xr:uid="{00000000-0005-0000-0000-0000100A0000}"/>
    <cellStyle name="20% - Accent1 9 7" xfId="1515" xr:uid="{00000000-0005-0000-0000-0000110A0000}"/>
    <cellStyle name="20% - Accent1 9 7 2" xfId="12904" xr:uid="{00000000-0005-0000-0000-0000120A0000}"/>
    <cellStyle name="20% - Accent1 9 7 3" xfId="16855" xr:uid="{00000000-0005-0000-0000-0000130A0000}"/>
    <cellStyle name="20% - Accent1 9 8" xfId="1516" xr:uid="{00000000-0005-0000-0000-0000140A0000}"/>
    <cellStyle name="20% - Accent1 9 8 2" xfId="12905" xr:uid="{00000000-0005-0000-0000-0000150A0000}"/>
    <cellStyle name="20% - Accent1 9 8 3" xfId="16856" xr:uid="{00000000-0005-0000-0000-0000160A0000}"/>
    <cellStyle name="20% - Accent1 9 9" xfId="12873" xr:uid="{00000000-0005-0000-0000-0000170A0000}"/>
    <cellStyle name="20% - Accent1 9_Volatility" xfId="1517" xr:uid="{00000000-0005-0000-0000-0000180A0000}"/>
    <cellStyle name="20% - Accent2 10" xfId="1518" xr:uid="{00000000-0005-0000-0000-0000190A0000}"/>
    <cellStyle name="20% - Accent2 10 10" xfId="16857" xr:uid="{00000000-0005-0000-0000-00001A0A0000}"/>
    <cellStyle name="20% - Accent2 10 2" xfId="1519" xr:uid="{00000000-0005-0000-0000-00001B0A0000}"/>
    <cellStyle name="20% - Accent2 10 2 2" xfId="1520" xr:uid="{00000000-0005-0000-0000-00001C0A0000}"/>
    <cellStyle name="20% - Accent2 10 2 2 2" xfId="1521" xr:uid="{00000000-0005-0000-0000-00001D0A0000}"/>
    <cellStyle name="20% - Accent2 10 2 2 2 2" xfId="12909" xr:uid="{00000000-0005-0000-0000-00001E0A0000}"/>
    <cellStyle name="20% - Accent2 10 2 2 2 3" xfId="16860" xr:uid="{00000000-0005-0000-0000-00001F0A0000}"/>
    <cellStyle name="20% - Accent2 10 2 2 3" xfId="1522" xr:uid="{00000000-0005-0000-0000-0000200A0000}"/>
    <cellStyle name="20% - Accent2 10 2 2 3 2" xfId="12910" xr:uid="{00000000-0005-0000-0000-0000210A0000}"/>
    <cellStyle name="20% - Accent2 10 2 2 3 3" xfId="16861" xr:uid="{00000000-0005-0000-0000-0000220A0000}"/>
    <cellStyle name="20% - Accent2 10 2 2 4" xfId="12908" xr:uid="{00000000-0005-0000-0000-0000230A0000}"/>
    <cellStyle name="20% - Accent2 10 2 2 5" xfId="16859" xr:uid="{00000000-0005-0000-0000-0000240A0000}"/>
    <cellStyle name="20% - Accent2 10 2 3" xfId="1523" xr:uid="{00000000-0005-0000-0000-0000250A0000}"/>
    <cellStyle name="20% - Accent2 10 2 3 2" xfId="1524" xr:uid="{00000000-0005-0000-0000-0000260A0000}"/>
    <cellStyle name="20% - Accent2 10 2 3 2 2" xfId="12912" xr:uid="{00000000-0005-0000-0000-0000270A0000}"/>
    <cellStyle name="20% - Accent2 10 2 3 2 3" xfId="16863" xr:uid="{00000000-0005-0000-0000-0000280A0000}"/>
    <cellStyle name="20% - Accent2 10 2 3 3" xfId="1525" xr:uid="{00000000-0005-0000-0000-0000290A0000}"/>
    <cellStyle name="20% - Accent2 10 2 3 3 2" xfId="12913" xr:uid="{00000000-0005-0000-0000-00002A0A0000}"/>
    <cellStyle name="20% - Accent2 10 2 3 3 3" xfId="16864" xr:uid="{00000000-0005-0000-0000-00002B0A0000}"/>
    <cellStyle name="20% - Accent2 10 2 3 4" xfId="12911" xr:uid="{00000000-0005-0000-0000-00002C0A0000}"/>
    <cellStyle name="20% - Accent2 10 2 3 5" xfId="16862" xr:uid="{00000000-0005-0000-0000-00002D0A0000}"/>
    <cellStyle name="20% - Accent2 10 2 4" xfId="1526" xr:uid="{00000000-0005-0000-0000-00002E0A0000}"/>
    <cellStyle name="20% - Accent2 10 2 4 2" xfId="1527" xr:uid="{00000000-0005-0000-0000-00002F0A0000}"/>
    <cellStyle name="20% - Accent2 10 2 4 2 2" xfId="12915" xr:uid="{00000000-0005-0000-0000-0000300A0000}"/>
    <cellStyle name="20% - Accent2 10 2 4 2 3" xfId="16866" xr:uid="{00000000-0005-0000-0000-0000310A0000}"/>
    <cellStyle name="20% - Accent2 10 2 4 3" xfId="1528" xr:uid="{00000000-0005-0000-0000-0000320A0000}"/>
    <cellStyle name="20% - Accent2 10 2 4 3 2" xfId="12916" xr:uid="{00000000-0005-0000-0000-0000330A0000}"/>
    <cellStyle name="20% - Accent2 10 2 4 3 3" xfId="16867" xr:uid="{00000000-0005-0000-0000-0000340A0000}"/>
    <cellStyle name="20% - Accent2 10 2 4 4" xfId="12914" xr:uid="{00000000-0005-0000-0000-0000350A0000}"/>
    <cellStyle name="20% - Accent2 10 2 4 5" xfId="16865" xr:uid="{00000000-0005-0000-0000-0000360A0000}"/>
    <cellStyle name="20% - Accent2 10 2 5" xfId="1529" xr:uid="{00000000-0005-0000-0000-0000370A0000}"/>
    <cellStyle name="20% - Accent2 10 2 5 2" xfId="12917" xr:uid="{00000000-0005-0000-0000-0000380A0000}"/>
    <cellStyle name="20% - Accent2 10 2 5 3" xfId="16868" xr:uid="{00000000-0005-0000-0000-0000390A0000}"/>
    <cellStyle name="20% - Accent2 10 2 6" xfId="1530" xr:uid="{00000000-0005-0000-0000-00003A0A0000}"/>
    <cellStyle name="20% - Accent2 10 2 6 2" xfId="12918" xr:uid="{00000000-0005-0000-0000-00003B0A0000}"/>
    <cellStyle name="20% - Accent2 10 2 6 3" xfId="16869" xr:uid="{00000000-0005-0000-0000-00003C0A0000}"/>
    <cellStyle name="20% - Accent2 10 2 7" xfId="12907" xr:uid="{00000000-0005-0000-0000-00003D0A0000}"/>
    <cellStyle name="20% - Accent2 10 2 8" xfId="16858" xr:uid="{00000000-0005-0000-0000-00003E0A0000}"/>
    <cellStyle name="20% - Accent2 10 2_Volatility" xfId="1531" xr:uid="{00000000-0005-0000-0000-00003F0A0000}"/>
    <cellStyle name="20% - Accent2 10 3" xfId="1532" xr:uid="{00000000-0005-0000-0000-0000400A0000}"/>
    <cellStyle name="20% - Accent2 10 3 2" xfId="1533" xr:uid="{00000000-0005-0000-0000-0000410A0000}"/>
    <cellStyle name="20% - Accent2 10 3 2 2" xfId="1534" xr:uid="{00000000-0005-0000-0000-0000420A0000}"/>
    <cellStyle name="20% - Accent2 10 3 2 2 2" xfId="12921" xr:uid="{00000000-0005-0000-0000-0000430A0000}"/>
    <cellStyle name="20% - Accent2 10 3 2 2 3" xfId="16872" xr:uid="{00000000-0005-0000-0000-0000440A0000}"/>
    <cellStyle name="20% - Accent2 10 3 2 3" xfId="1535" xr:uid="{00000000-0005-0000-0000-0000450A0000}"/>
    <cellStyle name="20% - Accent2 10 3 2 3 2" xfId="12922" xr:uid="{00000000-0005-0000-0000-0000460A0000}"/>
    <cellStyle name="20% - Accent2 10 3 2 3 3" xfId="16873" xr:uid="{00000000-0005-0000-0000-0000470A0000}"/>
    <cellStyle name="20% - Accent2 10 3 2 4" xfId="12920" xr:uid="{00000000-0005-0000-0000-0000480A0000}"/>
    <cellStyle name="20% - Accent2 10 3 2 5" xfId="16871" xr:uid="{00000000-0005-0000-0000-0000490A0000}"/>
    <cellStyle name="20% - Accent2 10 3 3" xfId="1536" xr:uid="{00000000-0005-0000-0000-00004A0A0000}"/>
    <cellStyle name="20% - Accent2 10 3 3 2" xfId="1537" xr:uid="{00000000-0005-0000-0000-00004B0A0000}"/>
    <cellStyle name="20% - Accent2 10 3 3 2 2" xfId="12924" xr:uid="{00000000-0005-0000-0000-00004C0A0000}"/>
    <cellStyle name="20% - Accent2 10 3 3 2 3" xfId="16875" xr:uid="{00000000-0005-0000-0000-00004D0A0000}"/>
    <cellStyle name="20% - Accent2 10 3 3 3" xfId="1538" xr:uid="{00000000-0005-0000-0000-00004E0A0000}"/>
    <cellStyle name="20% - Accent2 10 3 3 3 2" xfId="12925" xr:uid="{00000000-0005-0000-0000-00004F0A0000}"/>
    <cellStyle name="20% - Accent2 10 3 3 3 3" xfId="16876" xr:uid="{00000000-0005-0000-0000-0000500A0000}"/>
    <cellStyle name="20% - Accent2 10 3 3 4" xfId="12923" xr:uid="{00000000-0005-0000-0000-0000510A0000}"/>
    <cellStyle name="20% - Accent2 10 3 3 5" xfId="16874" xr:uid="{00000000-0005-0000-0000-0000520A0000}"/>
    <cellStyle name="20% - Accent2 10 3 4" xfId="1539" xr:uid="{00000000-0005-0000-0000-0000530A0000}"/>
    <cellStyle name="20% - Accent2 10 3 4 2" xfId="12926" xr:uid="{00000000-0005-0000-0000-0000540A0000}"/>
    <cellStyle name="20% - Accent2 10 3 4 3" xfId="16877" xr:uid="{00000000-0005-0000-0000-0000550A0000}"/>
    <cellStyle name="20% - Accent2 10 3 5" xfId="1540" xr:uid="{00000000-0005-0000-0000-0000560A0000}"/>
    <cellStyle name="20% - Accent2 10 3 5 2" xfId="12927" xr:uid="{00000000-0005-0000-0000-0000570A0000}"/>
    <cellStyle name="20% - Accent2 10 3 5 3" xfId="16878" xr:uid="{00000000-0005-0000-0000-0000580A0000}"/>
    <cellStyle name="20% - Accent2 10 3 6" xfId="12919" xr:uid="{00000000-0005-0000-0000-0000590A0000}"/>
    <cellStyle name="20% - Accent2 10 3 7" xfId="16870" xr:uid="{00000000-0005-0000-0000-00005A0A0000}"/>
    <cellStyle name="20% - Accent2 10 3_Volatility" xfId="1541" xr:uid="{00000000-0005-0000-0000-00005B0A0000}"/>
    <cellStyle name="20% - Accent2 10 4" xfId="1542" xr:uid="{00000000-0005-0000-0000-00005C0A0000}"/>
    <cellStyle name="20% - Accent2 10 4 2" xfId="1543" xr:uid="{00000000-0005-0000-0000-00005D0A0000}"/>
    <cellStyle name="20% - Accent2 10 4 2 2" xfId="12929" xr:uid="{00000000-0005-0000-0000-00005E0A0000}"/>
    <cellStyle name="20% - Accent2 10 4 2 3" xfId="16880" xr:uid="{00000000-0005-0000-0000-00005F0A0000}"/>
    <cellStyle name="20% - Accent2 10 4 3" xfId="1544" xr:uid="{00000000-0005-0000-0000-0000600A0000}"/>
    <cellStyle name="20% - Accent2 10 4 3 2" xfId="12930" xr:uid="{00000000-0005-0000-0000-0000610A0000}"/>
    <cellStyle name="20% - Accent2 10 4 3 3" xfId="16881" xr:uid="{00000000-0005-0000-0000-0000620A0000}"/>
    <cellStyle name="20% - Accent2 10 4 4" xfId="12928" xr:uid="{00000000-0005-0000-0000-0000630A0000}"/>
    <cellStyle name="20% - Accent2 10 4 5" xfId="16879" xr:uid="{00000000-0005-0000-0000-0000640A0000}"/>
    <cellStyle name="20% - Accent2 10 5" xfId="1545" xr:uid="{00000000-0005-0000-0000-0000650A0000}"/>
    <cellStyle name="20% - Accent2 10 5 2" xfId="1546" xr:uid="{00000000-0005-0000-0000-0000660A0000}"/>
    <cellStyle name="20% - Accent2 10 5 2 2" xfId="12932" xr:uid="{00000000-0005-0000-0000-0000670A0000}"/>
    <cellStyle name="20% - Accent2 10 5 2 3" xfId="16883" xr:uid="{00000000-0005-0000-0000-0000680A0000}"/>
    <cellStyle name="20% - Accent2 10 5 3" xfId="1547" xr:uid="{00000000-0005-0000-0000-0000690A0000}"/>
    <cellStyle name="20% - Accent2 10 5 3 2" xfId="12933" xr:uid="{00000000-0005-0000-0000-00006A0A0000}"/>
    <cellStyle name="20% - Accent2 10 5 3 3" xfId="16884" xr:uid="{00000000-0005-0000-0000-00006B0A0000}"/>
    <cellStyle name="20% - Accent2 10 5 4" xfId="12931" xr:uid="{00000000-0005-0000-0000-00006C0A0000}"/>
    <cellStyle name="20% - Accent2 10 5 5" xfId="16882" xr:uid="{00000000-0005-0000-0000-00006D0A0000}"/>
    <cellStyle name="20% - Accent2 10 6" xfId="1548" xr:uid="{00000000-0005-0000-0000-00006E0A0000}"/>
    <cellStyle name="20% - Accent2 10 6 2" xfId="1549" xr:uid="{00000000-0005-0000-0000-00006F0A0000}"/>
    <cellStyle name="20% - Accent2 10 6 2 2" xfId="12935" xr:uid="{00000000-0005-0000-0000-0000700A0000}"/>
    <cellStyle name="20% - Accent2 10 6 2 3" xfId="16886" xr:uid="{00000000-0005-0000-0000-0000710A0000}"/>
    <cellStyle name="20% - Accent2 10 6 3" xfId="1550" xr:uid="{00000000-0005-0000-0000-0000720A0000}"/>
    <cellStyle name="20% - Accent2 10 6 3 2" xfId="12936" xr:uid="{00000000-0005-0000-0000-0000730A0000}"/>
    <cellStyle name="20% - Accent2 10 6 3 3" xfId="16887" xr:uid="{00000000-0005-0000-0000-0000740A0000}"/>
    <cellStyle name="20% - Accent2 10 6 4" xfId="12934" xr:uid="{00000000-0005-0000-0000-0000750A0000}"/>
    <cellStyle name="20% - Accent2 10 6 5" xfId="16885" xr:uid="{00000000-0005-0000-0000-0000760A0000}"/>
    <cellStyle name="20% - Accent2 10 7" xfId="1551" xr:uid="{00000000-0005-0000-0000-0000770A0000}"/>
    <cellStyle name="20% - Accent2 10 7 2" xfId="12937" xr:uid="{00000000-0005-0000-0000-0000780A0000}"/>
    <cellStyle name="20% - Accent2 10 7 3" xfId="16888" xr:uid="{00000000-0005-0000-0000-0000790A0000}"/>
    <cellStyle name="20% - Accent2 10 8" xfId="1552" xr:uid="{00000000-0005-0000-0000-00007A0A0000}"/>
    <cellStyle name="20% - Accent2 10 8 2" xfId="12938" xr:uid="{00000000-0005-0000-0000-00007B0A0000}"/>
    <cellStyle name="20% - Accent2 10 8 3" xfId="16889" xr:uid="{00000000-0005-0000-0000-00007C0A0000}"/>
    <cellStyle name="20% - Accent2 10 9" xfId="12906" xr:uid="{00000000-0005-0000-0000-00007D0A0000}"/>
    <cellStyle name="20% - Accent2 10_Volatility" xfId="1553" xr:uid="{00000000-0005-0000-0000-00007E0A0000}"/>
    <cellStyle name="20% - Accent2 11" xfId="1554" xr:uid="{00000000-0005-0000-0000-00007F0A0000}"/>
    <cellStyle name="20% - Accent2 11 10" xfId="16890" xr:uid="{00000000-0005-0000-0000-0000800A0000}"/>
    <cellStyle name="20% - Accent2 11 2" xfId="1555" xr:uid="{00000000-0005-0000-0000-0000810A0000}"/>
    <cellStyle name="20% - Accent2 11 2 2" xfId="1556" xr:uid="{00000000-0005-0000-0000-0000820A0000}"/>
    <cellStyle name="20% - Accent2 11 2 2 2" xfId="1557" xr:uid="{00000000-0005-0000-0000-0000830A0000}"/>
    <cellStyle name="20% - Accent2 11 2 2 2 2" xfId="12942" xr:uid="{00000000-0005-0000-0000-0000840A0000}"/>
    <cellStyle name="20% - Accent2 11 2 2 2 3" xfId="16893" xr:uid="{00000000-0005-0000-0000-0000850A0000}"/>
    <cellStyle name="20% - Accent2 11 2 2 3" xfId="1558" xr:uid="{00000000-0005-0000-0000-0000860A0000}"/>
    <cellStyle name="20% - Accent2 11 2 2 3 2" xfId="12943" xr:uid="{00000000-0005-0000-0000-0000870A0000}"/>
    <cellStyle name="20% - Accent2 11 2 2 3 3" xfId="16894" xr:uid="{00000000-0005-0000-0000-0000880A0000}"/>
    <cellStyle name="20% - Accent2 11 2 2 4" xfId="12941" xr:uid="{00000000-0005-0000-0000-0000890A0000}"/>
    <cellStyle name="20% - Accent2 11 2 2 5" xfId="16892" xr:uid="{00000000-0005-0000-0000-00008A0A0000}"/>
    <cellStyle name="20% - Accent2 11 2 3" xfId="1559" xr:uid="{00000000-0005-0000-0000-00008B0A0000}"/>
    <cellStyle name="20% - Accent2 11 2 3 2" xfId="1560" xr:uid="{00000000-0005-0000-0000-00008C0A0000}"/>
    <cellStyle name="20% - Accent2 11 2 3 2 2" xfId="12945" xr:uid="{00000000-0005-0000-0000-00008D0A0000}"/>
    <cellStyle name="20% - Accent2 11 2 3 2 3" xfId="16896" xr:uid="{00000000-0005-0000-0000-00008E0A0000}"/>
    <cellStyle name="20% - Accent2 11 2 3 3" xfId="1561" xr:uid="{00000000-0005-0000-0000-00008F0A0000}"/>
    <cellStyle name="20% - Accent2 11 2 3 3 2" xfId="12946" xr:uid="{00000000-0005-0000-0000-0000900A0000}"/>
    <cellStyle name="20% - Accent2 11 2 3 3 3" xfId="16897" xr:uid="{00000000-0005-0000-0000-0000910A0000}"/>
    <cellStyle name="20% - Accent2 11 2 3 4" xfId="12944" xr:uid="{00000000-0005-0000-0000-0000920A0000}"/>
    <cellStyle name="20% - Accent2 11 2 3 5" xfId="16895" xr:uid="{00000000-0005-0000-0000-0000930A0000}"/>
    <cellStyle name="20% - Accent2 11 2 4" xfId="1562" xr:uid="{00000000-0005-0000-0000-0000940A0000}"/>
    <cellStyle name="20% - Accent2 11 2 4 2" xfId="1563" xr:uid="{00000000-0005-0000-0000-0000950A0000}"/>
    <cellStyle name="20% - Accent2 11 2 4 2 2" xfId="12948" xr:uid="{00000000-0005-0000-0000-0000960A0000}"/>
    <cellStyle name="20% - Accent2 11 2 4 2 3" xfId="16899" xr:uid="{00000000-0005-0000-0000-0000970A0000}"/>
    <cellStyle name="20% - Accent2 11 2 4 3" xfId="1564" xr:uid="{00000000-0005-0000-0000-0000980A0000}"/>
    <cellStyle name="20% - Accent2 11 2 4 3 2" xfId="12949" xr:uid="{00000000-0005-0000-0000-0000990A0000}"/>
    <cellStyle name="20% - Accent2 11 2 4 3 3" xfId="16900" xr:uid="{00000000-0005-0000-0000-00009A0A0000}"/>
    <cellStyle name="20% - Accent2 11 2 4 4" xfId="12947" xr:uid="{00000000-0005-0000-0000-00009B0A0000}"/>
    <cellStyle name="20% - Accent2 11 2 4 5" xfId="16898" xr:uid="{00000000-0005-0000-0000-00009C0A0000}"/>
    <cellStyle name="20% - Accent2 11 2 5" xfId="1565" xr:uid="{00000000-0005-0000-0000-00009D0A0000}"/>
    <cellStyle name="20% - Accent2 11 2 5 2" xfId="12950" xr:uid="{00000000-0005-0000-0000-00009E0A0000}"/>
    <cellStyle name="20% - Accent2 11 2 5 3" xfId="16901" xr:uid="{00000000-0005-0000-0000-00009F0A0000}"/>
    <cellStyle name="20% - Accent2 11 2 6" xfId="1566" xr:uid="{00000000-0005-0000-0000-0000A00A0000}"/>
    <cellStyle name="20% - Accent2 11 2 6 2" xfId="12951" xr:uid="{00000000-0005-0000-0000-0000A10A0000}"/>
    <cellStyle name="20% - Accent2 11 2 6 3" xfId="16902" xr:uid="{00000000-0005-0000-0000-0000A20A0000}"/>
    <cellStyle name="20% - Accent2 11 2 7" xfId="12940" xr:uid="{00000000-0005-0000-0000-0000A30A0000}"/>
    <cellStyle name="20% - Accent2 11 2 8" xfId="16891" xr:uid="{00000000-0005-0000-0000-0000A40A0000}"/>
    <cellStyle name="20% - Accent2 11 2_Volatility" xfId="1567" xr:uid="{00000000-0005-0000-0000-0000A50A0000}"/>
    <cellStyle name="20% - Accent2 11 3" xfId="1568" xr:uid="{00000000-0005-0000-0000-0000A60A0000}"/>
    <cellStyle name="20% - Accent2 11 3 2" xfId="1569" xr:uid="{00000000-0005-0000-0000-0000A70A0000}"/>
    <cellStyle name="20% - Accent2 11 3 2 2" xfId="1570" xr:uid="{00000000-0005-0000-0000-0000A80A0000}"/>
    <cellStyle name="20% - Accent2 11 3 2 2 2" xfId="12954" xr:uid="{00000000-0005-0000-0000-0000A90A0000}"/>
    <cellStyle name="20% - Accent2 11 3 2 2 3" xfId="16905" xr:uid="{00000000-0005-0000-0000-0000AA0A0000}"/>
    <cellStyle name="20% - Accent2 11 3 2 3" xfId="1571" xr:uid="{00000000-0005-0000-0000-0000AB0A0000}"/>
    <cellStyle name="20% - Accent2 11 3 2 3 2" xfId="12955" xr:uid="{00000000-0005-0000-0000-0000AC0A0000}"/>
    <cellStyle name="20% - Accent2 11 3 2 3 3" xfId="16906" xr:uid="{00000000-0005-0000-0000-0000AD0A0000}"/>
    <cellStyle name="20% - Accent2 11 3 2 4" xfId="12953" xr:uid="{00000000-0005-0000-0000-0000AE0A0000}"/>
    <cellStyle name="20% - Accent2 11 3 2 5" xfId="16904" xr:uid="{00000000-0005-0000-0000-0000AF0A0000}"/>
    <cellStyle name="20% - Accent2 11 3 3" xfId="1572" xr:uid="{00000000-0005-0000-0000-0000B00A0000}"/>
    <cellStyle name="20% - Accent2 11 3 3 2" xfId="1573" xr:uid="{00000000-0005-0000-0000-0000B10A0000}"/>
    <cellStyle name="20% - Accent2 11 3 3 2 2" xfId="12957" xr:uid="{00000000-0005-0000-0000-0000B20A0000}"/>
    <cellStyle name="20% - Accent2 11 3 3 2 3" xfId="16908" xr:uid="{00000000-0005-0000-0000-0000B30A0000}"/>
    <cellStyle name="20% - Accent2 11 3 3 3" xfId="1574" xr:uid="{00000000-0005-0000-0000-0000B40A0000}"/>
    <cellStyle name="20% - Accent2 11 3 3 3 2" xfId="12958" xr:uid="{00000000-0005-0000-0000-0000B50A0000}"/>
    <cellStyle name="20% - Accent2 11 3 3 3 3" xfId="16909" xr:uid="{00000000-0005-0000-0000-0000B60A0000}"/>
    <cellStyle name="20% - Accent2 11 3 3 4" xfId="12956" xr:uid="{00000000-0005-0000-0000-0000B70A0000}"/>
    <cellStyle name="20% - Accent2 11 3 3 5" xfId="16907" xr:uid="{00000000-0005-0000-0000-0000B80A0000}"/>
    <cellStyle name="20% - Accent2 11 3 4" xfId="1575" xr:uid="{00000000-0005-0000-0000-0000B90A0000}"/>
    <cellStyle name="20% - Accent2 11 3 4 2" xfId="12959" xr:uid="{00000000-0005-0000-0000-0000BA0A0000}"/>
    <cellStyle name="20% - Accent2 11 3 4 3" xfId="16910" xr:uid="{00000000-0005-0000-0000-0000BB0A0000}"/>
    <cellStyle name="20% - Accent2 11 3 5" xfId="1576" xr:uid="{00000000-0005-0000-0000-0000BC0A0000}"/>
    <cellStyle name="20% - Accent2 11 3 5 2" xfId="12960" xr:uid="{00000000-0005-0000-0000-0000BD0A0000}"/>
    <cellStyle name="20% - Accent2 11 3 5 3" xfId="16911" xr:uid="{00000000-0005-0000-0000-0000BE0A0000}"/>
    <cellStyle name="20% - Accent2 11 3 6" xfId="12952" xr:uid="{00000000-0005-0000-0000-0000BF0A0000}"/>
    <cellStyle name="20% - Accent2 11 3 7" xfId="16903" xr:uid="{00000000-0005-0000-0000-0000C00A0000}"/>
    <cellStyle name="20% - Accent2 11 3_Volatility" xfId="1577" xr:uid="{00000000-0005-0000-0000-0000C10A0000}"/>
    <cellStyle name="20% - Accent2 11 4" xfId="1578" xr:uid="{00000000-0005-0000-0000-0000C20A0000}"/>
    <cellStyle name="20% - Accent2 11 4 2" xfId="1579" xr:uid="{00000000-0005-0000-0000-0000C30A0000}"/>
    <cellStyle name="20% - Accent2 11 4 2 2" xfId="12962" xr:uid="{00000000-0005-0000-0000-0000C40A0000}"/>
    <cellStyle name="20% - Accent2 11 4 2 3" xfId="16913" xr:uid="{00000000-0005-0000-0000-0000C50A0000}"/>
    <cellStyle name="20% - Accent2 11 4 3" xfId="1580" xr:uid="{00000000-0005-0000-0000-0000C60A0000}"/>
    <cellStyle name="20% - Accent2 11 4 3 2" xfId="12963" xr:uid="{00000000-0005-0000-0000-0000C70A0000}"/>
    <cellStyle name="20% - Accent2 11 4 3 3" xfId="16914" xr:uid="{00000000-0005-0000-0000-0000C80A0000}"/>
    <cellStyle name="20% - Accent2 11 4 4" xfId="12961" xr:uid="{00000000-0005-0000-0000-0000C90A0000}"/>
    <cellStyle name="20% - Accent2 11 4 5" xfId="16912" xr:uid="{00000000-0005-0000-0000-0000CA0A0000}"/>
    <cellStyle name="20% - Accent2 11 5" xfId="1581" xr:uid="{00000000-0005-0000-0000-0000CB0A0000}"/>
    <cellStyle name="20% - Accent2 11 5 2" xfId="1582" xr:uid="{00000000-0005-0000-0000-0000CC0A0000}"/>
    <cellStyle name="20% - Accent2 11 5 2 2" xfId="12965" xr:uid="{00000000-0005-0000-0000-0000CD0A0000}"/>
    <cellStyle name="20% - Accent2 11 5 2 3" xfId="16916" xr:uid="{00000000-0005-0000-0000-0000CE0A0000}"/>
    <cellStyle name="20% - Accent2 11 5 3" xfId="1583" xr:uid="{00000000-0005-0000-0000-0000CF0A0000}"/>
    <cellStyle name="20% - Accent2 11 5 3 2" xfId="12966" xr:uid="{00000000-0005-0000-0000-0000D00A0000}"/>
    <cellStyle name="20% - Accent2 11 5 3 3" xfId="16917" xr:uid="{00000000-0005-0000-0000-0000D10A0000}"/>
    <cellStyle name="20% - Accent2 11 5 4" xfId="12964" xr:uid="{00000000-0005-0000-0000-0000D20A0000}"/>
    <cellStyle name="20% - Accent2 11 5 5" xfId="16915" xr:uid="{00000000-0005-0000-0000-0000D30A0000}"/>
    <cellStyle name="20% - Accent2 11 6" xfId="1584" xr:uid="{00000000-0005-0000-0000-0000D40A0000}"/>
    <cellStyle name="20% - Accent2 11 6 2" xfId="1585" xr:uid="{00000000-0005-0000-0000-0000D50A0000}"/>
    <cellStyle name="20% - Accent2 11 6 2 2" xfId="12968" xr:uid="{00000000-0005-0000-0000-0000D60A0000}"/>
    <cellStyle name="20% - Accent2 11 6 2 3" xfId="16919" xr:uid="{00000000-0005-0000-0000-0000D70A0000}"/>
    <cellStyle name="20% - Accent2 11 6 3" xfId="1586" xr:uid="{00000000-0005-0000-0000-0000D80A0000}"/>
    <cellStyle name="20% - Accent2 11 6 3 2" xfId="12969" xr:uid="{00000000-0005-0000-0000-0000D90A0000}"/>
    <cellStyle name="20% - Accent2 11 6 3 3" xfId="16920" xr:uid="{00000000-0005-0000-0000-0000DA0A0000}"/>
    <cellStyle name="20% - Accent2 11 6 4" xfId="12967" xr:uid="{00000000-0005-0000-0000-0000DB0A0000}"/>
    <cellStyle name="20% - Accent2 11 6 5" xfId="16918" xr:uid="{00000000-0005-0000-0000-0000DC0A0000}"/>
    <cellStyle name="20% - Accent2 11 7" xfId="1587" xr:uid="{00000000-0005-0000-0000-0000DD0A0000}"/>
    <cellStyle name="20% - Accent2 11 7 2" xfId="12970" xr:uid="{00000000-0005-0000-0000-0000DE0A0000}"/>
    <cellStyle name="20% - Accent2 11 7 3" xfId="16921" xr:uid="{00000000-0005-0000-0000-0000DF0A0000}"/>
    <cellStyle name="20% - Accent2 11 8" xfId="1588" xr:uid="{00000000-0005-0000-0000-0000E00A0000}"/>
    <cellStyle name="20% - Accent2 11 8 2" xfId="12971" xr:uid="{00000000-0005-0000-0000-0000E10A0000}"/>
    <cellStyle name="20% - Accent2 11 8 3" xfId="16922" xr:uid="{00000000-0005-0000-0000-0000E20A0000}"/>
    <cellStyle name="20% - Accent2 11 9" xfId="12939" xr:uid="{00000000-0005-0000-0000-0000E30A0000}"/>
    <cellStyle name="20% - Accent2 11_Volatility" xfId="1589" xr:uid="{00000000-0005-0000-0000-0000E40A0000}"/>
    <cellStyle name="20% - Accent2 12" xfId="1590" xr:uid="{00000000-0005-0000-0000-0000E50A0000}"/>
    <cellStyle name="20% - Accent2 12 10" xfId="16923" xr:uid="{00000000-0005-0000-0000-0000E60A0000}"/>
    <cellStyle name="20% - Accent2 12 2" xfId="1591" xr:uid="{00000000-0005-0000-0000-0000E70A0000}"/>
    <cellStyle name="20% - Accent2 12 2 2" xfId="1592" xr:uid="{00000000-0005-0000-0000-0000E80A0000}"/>
    <cellStyle name="20% - Accent2 12 2 2 2" xfId="1593" xr:uid="{00000000-0005-0000-0000-0000E90A0000}"/>
    <cellStyle name="20% - Accent2 12 2 2 2 2" xfId="12975" xr:uid="{00000000-0005-0000-0000-0000EA0A0000}"/>
    <cellStyle name="20% - Accent2 12 2 2 2 3" xfId="16926" xr:uid="{00000000-0005-0000-0000-0000EB0A0000}"/>
    <cellStyle name="20% - Accent2 12 2 2 3" xfId="1594" xr:uid="{00000000-0005-0000-0000-0000EC0A0000}"/>
    <cellStyle name="20% - Accent2 12 2 2 3 2" xfId="12976" xr:uid="{00000000-0005-0000-0000-0000ED0A0000}"/>
    <cellStyle name="20% - Accent2 12 2 2 3 3" xfId="16927" xr:uid="{00000000-0005-0000-0000-0000EE0A0000}"/>
    <cellStyle name="20% - Accent2 12 2 2 4" xfId="12974" xr:uid="{00000000-0005-0000-0000-0000EF0A0000}"/>
    <cellStyle name="20% - Accent2 12 2 2 5" xfId="16925" xr:uid="{00000000-0005-0000-0000-0000F00A0000}"/>
    <cellStyle name="20% - Accent2 12 2 3" xfId="1595" xr:uid="{00000000-0005-0000-0000-0000F10A0000}"/>
    <cellStyle name="20% - Accent2 12 2 3 2" xfId="1596" xr:uid="{00000000-0005-0000-0000-0000F20A0000}"/>
    <cellStyle name="20% - Accent2 12 2 3 2 2" xfId="12978" xr:uid="{00000000-0005-0000-0000-0000F30A0000}"/>
    <cellStyle name="20% - Accent2 12 2 3 2 3" xfId="16929" xr:uid="{00000000-0005-0000-0000-0000F40A0000}"/>
    <cellStyle name="20% - Accent2 12 2 3 3" xfId="1597" xr:uid="{00000000-0005-0000-0000-0000F50A0000}"/>
    <cellStyle name="20% - Accent2 12 2 3 3 2" xfId="12979" xr:uid="{00000000-0005-0000-0000-0000F60A0000}"/>
    <cellStyle name="20% - Accent2 12 2 3 3 3" xfId="16930" xr:uid="{00000000-0005-0000-0000-0000F70A0000}"/>
    <cellStyle name="20% - Accent2 12 2 3 4" xfId="12977" xr:uid="{00000000-0005-0000-0000-0000F80A0000}"/>
    <cellStyle name="20% - Accent2 12 2 3 5" xfId="16928" xr:uid="{00000000-0005-0000-0000-0000F90A0000}"/>
    <cellStyle name="20% - Accent2 12 2 4" xfId="1598" xr:uid="{00000000-0005-0000-0000-0000FA0A0000}"/>
    <cellStyle name="20% - Accent2 12 2 4 2" xfId="1599" xr:uid="{00000000-0005-0000-0000-0000FB0A0000}"/>
    <cellStyle name="20% - Accent2 12 2 4 2 2" xfId="12981" xr:uid="{00000000-0005-0000-0000-0000FC0A0000}"/>
    <cellStyle name="20% - Accent2 12 2 4 2 3" xfId="16932" xr:uid="{00000000-0005-0000-0000-0000FD0A0000}"/>
    <cellStyle name="20% - Accent2 12 2 4 3" xfId="1600" xr:uid="{00000000-0005-0000-0000-0000FE0A0000}"/>
    <cellStyle name="20% - Accent2 12 2 4 3 2" xfId="12982" xr:uid="{00000000-0005-0000-0000-0000FF0A0000}"/>
    <cellStyle name="20% - Accent2 12 2 4 3 3" xfId="16933" xr:uid="{00000000-0005-0000-0000-0000000B0000}"/>
    <cellStyle name="20% - Accent2 12 2 4 4" xfId="12980" xr:uid="{00000000-0005-0000-0000-0000010B0000}"/>
    <cellStyle name="20% - Accent2 12 2 4 5" xfId="16931" xr:uid="{00000000-0005-0000-0000-0000020B0000}"/>
    <cellStyle name="20% - Accent2 12 2 5" xfId="1601" xr:uid="{00000000-0005-0000-0000-0000030B0000}"/>
    <cellStyle name="20% - Accent2 12 2 5 2" xfId="12983" xr:uid="{00000000-0005-0000-0000-0000040B0000}"/>
    <cellStyle name="20% - Accent2 12 2 5 3" xfId="16934" xr:uid="{00000000-0005-0000-0000-0000050B0000}"/>
    <cellStyle name="20% - Accent2 12 2 6" xfId="1602" xr:uid="{00000000-0005-0000-0000-0000060B0000}"/>
    <cellStyle name="20% - Accent2 12 2 6 2" xfId="12984" xr:uid="{00000000-0005-0000-0000-0000070B0000}"/>
    <cellStyle name="20% - Accent2 12 2 6 3" xfId="16935" xr:uid="{00000000-0005-0000-0000-0000080B0000}"/>
    <cellStyle name="20% - Accent2 12 2 7" xfId="12973" xr:uid="{00000000-0005-0000-0000-0000090B0000}"/>
    <cellStyle name="20% - Accent2 12 2 8" xfId="16924" xr:uid="{00000000-0005-0000-0000-00000A0B0000}"/>
    <cellStyle name="20% - Accent2 12 2_Volatility" xfId="1603" xr:uid="{00000000-0005-0000-0000-00000B0B0000}"/>
    <cellStyle name="20% - Accent2 12 3" xfId="1604" xr:uid="{00000000-0005-0000-0000-00000C0B0000}"/>
    <cellStyle name="20% - Accent2 12 3 2" xfId="1605" xr:uid="{00000000-0005-0000-0000-00000D0B0000}"/>
    <cellStyle name="20% - Accent2 12 3 2 2" xfId="1606" xr:uid="{00000000-0005-0000-0000-00000E0B0000}"/>
    <cellStyle name="20% - Accent2 12 3 2 2 2" xfId="12987" xr:uid="{00000000-0005-0000-0000-00000F0B0000}"/>
    <cellStyle name="20% - Accent2 12 3 2 2 3" xfId="16938" xr:uid="{00000000-0005-0000-0000-0000100B0000}"/>
    <cellStyle name="20% - Accent2 12 3 2 3" xfId="1607" xr:uid="{00000000-0005-0000-0000-0000110B0000}"/>
    <cellStyle name="20% - Accent2 12 3 2 3 2" xfId="12988" xr:uid="{00000000-0005-0000-0000-0000120B0000}"/>
    <cellStyle name="20% - Accent2 12 3 2 3 3" xfId="16939" xr:uid="{00000000-0005-0000-0000-0000130B0000}"/>
    <cellStyle name="20% - Accent2 12 3 2 4" xfId="12986" xr:uid="{00000000-0005-0000-0000-0000140B0000}"/>
    <cellStyle name="20% - Accent2 12 3 2 5" xfId="16937" xr:uid="{00000000-0005-0000-0000-0000150B0000}"/>
    <cellStyle name="20% - Accent2 12 3 3" xfId="1608" xr:uid="{00000000-0005-0000-0000-0000160B0000}"/>
    <cellStyle name="20% - Accent2 12 3 3 2" xfId="1609" xr:uid="{00000000-0005-0000-0000-0000170B0000}"/>
    <cellStyle name="20% - Accent2 12 3 3 2 2" xfId="12990" xr:uid="{00000000-0005-0000-0000-0000180B0000}"/>
    <cellStyle name="20% - Accent2 12 3 3 2 3" xfId="16941" xr:uid="{00000000-0005-0000-0000-0000190B0000}"/>
    <cellStyle name="20% - Accent2 12 3 3 3" xfId="1610" xr:uid="{00000000-0005-0000-0000-00001A0B0000}"/>
    <cellStyle name="20% - Accent2 12 3 3 3 2" xfId="12991" xr:uid="{00000000-0005-0000-0000-00001B0B0000}"/>
    <cellStyle name="20% - Accent2 12 3 3 3 3" xfId="16942" xr:uid="{00000000-0005-0000-0000-00001C0B0000}"/>
    <cellStyle name="20% - Accent2 12 3 3 4" xfId="12989" xr:uid="{00000000-0005-0000-0000-00001D0B0000}"/>
    <cellStyle name="20% - Accent2 12 3 3 5" xfId="16940" xr:uid="{00000000-0005-0000-0000-00001E0B0000}"/>
    <cellStyle name="20% - Accent2 12 3 4" xfId="1611" xr:uid="{00000000-0005-0000-0000-00001F0B0000}"/>
    <cellStyle name="20% - Accent2 12 3 4 2" xfId="12992" xr:uid="{00000000-0005-0000-0000-0000200B0000}"/>
    <cellStyle name="20% - Accent2 12 3 4 3" xfId="16943" xr:uid="{00000000-0005-0000-0000-0000210B0000}"/>
    <cellStyle name="20% - Accent2 12 3 5" xfId="1612" xr:uid="{00000000-0005-0000-0000-0000220B0000}"/>
    <cellStyle name="20% - Accent2 12 3 5 2" xfId="12993" xr:uid="{00000000-0005-0000-0000-0000230B0000}"/>
    <cellStyle name="20% - Accent2 12 3 5 3" xfId="16944" xr:uid="{00000000-0005-0000-0000-0000240B0000}"/>
    <cellStyle name="20% - Accent2 12 3 6" xfId="12985" xr:uid="{00000000-0005-0000-0000-0000250B0000}"/>
    <cellStyle name="20% - Accent2 12 3 7" xfId="16936" xr:uid="{00000000-0005-0000-0000-0000260B0000}"/>
    <cellStyle name="20% - Accent2 12 3_Volatility" xfId="1613" xr:uid="{00000000-0005-0000-0000-0000270B0000}"/>
    <cellStyle name="20% - Accent2 12 4" xfId="1614" xr:uid="{00000000-0005-0000-0000-0000280B0000}"/>
    <cellStyle name="20% - Accent2 12 4 2" xfId="1615" xr:uid="{00000000-0005-0000-0000-0000290B0000}"/>
    <cellStyle name="20% - Accent2 12 4 2 2" xfId="12995" xr:uid="{00000000-0005-0000-0000-00002A0B0000}"/>
    <cellStyle name="20% - Accent2 12 4 2 3" xfId="16946" xr:uid="{00000000-0005-0000-0000-00002B0B0000}"/>
    <cellStyle name="20% - Accent2 12 4 3" xfId="1616" xr:uid="{00000000-0005-0000-0000-00002C0B0000}"/>
    <cellStyle name="20% - Accent2 12 4 3 2" xfId="12996" xr:uid="{00000000-0005-0000-0000-00002D0B0000}"/>
    <cellStyle name="20% - Accent2 12 4 3 3" xfId="16947" xr:uid="{00000000-0005-0000-0000-00002E0B0000}"/>
    <cellStyle name="20% - Accent2 12 4 4" xfId="12994" xr:uid="{00000000-0005-0000-0000-00002F0B0000}"/>
    <cellStyle name="20% - Accent2 12 4 5" xfId="16945" xr:uid="{00000000-0005-0000-0000-0000300B0000}"/>
    <cellStyle name="20% - Accent2 12 5" xfId="1617" xr:uid="{00000000-0005-0000-0000-0000310B0000}"/>
    <cellStyle name="20% - Accent2 12 5 2" xfId="1618" xr:uid="{00000000-0005-0000-0000-0000320B0000}"/>
    <cellStyle name="20% - Accent2 12 5 2 2" xfId="12998" xr:uid="{00000000-0005-0000-0000-0000330B0000}"/>
    <cellStyle name="20% - Accent2 12 5 2 3" xfId="16949" xr:uid="{00000000-0005-0000-0000-0000340B0000}"/>
    <cellStyle name="20% - Accent2 12 5 3" xfId="1619" xr:uid="{00000000-0005-0000-0000-0000350B0000}"/>
    <cellStyle name="20% - Accent2 12 5 3 2" xfId="12999" xr:uid="{00000000-0005-0000-0000-0000360B0000}"/>
    <cellStyle name="20% - Accent2 12 5 3 3" xfId="16950" xr:uid="{00000000-0005-0000-0000-0000370B0000}"/>
    <cellStyle name="20% - Accent2 12 5 4" xfId="12997" xr:uid="{00000000-0005-0000-0000-0000380B0000}"/>
    <cellStyle name="20% - Accent2 12 5 5" xfId="16948" xr:uid="{00000000-0005-0000-0000-0000390B0000}"/>
    <cellStyle name="20% - Accent2 12 6" xfId="1620" xr:uid="{00000000-0005-0000-0000-00003A0B0000}"/>
    <cellStyle name="20% - Accent2 12 6 2" xfId="1621" xr:uid="{00000000-0005-0000-0000-00003B0B0000}"/>
    <cellStyle name="20% - Accent2 12 6 2 2" xfId="13001" xr:uid="{00000000-0005-0000-0000-00003C0B0000}"/>
    <cellStyle name="20% - Accent2 12 6 2 3" xfId="16952" xr:uid="{00000000-0005-0000-0000-00003D0B0000}"/>
    <cellStyle name="20% - Accent2 12 6 3" xfId="1622" xr:uid="{00000000-0005-0000-0000-00003E0B0000}"/>
    <cellStyle name="20% - Accent2 12 6 3 2" xfId="13002" xr:uid="{00000000-0005-0000-0000-00003F0B0000}"/>
    <cellStyle name="20% - Accent2 12 6 3 3" xfId="16953" xr:uid="{00000000-0005-0000-0000-0000400B0000}"/>
    <cellStyle name="20% - Accent2 12 6 4" xfId="13000" xr:uid="{00000000-0005-0000-0000-0000410B0000}"/>
    <cellStyle name="20% - Accent2 12 6 5" xfId="16951" xr:uid="{00000000-0005-0000-0000-0000420B0000}"/>
    <cellStyle name="20% - Accent2 12 7" xfId="1623" xr:uid="{00000000-0005-0000-0000-0000430B0000}"/>
    <cellStyle name="20% - Accent2 12 7 2" xfId="13003" xr:uid="{00000000-0005-0000-0000-0000440B0000}"/>
    <cellStyle name="20% - Accent2 12 7 3" xfId="16954" xr:uid="{00000000-0005-0000-0000-0000450B0000}"/>
    <cellStyle name="20% - Accent2 12 8" xfId="1624" xr:uid="{00000000-0005-0000-0000-0000460B0000}"/>
    <cellStyle name="20% - Accent2 12 8 2" xfId="13004" xr:uid="{00000000-0005-0000-0000-0000470B0000}"/>
    <cellStyle name="20% - Accent2 12 8 3" xfId="16955" xr:uid="{00000000-0005-0000-0000-0000480B0000}"/>
    <cellStyle name="20% - Accent2 12 9" xfId="12972" xr:uid="{00000000-0005-0000-0000-0000490B0000}"/>
    <cellStyle name="20% - Accent2 12_Volatility" xfId="1625" xr:uid="{00000000-0005-0000-0000-00004A0B0000}"/>
    <cellStyle name="20% - Accent2 13" xfId="1626" xr:uid="{00000000-0005-0000-0000-00004B0B0000}"/>
    <cellStyle name="20% - Accent2 13 10" xfId="16956" xr:uid="{00000000-0005-0000-0000-00004C0B0000}"/>
    <cellStyle name="20% - Accent2 13 2" xfId="1627" xr:uid="{00000000-0005-0000-0000-00004D0B0000}"/>
    <cellStyle name="20% - Accent2 13 2 2" xfId="1628" xr:uid="{00000000-0005-0000-0000-00004E0B0000}"/>
    <cellStyle name="20% - Accent2 13 2 2 2" xfId="1629" xr:uid="{00000000-0005-0000-0000-00004F0B0000}"/>
    <cellStyle name="20% - Accent2 13 2 2 2 2" xfId="13008" xr:uid="{00000000-0005-0000-0000-0000500B0000}"/>
    <cellStyle name="20% - Accent2 13 2 2 2 3" xfId="16959" xr:uid="{00000000-0005-0000-0000-0000510B0000}"/>
    <cellStyle name="20% - Accent2 13 2 2 3" xfId="1630" xr:uid="{00000000-0005-0000-0000-0000520B0000}"/>
    <cellStyle name="20% - Accent2 13 2 2 3 2" xfId="13009" xr:uid="{00000000-0005-0000-0000-0000530B0000}"/>
    <cellStyle name="20% - Accent2 13 2 2 3 3" xfId="16960" xr:uid="{00000000-0005-0000-0000-0000540B0000}"/>
    <cellStyle name="20% - Accent2 13 2 2 4" xfId="13007" xr:uid="{00000000-0005-0000-0000-0000550B0000}"/>
    <cellStyle name="20% - Accent2 13 2 2 5" xfId="16958" xr:uid="{00000000-0005-0000-0000-0000560B0000}"/>
    <cellStyle name="20% - Accent2 13 2 3" xfId="1631" xr:uid="{00000000-0005-0000-0000-0000570B0000}"/>
    <cellStyle name="20% - Accent2 13 2 3 2" xfId="1632" xr:uid="{00000000-0005-0000-0000-0000580B0000}"/>
    <cellStyle name="20% - Accent2 13 2 3 2 2" xfId="13011" xr:uid="{00000000-0005-0000-0000-0000590B0000}"/>
    <cellStyle name="20% - Accent2 13 2 3 2 3" xfId="16962" xr:uid="{00000000-0005-0000-0000-00005A0B0000}"/>
    <cellStyle name="20% - Accent2 13 2 3 3" xfId="1633" xr:uid="{00000000-0005-0000-0000-00005B0B0000}"/>
    <cellStyle name="20% - Accent2 13 2 3 3 2" xfId="13012" xr:uid="{00000000-0005-0000-0000-00005C0B0000}"/>
    <cellStyle name="20% - Accent2 13 2 3 3 3" xfId="16963" xr:uid="{00000000-0005-0000-0000-00005D0B0000}"/>
    <cellStyle name="20% - Accent2 13 2 3 4" xfId="13010" xr:uid="{00000000-0005-0000-0000-00005E0B0000}"/>
    <cellStyle name="20% - Accent2 13 2 3 5" xfId="16961" xr:uid="{00000000-0005-0000-0000-00005F0B0000}"/>
    <cellStyle name="20% - Accent2 13 2 4" xfId="1634" xr:uid="{00000000-0005-0000-0000-0000600B0000}"/>
    <cellStyle name="20% - Accent2 13 2 4 2" xfId="1635" xr:uid="{00000000-0005-0000-0000-0000610B0000}"/>
    <cellStyle name="20% - Accent2 13 2 4 2 2" xfId="13014" xr:uid="{00000000-0005-0000-0000-0000620B0000}"/>
    <cellStyle name="20% - Accent2 13 2 4 2 3" xfId="16965" xr:uid="{00000000-0005-0000-0000-0000630B0000}"/>
    <cellStyle name="20% - Accent2 13 2 4 3" xfId="1636" xr:uid="{00000000-0005-0000-0000-0000640B0000}"/>
    <cellStyle name="20% - Accent2 13 2 4 3 2" xfId="13015" xr:uid="{00000000-0005-0000-0000-0000650B0000}"/>
    <cellStyle name="20% - Accent2 13 2 4 3 3" xfId="16966" xr:uid="{00000000-0005-0000-0000-0000660B0000}"/>
    <cellStyle name="20% - Accent2 13 2 4 4" xfId="13013" xr:uid="{00000000-0005-0000-0000-0000670B0000}"/>
    <cellStyle name="20% - Accent2 13 2 4 5" xfId="16964" xr:uid="{00000000-0005-0000-0000-0000680B0000}"/>
    <cellStyle name="20% - Accent2 13 2 5" xfId="1637" xr:uid="{00000000-0005-0000-0000-0000690B0000}"/>
    <cellStyle name="20% - Accent2 13 2 5 2" xfId="13016" xr:uid="{00000000-0005-0000-0000-00006A0B0000}"/>
    <cellStyle name="20% - Accent2 13 2 5 3" xfId="16967" xr:uid="{00000000-0005-0000-0000-00006B0B0000}"/>
    <cellStyle name="20% - Accent2 13 2 6" xfId="1638" xr:uid="{00000000-0005-0000-0000-00006C0B0000}"/>
    <cellStyle name="20% - Accent2 13 2 6 2" xfId="13017" xr:uid="{00000000-0005-0000-0000-00006D0B0000}"/>
    <cellStyle name="20% - Accent2 13 2 6 3" xfId="16968" xr:uid="{00000000-0005-0000-0000-00006E0B0000}"/>
    <cellStyle name="20% - Accent2 13 2 7" xfId="13006" xr:uid="{00000000-0005-0000-0000-00006F0B0000}"/>
    <cellStyle name="20% - Accent2 13 2 8" xfId="16957" xr:uid="{00000000-0005-0000-0000-0000700B0000}"/>
    <cellStyle name="20% - Accent2 13 2_Volatility" xfId="1639" xr:uid="{00000000-0005-0000-0000-0000710B0000}"/>
    <cellStyle name="20% - Accent2 13 3" xfId="1640" xr:uid="{00000000-0005-0000-0000-0000720B0000}"/>
    <cellStyle name="20% - Accent2 13 3 2" xfId="1641" xr:uid="{00000000-0005-0000-0000-0000730B0000}"/>
    <cellStyle name="20% - Accent2 13 3 2 2" xfId="1642" xr:uid="{00000000-0005-0000-0000-0000740B0000}"/>
    <cellStyle name="20% - Accent2 13 3 2 2 2" xfId="13020" xr:uid="{00000000-0005-0000-0000-0000750B0000}"/>
    <cellStyle name="20% - Accent2 13 3 2 2 3" xfId="16971" xr:uid="{00000000-0005-0000-0000-0000760B0000}"/>
    <cellStyle name="20% - Accent2 13 3 2 3" xfId="1643" xr:uid="{00000000-0005-0000-0000-0000770B0000}"/>
    <cellStyle name="20% - Accent2 13 3 2 3 2" xfId="13021" xr:uid="{00000000-0005-0000-0000-0000780B0000}"/>
    <cellStyle name="20% - Accent2 13 3 2 3 3" xfId="16972" xr:uid="{00000000-0005-0000-0000-0000790B0000}"/>
    <cellStyle name="20% - Accent2 13 3 2 4" xfId="13019" xr:uid="{00000000-0005-0000-0000-00007A0B0000}"/>
    <cellStyle name="20% - Accent2 13 3 2 5" xfId="16970" xr:uid="{00000000-0005-0000-0000-00007B0B0000}"/>
    <cellStyle name="20% - Accent2 13 3 3" xfId="1644" xr:uid="{00000000-0005-0000-0000-00007C0B0000}"/>
    <cellStyle name="20% - Accent2 13 3 3 2" xfId="1645" xr:uid="{00000000-0005-0000-0000-00007D0B0000}"/>
    <cellStyle name="20% - Accent2 13 3 3 2 2" xfId="13023" xr:uid="{00000000-0005-0000-0000-00007E0B0000}"/>
    <cellStyle name="20% - Accent2 13 3 3 2 3" xfId="16974" xr:uid="{00000000-0005-0000-0000-00007F0B0000}"/>
    <cellStyle name="20% - Accent2 13 3 3 3" xfId="1646" xr:uid="{00000000-0005-0000-0000-0000800B0000}"/>
    <cellStyle name="20% - Accent2 13 3 3 3 2" xfId="13024" xr:uid="{00000000-0005-0000-0000-0000810B0000}"/>
    <cellStyle name="20% - Accent2 13 3 3 3 3" xfId="16975" xr:uid="{00000000-0005-0000-0000-0000820B0000}"/>
    <cellStyle name="20% - Accent2 13 3 3 4" xfId="13022" xr:uid="{00000000-0005-0000-0000-0000830B0000}"/>
    <cellStyle name="20% - Accent2 13 3 3 5" xfId="16973" xr:uid="{00000000-0005-0000-0000-0000840B0000}"/>
    <cellStyle name="20% - Accent2 13 3 4" xfId="1647" xr:uid="{00000000-0005-0000-0000-0000850B0000}"/>
    <cellStyle name="20% - Accent2 13 3 4 2" xfId="13025" xr:uid="{00000000-0005-0000-0000-0000860B0000}"/>
    <cellStyle name="20% - Accent2 13 3 4 3" xfId="16976" xr:uid="{00000000-0005-0000-0000-0000870B0000}"/>
    <cellStyle name="20% - Accent2 13 3 5" xfId="1648" xr:uid="{00000000-0005-0000-0000-0000880B0000}"/>
    <cellStyle name="20% - Accent2 13 3 5 2" xfId="13026" xr:uid="{00000000-0005-0000-0000-0000890B0000}"/>
    <cellStyle name="20% - Accent2 13 3 5 3" xfId="16977" xr:uid="{00000000-0005-0000-0000-00008A0B0000}"/>
    <cellStyle name="20% - Accent2 13 3 6" xfId="13018" xr:uid="{00000000-0005-0000-0000-00008B0B0000}"/>
    <cellStyle name="20% - Accent2 13 3 7" xfId="16969" xr:uid="{00000000-0005-0000-0000-00008C0B0000}"/>
    <cellStyle name="20% - Accent2 13 3_Volatility" xfId="1649" xr:uid="{00000000-0005-0000-0000-00008D0B0000}"/>
    <cellStyle name="20% - Accent2 13 4" xfId="1650" xr:uid="{00000000-0005-0000-0000-00008E0B0000}"/>
    <cellStyle name="20% - Accent2 13 4 2" xfId="1651" xr:uid="{00000000-0005-0000-0000-00008F0B0000}"/>
    <cellStyle name="20% - Accent2 13 4 2 2" xfId="13028" xr:uid="{00000000-0005-0000-0000-0000900B0000}"/>
    <cellStyle name="20% - Accent2 13 4 2 3" xfId="16979" xr:uid="{00000000-0005-0000-0000-0000910B0000}"/>
    <cellStyle name="20% - Accent2 13 4 3" xfId="1652" xr:uid="{00000000-0005-0000-0000-0000920B0000}"/>
    <cellStyle name="20% - Accent2 13 4 3 2" xfId="13029" xr:uid="{00000000-0005-0000-0000-0000930B0000}"/>
    <cellStyle name="20% - Accent2 13 4 3 3" xfId="16980" xr:uid="{00000000-0005-0000-0000-0000940B0000}"/>
    <cellStyle name="20% - Accent2 13 4 4" xfId="13027" xr:uid="{00000000-0005-0000-0000-0000950B0000}"/>
    <cellStyle name="20% - Accent2 13 4 5" xfId="16978" xr:uid="{00000000-0005-0000-0000-0000960B0000}"/>
    <cellStyle name="20% - Accent2 13 5" xfId="1653" xr:uid="{00000000-0005-0000-0000-0000970B0000}"/>
    <cellStyle name="20% - Accent2 13 5 2" xfId="1654" xr:uid="{00000000-0005-0000-0000-0000980B0000}"/>
    <cellStyle name="20% - Accent2 13 5 2 2" xfId="13031" xr:uid="{00000000-0005-0000-0000-0000990B0000}"/>
    <cellStyle name="20% - Accent2 13 5 2 3" xfId="16982" xr:uid="{00000000-0005-0000-0000-00009A0B0000}"/>
    <cellStyle name="20% - Accent2 13 5 3" xfId="1655" xr:uid="{00000000-0005-0000-0000-00009B0B0000}"/>
    <cellStyle name="20% - Accent2 13 5 3 2" xfId="13032" xr:uid="{00000000-0005-0000-0000-00009C0B0000}"/>
    <cellStyle name="20% - Accent2 13 5 3 3" xfId="16983" xr:uid="{00000000-0005-0000-0000-00009D0B0000}"/>
    <cellStyle name="20% - Accent2 13 5 4" xfId="13030" xr:uid="{00000000-0005-0000-0000-00009E0B0000}"/>
    <cellStyle name="20% - Accent2 13 5 5" xfId="16981" xr:uid="{00000000-0005-0000-0000-00009F0B0000}"/>
    <cellStyle name="20% - Accent2 13 6" xfId="1656" xr:uid="{00000000-0005-0000-0000-0000A00B0000}"/>
    <cellStyle name="20% - Accent2 13 6 2" xfId="1657" xr:uid="{00000000-0005-0000-0000-0000A10B0000}"/>
    <cellStyle name="20% - Accent2 13 6 2 2" xfId="13034" xr:uid="{00000000-0005-0000-0000-0000A20B0000}"/>
    <cellStyle name="20% - Accent2 13 6 2 3" xfId="16985" xr:uid="{00000000-0005-0000-0000-0000A30B0000}"/>
    <cellStyle name="20% - Accent2 13 6 3" xfId="1658" xr:uid="{00000000-0005-0000-0000-0000A40B0000}"/>
    <cellStyle name="20% - Accent2 13 6 3 2" xfId="13035" xr:uid="{00000000-0005-0000-0000-0000A50B0000}"/>
    <cellStyle name="20% - Accent2 13 6 3 3" xfId="16986" xr:uid="{00000000-0005-0000-0000-0000A60B0000}"/>
    <cellStyle name="20% - Accent2 13 6 4" xfId="13033" xr:uid="{00000000-0005-0000-0000-0000A70B0000}"/>
    <cellStyle name="20% - Accent2 13 6 5" xfId="16984" xr:uid="{00000000-0005-0000-0000-0000A80B0000}"/>
    <cellStyle name="20% - Accent2 13 7" xfId="1659" xr:uid="{00000000-0005-0000-0000-0000A90B0000}"/>
    <cellStyle name="20% - Accent2 13 7 2" xfId="13036" xr:uid="{00000000-0005-0000-0000-0000AA0B0000}"/>
    <cellStyle name="20% - Accent2 13 7 3" xfId="16987" xr:uid="{00000000-0005-0000-0000-0000AB0B0000}"/>
    <cellStyle name="20% - Accent2 13 8" xfId="1660" xr:uid="{00000000-0005-0000-0000-0000AC0B0000}"/>
    <cellStyle name="20% - Accent2 13 8 2" xfId="13037" xr:uid="{00000000-0005-0000-0000-0000AD0B0000}"/>
    <cellStyle name="20% - Accent2 13 8 3" xfId="16988" xr:uid="{00000000-0005-0000-0000-0000AE0B0000}"/>
    <cellStyle name="20% - Accent2 13 9" xfId="13005" xr:uid="{00000000-0005-0000-0000-0000AF0B0000}"/>
    <cellStyle name="20% - Accent2 13_Volatility" xfId="1661" xr:uid="{00000000-0005-0000-0000-0000B00B0000}"/>
    <cellStyle name="20% - Accent2 14" xfId="1662" xr:uid="{00000000-0005-0000-0000-0000B10B0000}"/>
    <cellStyle name="20% - Accent2 14 10" xfId="16989" xr:uid="{00000000-0005-0000-0000-0000B20B0000}"/>
    <cellStyle name="20% - Accent2 14 2" xfId="1663" xr:uid="{00000000-0005-0000-0000-0000B30B0000}"/>
    <cellStyle name="20% - Accent2 14 2 2" xfId="1664" xr:uid="{00000000-0005-0000-0000-0000B40B0000}"/>
    <cellStyle name="20% - Accent2 14 2 2 2" xfId="1665" xr:uid="{00000000-0005-0000-0000-0000B50B0000}"/>
    <cellStyle name="20% - Accent2 14 2 2 2 2" xfId="13041" xr:uid="{00000000-0005-0000-0000-0000B60B0000}"/>
    <cellStyle name="20% - Accent2 14 2 2 2 3" xfId="16992" xr:uid="{00000000-0005-0000-0000-0000B70B0000}"/>
    <cellStyle name="20% - Accent2 14 2 2 3" xfId="1666" xr:uid="{00000000-0005-0000-0000-0000B80B0000}"/>
    <cellStyle name="20% - Accent2 14 2 2 3 2" xfId="13042" xr:uid="{00000000-0005-0000-0000-0000B90B0000}"/>
    <cellStyle name="20% - Accent2 14 2 2 3 3" xfId="16993" xr:uid="{00000000-0005-0000-0000-0000BA0B0000}"/>
    <cellStyle name="20% - Accent2 14 2 2 4" xfId="13040" xr:uid="{00000000-0005-0000-0000-0000BB0B0000}"/>
    <cellStyle name="20% - Accent2 14 2 2 5" xfId="16991" xr:uid="{00000000-0005-0000-0000-0000BC0B0000}"/>
    <cellStyle name="20% - Accent2 14 2 3" xfId="1667" xr:uid="{00000000-0005-0000-0000-0000BD0B0000}"/>
    <cellStyle name="20% - Accent2 14 2 3 2" xfId="1668" xr:uid="{00000000-0005-0000-0000-0000BE0B0000}"/>
    <cellStyle name="20% - Accent2 14 2 3 2 2" xfId="13044" xr:uid="{00000000-0005-0000-0000-0000BF0B0000}"/>
    <cellStyle name="20% - Accent2 14 2 3 2 3" xfId="16995" xr:uid="{00000000-0005-0000-0000-0000C00B0000}"/>
    <cellStyle name="20% - Accent2 14 2 3 3" xfId="1669" xr:uid="{00000000-0005-0000-0000-0000C10B0000}"/>
    <cellStyle name="20% - Accent2 14 2 3 3 2" xfId="13045" xr:uid="{00000000-0005-0000-0000-0000C20B0000}"/>
    <cellStyle name="20% - Accent2 14 2 3 3 3" xfId="16996" xr:uid="{00000000-0005-0000-0000-0000C30B0000}"/>
    <cellStyle name="20% - Accent2 14 2 3 4" xfId="13043" xr:uid="{00000000-0005-0000-0000-0000C40B0000}"/>
    <cellStyle name="20% - Accent2 14 2 3 5" xfId="16994" xr:uid="{00000000-0005-0000-0000-0000C50B0000}"/>
    <cellStyle name="20% - Accent2 14 2 4" xfId="1670" xr:uid="{00000000-0005-0000-0000-0000C60B0000}"/>
    <cellStyle name="20% - Accent2 14 2 4 2" xfId="1671" xr:uid="{00000000-0005-0000-0000-0000C70B0000}"/>
    <cellStyle name="20% - Accent2 14 2 4 2 2" xfId="13047" xr:uid="{00000000-0005-0000-0000-0000C80B0000}"/>
    <cellStyle name="20% - Accent2 14 2 4 2 3" xfId="16998" xr:uid="{00000000-0005-0000-0000-0000C90B0000}"/>
    <cellStyle name="20% - Accent2 14 2 4 3" xfId="1672" xr:uid="{00000000-0005-0000-0000-0000CA0B0000}"/>
    <cellStyle name="20% - Accent2 14 2 4 3 2" xfId="13048" xr:uid="{00000000-0005-0000-0000-0000CB0B0000}"/>
    <cellStyle name="20% - Accent2 14 2 4 3 3" xfId="16999" xr:uid="{00000000-0005-0000-0000-0000CC0B0000}"/>
    <cellStyle name="20% - Accent2 14 2 4 4" xfId="13046" xr:uid="{00000000-0005-0000-0000-0000CD0B0000}"/>
    <cellStyle name="20% - Accent2 14 2 4 5" xfId="16997" xr:uid="{00000000-0005-0000-0000-0000CE0B0000}"/>
    <cellStyle name="20% - Accent2 14 2 5" xfId="1673" xr:uid="{00000000-0005-0000-0000-0000CF0B0000}"/>
    <cellStyle name="20% - Accent2 14 2 5 2" xfId="13049" xr:uid="{00000000-0005-0000-0000-0000D00B0000}"/>
    <cellStyle name="20% - Accent2 14 2 5 3" xfId="17000" xr:uid="{00000000-0005-0000-0000-0000D10B0000}"/>
    <cellStyle name="20% - Accent2 14 2 6" xfId="1674" xr:uid="{00000000-0005-0000-0000-0000D20B0000}"/>
    <cellStyle name="20% - Accent2 14 2 6 2" xfId="13050" xr:uid="{00000000-0005-0000-0000-0000D30B0000}"/>
    <cellStyle name="20% - Accent2 14 2 6 3" xfId="17001" xr:uid="{00000000-0005-0000-0000-0000D40B0000}"/>
    <cellStyle name="20% - Accent2 14 2 7" xfId="13039" xr:uid="{00000000-0005-0000-0000-0000D50B0000}"/>
    <cellStyle name="20% - Accent2 14 2 8" xfId="16990" xr:uid="{00000000-0005-0000-0000-0000D60B0000}"/>
    <cellStyle name="20% - Accent2 14 2_Volatility" xfId="1675" xr:uid="{00000000-0005-0000-0000-0000D70B0000}"/>
    <cellStyle name="20% - Accent2 14 3" xfId="1676" xr:uid="{00000000-0005-0000-0000-0000D80B0000}"/>
    <cellStyle name="20% - Accent2 14 3 2" xfId="1677" xr:uid="{00000000-0005-0000-0000-0000D90B0000}"/>
    <cellStyle name="20% - Accent2 14 3 2 2" xfId="1678" xr:uid="{00000000-0005-0000-0000-0000DA0B0000}"/>
    <cellStyle name="20% - Accent2 14 3 2 2 2" xfId="13053" xr:uid="{00000000-0005-0000-0000-0000DB0B0000}"/>
    <cellStyle name="20% - Accent2 14 3 2 2 3" xfId="17004" xr:uid="{00000000-0005-0000-0000-0000DC0B0000}"/>
    <cellStyle name="20% - Accent2 14 3 2 3" xfId="1679" xr:uid="{00000000-0005-0000-0000-0000DD0B0000}"/>
    <cellStyle name="20% - Accent2 14 3 2 3 2" xfId="13054" xr:uid="{00000000-0005-0000-0000-0000DE0B0000}"/>
    <cellStyle name="20% - Accent2 14 3 2 3 3" xfId="17005" xr:uid="{00000000-0005-0000-0000-0000DF0B0000}"/>
    <cellStyle name="20% - Accent2 14 3 2 4" xfId="13052" xr:uid="{00000000-0005-0000-0000-0000E00B0000}"/>
    <cellStyle name="20% - Accent2 14 3 2 5" xfId="17003" xr:uid="{00000000-0005-0000-0000-0000E10B0000}"/>
    <cellStyle name="20% - Accent2 14 3 3" xfId="1680" xr:uid="{00000000-0005-0000-0000-0000E20B0000}"/>
    <cellStyle name="20% - Accent2 14 3 3 2" xfId="1681" xr:uid="{00000000-0005-0000-0000-0000E30B0000}"/>
    <cellStyle name="20% - Accent2 14 3 3 2 2" xfId="13056" xr:uid="{00000000-0005-0000-0000-0000E40B0000}"/>
    <cellStyle name="20% - Accent2 14 3 3 2 3" xfId="17007" xr:uid="{00000000-0005-0000-0000-0000E50B0000}"/>
    <cellStyle name="20% - Accent2 14 3 3 3" xfId="1682" xr:uid="{00000000-0005-0000-0000-0000E60B0000}"/>
    <cellStyle name="20% - Accent2 14 3 3 3 2" xfId="13057" xr:uid="{00000000-0005-0000-0000-0000E70B0000}"/>
    <cellStyle name="20% - Accent2 14 3 3 3 3" xfId="17008" xr:uid="{00000000-0005-0000-0000-0000E80B0000}"/>
    <cellStyle name="20% - Accent2 14 3 3 4" xfId="13055" xr:uid="{00000000-0005-0000-0000-0000E90B0000}"/>
    <cellStyle name="20% - Accent2 14 3 3 5" xfId="17006" xr:uid="{00000000-0005-0000-0000-0000EA0B0000}"/>
    <cellStyle name="20% - Accent2 14 3 4" xfId="1683" xr:uid="{00000000-0005-0000-0000-0000EB0B0000}"/>
    <cellStyle name="20% - Accent2 14 3 4 2" xfId="13058" xr:uid="{00000000-0005-0000-0000-0000EC0B0000}"/>
    <cellStyle name="20% - Accent2 14 3 4 3" xfId="17009" xr:uid="{00000000-0005-0000-0000-0000ED0B0000}"/>
    <cellStyle name="20% - Accent2 14 3 5" xfId="1684" xr:uid="{00000000-0005-0000-0000-0000EE0B0000}"/>
    <cellStyle name="20% - Accent2 14 3 5 2" xfId="13059" xr:uid="{00000000-0005-0000-0000-0000EF0B0000}"/>
    <cellStyle name="20% - Accent2 14 3 5 3" xfId="17010" xr:uid="{00000000-0005-0000-0000-0000F00B0000}"/>
    <cellStyle name="20% - Accent2 14 3 6" xfId="13051" xr:uid="{00000000-0005-0000-0000-0000F10B0000}"/>
    <cellStyle name="20% - Accent2 14 3 7" xfId="17002" xr:uid="{00000000-0005-0000-0000-0000F20B0000}"/>
    <cellStyle name="20% - Accent2 14 3_Volatility" xfId="1685" xr:uid="{00000000-0005-0000-0000-0000F30B0000}"/>
    <cellStyle name="20% - Accent2 14 4" xfId="1686" xr:uid="{00000000-0005-0000-0000-0000F40B0000}"/>
    <cellStyle name="20% - Accent2 14 4 2" xfId="1687" xr:uid="{00000000-0005-0000-0000-0000F50B0000}"/>
    <cellStyle name="20% - Accent2 14 4 2 2" xfId="13061" xr:uid="{00000000-0005-0000-0000-0000F60B0000}"/>
    <cellStyle name="20% - Accent2 14 4 2 3" xfId="17012" xr:uid="{00000000-0005-0000-0000-0000F70B0000}"/>
    <cellStyle name="20% - Accent2 14 4 3" xfId="1688" xr:uid="{00000000-0005-0000-0000-0000F80B0000}"/>
    <cellStyle name="20% - Accent2 14 4 3 2" xfId="13062" xr:uid="{00000000-0005-0000-0000-0000F90B0000}"/>
    <cellStyle name="20% - Accent2 14 4 3 3" xfId="17013" xr:uid="{00000000-0005-0000-0000-0000FA0B0000}"/>
    <cellStyle name="20% - Accent2 14 4 4" xfId="13060" xr:uid="{00000000-0005-0000-0000-0000FB0B0000}"/>
    <cellStyle name="20% - Accent2 14 4 5" xfId="17011" xr:uid="{00000000-0005-0000-0000-0000FC0B0000}"/>
    <cellStyle name="20% - Accent2 14 5" xfId="1689" xr:uid="{00000000-0005-0000-0000-0000FD0B0000}"/>
    <cellStyle name="20% - Accent2 14 5 2" xfId="1690" xr:uid="{00000000-0005-0000-0000-0000FE0B0000}"/>
    <cellStyle name="20% - Accent2 14 5 2 2" xfId="13064" xr:uid="{00000000-0005-0000-0000-0000FF0B0000}"/>
    <cellStyle name="20% - Accent2 14 5 2 3" xfId="17015" xr:uid="{00000000-0005-0000-0000-0000000C0000}"/>
    <cellStyle name="20% - Accent2 14 5 3" xfId="1691" xr:uid="{00000000-0005-0000-0000-0000010C0000}"/>
    <cellStyle name="20% - Accent2 14 5 3 2" xfId="13065" xr:uid="{00000000-0005-0000-0000-0000020C0000}"/>
    <cellStyle name="20% - Accent2 14 5 3 3" xfId="17016" xr:uid="{00000000-0005-0000-0000-0000030C0000}"/>
    <cellStyle name="20% - Accent2 14 5 4" xfId="13063" xr:uid="{00000000-0005-0000-0000-0000040C0000}"/>
    <cellStyle name="20% - Accent2 14 5 5" xfId="17014" xr:uid="{00000000-0005-0000-0000-0000050C0000}"/>
    <cellStyle name="20% - Accent2 14 6" xfId="1692" xr:uid="{00000000-0005-0000-0000-0000060C0000}"/>
    <cellStyle name="20% - Accent2 14 6 2" xfId="1693" xr:uid="{00000000-0005-0000-0000-0000070C0000}"/>
    <cellStyle name="20% - Accent2 14 6 2 2" xfId="13067" xr:uid="{00000000-0005-0000-0000-0000080C0000}"/>
    <cellStyle name="20% - Accent2 14 6 2 3" xfId="17018" xr:uid="{00000000-0005-0000-0000-0000090C0000}"/>
    <cellStyle name="20% - Accent2 14 6 3" xfId="1694" xr:uid="{00000000-0005-0000-0000-00000A0C0000}"/>
    <cellStyle name="20% - Accent2 14 6 3 2" xfId="13068" xr:uid="{00000000-0005-0000-0000-00000B0C0000}"/>
    <cellStyle name="20% - Accent2 14 6 3 3" xfId="17019" xr:uid="{00000000-0005-0000-0000-00000C0C0000}"/>
    <cellStyle name="20% - Accent2 14 6 4" xfId="13066" xr:uid="{00000000-0005-0000-0000-00000D0C0000}"/>
    <cellStyle name="20% - Accent2 14 6 5" xfId="17017" xr:uid="{00000000-0005-0000-0000-00000E0C0000}"/>
    <cellStyle name="20% - Accent2 14 7" xfId="1695" xr:uid="{00000000-0005-0000-0000-00000F0C0000}"/>
    <cellStyle name="20% - Accent2 14 7 2" xfId="13069" xr:uid="{00000000-0005-0000-0000-0000100C0000}"/>
    <cellStyle name="20% - Accent2 14 7 3" xfId="17020" xr:uid="{00000000-0005-0000-0000-0000110C0000}"/>
    <cellStyle name="20% - Accent2 14 8" xfId="1696" xr:uid="{00000000-0005-0000-0000-0000120C0000}"/>
    <cellStyle name="20% - Accent2 14 8 2" xfId="13070" xr:uid="{00000000-0005-0000-0000-0000130C0000}"/>
    <cellStyle name="20% - Accent2 14 8 3" xfId="17021" xr:uid="{00000000-0005-0000-0000-0000140C0000}"/>
    <cellStyle name="20% - Accent2 14 9" xfId="13038" xr:uid="{00000000-0005-0000-0000-0000150C0000}"/>
    <cellStyle name="20% - Accent2 14_Volatility" xfId="1697" xr:uid="{00000000-0005-0000-0000-0000160C0000}"/>
    <cellStyle name="20% - Accent2 15" xfId="1698" xr:uid="{00000000-0005-0000-0000-0000170C0000}"/>
    <cellStyle name="20% - Accent2 15 10" xfId="17022" xr:uid="{00000000-0005-0000-0000-0000180C0000}"/>
    <cellStyle name="20% - Accent2 15 2" xfId="1699" xr:uid="{00000000-0005-0000-0000-0000190C0000}"/>
    <cellStyle name="20% - Accent2 15 2 2" xfId="1700" xr:uid="{00000000-0005-0000-0000-00001A0C0000}"/>
    <cellStyle name="20% - Accent2 15 2 2 2" xfId="1701" xr:uid="{00000000-0005-0000-0000-00001B0C0000}"/>
    <cellStyle name="20% - Accent2 15 2 2 2 2" xfId="13074" xr:uid="{00000000-0005-0000-0000-00001C0C0000}"/>
    <cellStyle name="20% - Accent2 15 2 2 2 3" xfId="17025" xr:uid="{00000000-0005-0000-0000-00001D0C0000}"/>
    <cellStyle name="20% - Accent2 15 2 2 3" xfId="1702" xr:uid="{00000000-0005-0000-0000-00001E0C0000}"/>
    <cellStyle name="20% - Accent2 15 2 2 3 2" xfId="13075" xr:uid="{00000000-0005-0000-0000-00001F0C0000}"/>
    <cellStyle name="20% - Accent2 15 2 2 3 3" xfId="17026" xr:uid="{00000000-0005-0000-0000-0000200C0000}"/>
    <cellStyle name="20% - Accent2 15 2 2 4" xfId="13073" xr:uid="{00000000-0005-0000-0000-0000210C0000}"/>
    <cellStyle name="20% - Accent2 15 2 2 5" xfId="17024" xr:uid="{00000000-0005-0000-0000-0000220C0000}"/>
    <cellStyle name="20% - Accent2 15 2 3" xfId="1703" xr:uid="{00000000-0005-0000-0000-0000230C0000}"/>
    <cellStyle name="20% - Accent2 15 2 3 2" xfId="1704" xr:uid="{00000000-0005-0000-0000-0000240C0000}"/>
    <cellStyle name="20% - Accent2 15 2 3 2 2" xfId="13077" xr:uid="{00000000-0005-0000-0000-0000250C0000}"/>
    <cellStyle name="20% - Accent2 15 2 3 2 3" xfId="17028" xr:uid="{00000000-0005-0000-0000-0000260C0000}"/>
    <cellStyle name="20% - Accent2 15 2 3 3" xfId="1705" xr:uid="{00000000-0005-0000-0000-0000270C0000}"/>
    <cellStyle name="20% - Accent2 15 2 3 3 2" xfId="13078" xr:uid="{00000000-0005-0000-0000-0000280C0000}"/>
    <cellStyle name="20% - Accent2 15 2 3 3 3" xfId="17029" xr:uid="{00000000-0005-0000-0000-0000290C0000}"/>
    <cellStyle name="20% - Accent2 15 2 3 4" xfId="13076" xr:uid="{00000000-0005-0000-0000-00002A0C0000}"/>
    <cellStyle name="20% - Accent2 15 2 3 5" xfId="17027" xr:uid="{00000000-0005-0000-0000-00002B0C0000}"/>
    <cellStyle name="20% - Accent2 15 2 4" xfId="1706" xr:uid="{00000000-0005-0000-0000-00002C0C0000}"/>
    <cellStyle name="20% - Accent2 15 2 4 2" xfId="1707" xr:uid="{00000000-0005-0000-0000-00002D0C0000}"/>
    <cellStyle name="20% - Accent2 15 2 4 2 2" xfId="13080" xr:uid="{00000000-0005-0000-0000-00002E0C0000}"/>
    <cellStyle name="20% - Accent2 15 2 4 2 3" xfId="17031" xr:uid="{00000000-0005-0000-0000-00002F0C0000}"/>
    <cellStyle name="20% - Accent2 15 2 4 3" xfId="1708" xr:uid="{00000000-0005-0000-0000-0000300C0000}"/>
    <cellStyle name="20% - Accent2 15 2 4 3 2" xfId="13081" xr:uid="{00000000-0005-0000-0000-0000310C0000}"/>
    <cellStyle name="20% - Accent2 15 2 4 3 3" xfId="17032" xr:uid="{00000000-0005-0000-0000-0000320C0000}"/>
    <cellStyle name="20% - Accent2 15 2 4 4" xfId="13079" xr:uid="{00000000-0005-0000-0000-0000330C0000}"/>
    <cellStyle name="20% - Accent2 15 2 4 5" xfId="17030" xr:uid="{00000000-0005-0000-0000-0000340C0000}"/>
    <cellStyle name="20% - Accent2 15 2 5" xfId="1709" xr:uid="{00000000-0005-0000-0000-0000350C0000}"/>
    <cellStyle name="20% - Accent2 15 2 5 2" xfId="13082" xr:uid="{00000000-0005-0000-0000-0000360C0000}"/>
    <cellStyle name="20% - Accent2 15 2 5 3" xfId="17033" xr:uid="{00000000-0005-0000-0000-0000370C0000}"/>
    <cellStyle name="20% - Accent2 15 2 6" xfId="1710" xr:uid="{00000000-0005-0000-0000-0000380C0000}"/>
    <cellStyle name="20% - Accent2 15 2 6 2" xfId="13083" xr:uid="{00000000-0005-0000-0000-0000390C0000}"/>
    <cellStyle name="20% - Accent2 15 2 6 3" xfId="17034" xr:uid="{00000000-0005-0000-0000-00003A0C0000}"/>
    <cellStyle name="20% - Accent2 15 2 7" xfId="13072" xr:uid="{00000000-0005-0000-0000-00003B0C0000}"/>
    <cellStyle name="20% - Accent2 15 2 8" xfId="17023" xr:uid="{00000000-0005-0000-0000-00003C0C0000}"/>
    <cellStyle name="20% - Accent2 15 2_Volatility" xfId="1711" xr:uid="{00000000-0005-0000-0000-00003D0C0000}"/>
    <cellStyle name="20% - Accent2 15 3" xfId="1712" xr:uid="{00000000-0005-0000-0000-00003E0C0000}"/>
    <cellStyle name="20% - Accent2 15 3 2" xfId="1713" xr:uid="{00000000-0005-0000-0000-00003F0C0000}"/>
    <cellStyle name="20% - Accent2 15 3 2 2" xfId="1714" xr:uid="{00000000-0005-0000-0000-0000400C0000}"/>
    <cellStyle name="20% - Accent2 15 3 2 2 2" xfId="13086" xr:uid="{00000000-0005-0000-0000-0000410C0000}"/>
    <cellStyle name="20% - Accent2 15 3 2 2 3" xfId="17037" xr:uid="{00000000-0005-0000-0000-0000420C0000}"/>
    <cellStyle name="20% - Accent2 15 3 2 3" xfId="1715" xr:uid="{00000000-0005-0000-0000-0000430C0000}"/>
    <cellStyle name="20% - Accent2 15 3 2 3 2" xfId="13087" xr:uid="{00000000-0005-0000-0000-0000440C0000}"/>
    <cellStyle name="20% - Accent2 15 3 2 3 3" xfId="17038" xr:uid="{00000000-0005-0000-0000-0000450C0000}"/>
    <cellStyle name="20% - Accent2 15 3 2 4" xfId="13085" xr:uid="{00000000-0005-0000-0000-0000460C0000}"/>
    <cellStyle name="20% - Accent2 15 3 2 5" xfId="17036" xr:uid="{00000000-0005-0000-0000-0000470C0000}"/>
    <cellStyle name="20% - Accent2 15 3 3" xfId="1716" xr:uid="{00000000-0005-0000-0000-0000480C0000}"/>
    <cellStyle name="20% - Accent2 15 3 3 2" xfId="1717" xr:uid="{00000000-0005-0000-0000-0000490C0000}"/>
    <cellStyle name="20% - Accent2 15 3 3 2 2" xfId="13089" xr:uid="{00000000-0005-0000-0000-00004A0C0000}"/>
    <cellStyle name="20% - Accent2 15 3 3 2 3" xfId="17040" xr:uid="{00000000-0005-0000-0000-00004B0C0000}"/>
    <cellStyle name="20% - Accent2 15 3 3 3" xfId="1718" xr:uid="{00000000-0005-0000-0000-00004C0C0000}"/>
    <cellStyle name="20% - Accent2 15 3 3 3 2" xfId="13090" xr:uid="{00000000-0005-0000-0000-00004D0C0000}"/>
    <cellStyle name="20% - Accent2 15 3 3 3 3" xfId="17041" xr:uid="{00000000-0005-0000-0000-00004E0C0000}"/>
    <cellStyle name="20% - Accent2 15 3 3 4" xfId="13088" xr:uid="{00000000-0005-0000-0000-00004F0C0000}"/>
    <cellStyle name="20% - Accent2 15 3 3 5" xfId="17039" xr:uid="{00000000-0005-0000-0000-0000500C0000}"/>
    <cellStyle name="20% - Accent2 15 3 4" xfId="1719" xr:uid="{00000000-0005-0000-0000-0000510C0000}"/>
    <cellStyle name="20% - Accent2 15 3 4 2" xfId="13091" xr:uid="{00000000-0005-0000-0000-0000520C0000}"/>
    <cellStyle name="20% - Accent2 15 3 4 3" xfId="17042" xr:uid="{00000000-0005-0000-0000-0000530C0000}"/>
    <cellStyle name="20% - Accent2 15 3 5" xfId="1720" xr:uid="{00000000-0005-0000-0000-0000540C0000}"/>
    <cellStyle name="20% - Accent2 15 3 5 2" xfId="13092" xr:uid="{00000000-0005-0000-0000-0000550C0000}"/>
    <cellStyle name="20% - Accent2 15 3 5 3" xfId="17043" xr:uid="{00000000-0005-0000-0000-0000560C0000}"/>
    <cellStyle name="20% - Accent2 15 3 6" xfId="13084" xr:uid="{00000000-0005-0000-0000-0000570C0000}"/>
    <cellStyle name="20% - Accent2 15 3 7" xfId="17035" xr:uid="{00000000-0005-0000-0000-0000580C0000}"/>
    <cellStyle name="20% - Accent2 15 3_Volatility" xfId="1721" xr:uid="{00000000-0005-0000-0000-0000590C0000}"/>
    <cellStyle name="20% - Accent2 15 4" xfId="1722" xr:uid="{00000000-0005-0000-0000-00005A0C0000}"/>
    <cellStyle name="20% - Accent2 15 4 2" xfId="1723" xr:uid="{00000000-0005-0000-0000-00005B0C0000}"/>
    <cellStyle name="20% - Accent2 15 4 2 2" xfId="13094" xr:uid="{00000000-0005-0000-0000-00005C0C0000}"/>
    <cellStyle name="20% - Accent2 15 4 2 3" xfId="17045" xr:uid="{00000000-0005-0000-0000-00005D0C0000}"/>
    <cellStyle name="20% - Accent2 15 4 3" xfId="1724" xr:uid="{00000000-0005-0000-0000-00005E0C0000}"/>
    <cellStyle name="20% - Accent2 15 4 3 2" xfId="13095" xr:uid="{00000000-0005-0000-0000-00005F0C0000}"/>
    <cellStyle name="20% - Accent2 15 4 3 3" xfId="17046" xr:uid="{00000000-0005-0000-0000-0000600C0000}"/>
    <cellStyle name="20% - Accent2 15 4 4" xfId="13093" xr:uid="{00000000-0005-0000-0000-0000610C0000}"/>
    <cellStyle name="20% - Accent2 15 4 5" xfId="17044" xr:uid="{00000000-0005-0000-0000-0000620C0000}"/>
    <cellStyle name="20% - Accent2 15 5" xfId="1725" xr:uid="{00000000-0005-0000-0000-0000630C0000}"/>
    <cellStyle name="20% - Accent2 15 5 2" xfId="1726" xr:uid="{00000000-0005-0000-0000-0000640C0000}"/>
    <cellStyle name="20% - Accent2 15 5 2 2" xfId="13097" xr:uid="{00000000-0005-0000-0000-0000650C0000}"/>
    <cellStyle name="20% - Accent2 15 5 2 3" xfId="17048" xr:uid="{00000000-0005-0000-0000-0000660C0000}"/>
    <cellStyle name="20% - Accent2 15 5 3" xfId="1727" xr:uid="{00000000-0005-0000-0000-0000670C0000}"/>
    <cellStyle name="20% - Accent2 15 5 3 2" xfId="13098" xr:uid="{00000000-0005-0000-0000-0000680C0000}"/>
    <cellStyle name="20% - Accent2 15 5 3 3" xfId="17049" xr:uid="{00000000-0005-0000-0000-0000690C0000}"/>
    <cellStyle name="20% - Accent2 15 5 4" xfId="13096" xr:uid="{00000000-0005-0000-0000-00006A0C0000}"/>
    <cellStyle name="20% - Accent2 15 5 5" xfId="17047" xr:uid="{00000000-0005-0000-0000-00006B0C0000}"/>
    <cellStyle name="20% - Accent2 15 6" xfId="1728" xr:uid="{00000000-0005-0000-0000-00006C0C0000}"/>
    <cellStyle name="20% - Accent2 15 6 2" xfId="1729" xr:uid="{00000000-0005-0000-0000-00006D0C0000}"/>
    <cellStyle name="20% - Accent2 15 6 2 2" xfId="13100" xr:uid="{00000000-0005-0000-0000-00006E0C0000}"/>
    <cellStyle name="20% - Accent2 15 6 2 3" xfId="17051" xr:uid="{00000000-0005-0000-0000-00006F0C0000}"/>
    <cellStyle name="20% - Accent2 15 6 3" xfId="1730" xr:uid="{00000000-0005-0000-0000-0000700C0000}"/>
    <cellStyle name="20% - Accent2 15 6 3 2" xfId="13101" xr:uid="{00000000-0005-0000-0000-0000710C0000}"/>
    <cellStyle name="20% - Accent2 15 6 3 3" xfId="17052" xr:uid="{00000000-0005-0000-0000-0000720C0000}"/>
    <cellStyle name="20% - Accent2 15 6 4" xfId="13099" xr:uid="{00000000-0005-0000-0000-0000730C0000}"/>
    <cellStyle name="20% - Accent2 15 6 5" xfId="17050" xr:uid="{00000000-0005-0000-0000-0000740C0000}"/>
    <cellStyle name="20% - Accent2 15 7" xfId="1731" xr:uid="{00000000-0005-0000-0000-0000750C0000}"/>
    <cellStyle name="20% - Accent2 15 7 2" xfId="13102" xr:uid="{00000000-0005-0000-0000-0000760C0000}"/>
    <cellStyle name="20% - Accent2 15 7 3" xfId="17053" xr:uid="{00000000-0005-0000-0000-0000770C0000}"/>
    <cellStyle name="20% - Accent2 15 8" xfId="1732" xr:uid="{00000000-0005-0000-0000-0000780C0000}"/>
    <cellStyle name="20% - Accent2 15 8 2" xfId="13103" xr:uid="{00000000-0005-0000-0000-0000790C0000}"/>
    <cellStyle name="20% - Accent2 15 8 3" xfId="17054" xr:uid="{00000000-0005-0000-0000-00007A0C0000}"/>
    <cellStyle name="20% - Accent2 15 9" xfId="13071" xr:uid="{00000000-0005-0000-0000-00007B0C0000}"/>
    <cellStyle name="20% - Accent2 15_Volatility" xfId="1733" xr:uid="{00000000-0005-0000-0000-00007C0C0000}"/>
    <cellStyle name="20% - Accent2 16" xfId="1734" xr:uid="{00000000-0005-0000-0000-00007D0C0000}"/>
    <cellStyle name="20% - Accent2 16 2" xfId="13104" xr:uid="{00000000-0005-0000-0000-00007E0C0000}"/>
    <cellStyle name="20% - Accent2 16 3" xfId="17055" xr:uid="{00000000-0005-0000-0000-00007F0C0000}"/>
    <cellStyle name="20% - Accent2 17" xfId="1735" xr:uid="{00000000-0005-0000-0000-0000800C0000}"/>
    <cellStyle name="20% - Accent2 17 2" xfId="13105" xr:uid="{00000000-0005-0000-0000-0000810C0000}"/>
    <cellStyle name="20% - Accent2 17 3" xfId="17056" xr:uid="{00000000-0005-0000-0000-0000820C0000}"/>
    <cellStyle name="20% - Accent2 18" xfId="1736" xr:uid="{00000000-0005-0000-0000-0000830C0000}"/>
    <cellStyle name="20% - Accent2 18 2" xfId="13106" xr:uid="{00000000-0005-0000-0000-0000840C0000}"/>
    <cellStyle name="20% - Accent2 18 3" xfId="17057" xr:uid="{00000000-0005-0000-0000-0000850C0000}"/>
    <cellStyle name="20% - Accent2 19" xfId="1737" xr:uid="{00000000-0005-0000-0000-0000860C0000}"/>
    <cellStyle name="20% - Accent2 19 2" xfId="13107" xr:uid="{00000000-0005-0000-0000-0000870C0000}"/>
    <cellStyle name="20% - Accent2 19 3" xfId="17058" xr:uid="{00000000-0005-0000-0000-0000880C0000}"/>
    <cellStyle name="20% - Accent2 2" xfId="1738" xr:uid="{00000000-0005-0000-0000-0000890C0000}"/>
    <cellStyle name="20% - Accent2 2 10" xfId="17059" xr:uid="{00000000-0005-0000-0000-00008A0C0000}"/>
    <cellStyle name="20% - Accent2 2 2" xfId="1739" xr:uid="{00000000-0005-0000-0000-00008B0C0000}"/>
    <cellStyle name="20% - Accent2 2 2 2" xfId="1740" xr:uid="{00000000-0005-0000-0000-00008C0C0000}"/>
    <cellStyle name="20% - Accent2 2 2 2 2" xfId="1741" xr:uid="{00000000-0005-0000-0000-00008D0C0000}"/>
    <cellStyle name="20% - Accent2 2 2 2 2 2" xfId="13111" xr:uid="{00000000-0005-0000-0000-00008E0C0000}"/>
    <cellStyle name="20% - Accent2 2 2 2 2 3" xfId="17062" xr:uid="{00000000-0005-0000-0000-00008F0C0000}"/>
    <cellStyle name="20% - Accent2 2 2 2 3" xfId="1742" xr:uid="{00000000-0005-0000-0000-0000900C0000}"/>
    <cellStyle name="20% - Accent2 2 2 2 3 2" xfId="13112" xr:uid="{00000000-0005-0000-0000-0000910C0000}"/>
    <cellStyle name="20% - Accent2 2 2 2 3 3" xfId="17063" xr:uid="{00000000-0005-0000-0000-0000920C0000}"/>
    <cellStyle name="20% - Accent2 2 2 2 4" xfId="13110" xr:uid="{00000000-0005-0000-0000-0000930C0000}"/>
    <cellStyle name="20% - Accent2 2 2 2 5" xfId="17061" xr:uid="{00000000-0005-0000-0000-0000940C0000}"/>
    <cellStyle name="20% - Accent2 2 2 3" xfId="1743" xr:uid="{00000000-0005-0000-0000-0000950C0000}"/>
    <cellStyle name="20% - Accent2 2 2 3 2" xfId="1744" xr:uid="{00000000-0005-0000-0000-0000960C0000}"/>
    <cellStyle name="20% - Accent2 2 2 3 2 2" xfId="13114" xr:uid="{00000000-0005-0000-0000-0000970C0000}"/>
    <cellStyle name="20% - Accent2 2 2 3 2 3" xfId="17065" xr:uid="{00000000-0005-0000-0000-0000980C0000}"/>
    <cellStyle name="20% - Accent2 2 2 3 3" xfId="1745" xr:uid="{00000000-0005-0000-0000-0000990C0000}"/>
    <cellStyle name="20% - Accent2 2 2 3 3 2" xfId="13115" xr:uid="{00000000-0005-0000-0000-00009A0C0000}"/>
    <cellStyle name="20% - Accent2 2 2 3 3 3" xfId="17066" xr:uid="{00000000-0005-0000-0000-00009B0C0000}"/>
    <cellStyle name="20% - Accent2 2 2 3 4" xfId="13113" xr:uid="{00000000-0005-0000-0000-00009C0C0000}"/>
    <cellStyle name="20% - Accent2 2 2 3 5" xfId="17064" xr:uid="{00000000-0005-0000-0000-00009D0C0000}"/>
    <cellStyle name="20% - Accent2 2 2 4" xfId="1746" xr:uid="{00000000-0005-0000-0000-00009E0C0000}"/>
    <cellStyle name="20% - Accent2 2 2 4 2" xfId="1747" xr:uid="{00000000-0005-0000-0000-00009F0C0000}"/>
    <cellStyle name="20% - Accent2 2 2 4 2 2" xfId="13117" xr:uid="{00000000-0005-0000-0000-0000A00C0000}"/>
    <cellStyle name="20% - Accent2 2 2 4 2 3" xfId="17068" xr:uid="{00000000-0005-0000-0000-0000A10C0000}"/>
    <cellStyle name="20% - Accent2 2 2 4 3" xfId="1748" xr:uid="{00000000-0005-0000-0000-0000A20C0000}"/>
    <cellStyle name="20% - Accent2 2 2 4 3 2" xfId="13118" xr:uid="{00000000-0005-0000-0000-0000A30C0000}"/>
    <cellStyle name="20% - Accent2 2 2 4 3 3" xfId="17069" xr:uid="{00000000-0005-0000-0000-0000A40C0000}"/>
    <cellStyle name="20% - Accent2 2 2 4 4" xfId="13116" xr:uid="{00000000-0005-0000-0000-0000A50C0000}"/>
    <cellStyle name="20% - Accent2 2 2 4 5" xfId="17067" xr:uid="{00000000-0005-0000-0000-0000A60C0000}"/>
    <cellStyle name="20% - Accent2 2 2 5" xfId="1749" xr:uid="{00000000-0005-0000-0000-0000A70C0000}"/>
    <cellStyle name="20% - Accent2 2 2 5 2" xfId="13119" xr:uid="{00000000-0005-0000-0000-0000A80C0000}"/>
    <cellStyle name="20% - Accent2 2 2 5 3" xfId="17070" xr:uid="{00000000-0005-0000-0000-0000A90C0000}"/>
    <cellStyle name="20% - Accent2 2 2 6" xfId="1750" xr:uid="{00000000-0005-0000-0000-0000AA0C0000}"/>
    <cellStyle name="20% - Accent2 2 2 6 2" xfId="13120" xr:uid="{00000000-0005-0000-0000-0000AB0C0000}"/>
    <cellStyle name="20% - Accent2 2 2 6 3" xfId="17071" xr:uid="{00000000-0005-0000-0000-0000AC0C0000}"/>
    <cellStyle name="20% - Accent2 2 2 7" xfId="13109" xr:uid="{00000000-0005-0000-0000-0000AD0C0000}"/>
    <cellStyle name="20% - Accent2 2 2 8" xfId="17060" xr:uid="{00000000-0005-0000-0000-0000AE0C0000}"/>
    <cellStyle name="20% - Accent2 2 2_Volatility" xfId="1751" xr:uid="{00000000-0005-0000-0000-0000AF0C0000}"/>
    <cellStyle name="20% - Accent2 2 3" xfId="1752" xr:uid="{00000000-0005-0000-0000-0000B00C0000}"/>
    <cellStyle name="20% - Accent2 2 3 2" xfId="1753" xr:uid="{00000000-0005-0000-0000-0000B10C0000}"/>
    <cellStyle name="20% - Accent2 2 3 2 2" xfId="1754" xr:uid="{00000000-0005-0000-0000-0000B20C0000}"/>
    <cellStyle name="20% - Accent2 2 3 2 2 2" xfId="13123" xr:uid="{00000000-0005-0000-0000-0000B30C0000}"/>
    <cellStyle name="20% - Accent2 2 3 2 2 3" xfId="17074" xr:uid="{00000000-0005-0000-0000-0000B40C0000}"/>
    <cellStyle name="20% - Accent2 2 3 2 3" xfId="1755" xr:uid="{00000000-0005-0000-0000-0000B50C0000}"/>
    <cellStyle name="20% - Accent2 2 3 2 3 2" xfId="13124" xr:uid="{00000000-0005-0000-0000-0000B60C0000}"/>
    <cellStyle name="20% - Accent2 2 3 2 3 3" xfId="17075" xr:uid="{00000000-0005-0000-0000-0000B70C0000}"/>
    <cellStyle name="20% - Accent2 2 3 2 4" xfId="13122" xr:uid="{00000000-0005-0000-0000-0000B80C0000}"/>
    <cellStyle name="20% - Accent2 2 3 2 5" xfId="17073" xr:uid="{00000000-0005-0000-0000-0000B90C0000}"/>
    <cellStyle name="20% - Accent2 2 3 3" xfId="1756" xr:uid="{00000000-0005-0000-0000-0000BA0C0000}"/>
    <cellStyle name="20% - Accent2 2 3 3 2" xfId="1757" xr:uid="{00000000-0005-0000-0000-0000BB0C0000}"/>
    <cellStyle name="20% - Accent2 2 3 3 2 2" xfId="13126" xr:uid="{00000000-0005-0000-0000-0000BC0C0000}"/>
    <cellStyle name="20% - Accent2 2 3 3 2 3" xfId="17077" xr:uid="{00000000-0005-0000-0000-0000BD0C0000}"/>
    <cellStyle name="20% - Accent2 2 3 3 3" xfId="1758" xr:uid="{00000000-0005-0000-0000-0000BE0C0000}"/>
    <cellStyle name="20% - Accent2 2 3 3 3 2" xfId="13127" xr:uid="{00000000-0005-0000-0000-0000BF0C0000}"/>
    <cellStyle name="20% - Accent2 2 3 3 3 3" xfId="17078" xr:uid="{00000000-0005-0000-0000-0000C00C0000}"/>
    <cellStyle name="20% - Accent2 2 3 3 4" xfId="13125" xr:uid="{00000000-0005-0000-0000-0000C10C0000}"/>
    <cellStyle name="20% - Accent2 2 3 3 5" xfId="17076" xr:uid="{00000000-0005-0000-0000-0000C20C0000}"/>
    <cellStyle name="20% - Accent2 2 3 4" xfId="1759" xr:uid="{00000000-0005-0000-0000-0000C30C0000}"/>
    <cellStyle name="20% - Accent2 2 3 4 2" xfId="13128" xr:uid="{00000000-0005-0000-0000-0000C40C0000}"/>
    <cellStyle name="20% - Accent2 2 3 4 3" xfId="17079" xr:uid="{00000000-0005-0000-0000-0000C50C0000}"/>
    <cellStyle name="20% - Accent2 2 3 5" xfId="1760" xr:uid="{00000000-0005-0000-0000-0000C60C0000}"/>
    <cellStyle name="20% - Accent2 2 3 5 2" xfId="13129" xr:uid="{00000000-0005-0000-0000-0000C70C0000}"/>
    <cellStyle name="20% - Accent2 2 3 5 3" xfId="17080" xr:uid="{00000000-0005-0000-0000-0000C80C0000}"/>
    <cellStyle name="20% - Accent2 2 3 6" xfId="13121" xr:uid="{00000000-0005-0000-0000-0000C90C0000}"/>
    <cellStyle name="20% - Accent2 2 3 7" xfId="17072" xr:uid="{00000000-0005-0000-0000-0000CA0C0000}"/>
    <cellStyle name="20% - Accent2 2 3_Volatility" xfId="1761" xr:uid="{00000000-0005-0000-0000-0000CB0C0000}"/>
    <cellStyle name="20% - Accent2 2 4" xfId="1762" xr:uid="{00000000-0005-0000-0000-0000CC0C0000}"/>
    <cellStyle name="20% - Accent2 2 4 2" xfId="1763" xr:uid="{00000000-0005-0000-0000-0000CD0C0000}"/>
    <cellStyle name="20% - Accent2 2 4 2 2" xfId="13131" xr:uid="{00000000-0005-0000-0000-0000CE0C0000}"/>
    <cellStyle name="20% - Accent2 2 4 2 3" xfId="17082" xr:uid="{00000000-0005-0000-0000-0000CF0C0000}"/>
    <cellStyle name="20% - Accent2 2 4 3" xfId="1764" xr:uid="{00000000-0005-0000-0000-0000D00C0000}"/>
    <cellStyle name="20% - Accent2 2 4 3 2" xfId="13132" xr:uid="{00000000-0005-0000-0000-0000D10C0000}"/>
    <cellStyle name="20% - Accent2 2 4 3 3" xfId="17083" xr:uid="{00000000-0005-0000-0000-0000D20C0000}"/>
    <cellStyle name="20% - Accent2 2 4 4" xfId="13130" xr:uid="{00000000-0005-0000-0000-0000D30C0000}"/>
    <cellStyle name="20% - Accent2 2 4 5" xfId="17081" xr:uid="{00000000-0005-0000-0000-0000D40C0000}"/>
    <cellStyle name="20% - Accent2 2 5" xfId="1765" xr:uid="{00000000-0005-0000-0000-0000D50C0000}"/>
    <cellStyle name="20% - Accent2 2 5 2" xfId="1766" xr:uid="{00000000-0005-0000-0000-0000D60C0000}"/>
    <cellStyle name="20% - Accent2 2 5 2 2" xfId="13134" xr:uid="{00000000-0005-0000-0000-0000D70C0000}"/>
    <cellStyle name="20% - Accent2 2 5 2 3" xfId="17085" xr:uid="{00000000-0005-0000-0000-0000D80C0000}"/>
    <cellStyle name="20% - Accent2 2 5 3" xfId="1767" xr:uid="{00000000-0005-0000-0000-0000D90C0000}"/>
    <cellStyle name="20% - Accent2 2 5 3 2" xfId="13135" xr:uid="{00000000-0005-0000-0000-0000DA0C0000}"/>
    <cellStyle name="20% - Accent2 2 5 3 3" xfId="17086" xr:uid="{00000000-0005-0000-0000-0000DB0C0000}"/>
    <cellStyle name="20% - Accent2 2 5 4" xfId="13133" xr:uid="{00000000-0005-0000-0000-0000DC0C0000}"/>
    <cellStyle name="20% - Accent2 2 5 5" xfId="17084" xr:uid="{00000000-0005-0000-0000-0000DD0C0000}"/>
    <cellStyle name="20% - Accent2 2 6" xfId="1768" xr:uid="{00000000-0005-0000-0000-0000DE0C0000}"/>
    <cellStyle name="20% - Accent2 2 6 2" xfId="1769" xr:uid="{00000000-0005-0000-0000-0000DF0C0000}"/>
    <cellStyle name="20% - Accent2 2 6 2 2" xfId="13137" xr:uid="{00000000-0005-0000-0000-0000E00C0000}"/>
    <cellStyle name="20% - Accent2 2 6 2 3" xfId="17088" xr:uid="{00000000-0005-0000-0000-0000E10C0000}"/>
    <cellStyle name="20% - Accent2 2 6 3" xfId="1770" xr:uid="{00000000-0005-0000-0000-0000E20C0000}"/>
    <cellStyle name="20% - Accent2 2 6 3 2" xfId="13138" xr:uid="{00000000-0005-0000-0000-0000E30C0000}"/>
    <cellStyle name="20% - Accent2 2 6 3 3" xfId="17089" xr:uid="{00000000-0005-0000-0000-0000E40C0000}"/>
    <cellStyle name="20% - Accent2 2 6 4" xfId="13136" xr:uid="{00000000-0005-0000-0000-0000E50C0000}"/>
    <cellStyle name="20% - Accent2 2 6 5" xfId="17087" xr:uid="{00000000-0005-0000-0000-0000E60C0000}"/>
    <cellStyle name="20% - Accent2 2 7" xfId="1771" xr:uid="{00000000-0005-0000-0000-0000E70C0000}"/>
    <cellStyle name="20% - Accent2 2 7 2" xfId="13139" xr:uid="{00000000-0005-0000-0000-0000E80C0000}"/>
    <cellStyle name="20% - Accent2 2 7 3" xfId="17090" xr:uid="{00000000-0005-0000-0000-0000E90C0000}"/>
    <cellStyle name="20% - Accent2 2 8" xfId="1772" xr:uid="{00000000-0005-0000-0000-0000EA0C0000}"/>
    <cellStyle name="20% - Accent2 2 8 2" xfId="13140" xr:uid="{00000000-0005-0000-0000-0000EB0C0000}"/>
    <cellStyle name="20% - Accent2 2 8 3" xfId="17091" xr:uid="{00000000-0005-0000-0000-0000EC0C0000}"/>
    <cellStyle name="20% - Accent2 2 9" xfId="13108" xr:uid="{00000000-0005-0000-0000-0000ED0C0000}"/>
    <cellStyle name="20% - Accent2 2_Volatility" xfId="1773" xr:uid="{00000000-0005-0000-0000-0000EE0C0000}"/>
    <cellStyle name="20% - Accent2 3" xfId="1774" xr:uid="{00000000-0005-0000-0000-0000EF0C0000}"/>
    <cellStyle name="20% - Accent2 3 10" xfId="17092" xr:uid="{00000000-0005-0000-0000-0000F00C0000}"/>
    <cellStyle name="20% - Accent2 3 2" xfId="1775" xr:uid="{00000000-0005-0000-0000-0000F10C0000}"/>
    <cellStyle name="20% - Accent2 3 2 2" xfId="1776" xr:uid="{00000000-0005-0000-0000-0000F20C0000}"/>
    <cellStyle name="20% - Accent2 3 2 2 2" xfId="1777" xr:uid="{00000000-0005-0000-0000-0000F30C0000}"/>
    <cellStyle name="20% - Accent2 3 2 2 2 2" xfId="13144" xr:uid="{00000000-0005-0000-0000-0000F40C0000}"/>
    <cellStyle name="20% - Accent2 3 2 2 2 3" xfId="17095" xr:uid="{00000000-0005-0000-0000-0000F50C0000}"/>
    <cellStyle name="20% - Accent2 3 2 2 3" xfId="1778" xr:uid="{00000000-0005-0000-0000-0000F60C0000}"/>
    <cellStyle name="20% - Accent2 3 2 2 3 2" xfId="13145" xr:uid="{00000000-0005-0000-0000-0000F70C0000}"/>
    <cellStyle name="20% - Accent2 3 2 2 3 3" xfId="17096" xr:uid="{00000000-0005-0000-0000-0000F80C0000}"/>
    <cellStyle name="20% - Accent2 3 2 2 4" xfId="13143" xr:uid="{00000000-0005-0000-0000-0000F90C0000}"/>
    <cellStyle name="20% - Accent2 3 2 2 5" xfId="17094" xr:uid="{00000000-0005-0000-0000-0000FA0C0000}"/>
    <cellStyle name="20% - Accent2 3 2 3" xfId="1779" xr:uid="{00000000-0005-0000-0000-0000FB0C0000}"/>
    <cellStyle name="20% - Accent2 3 2 3 2" xfId="1780" xr:uid="{00000000-0005-0000-0000-0000FC0C0000}"/>
    <cellStyle name="20% - Accent2 3 2 3 2 2" xfId="13147" xr:uid="{00000000-0005-0000-0000-0000FD0C0000}"/>
    <cellStyle name="20% - Accent2 3 2 3 2 3" xfId="17098" xr:uid="{00000000-0005-0000-0000-0000FE0C0000}"/>
    <cellStyle name="20% - Accent2 3 2 3 3" xfId="1781" xr:uid="{00000000-0005-0000-0000-0000FF0C0000}"/>
    <cellStyle name="20% - Accent2 3 2 3 3 2" xfId="13148" xr:uid="{00000000-0005-0000-0000-0000000D0000}"/>
    <cellStyle name="20% - Accent2 3 2 3 3 3" xfId="17099" xr:uid="{00000000-0005-0000-0000-0000010D0000}"/>
    <cellStyle name="20% - Accent2 3 2 3 4" xfId="13146" xr:uid="{00000000-0005-0000-0000-0000020D0000}"/>
    <cellStyle name="20% - Accent2 3 2 3 5" xfId="17097" xr:uid="{00000000-0005-0000-0000-0000030D0000}"/>
    <cellStyle name="20% - Accent2 3 2 4" xfId="1782" xr:uid="{00000000-0005-0000-0000-0000040D0000}"/>
    <cellStyle name="20% - Accent2 3 2 4 2" xfId="1783" xr:uid="{00000000-0005-0000-0000-0000050D0000}"/>
    <cellStyle name="20% - Accent2 3 2 4 2 2" xfId="13150" xr:uid="{00000000-0005-0000-0000-0000060D0000}"/>
    <cellStyle name="20% - Accent2 3 2 4 2 3" xfId="17101" xr:uid="{00000000-0005-0000-0000-0000070D0000}"/>
    <cellStyle name="20% - Accent2 3 2 4 3" xfId="1784" xr:uid="{00000000-0005-0000-0000-0000080D0000}"/>
    <cellStyle name="20% - Accent2 3 2 4 3 2" xfId="13151" xr:uid="{00000000-0005-0000-0000-0000090D0000}"/>
    <cellStyle name="20% - Accent2 3 2 4 3 3" xfId="17102" xr:uid="{00000000-0005-0000-0000-00000A0D0000}"/>
    <cellStyle name="20% - Accent2 3 2 4 4" xfId="13149" xr:uid="{00000000-0005-0000-0000-00000B0D0000}"/>
    <cellStyle name="20% - Accent2 3 2 4 5" xfId="17100" xr:uid="{00000000-0005-0000-0000-00000C0D0000}"/>
    <cellStyle name="20% - Accent2 3 2 5" xfId="1785" xr:uid="{00000000-0005-0000-0000-00000D0D0000}"/>
    <cellStyle name="20% - Accent2 3 2 5 2" xfId="13152" xr:uid="{00000000-0005-0000-0000-00000E0D0000}"/>
    <cellStyle name="20% - Accent2 3 2 5 3" xfId="17103" xr:uid="{00000000-0005-0000-0000-00000F0D0000}"/>
    <cellStyle name="20% - Accent2 3 2 6" xfId="1786" xr:uid="{00000000-0005-0000-0000-0000100D0000}"/>
    <cellStyle name="20% - Accent2 3 2 6 2" xfId="13153" xr:uid="{00000000-0005-0000-0000-0000110D0000}"/>
    <cellStyle name="20% - Accent2 3 2 6 3" xfId="17104" xr:uid="{00000000-0005-0000-0000-0000120D0000}"/>
    <cellStyle name="20% - Accent2 3 2 7" xfId="13142" xr:uid="{00000000-0005-0000-0000-0000130D0000}"/>
    <cellStyle name="20% - Accent2 3 2 8" xfId="17093" xr:uid="{00000000-0005-0000-0000-0000140D0000}"/>
    <cellStyle name="20% - Accent2 3 2_Volatility" xfId="1787" xr:uid="{00000000-0005-0000-0000-0000150D0000}"/>
    <cellStyle name="20% - Accent2 3 3" xfId="1788" xr:uid="{00000000-0005-0000-0000-0000160D0000}"/>
    <cellStyle name="20% - Accent2 3 3 2" xfId="1789" xr:uid="{00000000-0005-0000-0000-0000170D0000}"/>
    <cellStyle name="20% - Accent2 3 3 2 2" xfId="1790" xr:uid="{00000000-0005-0000-0000-0000180D0000}"/>
    <cellStyle name="20% - Accent2 3 3 2 2 2" xfId="13156" xr:uid="{00000000-0005-0000-0000-0000190D0000}"/>
    <cellStyle name="20% - Accent2 3 3 2 2 3" xfId="17107" xr:uid="{00000000-0005-0000-0000-00001A0D0000}"/>
    <cellStyle name="20% - Accent2 3 3 2 3" xfId="1791" xr:uid="{00000000-0005-0000-0000-00001B0D0000}"/>
    <cellStyle name="20% - Accent2 3 3 2 3 2" xfId="13157" xr:uid="{00000000-0005-0000-0000-00001C0D0000}"/>
    <cellStyle name="20% - Accent2 3 3 2 3 3" xfId="17108" xr:uid="{00000000-0005-0000-0000-00001D0D0000}"/>
    <cellStyle name="20% - Accent2 3 3 2 4" xfId="13155" xr:uid="{00000000-0005-0000-0000-00001E0D0000}"/>
    <cellStyle name="20% - Accent2 3 3 2 5" xfId="17106" xr:uid="{00000000-0005-0000-0000-00001F0D0000}"/>
    <cellStyle name="20% - Accent2 3 3 3" xfId="1792" xr:uid="{00000000-0005-0000-0000-0000200D0000}"/>
    <cellStyle name="20% - Accent2 3 3 3 2" xfId="1793" xr:uid="{00000000-0005-0000-0000-0000210D0000}"/>
    <cellStyle name="20% - Accent2 3 3 3 2 2" xfId="13159" xr:uid="{00000000-0005-0000-0000-0000220D0000}"/>
    <cellStyle name="20% - Accent2 3 3 3 2 3" xfId="17110" xr:uid="{00000000-0005-0000-0000-0000230D0000}"/>
    <cellStyle name="20% - Accent2 3 3 3 3" xfId="1794" xr:uid="{00000000-0005-0000-0000-0000240D0000}"/>
    <cellStyle name="20% - Accent2 3 3 3 3 2" xfId="13160" xr:uid="{00000000-0005-0000-0000-0000250D0000}"/>
    <cellStyle name="20% - Accent2 3 3 3 3 3" xfId="17111" xr:uid="{00000000-0005-0000-0000-0000260D0000}"/>
    <cellStyle name="20% - Accent2 3 3 3 4" xfId="13158" xr:uid="{00000000-0005-0000-0000-0000270D0000}"/>
    <cellStyle name="20% - Accent2 3 3 3 5" xfId="17109" xr:uid="{00000000-0005-0000-0000-0000280D0000}"/>
    <cellStyle name="20% - Accent2 3 3 4" xfId="1795" xr:uid="{00000000-0005-0000-0000-0000290D0000}"/>
    <cellStyle name="20% - Accent2 3 3 4 2" xfId="13161" xr:uid="{00000000-0005-0000-0000-00002A0D0000}"/>
    <cellStyle name="20% - Accent2 3 3 4 3" xfId="17112" xr:uid="{00000000-0005-0000-0000-00002B0D0000}"/>
    <cellStyle name="20% - Accent2 3 3 5" xfId="1796" xr:uid="{00000000-0005-0000-0000-00002C0D0000}"/>
    <cellStyle name="20% - Accent2 3 3 5 2" xfId="13162" xr:uid="{00000000-0005-0000-0000-00002D0D0000}"/>
    <cellStyle name="20% - Accent2 3 3 5 3" xfId="17113" xr:uid="{00000000-0005-0000-0000-00002E0D0000}"/>
    <cellStyle name="20% - Accent2 3 3 6" xfId="13154" xr:uid="{00000000-0005-0000-0000-00002F0D0000}"/>
    <cellStyle name="20% - Accent2 3 3 7" xfId="17105" xr:uid="{00000000-0005-0000-0000-0000300D0000}"/>
    <cellStyle name="20% - Accent2 3 3_Volatility" xfId="1797" xr:uid="{00000000-0005-0000-0000-0000310D0000}"/>
    <cellStyle name="20% - Accent2 3 4" xfId="1798" xr:uid="{00000000-0005-0000-0000-0000320D0000}"/>
    <cellStyle name="20% - Accent2 3 4 2" xfId="1799" xr:uid="{00000000-0005-0000-0000-0000330D0000}"/>
    <cellStyle name="20% - Accent2 3 4 2 2" xfId="13164" xr:uid="{00000000-0005-0000-0000-0000340D0000}"/>
    <cellStyle name="20% - Accent2 3 4 2 3" xfId="17115" xr:uid="{00000000-0005-0000-0000-0000350D0000}"/>
    <cellStyle name="20% - Accent2 3 4 3" xfId="1800" xr:uid="{00000000-0005-0000-0000-0000360D0000}"/>
    <cellStyle name="20% - Accent2 3 4 3 2" xfId="13165" xr:uid="{00000000-0005-0000-0000-0000370D0000}"/>
    <cellStyle name="20% - Accent2 3 4 3 3" xfId="17116" xr:uid="{00000000-0005-0000-0000-0000380D0000}"/>
    <cellStyle name="20% - Accent2 3 4 4" xfId="13163" xr:uid="{00000000-0005-0000-0000-0000390D0000}"/>
    <cellStyle name="20% - Accent2 3 4 5" xfId="17114" xr:uid="{00000000-0005-0000-0000-00003A0D0000}"/>
    <cellStyle name="20% - Accent2 3 5" xfId="1801" xr:uid="{00000000-0005-0000-0000-00003B0D0000}"/>
    <cellStyle name="20% - Accent2 3 5 2" xfId="1802" xr:uid="{00000000-0005-0000-0000-00003C0D0000}"/>
    <cellStyle name="20% - Accent2 3 5 2 2" xfId="13167" xr:uid="{00000000-0005-0000-0000-00003D0D0000}"/>
    <cellStyle name="20% - Accent2 3 5 2 3" xfId="17118" xr:uid="{00000000-0005-0000-0000-00003E0D0000}"/>
    <cellStyle name="20% - Accent2 3 5 3" xfId="1803" xr:uid="{00000000-0005-0000-0000-00003F0D0000}"/>
    <cellStyle name="20% - Accent2 3 5 3 2" xfId="13168" xr:uid="{00000000-0005-0000-0000-0000400D0000}"/>
    <cellStyle name="20% - Accent2 3 5 3 3" xfId="17119" xr:uid="{00000000-0005-0000-0000-0000410D0000}"/>
    <cellStyle name="20% - Accent2 3 5 4" xfId="13166" xr:uid="{00000000-0005-0000-0000-0000420D0000}"/>
    <cellStyle name="20% - Accent2 3 5 5" xfId="17117" xr:uid="{00000000-0005-0000-0000-0000430D0000}"/>
    <cellStyle name="20% - Accent2 3 6" xfId="1804" xr:uid="{00000000-0005-0000-0000-0000440D0000}"/>
    <cellStyle name="20% - Accent2 3 6 2" xfId="1805" xr:uid="{00000000-0005-0000-0000-0000450D0000}"/>
    <cellStyle name="20% - Accent2 3 6 2 2" xfId="13170" xr:uid="{00000000-0005-0000-0000-0000460D0000}"/>
    <cellStyle name="20% - Accent2 3 6 2 3" xfId="17121" xr:uid="{00000000-0005-0000-0000-0000470D0000}"/>
    <cellStyle name="20% - Accent2 3 6 3" xfId="1806" xr:uid="{00000000-0005-0000-0000-0000480D0000}"/>
    <cellStyle name="20% - Accent2 3 6 3 2" xfId="13171" xr:uid="{00000000-0005-0000-0000-0000490D0000}"/>
    <cellStyle name="20% - Accent2 3 6 3 3" xfId="17122" xr:uid="{00000000-0005-0000-0000-00004A0D0000}"/>
    <cellStyle name="20% - Accent2 3 6 4" xfId="13169" xr:uid="{00000000-0005-0000-0000-00004B0D0000}"/>
    <cellStyle name="20% - Accent2 3 6 5" xfId="17120" xr:uid="{00000000-0005-0000-0000-00004C0D0000}"/>
    <cellStyle name="20% - Accent2 3 7" xfId="1807" xr:uid="{00000000-0005-0000-0000-00004D0D0000}"/>
    <cellStyle name="20% - Accent2 3 7 2" xfId="13172" xr:uid="{00000000-0005-0000-0000-00004E0D0000}"/>
    <cellStyle name="20% - Accent2 3 7 3" xfId="17123" xr:uid="{00000000-0005-0000-0000-00004F0D0000}"/>
    <cellStyle name="20% - Accent2 3 8" xfId="1808" xr:uid="{00000000-0005-0000-0000-0000500D0000}"/>
    <cellStyle name="20% - Accent2 3 8 2" xfId="13173" xr:uid="{00000000-0005-0000-0000-0000510D0000}"/>
    <cellStyle name="20% - Accent2 3 8 3" xfId="17124" xr:uid="{00000000-0005-0000-0000-0000520D0000}"/>
    <cellStyle name="20% - Accent2 3 9" xfId="13141" xr:uid="{00000000-0005-0000-0000-0000530D0000}"/>
    <cellStyle name="20% - Accent2 3_Volatility" xfId="1809" xr:uid="{00000000-0005-0000-0000-0000540D0000}"/>
    <cellStyle name="20% - Accent2 4" xfId="1810" xr:uid="{00000000-0005-0000-0000-0000550D0000}"/>
    <cellStyle name="20% - Accent2 4 10" xfId="17125" xr:uid="{00000000-0005-0000-0000-0000560D0000}"/>
    <cellStyle name="20% - Accent2 4 2" xfId="1811" xr:uid="{00000000-0005-0000-0000-0000570D0000}"/>
    <cellStyle name="20% - Accent2 4 2 2" xfId="1812" xr:uid="{00000000-0005-0000-0000-0000580D0000}"/>
    <cellStyle name="20% - Accent2 4 2 2 2" xfId="1813" xr:uid="{00000000-0005-0000-0000-0000590D0000}"/>
    <cellStyle name="20% - Accent2 4 2 2 2 2" xfId="13177" xr:uid="{00000000-0005-0000-0000-00005A0D0000}"/>
    <cellStyle name="20% - Accent2 4 2 2 2 3" xfId="17128" xr:uid="{00000000-0005-0000-0000-00005B0D0000}"/>
    <cellStyle name="20% - Accent2 4 2 2 3" xfId="1814" xr:uid="{00000000-0005-0000-0000-00005C0D0000}"/>
    <cellStyle name="20% - Accent2 4 2 2 3 2" xfId="13178" xr:uid="{00000000-0005-0000-0000-00005D0D0000}"/>
    <cellStyle name="20% - Accent2 4 2 2 3 3" xfId="17129" xr:uid="{00000000-0005-0000-0000-00005E0D0000}"/>
    <cellStyle name="20% - Accent2 4 2 2 4" xfId="13176" xr:uid="{00000000-0005-0000-0000-00005F0D0000}"/>
    <cellStyle name="20% - Accent2 4 2 2 5" xfId="17127" xr:uid="{00000000-0005-0000-0000-0000600D0000}"/>
    <cellStyle name="20% - Accent2 4 2 3" xfId="1815" xr:uid="{00000000-0005-0000-0000-0000610D0000}"/>
    <cellStyle name="20% - Accent2 4 2 3 2" xfId="1816" xr:uid="{00000000-0005-0000-0000-0000620D0000}"/>
    <cellStyle name="20% - Accent2 4 2 3 2 2" xfId="13180" xr:uid="{00000000-0005-0000-0000-0000630D0000}"/>
    <cellStyle name="20% - Accent2 4 2 3 2 3" xfId="17131" xr:uid="{00000000-0005-0000-0000-0000640D0000}"/>
    <cellStyle name="20% - Accent2 4 2 3 3" xfId="1817" xr:uid="{00000000-0005-0000-0000-0000650D0000}"/>
    <cellStyle name="20% - Accent2 4 2 3 3 2" xfId="13181" xr:uid="{00000000-0005-0000-0000-0000660D0000}"/>
    <cellStyle name="20% - Accent2 4 2 3 3 3" xfId="17132" xr:uid="{00000000-0005-0000-0000-0000670D0000}"/>
    <cellStyle name="20% - Accent2 4 2 3 4" xfId="13179" xr:uid="{00000000-0005-0000-0000-0000680D0000}"/>
    <cellStyle name="20% - Accent2 4 2 3 5" xfId="17130" xr:uid="{00000000-0005-0000-0000-0000690D0000}"/>
    <cellStyle name="20% - Accent2 4 2 4" xfId="1818" xr:uid="{00000000-0005-0000-0000-00006A0D0000}"/>
    <cellStyle name="20% - Accent2 4 2 4 2" xfId="1819" xr:uid="{00000000-0005-0000-0000-00006B0D0000}"/>
    <cellStyle name="20% - Accent2 4 2 4 2 2" xfId="13183" xr:uid="{00000000-0005-0000-0000-00006C0D0000}"/>
    <cellStyle name="20% - Accent2 4 2 4 2 3" xfId="17134" xr:uid="{00000000-0005-0000-0000-00006D0D0000}"/>
    <cellStyle name="20% - Accent2 4 2 4 3" xfId="1820" xr:uid="{00000000-0005-0000-0000-00006E0D0000}"/>
    <cellStyle name="20% - Accent2 4 2 4 3 2" xfId="13184" xr:uid="{00000000-0005-0000-0000-00006F0D0000}"/>
    <cellStyle name="20% - Accent2 4 2 4 3 3" xfId="17135" xr:uid="{00000000-0005-0000-0000-0000700D0000}"/>
    <cellStyle name="20% - Accent2 4 2 4 4" xfId="13182" xr:uid="{00000000-0005-0000-0000-0000710D0000}"/>
    <cellStyle name="20% - Accent2 4 2 4 5" xfId="17133" xr:uid="{00000000-0005-0000-0000-0000720D0000}"/>
    <cellStyle name="20% - Accent2 4 2 5" xfId="1821" xr:uid="{00000000-0005-0000-0000-0000730D0000}"/>
    <cellStyle name="20% - Accent2 4 2 5 2" xfId="13185" xr:uid="{00000000-0005-0000-0000-0000740D0000}"/>
    <cellStyle name="20% - Accent2 4 2 5 3" xfId="17136" xr:uid="{00000000-0005-0000-0000-0000750D0000}"/>
    <cellStyle name="20% - Accent2 4 2 6" xfId="1822" xr:uid="{00000000-0005-0000-0000-0000760D0000}"/>
    <cellStyle name="20% - Accent2 4 2 6 2" xfId="13186" xr:uid="{00000000-0005-0000-0000-0000770D0000}"/>
    <cellStyle name="20% - Accent2 4 2 6 3" xfId="17137" xr:uid="{00000000-0005-0000-0000-0000780D0000}"/>
    <cellStyle name="20% - Accent2 4 2 7" xfId="13175" xr:uid="{00000000-0005-0000-0000-0000790D0000}"/>
    <cellStyle name="20% - Accent2 4 2 8" xfId="17126" xr:uid="{00000000-0005-0000-0000-00007A0D0000}"/>
    <cellStyle name="20% - Accent2 4 2_Volatility" xfId="1823" xr:uid="{00000000-0005-0000-0000-00007B0D0000}"/>
    <cellStyle name="20% - Accent2 4 3" xfId="1824" xr:uid="{00000000-0005-0000-0000-00007C0D0000}"/>
    <cellStyle name="20% - Accent2 4 3 2" xfId="1825" xr:uid="{00000000-0005-0000-0000-00007D0D0000}"/>
    <cellStyle name="20% - Accent2 4 3 2 2" xfId="1826" xr:uid="{00000000-0005-0000-0000-00007E0D0000}"/>
    <cellStyle name="20% - Accent2 4 3 2 2 2" xfId="13189" xr:uid="{00000000-0005-0000-0000-00007F0D0000}"/>
    <cellStyle name="20% - Accent2 4 3 2 2 3" xfId="17140" xr:uid="{00000000-0005-0000-0000-0000800D0000}"/>
    <cellStyle name="20% - Accent2 4 3 2 3" xfId="1827" xr:uid="{00000000-0005-0000-0000-0000810D0000}"/>
    <cellStyle name="20% - Accent2 4 3 2 3 2" xfId="13190" xr:uid="{00000000-0005-0000-0000-0000820D0000}"/>
    <cellStyle name="20% - Accent2 4 3 2 3 3" xfId="17141" xr:uid="{00000000-0005-0000-0000-0000830D0000}"/>
    <cellStyle name="20% - Accent2 4 3 2 4" xfId="13188" xr:uid="{00000000-0005-0000-0000-0000840D0000}"/>
    <cellStyle name="20% - Accent2 4 3 2 5" xfId="17139" xr:uid="{00000000-0005-0000-0000-0000850D0000}"/>
    <cellStyle name="20% - Accent2 4 3 3" xfId="1828" xr:uid="{00000000-0005-0000-0000-0000860D0000}"/>
    <cellStyle name="20% - Accent2 4 3 3 2" xfId="1829" xr:uid="{00000000-0005-0000-0000-0000870D0000}"/>
    <cellStyle name="20% - Accent2 4 3 3 2 2" xfId="13192" xr:uid="{00000000-0005-0000-0000-0000880D0000}"/>
    <cellStyle name="20% - Accent2 4 3 3 2 3" xfId="17143" xr:uid="{00000000-0005-0000-0000-0000890D0000}"/>
    <cellStyle name="20% - Accent2 4 3 3 3" xfId="1830" xr:uid="{00000000-0005-0000-0000-00008A0D0000}"/>
    <cellStyle name="20% - Accent2 4 3 3 3 2" xfId="13193" xr:uid="{00000000-0005-0000-0000-00008B0D0000}"/>
    <cellStyle name="20% - Accent2 4 3 3 3 3" xfId="17144" xr:uid="{00000000-0005-0000-0000-00008C0D0000}"/>
    <cellStyle name="20% - Accent2 4 3 3 4" xfId="13191" xr:uid="{00000000-0005-0000-0000-00008D0D0000}"/>
    <cellStyle name="20% - Accent2 4 3 3 5" xfId="17142" xr:uid="{00000000-0005-0000-0000-00008E0D0000}"/>
    <cellStyle name="20% - Accent2 4 3 4" xfId="1831" xr:uid="{00000000-0005-0000-0000-00008F0D0000}"/>
    <cellStyle name="20% - Accent2 4 3 4 2" xfId="13194" xr:uid="{00000000-0005-0000-0000-0000900D0000}"/>
    <cellStyle name="20% - Accent2 4 3 4 3" xfId="17145" xr:uid="{00000000-0005-0000-0000-0000910D0000}"/>
    <cellStyle name="20% - Accent2 4 3 5" xfId="1832" xr:uid="{00000000-0005-0000-0000-0000920D0000}"/>
    <cellStyle name="20% - Accent2 4 3 5 2" xfId="13195" xr:uid="{00000000-0005-0000-0000-0000930D0000}"/>
    <cellStyle name="20% - Accent2 4 3 5 3" xfId="17146" xr:uid="{00000000-0005-0000-0000-0000940D0000}"/>
    <cellStyle name="20% - Accent2 4 3 6" xfId="13187" xr:uid="{00000000-0005-0000-0000-0000950D0000}"/>
    <cellStyle name="20% - Accent2 4 3 7" xfId="17138" xr:uid="{00000000-0005-0000-0000-0000960D0000}"/>
    <cellStyle name="20% - Accent2 4 3_Volatility" xfId="1833" xr:uid="{00000000-0005-0000-0000-0000970D0000}"/>
    <cellStyle name="20% - Accent2 4 4" xfId="1834" xr:uid="{00000000-0005-0000-0000-0000980D0000}"/>
    <cellStyle name="20% - Accent2 4 4 2" xfId="1835" xr:uid="{00000000-0005-0000-0000-0000990D0000}"/>
    <cellStyle name="20% - Accent2 4 4 2 2" xfId="13197" xr:uid="{00000000-0005-0000-0000-00009A0D0000}"/>
    <cellStyle name="20% - Accent2 4 4 2 3" xfId="17148" xr:uid="{00000000-0005-0000-0000-00009B0D0000}"/>
    <cellStyle name="20% - Accent2 4 4 3" xfId="1836" xr:uid="{00000000-0005-0000-0000-00009C0D0000}"/>
    <cellStyle name="20% - Accent2 4 4 3 2" xfId="13198" xr:uid="{00000000-0005-0000-0000-00009D0D0000}"/>
    <cellStyle name="20% - Accent2 4 4 3 3" xfId="17149" xr:uid="{00000000-0005-0000-0000-00009E0D0000}"/>
    <cellStyle name="20% - Accent2 4 4 4" xfId="13196" xr:uid="{00000000-0005-0000-0000-00009F0D0000}"/>
    <cellStyle name="20% - Accent2 4 4 5" xfId="17147" xr:uid="{00000000-0005-0000-0000-0000A00D0000}"/>
    <cellStyle name="20% - Accent2 4 5" xfId="1837" xr:uid="{00000000-0005-0000-0000-0000A10D0000}"/>
    <cellStyle name="20% - Accent2 4 5 2" xfId="1838" xr:uid="{00000000-0005-0000-0000-0000A20D0000}"/>
    <cellStyle name="20% - Accent2 4 5 2 2" xfId="13200" xr:uid="{00000000-0005-0000-0000-0000A30D0000}"/>
    <cellStyle name="20% - Accent2 4 5 2 3" xfId="17151" xr:uid="{00000000-0005-0000-0000-0000A40D0000}"/>
    <cellStyle name="20% - Accent2 4 5 3" xfId="1839" xr:uid="{00000000-0005-0000-0000-0000A50D0000}"/>
    <cellStyle name="20% - Accent2 4 5 3 2" xfId="13201" xr:uid="{00000000-0005-0000-0000-0000A60D0000}"/>
    <cellStyle name="20% - Accent2 4 5 3 3" xfId="17152" xr:uid="{00000000-0005-0000-0000-0000A70D0000}"/>
    <cellStyle name="20% - Accent2 4 5 4" xfId="13199" xr:uid="{00000000-0005-0000-0000-0000A80D0000}"/>
    <cellStyle name="20% - Accent2 4 5 5" xfId="17150" xr:uid="{00000000-0005-0000-0000-0000A90D0000}"/>
    <cellStyle name="20% - Accent2 4 6" xfId="1840" xr:uid="{00000000-0005-0000-0000-0000AA0D0000}"/>
    <cellStyle name="20% - Accent2 4 6 2" xfId="1841" xr:uid="{00000000-0005-0000-0000-0000AB0D0000}"/>
    <cellStyle name="20% - Accent2 4 6 2 2" xfId="13203" xr:uid="{00000000-0005-0000-0000-0000AC0D0000}"/>
    <cellStyle name="20% - Accent2 4 6 2 3" xfId="17154" xr:uid="{00000000-0005-0000-0000-0000AD0D0000}"/>
    <cellStyle name="20% - Accent2 4 6 3" xfId="1842" xr:uid="{00000000-0005-0000-0000-0000AE0D0000}"/>
    <cellStyle name="20% - Accent2 4 6 3 2" xfId="13204" xr:uid="{00000000-0005-0000-0000-0000AF0D0000}"/>
    <cellStyle name="20% - Accent2 4 6 3 3" xfId="17155" xr:uid="{00000000-0005-0000-0000-0000B00D0000}"/>
    <cellStyle name="20% - Accent2 4 6 4" xfId="13202" xr:uid="{00000000-0005-0000-0000-0000B10D0000}"/>
    <cellStyle name="20% - Accent2 4 6 5" xfId="17153" xr:uid="{00000000-0005-0000-0000-0000B20D0000}"/>
    <cellStyle name="20% - Accent2 4 7" xfId="1843" xr:uid="{00000000-0005-0000-0000-0000B30D0000}"/>
    <cellStyle name="20% - Accent2 4 7 2" xfId="13205" xr:uid="{00000000-0005-0000-0000-0000B40D0000}"/>
    <cellStyle name="20% - Accent2 4 7 3" xfId="17156" xr:uid="{00000000-0005-0000-0000-0000B50D0000}"/>
    <cellStyle name="20% - Accent2 4 8" xfId="1844" xr:uid="{00000000-0005-0000-0000-0000B60D0000}"/>
    <cellStyle name="20% - Accent2 4 8 2" xfId="13206" xr:uid="{00000000-0005-0000-0000-0000B70D0000}"/>
    <cellStyle name="20% - Accent2 4 8 3" xfId="17157" xr:uid="{00000000-0005-0000-0000-0000B80D0000}"/>
    <cellStyle name="20% - Accent2 4 9" xfId="13174" xr:uid="{00000000-0005-0000-0000-0000B90D0000}"/>
    <cellStyle name="20% - Accent2 4_Volatility" xfId="1845" xr:uid="{00000000-0005-0000-0000-0000BA0D0000}"/>
    <cellStyle name="20% - Accent2 5" xfId="1846" xr:uid="{00000000-0005-0000-0000-0000BB0D0000}"/>
    <cellStyle name="20% - Accent2 5 10" xfId="17158" xr:uid="{00000000-0005-0000-0000-0000BC0D0000}"/>
    <cellStyle name="20% - Accent2 5 2" xfId="1847" xr:uid="{00000000-0005-0000-0000-0000BD0D0000}"/>
    <cellStyle name="20% - Accent2 5 2 2" xfId="1848" xr:uid="{00000000-0005-0000-0000-0000BE0D0000}"/>
    <cellStyle name="20% - Accent2 5 2 2 2" xfId="1849" xr:uid="{00000000-0005-0000-0000-0000BF0D0000}"/>
    <cellStyle name="20% - Accent2 5 2 2 2 2" xfId="13210" xr:uid="{00000000-0005-0000-0000-0000C00D0000}"/>
    <cellStyle name="20% - Accent2 5 2 2 2 3" xfId="17161" xr:uid="{00000000-0005-0000-0000-0000C10D0000}"/>
    <cellStyle name="20% - Accent2 5 2 2 3" xfId="1850" xr:uid="{00000000-0005-0000-0000-0000C20D0000}"/>
    <cellStyle name="20% - Accent2 5 2 2 3 2" xfId="13211" xr:uid="{00000000-0005-0000-0000-0000C30D0000}"/>
    <cellStyle name="20% - Accent2 5 2 2 3 3" xfId="17162" xr:uid="{00000000-0005-0000-0000-0000C40D0000}"/>
    <cellStyle name="20% - Accent2 5 2 2 4" xfId="13209" xr:uid="{00000000-0005-0000-0000-0000C50D0000}"/>
    <cellStyle name="20% - Accent2 5 2 2 5" xfId="17160" xr:uid="{00000000-0005-0000-0000-0000C60D0000}"/>
    <cellStyle name="20% - Accent2 5 2 3" xfId="1851" xr:uid="{00000000-0005-0000-0000-0000C70D0000}"/>
    <cellStyle name="20% - Accent2 5 2 3 2" xfId="1852" xr:uid="{00000000-0005-0000-0000-0000C80D0000}"/>
    <cellStyle name="20% - Accent2 5 2 3 2 2" xfId="13213" xr:uid="{00000000-0005-0000-0000-0000C90D0000}"/>
    <cellStyle name="20% - Accent2 5 2 3 2 3" xfId="17164" xr:uid="{00000000-0005-0000-0000-0000CA0D0000}"/>
    <cellStyle name="20% - Accent2 5 2 3 3" xfId="1853" xr:uid="{00000000-0005-0000-0000-0000CB0D0000}"/>
    <cellStyle name="20% - Accent2 5 2 3 3 2" xfId="13214" xr:uid="{00000000-0005-0000-0000-0000CC0D0000}"/>
    <cellStyle name="20% - Accent2 5 2 3 3 3" xfId="17165" xr:uid="{00000000-0005-0000-0000-0000CD0D0000}"/>
    <cellStyle name="20% - Accent2 5 2 3 4" xfId="13212" xr:uid="{00000000-0005-0000-0000-0000CE0D0000}"/>
    <cellStyle name="20% - Accent2 5 2 3 5" xfId="17163" xr:uid="{00000000-0005-0000-0000-0000CF0D0000}"/>
    <cellStyle name="20% - Accent2 5 2 4" xfId="1854" xr:uid="{00000000-0005-0000-0000-0000D00D0000}"/>
    <cellStyle name="20% - Accent2 5 2 4 2" xfId="1855" xr:uid="{00000000-0005-0000-0000-0000D10D0000}"/>
    <cellStyle name="20% - Accent2 5 2 4 2 2" xfId="13216" xr:uid="{00000000-0005-0000-0000-0000D20D0000}"/>
    <cellStyle name="20% - Accent2 5 2 4 2 3" xfId="17167" xr:uid="{00000000-0005-0000-0000-0000D30D0000}"/>
    <cellStyle name="20% - Accent2 5 2 4 3" xfId="1856" xr:uid="{00000000-0005-0000-0000-0000D40D0000}"/>
    <cellStyle name="20% - Accent2 5 2 4 3 2" xfId="13217" xr:uid="{00000000-0005-0000-0000-0000D50D0000}"/>
    <cellStyle name="20% - Accent2 5 2 4 3 3" xfId="17168" xr:uid="{00000000-0005-0000-0000-0000D60D0000}"/>
    <cellStyle name="20% - Accent2 5 2 4 4" xfId="13215" xr:uid="{00000000-0005-0000-0000-0000D70D0000}"/>
    <cellStyle name="20% - Accent2 5 2 4 5" xfId="17166" xr:uid="{00000000-0005-0000-0000-0000D80D0000}"/>
    <cellStyle name="20% - Accent2 5 2 5" xfId="1857" xr:uid="{00000000-0005-0000-0000-0000D90D0000}"/>
    <cellStyle name="20% - Accent2 5 2 5 2" xfId="13218" xr:uid="{00000000-0005-0000-0000-0000DA0D0000}"/>
    <cellStyle name="20% - Accent2 5 2 5 3" xfId="17169" xr:uid="{00000000-0005-0000-0000-0000DB0D0000}"/>
    <cellStyle name="20% - Accent2 5 2 6" xfId="1858" xr:uid="{00000000-0005-0000-0000-0000DC0D0000}"/>
    <cellStyle name="20% - Accent2 5 2 6 2" xfId="13219" xr:uid="{00000000-0005-0000-0000-0000DD0D0000}"/>
    <cellStyle name="20% - Accent2 5 2 6 3" xfId="17170" xr:uid="{00000000-0005-0000-0000-0000DE0D0000}"/>
    <cellStyle name="20% - Accent2 5 2 7" xfId="13208" xr:uid="{00000000-0005-0000-0000-0000DF0D0000}"/>
    <cellStyle name="20% - Accent2 5 2 8" xfId="17159" xr:uid="{00000000-0005-0000-0000-0000E00D0000}"/>
    <cellStyle name="20% - Accent2 5 2_Volatility" xfId="1859" xr:uid="{00000000-0005-0000-0000-0000E10D0000}"/>
    <cellStyle name="20% - Accent2 5 3" xfId="1860" xr:uid="{00000000-0005-0000-0000-0000E20D0000}"/>
    <cellStyle name="20% - Accent2 5 3 2" xfId="1861" xr:uid="{00000000-0005-0000-0000-0000E30D0000}"/>
    <cellStyle name="20% - Accent2 5 3 2 2" xfId="1862" xr:uid="{00000000-0005-0000-0000-0000E40D0000}"/>
    <cellStyle name="20% - Accent2 5 3 2 2 2" xfId="13222" xr:uid="{00000000-0005-0000-0000-0000E50D0000}"/>
    <cellStyle name="20% - Accent2 5 3 2 2 3" xfId="17173" xr:uid="{00000000-0005-0000-0000-0000E60D0000}"/>
    <cellStyle name="20% - Accent2 5 3 2 3" xfId="1863" xr:uid="{00000000-0005-0000-0000-0000E70D0000}"/>
    <cellStyle name="20% - Accent2 5 3 2 3 2" xfId="13223" xr:uid="{00000000-0005-0000-0000-0000E80D0000}"/>
    <cellStyle name="20% - Accent2 5 3 2 3 3" xfId="17174" xr:uid="{00000000-0005-0000-0000-0000E90D0000}"/>
    <cellStyle name="20% - Accent2 5 3 2 4" xfId="13221" xr:uid="{00000000-0005-0000-0000-0000EA0D0000}"/>
    <cellStyle name="20% - Accent2 5 3 2 5" xfId="17172" xr:uid="{00000000-0005-0000-0000-0000EB0D0000}"/>
    <cellStyle name="20% - Accent2 5 3 3" xfId="1864" xr:uid="{00000000-0005-0000-0000-0000EC0D0000}"/>
    <cellStyle name="20% - Accent2 5 3 3 2" xfId="1865" xr:uid="{00000000-0005-0000-0000-0000ED0D0000}"/>
    <cellStyle name="20% - Accent2 5 3 3 2 2" xfId="13225" xr:uid="{00000000-0005-0000-0000-0000EE0D0000}"/>
    <cellStyle name="20% - Accent2 5 3 3 2 3" xfId="17176" xr:uid="{00000000-0005-0000-0000-0000EF0D0000}"/>
    <cellStyle name="20% - Accent2 5 3 3 3" xfId="1866" xr:uid="{00000000-0005-0000-0000-0000F00D0000}"/>
    <cellStyle name="20% - Accent2 5 3 3 3 2" xfId="13226" xr:uid="{00000000-0005-0000-0000-0000F10D0000}"/>
    <cellStyle name="20% - Accent2 5 3 3 3 3" xfId="17177" xr:uid="{00000000-0005-0000-0000-0000F20D0000}"/>
    <cellStyle name="20% - Accent2 5 3 3 4" xfId="13224" xr:uid="{00000000-0005-0000-0000-0000F30D0000}"/>
    <cellStyle name="20% - Accent2 5 3 3 5" xfId="17175" xr:uid="{00000000-0005-0000-0000-0000F40D0000}"/>
    <cellStyle name="20% - Accent2 5 3 4" xfId="1867" xr:uid="{00000000-0005-0000-0000-0000F50D0000}"/>
    <cellStyle name="20% - Accent2 5 3 4 2" xfId="13227" xr:uid="{00000000-0005-0000-0000-0000F60D0000}"/>
    <cellStyle name="20% - Accent2 5 3 4 3" xfId="17178" xr:uid="{00000000-0005-0000-0000-0000F70D0000}"/>
    <cellStyle name="20% - Accent2 5 3 5" xfId="1868" xr:uid="{00000000-0005-0000-0000-0000F80D0000}"/>
    <cellStyle name="20% - Accent2 5 3 5 2" xfId="13228" xr:uid="{00000000-0005-0000-0000-0000F90D0000}"/>
    <cellStyle name="20% - Accent2 5 3 5 3" xfId="17179" xr:uid="{00000000-0005-0000-0000-0000FA0D0000}"/>
    <cellStyle name="20% - Accent2 5 3 6" xfId="13220" xr:uid="{00000000-0005-0000-0000-0000FB0D0000}"/>
    <cellStyle name="20% - Accent2 5 3 7" xfId="17171" xr:uid="{00000000-0005-0000-0000-0000FC0D0000}"/>
    <cellStyle name="20% - Accent2 5 3_Volatility" xfId="1869" xr:uid="{00000000-0005-0000-0000-0000FD0D0000}"/>
    <cellStyle name="20% - Accent2 5 4" xfId="1870" xr:uid="{00000000-0005-0000-0000-0000FE0D0000}"/>
    <cellStyle name="20% - Accent2 5 4 2" xfId="1871" xr:uid="{00000000-0005-0000-0000-0000FF0D0000}"/>
    <cellStyle name="20% - Accent2 5 4 2 2" xfId="13230" xr:uid="{00000000-0005-0000-0000-0000000E0000}"/>
    <cellStyle name="20% - Accent2 5 4 2 3" xfId="17181" xr:uid="{00000000-0005-0000-0000-0000010E0000}"/>
    <cellStyle name="20% - Accent2 5 4 3" xfId="1872" xr:uid="{00000000-0005-0000-0000-0000020E0000}"/>
    <cellStyle name="20% - Accent2 5 4 3 2" xfId="13231" xr:uid="{00000000-0005-0000-0000-0000030E0000}"/>
    <cellStyle name="20% - Accent2 5 4 3 3" xfId="17182" xr:uid="{00000000-0005-0000-0000-0000040E0000}"/>
    <cellStyle name="20% - Accent2 5 4 4" xfId="13229" xr:uid="{00000000-0005-0000-0000-0000050E0000}"/>
    <cellStyle name="20% - Accent2 5 4 5" xfId="17180" xr:uid="{00000000-0005-0000-0000-0000060E0000}"/>
    <cellStyle name="20% - Accent2 5 5" xfId="1873" xr:uid="{00000000-0005-0000-0000-0000070E0000}"/>
    <cellStyle name="20% - Accent2 5 5 2" xfId="1874" xr:uid="{00000000-0005-0000-0000-0000080E0000}"/>
    <cellStyle name="20% - Accent2 5 5 2 2" xfId="13233" xr:uid="{00000000-0005-0000-0000-0000090E0000}"/>
    <cellStyle name="20% - Accent2 5 5 2 3" xfId="17184" xr:uid="{00000000-0005-0000-0000-00000A0E0000}"/>
    <cellStyle name="20% - Accent2 5 5 3" xfId="1875" xr:uid="{00000000-0005-0000-0000-00000B0E0000}"/>
    <cellStyle name="20% - Accent2 5 5 3 2" xfId="13234" xr:uid="{00000000-0005-0000-0000-00000C0E0000}"/>
    <cellStyle name="20% - Accent2 5 5 3 3" xfId="17185" xr:uid="{00000000-0005-0000-0000-00000D0E0000}"/>
    <cellStyle name="20% - Accent2 5 5 4" xfId="13232" xr:uid="{00000000-0005-0000-0000-00000E0E0000}"/>
    <cellStyle name="20% - Accent2 5 5 5" xfId="17183" xr:uid="{00000000-0005-0000-0000-00000F0E0000}"/>
    <cellStyle name="20% - Accent2 5 6" xfId="1876" xr:uid="{00000000-0005-0000-0000-0000100E0000}"/>
    <cellStyle name="20% - Accent2 5 6 2" xfId="1877" xr:uid="{00000000-0005-0000-0000-0000110E0000}"/>
    <cellStyle name="20% - Accent2 5 6 2 2" xfId="13236" xr:uid="{00000000-0005-0000-0000-0000120E0000}"/>
    <cellStyle name="20% - Accent2 5 6 2 3" xfId="17187" xr:uid="{00000000-0005-0000-0000-0000130E0000}"/>
    <cellStyle name="20% - Accent2 5 6 3" xfId="1878" xr:uid="{00000000-0005-0000-0000-0000140E0000}"/>
    <cellStyle name="20% - Accent2 5 6 3 2" xfId="13237" xr:uid="{00000000-0005-0000-0000-0000150E0000}"/>
    <cellStyle name="20% - Accent2 5 6 3 3" xfId="17188" xr:uid="{00000000-0005-0000-0000-0000160E0000}"/>
    <cellStyle name="20% - Accent2 5 6 4" xfId="13235" xr:uid="{00000000-0005-0000-0000-0000170E0000}"/>
    <cellStyle name="20% - Accent2 5 6 5" xfId="17186" xr:uid="{00000000-0005-0000-0000-0000180E0000}"/>
    <cellStyle name="20% - Accent2 5 7" xfId="1879" xr:uid="{00000000-0005-0000-0000-0000190E0000}"/>
    <cellStyle name="20% - Accent2 5 7 2" xfId="13238" xr:uid="{00000000-0005-0000-0000-00001A0E0000}"/>
    <cellStyle name="20% - Accent2 5 7 3" xfId="17189" xr:uid="{00000000-0005-0000-0000-00001B0E0000}"/>
    <cellStyle name="20% - Accent2 5 8" xfId="1880" xr:uid="{00000000-0005-0000-0000-00001C0E0000}"/>
    <cellStyle name="20% - Accent2 5 8 2" xfId="13239" xr:uid="{00000000-0005-0000-0000-00001D0E0000}"/>
    <cellStyle name="20% - Accent2 5 8 3" xfId="17190" xr:uid="{00000000-0005-0000-0000-00001E0E0000}"/>
    <cellStyle name="20% - Accent2 5 9" xfId="13207" xr:uid="{00000000-0005-0000-0000-00001F0E0000}"/>
    <cellStyle name="20% - Accent2 5_Volatility" xfId="1881" xr:uid="{00000000-0005-0000-0000-0000200E0000}"/>
    <cellStyle name="20% - Accent2 6" xfId="1882" xr:uid="{00000000-0005-0000-0000-0000210E0000}"/>
    <cellStyle name="20% - Accent2 6 10" xfId="17191" xr:uid="{00000000-0005-0000-0000-0000220E0000}"/>
    <cellStyle name="20% - Accent2 6 2" xfId="1883" xr:uid="{00000000-0005-0000-0000-0000230E0000}"/>
    <cellStyle name="20% - Accent2 6 2 2" xfId="1884" xr:uid="{00000000-0005-0000-0000-0000240E0000}"/>
    <cellStyle name="20% - Accent2 6 2 2 2" xfId="1885" xr:uid="{00000000-0005-0000-0000-0000250E0000}"/>
    <cellStyle name="20% - Accent2 6 2 2 2 2" xfId="13243" xr:uid="{00000000-0005-0000-0000-0000260E0000}"/>
    <cellStyle name="20% - Accent2 6 2 2 2 3" xfId="17194" xr:uid="{00000000-0005-0000-0000-0000270E0000}"/>
    <cellStyle name="20% - Accent2 6 2 2 3" xfId="1886" xr:uid="{00000000-0005-0000-0000-0000280E0000}"/>
    <cellStyle name="20% - Accent2 6 2 2 3 2" xfId="13244" xr:uid="{00000000-0005-0000-0000-0000290E0000}"/>
    <cellStyle name="20% - Accent2 6 2 2 3 3" xfId="17195" xr:uid="{00000000-0005-0000-0000-00002A0E0000}"/>
    <cellStyle name="20% - Accent2 6 2 2 4" xfId="13242" xr:uid="{00000000-0005-0000-0000-00002B0E0000}"/>
    <cellStyle name="20% - Accent2 6 2 2 5" xfId="17193" xr:uid="{00000000-0005-0000-0000-00002C0E0000}"/>
    <cellStyle name="20% - Accent2 6 2 3" xfId="1887" xr:uid="{00000000-0005-0000-0000-00002D0E0000}"/>
    <cellStyle name="20% - Accent2 6 2 3 2" xfId="1888" xr:uid="{00000000-0005-0000-0000-00002E0E0000}"/>
    <cellStyle name="20% - Accent2 6 2 3 2 2" xfId="13246" xr:uid="{00000000-0005-0000-0000-00002F0E0000}"/>
    <cellStyle name="20% - Accent2 6 2 3 2 3" xfId="17197" xr:uid="{00000000-0005-0000-0000-0000300E0000}"/>
    <cellStyle name="20% - Accent2 6 2 3 3" xfId="1889" xr:uid="{00000000-0005-0000-0000-0000310E0000}"/>
    <cellStyle name="20% - Accent2 6 2 3 3 2" xfId="13247" xr:uid="{00000000-0005-0000-0000-0000320E0000}"/>
    <cellStyle name="20% - Accent2 6 2 3 3 3" xfId="17198" xr:uid="{00000000-0005-0000-0000-0000330E0000}"/>
    <cellStyle name="20% - Accent2 6 2 3 4" xfId="13245" xr:uid="{00000000-0005-0000-0000-0000340E0000}"/>
    <cellStyle name="20% - Accent2 6 2 3 5" xfId="17196" xr:uid="{00000000-0005-0000-0000-0000350E0000}"/>
    <cellStyle name="20% - Accent2 6 2 4" xfId="1890" xr:uid="{00000000-0005-0000-0000-0000360E0000}"/>
    <cellStyle name="20% - Accent2 6 2 4 2" xfId="1891" xr:uid="{00000000-0005-0000-0000-0000370E0000}"/>
    <cellStyle name="20% - Accent2 6 2 4 2 2" xfId="13249" xr:uid="{00000000-0005-0000-0000-0000380E0000}"/>
    <cellStyle name="20% - Accent2 6 2 4 2 3" xfId="17200" xr:uid="{00000000-0005-0000-0000-0000390E0000}"/>
    <cellStyle name="20% - Accent2 6 2 4 3" xfId="1892" xr:uid="{00000000-0005-0000-0000-00003A0E0000}"/>
    <cellStyle name="20% - Accent2 6 2 4 3 2" xfId="13250" xr:uid="{00000000-0005-0000-0000-00003B0E0000}"/>
    <cellStyle name="20% - Accent2 6 2 4 3 3" xfId="17201" xr:uid="{00000000-0005-0000-0000-00003C0E0000}"/>
    <cellStyle name="20% - Accent2 6 2 4 4" xfId="13248" xr:uid="{00000000-0005-0000-0000-00003D0E0000}"/>
    <cellStyle name="20% - Accent2 6 2 4 5" xfId="17199" xr:uid="{00000000-0005-0000-0000-00003E0E0000}"/>
    <cellStyle name="20% - Accent2 6 2 5" xfId="1893" xr:uid="{00000000-0005-0000-0000-00003F0E0000}"/>
    <cellStyle name="20% - Accent2 6 2 5 2" xfId="13251" xr:uid="{00000000-0005-0000-0000-0000400E0000}"/>
    <cellStyle name="20% - Accent2 6 2 5 3" xfId="17202" xr:uid="{00000000-0005-0000-0000-0000410E0000}"/>
    <cellStyle name="20% - Accent2 6 2 6" xfId="1894" xr:uid="{00000000-0005-0000-0000-0000420E0000}"/>
    <cellStyle name="20% - Accent2 6 2 6 2" xfId="13252" xr:uid="{00000000-0005-0000-0000-0000430E0000}"/>
    <cellStyle name="20% - Accent2 6 2 6 3" xfId="17203" xr:uid="{00000000-0005-0000-0000-0000440E0000}"/>
    <cellStyle name="20% - Accent2 6 2 7" xfId="13241" xr:uid="{00000000-0005-0000-0000-0000450E0000}"/>
    <cellStyle name="20% - Accent2 6 2 8" xfId="17192" xr:uid="{00000000-0005-0000-0000-0000460E0000}"/>
    <cellStyle name="20% - Accent2 6 2_Volatility" xfId="1895" xr:uid="{00000000-0005-0000-0000-0000470E0000}"/>
    <cellStyle name="20% - Accent2 6 3" xfId="1896" xr:uid="{00000000-0005-0000-0000-0000480E0000}"/>
    <cellStyle name="20% - Accent2 6 3 2" xfId="1897" xr:uid="{00000000-0005-0000-0000-0000490E0000}"/>
    <cellStyle name="20% - Accent2 6 3 2 2" xfId="1898" xr:uid="{00000000-0005-0000-0000-00004A0E0000}"/>
    <cellStyle name="20% - Accent2 6 3 2 2 2" xfId="13255" xr:uid="{00000000-0005-0000-0000-00004B0E0000}"/>
    <cellStyle name="20% - Accent2 6 3 2 2 3" xfId="17206" xr:uid="{00000000-0005-0000-0000-00004C0E0000}"/>
    <cellStyle name="20% - Accent2 6 3 2 3" xfId="1899" xr:uid="{00000000-0005-0000-0000-00004D0E0000}"/>
    <cellStyle name="20% - Accent2 6 3 2 3 2" xfId="13256" xr:uid="{00000000-0005-0000-0000-00004E0E0000}"/>
    <cellStyle name="20% - Accent2 6 3 2 3 3" xfId="17207" xr:uid="{00000000-0005-0000-0000-00004F0E0000}"/>
    <cellStyle name="20% - Accent2 6 3 2 4" xfId="13254" xr:uid="{00000000-0005-0000-0000-0000500E0000}"/>
    <cellStyle name="20% - Accent2 6 3 2 5" xfId="17205" xr:uid="{00000000-0005-0000-0000-0000510E0000}"/>
    <cellStyle name="20% - Accent2 6 3 3" xfId="1900" xr:uid="{00000000-0005-0000-0000-0000520E0000}"/>
    <cellStyle name="20% - Accent2 6 3 3 2" xfId="1901" xr:uid="{00000000-0005-0000-0000-0000530E0000}"/>
    <cellStyle name="20% - Accent2 6 3 3 2 2" xfId="13258" xr:uid="{00000000-0005-0000-0000-0000540E0000}"/>
    <cellStyle name="20% - Accent2 6 3 3 2 3" xfId="17209" xr:uid="{00000000-0005-0000-0000-0000550E0000}"/>
    <cellStyle name="20% - Accent2 6 3 3 3" xfId="1902" xr:uid="{00000000-0005-0000-0000-0000560E0000}"/>
    <cellStyle name="20% - Accent2 6 3 3 3 2" xfId="13259" xr:uid="{00000000-0005-0000-0000-0000570E0000}"/>
    <cellStyle name="20% - Accent2 6 3 3 3 3" xfId="17210" xr:uid="{00000000-0005-0000-0000-0000580E0000}"/>
    <cellStyle name="20% - Accent2 6 3 3 4" xfId="13257" xr:uid="{00000000-0005-0000-0000-0000590E0000}"/>
    <cellStyle name="20% - Accent2 6 3 3 5" xfId="17208" xr:uid="{00000000-0005-0000-0000-00005A0E0000}"/>
    <cellStyle name="20% - Accent2 6 3 4" xfId="1903" xr:uid="{00000000-0005-0000-0000-00005B0E0000}"/>
    <cellStyle name="20% - Accent2 6 3 4 2" xfId="13260" xr:uid="{00000000-0005-0000-0000-00005C0E0000}"/>
    <cellStyle name="20% - Accent2 6 3 4 3" xfId="17211" xr:uid="{00000000-0005-0000-0000-00005D0E0000}"/>
    <cellStyle name="20% - Accent2 6 3 5" xfId="1904" xr:uid="{00000000-0005-0000-0000-00005E0E0000}"/>
    <cellStyle name="20% - Accent2 6 3 5 2" xfId="13261" xr:uid="{00000000-0005-0000-0000-00005F0E0000}"/>
    <cellStyle name="20% - Accent2 6 3 5 3" xfId="17212" xr:uid="{00000000-0005-0000-0000-0000600E0000}"/>
    <cellStyle name="20% - Accent2 6 3 6" xfId="13253" xr:uid="{00000000-0005-0000-0000-0000610E0000}"/>
    <cellStyle name="20% - Accent2 6 3 7" xfId="17204" xr:uid="{00000000-0005-0000-0000-0000620E0000}"/>
    <cellStyle name="20% - Accent2 6 3_Volatility" xfId="1905" xr:uid="{00000000-0005-0000-0000-0000630E0000}"/>
    <cellStyle name="20% - Accent2 6 4" xfId="1906" xr:uid="{00000000-0005-0000-0000-0000640E0000}"/>
    <cellStyle name="20% - Accent2 6 4 2" xfId="1907" xr:uid="{00000000-0005-0000-0000-0000650E0000}"/>
    <cellStyle name="20% - Accent2 6 4 2 2" xfId="13263" xr:uid="{00000000-0005-0000-0000-0000660E0000}"/>
    <cellStyle name="20% - Accent2 6 4 2 3" xfId="17214" xr:uid="{00000000-0005-0000-0000-0000670E0000}"/>
    <cellStyle name="20% - Accent2 6 4 3" xfId="1908" xr:uid="{00000000-0005-0000-0000-0000680E0000}"/>
    <cellStyle name="20% - Accent2 6 4 3 2" xfId="13264" xr:uid="{00000000-0005-0000-0000-0000690E0000}"/>
    <cellStyle name="20% - Accent2 6 4 3 3" xfId="17215" xr:uid="{00000000-0005-0000-0000-00006A0E0000}"/>
    <cellStyle name="20% - Accent2 6 4 4" xfId="13262" xr:uid="{00000000-0005-0000-0000-00006B0E0000}"/>
    <cellStyle name="20% - Accent2 6 4 5" xfId="17213" xr:uid="{00000000-0005-0000-0000-00006C0E0000}"/>
    <cellStyle name="20% - Accent2 6 5" xfId="1909" xr:uid="{00000000-0005-0000-0000-00006D0E0000}"/>
    <cellStyle name="20% - Accent2 6 5 2" xfId="1910" xr:uid="{00000000-0005-0000-0000-00006E0E0000}"/>
    <cellStyle name="20% - Accent2 6 5 2 2" xfId="13266" xr:uid="{00000000-0005-0000-0000-00006F0E0000}"/>
    <cellStyle name="20% - Accent2 6 5 2 3" xfId="17217" xr:uid="{00000000-0005-0000-0000-0000700E0000}"/>
    <cellStyle name="20% - Accent2 6 5 3" xfId="1911" xr:uid="{00000000-0005-0000-0000-0000710E0000}"/>
    <cellStyle name="20% - Accent2 6 5 3 2" xfId="13267" xr:uid="{00000000-0005-0000-0000-0000720E0000}"/>
    <cellStyle name="20% - Accent2 6 5 3 3" xfId="17218" xr:uid="{00000000-0005-0000-0000-0000730E0000}"/>
    <cellStyle name="20% - Accent2 6 5 4" xfId="13265" xr:uid="{00000000-0005-0000-0000-0000740E0000}"/>
    <cellStyle name="20% - Accent2 6 5 5" xfId="17216" xr:uid="{00000000-0005-0000-0000-0000750E0000}"/>
    <cellStyle name="20% - Accent2 6 6" xfId="1912" xr:uid="{00000000-0005-0000-0000-0000760E0000}"/>
    <cellStyle name="20% - Accent2 6 6 2" xfId="1913" xr:uid="{00000000-0005-0000-0000-0000770E0000}"/>
    <cellStyle name="20% - Accent2 6 6 2 2" xfId="13269" xr:uid="{00000000-0005-0000-0000-0000780E0000}"/>
    <cellStyle name="20% - Accent2 6 6 2 3" xfId="17220" xr:uid="{00000000-0005-0000-0000-0000790E0000}"/>
    <cellStyle name="20% - Accent2 6 6 3" xfId="1914" xr:uid="{00000000-0005-0000-0000-00007A0E0000}"/>
    <cellStyle name="20% - Accent2 6 6 3 2" xfId="13270" xr:uid="{00000000-0005-0000-0000-00007B0E0000}"/>
    <cellStyle name="20% - Accent2 6 6 3 3" xfId="17221" xr:uid="{00000000-0005-0000-0000-00007C0E0000}"/>
    <cellStyle name="20% - Accent2 6 6 4" xfId="13268" xr:uid="{00000000-0005-0000-0000-00007D0E0000}"/>
    <cellStyle name="20% - Accent2 6 6 5" xfId="17219" xr:uid="{00000000-0005-0000-0000-00007E0E0000}"/>
    <cellStyle name="20% - Accent2 6 7" xfId="1915" xr:uid="{00000000-0005-0000-0000-00007F0E0000}"/>
    <cellStyle name="20% - Accent2 6 7 2" xfId="13271" xr:uid="{00000000-0005-0000-0000-0000800E0000}"/>
    <cellStyle name="20% - Accent2 6 7 3" xfId="17222" xr:uid="{00000000-0005-0000-0000-0000810E0000}"/>
    <cellStyle name="20% - Accent2 6 8" xfId="1916" xr:uid="{00000000-0005-0000-0000-0000820E0000}"/>
    <cellStyle name="20% - Accent2 6 8 2" xfId="13272" xr:uid="{00000000-0005-0000-0000-0000830E0000}"/>
    <cellStyle name="20% - Accent2 6 8 3" xfId="17223" xr:uid="{00000000-0005-0000-0000-0000840E0000}"/>
    <cellStyle name="20% - Accent2 6 9" xfId="13240" xr:uid="{00000000-0005-0000-0000-0000850E0000}"/>
    <cellStyle name="20% - Accent2 6_Volatility" xfId="1917" xr:uid="{00000000-0005-0000-0000-0000860E0000}"/>
    <cellStyle name="20% - Accent2 7" xfId="1918" xr:uid="{00000000-0005-0000-0000-0000870E0000}"/>
    <cellStyle name="20% - Accent2 7 10" xfId="17224" xr:uid="{00000000-0005-0000-0000-0000880E0000}"/>
    <cellStyle name="20% - Accent2 7 2" xfId="1919" xr:uid="{00000000-0005-0000-0000-0000890E0000}"/>
    <cellStyle name="20% - Accent2 7 2 2" xfId="1920" xr:uid="{00000000-0005-0000-0000-00008A0E0000}"/>
    <cellStyle name="20% - Accent2 7 2 2 2" xfId="1921" xr:uid="{00000000-0005-0000-0000-00008B0E0000}"/>
    <cellStyle name="20% - Accent2 7 2 2 2 2" xfId="13276" xr:uid="{00000000-0005-0000-0000-00008C0E0000}"/>
    <cellStyle name="20% - Accent2 7 2 2 2 3" xfId="17227" xr:uid="{00000000-0005-0000-0000-00008D0E0000}"/>
    <cellStyle name="20% - Accent2 7 2 2 3" xfId="1922" xr:uid="{00000000-0005-0000-0000-00008E0E0000}"/>
    <cellStyle name="20% - Accent2 7 2 2 3 2" xfId="13277" xr:uid="{00000000-0005-0000-0000-00008F0E0000}"/>
    <cellStyle name="20% - Accent2 7 2 2 3 3" xfId="17228" xr:uid="{00000000-0005-0000-0000-0000900E0000}"/>
    <cellStyle name="20% - Accent2 7 2 2 4" xfId="13275" xr:uid="{00000000-0005-0000-0000-0000910E0000}"/>
    <cellStyle name="20% - Accent2 7 2 2 5" xfId="17226" xr:uid="{00000000-0005-0000-0000-0000920E0000}"/>
    <cellStyle name="20% - Accent2 7 2 3" xfId="1923" xr:uid="{00000000-0005-0000-0000-0000930E0000}"/>
    <cellStyle name="20% - Accent2 7 2 3 2" xfId="1924" xr:uid="{00000000-0005-0000-0000-0000940E0000}"/>
    <cellStyle name="20% - Accent2 7 2 3 2 2" xfId="13279" xr:uid="{00000000-0005-0000-0000-0000950E0000}"/>
    <cellStyle name="20% - Accent2 7 2 3 2 3" xfId="17230" xr:uid="{00000000-0005-0000-0000-0000960E0000}"/>
    <cellStyle name="20% - Accent2 7 2 3 3" xfId="1925" xr:uid="{00000000-0005-0000-0000-0000970E0000}"/>
    <cellStyle name="20% - Accent2 7 2 3 3 2" xfId="13280" xr:uid="{00000000-0005-0000-0000-0000980E0000}"/>
    <cellStyle name="20% - Accent2 7 2 3 3 3" xfId="17231" xr:uid="{00000000-0005-0000-0000-0000990E0000}"/>
    <cellStyle name="20% - Accent2 7 2 3 4" xfId="13278" xr:uid="{00000000-0005-0000-0000-00009A0E0000}"/>
    <cellStyle name="20% - Accent2 7 2 3 5" xfId="17229" xr:uid="{00000000-0005-0000-0000-00009B0E0000}"/>
    <cellStyle name="20% - Accent2 7 2 4" xfId="1926" xr:uid="{00000000-0005-0000-0000-00009C0E0000}"/>
    <cellStyle name="20% - Accent2 7 2 4 2" xfId="1927" xr:uid="{00000000-0005-0000-0000-00009D0E0000}"/>
    <cellStyle name="20% - Accent2 7 2 4 2 2" xfId="13282" xr:uid="{00000000-0005-0000-0000-00009E0E0000}"/>
    <cellStyle name="20% - Accent2 7 2 4 2 3" xfId="17233" xr:uid="{00000000-0005-0000-0000-00009F0E0000}"/>
    <cellStyle name="20% - Accent2 7 2 4 3" xfId="1928" xr:uid="{00000000-0005-0000-0000-0000A00E0000}"/>
    <cellStyle name="20% - Accent2 7 2 4 3 2" xfId="13283" xr:uid="{00000000-0005-0000-0000-0000A10E0000}"/>
    <cellStyle name="20% - Accent2 7 2 4 3 3" xfId="17234" xr:uid="{00000000-0005-0000-0000-0000A20E0000}"/>
    <cellStyle name="20% - Accent2 7 2 4 4" xfId="13281" xr:uid="{00000000-0005-0000-0000-0000A30E0000}"/>
    <cellStyle name="20% - Accent2 7 2 4 5" xfId="17232" xr:uid="{00000000-0005-0000-0000-0000A40E0000}"/>
    <cellStyle name="20% - Accent2 7 2 5" xfId="1929" xr:uid="{00000000-0005-0000-0000-0000A50E0000}"/>
    <cellStyle name="20% - Accent2 7 2 5 2" xfId="13284" xr:uid="{00000000-0005-0000-0000-0000A60E0000}"/>
    <cellStyle name="20% - Accent2 7 2 5 3" xfId="17235" xr:uid="{00000000-0005-0000-0000-0000A70E0000}"/>
    <cellStyle name="20% - Accent2 7 2 6" xfId="1930" xr:uid="{00000000-0005-0000-0000-0000A80E0000}"/>
    <cellStyle name="20% - Accent2 7 2 6 2" xfId="13285" xr:uid="{00000000-0005-0000-0000-0000A90E0000}"/>
    <cellStyle name="20% - Accent2 7 2 6 3" xfId="17236" xr:uid="{00000000-0005-0000-0000-0000AA0E0000}"/>
    <cellStyle name="20% - Accent2 7 2 7" xfId="13274" xr:uid="{00000000-0005-0000-0000-0000AB0E0000}"/>
    <cellStyle name="20% - Accent2 7 2 8" xfId="17225" xr:uid="{00000000-0005-0000-0000-0000AC0E0000}"/>
    <cellStyle name="20% - Accent2 7 2_Volatility" xfId="1931" xr:uid="{00000000-0005-0000-0000-0000AD0E0000}"/>
    <cellStyle name="20% - Accent2 7 3" xfId="1932" xr:uid="{00000000-0005-0000-0000-0000AE0E0000}"/>
    <cellStyle name="20% - Accent2 7 3 2" xfId="1933" xr:uid="{00000000-0005-0000-0000-0000AF0E0000}"/>
    <cellStyle name="20% - Accent2 7 3 2 2" xfId="1934" xr:uid="{00000000-0005-0000-0000-0000B00E0000}"/>
    <cellStyle name="20% - Accent2 7 3 2 2 2" xfId="13288" xr:uid="{00000000-0005-0000-0000-0000B10E0000}"/>
    <cellStyle name="20% - Accent2 7 3 2 2 3" xfId="17239" xr:uid="{00000000-0005-0000-0000-0000B20E0000}"/>
    <cellStyle name="20% - Accent2 7 3 2 3" xfId="1935" xr:uid="{00000000-0005-0000-0000-0000B30E0000}"/>
    <cellStyle name="20% - Accent2 7 3 2 3 2" xfId="13289" xr:uid="{00000000-0005-0000-0000-0000B40E0000}"/>
    <cellStyle name="20% - Accent2 7 3 2 3 3" xfId="17240" xr:uid="{00000000-0005-0000-0000-0000B50E0000}"/>
    <cellStyle name="20% - Accent2 7 3 2 4" xfId="13287" xr:uid="{00000000-0005-0000-0000-0000B60E0000}"/>
    <cellStyle name="20% - Accent2 7 3 2 5" xfId="17238" xr:uid="{00000000-0005-0000-0000-0000B70E0000}"/>
    <cellStyle name="20% - Accent2 7 3 3" xfId="1936" xr:uid="{00000000-0005-0000-0000-0000B80E0000}"/>
    <cellStyle name="20% - Accent2 7 3 3 2" xfId="1937" xr:uid="{00000000-0005-0000-0000-0000B90E0000}"/>
    <cellStyle name="20% - Accent2 7 3 3 2 2" xfId="13291" xr:uid="{00000000-0005-0000-0000-0000BA0E0000}"/>
    <cellStyle name="20% - Accent2 7 3 3 2 3" xfId="17242" xr:uid="{00000000-0005-0000-0000-0000BB0E0000}"/>
    <cellStyle name="20% - Accent2 7 3 3 3" xfId="1938" xr:uid="{00000000-0005-0000-0000-0000BC0E0000}"/>
    <cellStyle name="20% - Accent2 7 3 3 3 2" xfId="13292" xr:uid="{00000000-0005-0000-0000-0000BD0E0000}"/>
    <cellStyle name="20% - Accent2 7 3 3 3 3" xfId="17243" xr:uid="{00000000-0005-0000-0000-0000BE0E0000}"/>
    <cellStyle name="20% - Accent2 7 3 3 4" xfId="13290" xr:uid="{00000000-0005-0000-0000-0000BF0E0000}"/>
    <cellStyle name="20% - Accent2 7 3 3 5" xfId="17241" xr:uid="{00000000-0005-0000-0000-0000C00E0000}"/>
    <cellStyle name="20% - Accent2 7 3 4" xfId="1939" xr:uid="{00000000-0005-0000-0000-0000C10E0000}"/>
    <cellStyle name="20% - Accent2 7 3 4 2" xfId="13293" xr:uid="{00000000-0005-0000-0000-0000C20E0000}"/>
    <cellStyle name="20% - Accent2 7 3 4 3" xfId="17244" xr:uid="{00000000-0005-0000-0000-0000C30E0000}"/>
    <cellStyle name="20% - Accent2 7 3 5" xfId="1940" xr:uid="{00000000-0005-0000-0000-0000C40E0000}"/>
    <cellStyle name="20% - Accent2 7 3 5 2" xfId="13294" xr:uid="{00000000-0005-0000-0000-0000C50E0000}"/>
    <cellStyle name="20% - Accent2 7 3 5 3" xfId="17245" xr:uid="{00000000-0005-0000-0000-0000C60E0000}"/>
    <cellStyle name="20% - Accent2 7 3 6" xfId="13286" xr:uid="{00000000-0005-0000-0000-0000C70E0000}"/>
    <cellStyle name="20% - Accent2 7 3 7" xfId="17237" xr:uid="{00000000-0005-0000-0000-0000C80E0000}"/>
    <cellStyle name="20% - Accent2 7 3_Volatility" xfId="1941" xr:uid="{00000000-0005-0000-0000-0000C90E0000}"/>
    <cellStyle name="20% - Accent2 7 4" xfId="1942" xr:uid="{00000000-0005-0000-0000-0000CA0E0000}"/>
    <cellStyle name="20% - Accent2 7 4 2" xfId="1943" xr:uid="{00000000-0005-0000-0000-0000CB0E0000}"/>
    <cellStyle name="20% - Accent2 7 4 2 2" xfId="13296" xr:uid="{00000000-0005-0000-0000-0000CC0E0000}"/>
    <cellStyle name="20% - Accent2 7 4 2 3" xfId="17247" xr:uid="{00000000-0005-0000-0000-0000CD0E0000}"/>
    <cellStyle name="20% - Accent2 7 4 3" xfId="1944" xr:uid="{00000000-0005-0000-0000-0000CE0E0000}"/>
    <cellStyle name="20% - Accent2 7 4 3 2" xfId="13297" xr:uid="{00000000-0005-0000-0000-0000CF0E0000}"/>
    <cellStyle name="20% - Accent2 7 4 3 3" xfId="17248" xr:uid="{00000000-0005-0000-0000-0000D00E0000}"/>
    <cellStyle name="20% - Accent2 7 4 4" xfId="13295" xr:uid="{00000000-0005-0000-0000-0000D10E0000}"/>
    <cellStyle name="20% - Accent2 7 4 5" xfId="17246" xr:uid="{00000000-0005-0000-0000-0000D20E0000}"/>
    <cellStyle name="20% - Accent2 7 5" xfId="1945" xr:uid="{00000000-0005-0000-0000-0000D30E0000}"/>
    <cellStyle name="20% - Accent2 7 5 2" xfId="1946" xr:uid="{00000000-0005-0000-0000-0000D40E0000}"/>
    <cellStyle name="20% - Accent2 7 5 2 2" xfId="13299" xr:uid="{00000000-0005-0000-0000-0000D50E0000}"/>
    <cellStyle name="20% - Accent2 7 5 2 3" xfId="17250" xr:uid="{00000000-0005-0000-0000-0000D60E0000}"/>
    <cellStyle name="20% - Accent2 7 5 3" xfId="1947" xr:uid="{00000000-0005-0000-0000-0000D70E0000}"/>
    <cellStyle name="20% - Accent2 7 5 3 2" xfId="13300" xr:uid="{00000000-0005-0000-0000-0000D80E0000}"/>
    <cellStyle name="20% - Accent2 7 5 3 3" xfId="17251" xr:uid="{00000000-0005-0000-0000-0000D90E0000}"/>
    <cellStyle name="20% - Accent2 7 5 4" xfId="13298" xr:uid="{00000000-0005-0000-0000-0000DA0E0000}"/>
    <cellStyle name="20% - Accent2 7 5 5" xfId="17249" xr:uid="{00000000-0005-0000-0000-0000DB0E0000}"/>
    <cellStyle name="20% - Accent2 7 6" xfId="1948" xr:uid="{00000000-0005-0000-0000-0000DC0E0000}"/>
    <cellStyle name="20% - Accent2 7 6 2" xfId="1949" xr:uid="{00000000-0005-0000-0000-0000DD0E0000}"/>
    <cellStyle name="20% - Accent2 7 6 2 2" xfId="13302" xr:uid="{00000000-0005-0000-0000-0000DE0E0000}"/>
    <cellStyle name="20% - Accent2 7 6 2 3" xfId="17253" xr:uid="{00000000-0005-0000-0000-0000DF0E0000}"/>
    <cellStyle name="20% - Accent2 7 6 3" xfId="1950" xr:uid="{00000000-0005-0000-0000-0000E00E0000}"/>
    <cellStyle name="20% - Accent2 7 6 3 2" xfId="13303" xr:uid="{00000000-0005-0000-0000-0000E10E0000}"/>
    <cellStyle name="20% - Accent2 7 6 3 3" xfId="17254" xr:uid="{00000000-0005-0000-0000-0000E20E0000}"/>
    <cellStyle name="20% - Accent2 7 6 4" xfId="13301" xr:uid="{00000000-0005-0000-0000-0000E30E0000}"/>
    <cellStyle name="20% - Accent2 7 6 5" xfId="17252" xr:uid="{00000000-0005-0000-0000-0000E40E0000}"/>
    <cellStyle name="20% - Accent2 7 7" xfId="1951" xr:uid="{00000000-0005-0000-0000-0000E50E0000}"/>
    <cellStyle name="20% - Accent2 7 7 2" xfId="13304" xr:uid="{00000000-0005-0000-0000-0000E60E0000}"/>
    <cellStyle name="20% - Accent2 7 7 3" xfId="17255" xr:uid="{00000000-0005-0000-0000-0000E70E0000}"/>
    <cellStyle name="20% - Accent2 7 8" xfId="1952" xr:uid="{00000000-0005-0000-0000-0000E80E0000}"/>
    <cellStyle name="20% - Accent2 7 8 2" xfId="13305" xr:uid="{00000000-0005-0000-0000-0000E90E0000}"/>
    <cellStyle name="20% - Accent2 7 8 3" xfId="17256" xr:uid="{00000000-0005-0000-0000-0000EA0E0000}"/>
    <cellStyle name="20% - Accent2 7 9" xfId="13273" xr:uid="{00000000-0005-0000-0000-0000EB0E0000}"/>
    <cellStyle name="20% - Accent2 7_Volatility" xfId="1953" xr:uid="{00000000-0005-0000-0000-0000EC0E0000}"/>
    <cellStyle name="20% - Accent2 8" xfId="1954" xr:uid="{00000000-0005-0000-0000-0000ED0E0000}"/>
    <cellStyle name="20% - Accent2 8 10" xfId="17257" xr:uid="{00000000-0005-0000-0000-0000EE0E0000}"/>
    <cellStyle name="20% - Accent2 8 2" xfId="1955" xr:uid="{00000000-0005-0000-0000-0000EF0E0000}"/>
    <cellStyle name="20% - Accent2 8 2 2" xfId="1956" xr:uid="{00000000-0005-0000-0000-0000F00E0000}"/>
    <cellStyle name="20% - Accent2 8 2 2 2" xfId="1957" xr:uid="{00000000-0005-0000-0000-0000F10E0000}"/>
    <cellStyle name="20% - Accent2 8 2 2 2 2" xfId="13309" xr:uid="{00000000-0005-0000-0000-0000F20E0000}"/>
    <cellStyle name="20% - Accent2 8 2 2 2 3" xfId="17260" xr:uid="{00000000-0005-0000-0000-0000F30E0000}"/>
    <cellStyle name="20% - Accent2 8 2 2 3" xfId="1958" xr:uid="{00000000-0005-0000-0000-0000F40E0000}"/>
    <cellStyle name="20% - Accent2 8 2 2 3 2" xfId="13310" xr:uid="{00000000-0005-0000-0000-0000F50E0000}"/>
    <cellStyle name="20% - Accent2 8 2 2 3 3" xfId="17261" xr:uid="{00000000-0005-0000-0000-0000F60E0000}"/>
    <cellStyle name="20% - Accent2 8 2 2 4" xfId="13308" xr:uid="{00000000-0005-0000-0000-0000F70E0000}"/>
    <cellStyle name="20% - Accent2 8 2 2 5" xfId="17259" xr:uid="{00000000-0005-0000-0000-0000F80E0000}"/>
    <cellStyle name="20% - Accent2 8 2 3" xfId="1959" xr:uid="{00000000-0005-0000-0000-0000F90E0000}"/>
    <cellStyle name="20% - Accent2 8 2 3 2" xfId="1960" xr:uid="{00000000-0005-0000-0000-0000FA0E0000}"/>
    <cellStyle name="20% - Accent2 8 2 3 2 2" xfId="13312" xr:uid="{00000000-0005-0000-0000-0000FB0E0000}"/>
    <cellStyle name="20% - Accent2 8 2 3 2 3" xfId="17263" xr:uid="{00000000-0005-0000-0000-0000FC0E0000}"/>
    <cellStyle name="20% - Accent2 8 2 3 3" xfId="1961" xr:uid="{00000000-0005-0000-0000-0000FD0E0000}"/>
    <cellStyle name="20% - Accent2 8 2 3 3 2" xfId="13313" xr:uid="{00000000-0005-0000-0000-0000FE0E0000}"/>
    <cellStyle name="20% - Accent2 8 2 3 3 3" xfId="17264" xr:uid="{00000000-0005-0000-0000-0000FF0E0000}"/>
    <cellStyle name="20% - Accent2 8 2 3 4" xfId="13311" xr:uid="{00000000-0005-0000-0000-0000000F0000}"/>
    <cellStyle name="20% - Accent2 8 2 3 5" xfId="17262" xr:uid="{00000000-0005-0000-0000-0000010F0000}"/>
    <cellStyle name="20% - Accent2 8 2 4" xfId="1962" xr:uid="{00000000-0005-0000-0000-0000020F0000}"/>
    <cellStyle name="20% - Accent2 8 2 4 2" xfId="1963" xr:uid="{00000000-0005-0000-0000-0000030F0000}"/>
    <cellStyle name="20% - Accent2 8 2 4 2 2" xfId="13315" xr:uid="{00000000-0005-0000-0000-0000040F0000}"/>
    <cellStyle name="20% - Accent2 8 2 4 2 3" xfId="17266" xr:uid="{00000000-0005-0000-0000-0000050F0000}"/>
    <cellStyle name="20% - Accent2 8 2 4 3" xfId="1964" xr:uid="{00000000-0005-0000-0000-0000060F0000}"/>
    <cellStyle name="20% - Accent2 8 2 4 3 2" xfId="13316" xr:uid="{00000000-0005-0000-0000-0000070F0000}"/>
    <cellStyle name="20% - Accent2 8 2 4 3 3" xfId="17267" xr:uid="{00000000-0005-0000-0000-0000080F0000}"/>
    <cellStyle name="20% - Accent2 8 2 4 4" xfId="13314" xr:uid="{00000000-0005-0000-0000-0000090F0000}"/>
    <cellStyle name="20% - Accent2 8 2 4 5" xfId="17265" xr:uid="{00000000-0005-0000-0000-00000A0F0000}"/>
    <cellStyle name="20% - Accent2 8 2 5" xfId="1965" xr:uid="{00000000-0005-0000-0000-00000B0F0000}"/>
    <cellStyle name="20% - Accent2 8 2 5 2" xfId="13317" xr:uid="{00000000-0005-0000-0000-00000C0F0000}"/>
    <cellStyle name="20% - Accent2 8 2 5 3" xfId="17268" xr:uid="{00000000-0005-0000-0000-00000D0F0000}"/>
    <cellStyle name="20% - Accent2 8 2 6" xfId="1966" xr:uid="{00000000-0005-0000-0000-00000E0F0000}"/>
    <cellStyle name="20% - Accent2 8 2 6 2" xfId="13318" xr:uid="{00000000-0005-0000-0000-00000F0F0000}"/>
    <cellStyle name="20% - Accent2 8 2 6 3" xfId="17269" xr:uid="{00000000-0005-0000-0000-0000100F0000}"/>
    <cellStyle name="20% - Accent2 8 2 7" xfId="13307" xr:uid="{00000000-0005-0000-0000-0000110F0000}"/>
    <cellStyle name="20% - Accent2 8 2 8" xfId="17258" xr:uid="{00000000-0005-0000-0000-0000120F0000}"/>
    <cellStyle name="20% - Accent2 8 2_Volatility" xfId="1967" xr:uid="{00000000-0005-0000-0000-0000130F0000}"/>
    <cellStyle name="20% - Accent2 8 3" xfId="1968" xr:uid="{00000000-0005-0000-0000-0000140F0000}"/>
    <cellStyle name="20% - Accent2 8 3 2" xfId="1969" xr:uid="{00000000-0005-0000-0000-0000150F0000}"/>
    <cellStyle name="20% - Accent2 8 3 2 2" xfId="1970" xr:uid="{00000000-0005-0000-0000-0000160F0000}"/>
    <cellStyle name="20% - Accent2 8 3 2 2 2" xfId="13321" xr:uid="{00000000-0005-0000-0000-0000170F0000}"/>
    <cellStyle name="20% - Accent2 8 3 2 2 3" xfId="17272" xr:uid="{00000000-0005-0000-0000-0000180F0000}"/>
    <cellStyle name="20% - Accent2 8 3 2 3" xfId="1971" xr:uid="{00000000-0005-0000-0000-0000190F0000}"/>
    <cellStyle name="20% - Accent2 8 3 2 3 2" xfId="13322" xr:uid="{00000000-0005-0000-0000-00001A0F0000}"/>
    <cellStyle name="20% - Accent2 8 3 2 3 3" xfId="17273" xr:uid="{00000000-0005-0000-0000-00001B0F0000}"/>
    <cellStyle name="20% - Accent2 8 3 2 4" xfId="13320" xr:uid="{00000000-0005-0000-0000-00001C0F0000}"/>
    <cellStyle name="20% - Accent2 8 3 2 5" xfId="17271" xr:uid="{00000000-0005-0000-0000-00001D0F0000}"/>
    <cellStyle name="20% - Accent2 8 3 3" xfId="1972" xr:uid="{00000000-0005-0000-0000-00001E0F0000}"/>
    <cellStyle name="20% - Accent2 8 3 3 2" xfId="1973" xr:uid="{00000000-0005-0000-0000-00001F0F0000}"/>
    <cellStyle name="20% - Accent2 8 3 3 2 2" xfId="13324" xr:uid="{00000000-0005-0000-0000-0000200F0000}"/>
    <cellStyle name="20% - Accent2 8 3 3 2 3" xfId="17275" xr:uid="{00000000-0005-0000-0000-0000210F0000}"/>
    <cellStyle name="20% - Accent2 8 3 3 3" xfId="1974" xr:uid="{00000000-0005-0000-0000-0000220F0000}"/>
    <cellStyle name="20% - Accent2 8 3 3 3 2" xfId="13325" xr:uid="{00000000-0005-0000-0000-0000230F0000}"/>
    <cellStyle name="20% - Accent2 8 3 3 3 3" xfId="17276" xr:uid="{00000000-0005-0000-0000-0000240F0000}"/>
    <cellStyle name="20% - Accent2 8 3 3 4" xfId="13323" xr:uid="{00000000-0005-0000-0000-0000250F0000}"/>
    <cellStyle name="20% - Accent2 8 3 3 5" xfId="17274" xr:uid="{00000000-0005-0000-0000-0000260F0000}"/>
    <cellStyle name="20% - Accent2 8 3 4" xfId="1975" xr:uid="{00000000-0005-0000-0000-0000270F0000}"/>
    <cellStyle name="20% - Accent2 8 3 4 2" xfId="13326" xr:uid="{00000000-0005-0000-0000-0000280F0000}"/>
    <cellStyle name="20% - Accent2 8 3 4 3" xfId="17277" xr:uid="{00000000-0005-0000-0000-0000290F0000}"/>
    <cellStyle name="20% - Accent2 8 3 5" xfId="1976" xr:uid="{00000000-0005-0000-0000-00002A0F0000}"/>
    <cellStyle name="20% - Accent2 8 3 5 2" xfId="13327" xr:uid="{00000000-0005-0000-0000-00002B0F0000}"/>
    <cellStyle name="20% - Accent2 8 3 5 3" xfId="17278" xr:uid="{00000000-0005-0000-0000-00002C0F0000}"/>
    <cellStyle name="20% - Accent2 8 3 6" xfId="13319" xr:uid="{00000000-0005-0000-0000-00002D0F0000}"/>
    <cellStyle name="20% - Accent2 8 3 7" xfId="17270" xr:uid="{00000000-0005-0000-0000-00002E0F0000}"/>
    <cellStyle name="20% - Accent2 8 3_Volatility" xfId="1977" xr:uid="{00000000-0005-0000-0000-00002F0F0000}"/>
    <cellStyle name="20% - Accent2 8 4" xfId="1978" xr:uid="{00000000-0005-0000-0000-0000300F0000}"/>
    <cellStyle name="20% - Accent2 8 4 2" xfId="1979" xr:uid="{00000000-0005-0000-0000-0000310F0000}"/>
    <cellStyle name="20% - Accent2 8 4 2 2" xfId="13329" xr:uid="{00000000-0005-0000-0000-0000320F0000}"/>
    <cellStyle name="20% - Accent2 8 4 2 3" xfId="17280" xr:uid="{00000000-0005-0000-0000-0000330F0000}"/>
    <cellStyle name="20% - Accent2 8 4 3" xfId="1980" xr:uid="{00000000-0005-0000-0000-0000340F0000}"/>
    <cellStyle name="20% - Accent2 8 4 3 2" xfId="13330" xr:uid="{00000000-0005-0000-0000-0000350F0000}"/>
    <cellStyle name="20% - Accent2 8 4 3 3" xfId="17281" xr:uid="{00000000-0005-0000-0000-0000360F0000}"/>
    <cellStyle name="20% - Accent2 8 4 4" xfId="13328" xr:uid="{00000000-0005-0000-0000-0000370F0000}"/>
    <cellStyle name="20% - Accent2 8 4 5" xfId="17279" xr:uid="{00000000-0005-0000-0000-0000380F0000}"/>
    <cellStyle name="20% - Accent2 8 5" xfId="1981" xr:uid="{00000000-0005-0000-0000-0000390F0000}"/>
    <cellStyle name="20% - Accent2 8 5 2" xfId="1982" xr:uid="{00000000-0005-0000-0000-00003A0F0000}"/>
    <cellStyle name="20% - Accent2 8 5 2 2" xfId="13332" xr:uid="{00000000-0005-0000-0000-00003B0F0000}"/>
    <cellStyle name="20% - Accent2 8 5 2 3" xfId="17283" xr:uid="{00000000-0005-0000-0000-00003C0F0000}"/>
    <cellStyle name="20% - Accent2 8 5 3" xfId="1983" xr:uid="{00000000-0005-0000-0000-00003D0F0000}"/>
    <cellStyle name="20% - Accent2 8 5 3 2" xfId="13333" xr:uid="{00000000-0005-0000-0000-00003E0F0000}"/>
    <cellStyle name="20% - Accent2 8 5 3 3" xfId="17284" xr:uid="{00000000-0005-0000-0000-00003F0F0000}"/>
    <cellStyle name="20% - Accent2 8 5 4" xfId="13331" xr:uid="{00000000-0005-0000-0000-0000400F0000}"/>
    <cellStyle name="20% - Accent2 8 5 5" xfId="17282" xr:uid="{00000000-0005-0000-0000-0000410F0000}"/>
    <cellStyle name="20% - Accent2 8 6" xfId="1984" xr:uid="{00000000-0005-0000-0000-0000420F0000}"/>
    <cellStyle name="20% - Accent2 8 6 2" xfId="1985" xr:uid="{00000000-0005-0000-0000-0000430F0000}"/>
    <cellStyle name="20% - Accent2 8 6 2 2" xfId="13335" xr:uid="{00000000-0005-0000-0000-0000440F0000}"/>
    <cellStyle name="20% - Accent2 8 6 2 3" xfId="17286" xr:uid="{00000000-0005-0000-0000-0000450F0000}"/>
    <cellStyle name="20% - Accent2 8 6 3" xfId="1986" xr:uid="{00000000-0005-0000-0000-0000460F0000}"/>
    <cellStyle name="20% - Accent2 8 6 3 2" xfId="13336" xr:uid="{00000000-0005-0000-0000-0000470F0000}"/>
    <cellStyle name="20% - Accent2 8 6 3 3" xfId="17287" xr:uid="{00000000-0005-0000-0000-0000480F0000}"/>
    <cellStyle name="20% - Accent2 8 6 4" xfId="13334" xr:uid="{00000000-0005-0000-0000-0000490F0000}"/>
    <cellStyle name="20% - Accent2 8 6 5" xfId="17285" xr:uid="{00000000-0005-0000-0000-00004A0F0000}"/>
    <cellStyle name="20% - Accent2 8 7" xfId="1987" xr:uid="{00000000-0005-0000-0000-00004B0F0000}"/>
    <cellStyle name="20% - Accent2 8 7 2" xfId="13337" xr:uid="{00000000-0005-0000-0000-00004C0F0000}"/>
    <cellStyle name="20% - Accent2 8 7 3" xfId="17288" xr:uid="{00000000-0005-0000-0000-00004D0F0000}"/>
    <cellStyle name="20% - Accent2 8 8" xfId="1988" xr:uid="{00000000-0005-0000-0000-00004E0F0000}"/>
    <cellStyle name="20% - Accent2 8 8 2" xfId="13338" xr:uid="{00000000-0005-0000-0000-00004F0F0000}"/>
    <cellStyle name="20% - Accent2 8 8 3" xfId="17289" xr:uid="{00000000-0005-0000-0000-0000500F0000}"/>
    <cellStyle name="20% - Accent2 8 9" xfId="13306" xr:uid="{00000000-0005-0000-0000-0000510F0000}"/>
    <cellStyle name="20% - Accent2 8_Volatility" xfId="1989" xr:uid="{00000000-0005-0000-0000-0000520F0000}"/>
    <cellStyle name="20% - Accent2 9" xfId="1990" xr:uid="{00000000-0005-0000-0000-0000530F0000}"/>
    <cellStyle name="20% - Accent2 9 10" xfId="17290" xr:uid="{00000000-0005-0000-0000-0000540F0000}"/>
    <cellStyle name="20% - Accent2 9 2" xfId="1991" xr:uid="{00000000-0005-0000-0000-0000550F0000}"/>
    <cellStyle name="20% - Accent2 9 2 2" xfId="1992" xr:uid="{00000000-0005-0000-0000-0000560F0000}"/>
    <cellStyle name="20% - Accent2 9 2 2 2" xfId="1993" xr:uid="{00000000-0005-0000-0000-0000570F0000}"/>
    <cellStyle name="20% - Accent2 9 2 2 2 2" xfId="13342" xr:uid="{00000000-0005-0000-0000-0000580F0000}"/>
    <cellStyle name="20% - Accent2 9 2 2 2 3" xfId="17293" xr:uid="{00000000-0005-0000-0000-0000590F0000}"/>
    <cellStyle name="20% - Accent2 9 2 2 3" xfId="1994" xr:uid="{00000000-0005-0000-0000-00005A0F0000}"/>
    <cellStyle name="20% - Accent2 9 2 2 3 2" xfId="13343" xr:uid="{00000000-0005-0000-0000-00005B0F0000}"/>
    <cellStyle name="20% - Accent2 9 2 2 3 3" xfId="17294" xr:uid="{00000000-0005-0000-0000-00005C0F0000}"/>
    <cellStyle name="20% - Accent2 9 2 2 4" xfId="13341" xr:uid="{00000000-0005-0000-0000-00005D0F0000}"/>
    <cellStyle name="20% - Accent2 9 2 2 5" xfId="17292" xr:uid="{00000000-0005-0000-0000-00005E0F0000}"/>
    <cellStyle name="20% - Accent2 9 2 3" xfId="1995" xr:uid="{00000000-0005-0000-0000-00005F0F0000}"/>
    <cellStyle name="20% - Accent2 9 2 3 2" xfId="1996" xr:uid="{00000000-0005-0000-0000-0000600F0000}"/>
    <cellStyle name="20% - Accent2 9 2 3 2 2" xfId="13345" xr:uid="{00000000-0005-0000-0000-0000610F0000}"/>
    <cellStyle name="20% - Accent2 9 2 3 2 3" xfId="17296" xr:uid="{00000000-0005-0000-0000-0000620F0000}"/>
    <cellStyle name="20% - Accent2 9 2 3 3" xfId="1997" xr:uid="{00000000-0005-0000-0000-0000630F0000}"/>
    <cellStyle name="20% - Accent2 9 2 3 3 2" xfId="13346" xr:uid="{00000000-0005-0000-0000-0000640F0000}"/>
    <cellStyle name="20% - Accent2 9 2 3 3 3" xfId="17297" xr:uid="{00000000-0005-0000-0000-0000650F0000}"/>
    <cellStyle name="20% - Accent2 9 2 3 4" xfId="13344" xr:uid="{00000000-0005-0000-0000-0000660F0000}"/>
    <cellStyle name="20% - Accent2 9 2 3 5" xfId="17295" xr:uid="{00000000-0005-0000-0000-0000670F0000}"/>
    <cellStyle name="20% - Accent2 9 2 4" xfId="1998" xr:uid="{00000000-0005-0000-0000-0000680F0000}"/>
    <cellStyle name="20% - Accent2 9 2 4 2" xfId="1999" xr:uid="{00000000-0005-0000-0000-0000690F0000}"/>
    <cellStyle name="20% - Accent2 9 2 4 2 2" xfId="13348" xr:uid="{00000000-0005-0000-0000-00006A0F0000}"/>
    <cellStyle name="20% - Accent2 9 2 4 2 3" xfId="17299" xr:uid="{00000000-0005-0000-0000-00006B0F0000}"/>
    <cellStyle name="20% - Accent2 9 2 4 3" xfId="2000" xr:uid="{00000000-0005-0000-0000-00006C0F0000}"/>
    <cellStyle name="20% - Accent2 9 2 4 3 2" xfId="13349" xr:uid="{00000000-0005-0000-0000-00006D0F0000}"/>
    <cellStyle name="20% - Accent2 9 2 4 3 3" xfId="17300" xr:uid="{00000000-0005-0000-0000-00006E0F0000}"/>
    <cellStyle name="20% - Accent2 9 2 4 4" xfId="13347" xr:uid="{00000000-0005-0000-0000-00006F0F0000}"/>
    <cellStyle name="20% - Accent2 9 2 4 5" xfId="17298" xr:uid="{00000000-0005-0000-0000-0000700F0000}"/>
    <cellStyle name="20% - Accent2 9 2 5" xfId="2001" xr:uid="{00000000-0005-0000-0000-0000710F0000}"/>
    <cellStyle name="20% - Accent2 9 2 5 2" xfId="13350" xr:uid="{00000000-0005-0000-0000-0000720F0000}"/>
    <cellStyle name="20% - Accent2 9 2 5 3" xfId="17301" xr:uid="{00000000-0005-0000-0000-0000730F0000}"/>
    <cellStyle name="20% - Accent2 9 2 6" xfId="2002" xr:uid="{00000000-0005-0000-0000-0000740F0000}"/>
    <cellStyle name="20% - Accent2 9 2 6 2" xfId="13351" xr:uid="{00000000-0005-0000-0000-0000750F0000}"/>
    <cellStyle name="20% - Accent2 9 2 6 3" xfId="17302" xr:uid="{00000000-0005-0000-0000-0000760F0000}"/>
    <cellStyle name="20% - Accent2 9 2 7" xfId="13340" xr:uid="{00000000-0005-0000-0000-0000770F0000}"/>
    <cellStyle name="20% - Accent2 9 2 8" xfId="17291" xr:uid="{00000000-0005-0000-0000-0000780F0000}"/>
    <cellStyle name="20% - Accent2 9 2_Volatility" xfId="2003" xr:uid="{00000000-0005-0000-0000-0000790F0000}"/>
    <cellStyle name="20% - Accent2 9 3" xfId="2004" xr:uid="{00000000-0005-0000-0000-00007A0F0000}"/>
    <cellStyle name="20% - Accent2 9 3 2" xfId="2005" xr:uid="{00000000-0005-0000-0000-00007B0F0000}"/>
    <cellStyle name="20% - Accent2 9 3 2 2" xfId="2006" xr:uid="{00000000-0005-0000-0000-00007C0F0000}"/>
    <cellStyle name="20% - Accent2 9 3 2 2 2" xfId="13354" xr:uid="{00000000-0005-0000-0000-00007D0F0000}"/>
    <cellStyle name="20% - Accent2 9 3 2 2 3" xfId="17305" xr:uid="{00000000-0005-0000-0000-00007E0F0000}"/>
    <cellStyle name="20% - Accent2 9 3 2 3" xfId="2007" xr:uid="{00000000-0005-0000-0000-00007F0F0000}"/>
    <cellStyle name="20% - Accent2 9 3 2 3 2" xfId="13355" xr:uid="{00000000-0005-0000-0000-0000800F0000}"/>
    <cellStyle name="20% - Accent2 9 3 2 3 3" xfId="17306" xr:uid="{00000000-0005-0000-0000-0000810F0000}"/>
    <cellStyle name="20% - Accent2 9 3 2 4" xfId="13353" xr:uid="{00000000-0005-0000-0000-0000820F0000}"/>
    <cellStyle name="20% - Accent2 9 3 2 5" xfId="17304" xr:uid="{00000000-0005-0000-0000-0000830F0000}"/>
    <cellStyle name="20% - Accent2 9 3 3" xfId="2008" xr:uid="{00000000-0005-0000-0000-0000840F0000}"/>
    <cellStyle name="20% - Accent2 9 3 3 2" xfId="2009" xr:uid="{00000000-0005-0000-0000-0000850F0000}"/>
    <cellStyle name="20% - Accent2 9 3 3 2 2" xfId="13357" xr:uid="{00000000-0005-0000-0000-0000860F0000}"/>
    <cellStyle name="20% - Accent2 9 3 3 2 3" xfId="17308" xr:uid="{00000000-0005-0000-0000-0000870F0000}"/>
    <cellStyle name="20% - Accent2 9 3 3 3" xfId="2010" xr:uid="{00000000-0005-0000-0000-0000880F0000}"/>
    <cellStyle name="20% - Accent2 9 3 3 3 2" xfId="13358" xr:uid="{00000000-0005-0000-0000-0000890F0000}"/>
    <cellStyle name="20% - Accent2 9 3 3 3 3" xfId="17309" xr:uid="{00000000-0005-0000-0000-00008A0F0000}"/>
    <cellStyle name="20% - Accent2 9 3 3 4" xfId="13356" xr:uid="{00000000-0005-0000-0000-00008B0F0000}"/>
    <cellStyle name="20% - Accent2 9 3 3 5" xfId="17307" xr:uid="{00000000-0005-0000-0000-00008C0F0000}"/>
    <cellStyle name="20% - Accent2 9 3 4" xfId="2011" xr:uid="{00000000-0005-0000-0000-00008D0F0000}"/>
    <cellStyle name="20% - Accent2 9 3 4 2" xfId="13359" xr:uid="{00000000-0005-0000-0000-00008E0F0000}"/>
    <cellStyle name="20% - Accent2 9 3 4 3" xfId="17310" xr:uid="{00000000-0005-0000-0000-00008F0F0000}"/>
    <cellStyle name="20% - Accent2 9 3 5" xfId="2012" xr:uid="{00000000-0005-0000-0000-0000900F0000}"/>
    <cellStyle name="20% - Accent2 9 3 5 2" xfId="13360" xr:uid="{00000000-0005-0000-0000-0000910F0000}"/>
    <cellStyle name="20% - Accent2 9 3 5 3" xfId="17311" xr:uid="{00000000-0005-0000-0000-0000920F0000}"/>
    <cellStyle name="20% - Accent2 9 3 6" xfId="13352" xr:uid="{00000000-0005-0000-0000-0000930F0000}"/>
    <cellStyle name="20% - Accent2 9 3 7" xfId="17303" xr:uid="{00000000-0005-0000-0000-0000940F0000}"/>
    <cellStyle name="20% - Accent2 9 3_Volatility" xfId="2013" xr:uid="{00000000-0005-0000-0000-0000950F0000}"/>
    <cellStyle name="20% - Accent2 9 4" xfId="2014" xr:uid="{00000000-0005-0000-0000-0000960F0000}"/>
    <cellStyle name="20% - Accent2 9 4 2" xfId="2015" xr:uid="{00000000-0005-0000-0000-0000970F0000}"/>
    <cellStyle name="20% - Accent2 9 4 2 2" xfId="13362" xr:uid="{00000000-0005-0000-0000-0000980F0000}"/>
    <cellStyle name="20% - Accent2 9 4 2 3" xfId="17313" xr:uid="{00000000-0005-0000-0000-0000990F0000}"/>
    <cellStyle name="20% - Accent2 9 4 3" xfId="2016" xr:uid="{00000000-0005-0000-0000-00009A0F0000}"/>
    <cellStyle name="20% - Accent2 9 4 3 2" xfId="13363" xr:uid="{00000000-0005-0000-0000-00009B0F0000}"/>
    <cellStyle name="20% - Accent2 9 4 3 3" xfId="17314" xr:uid="{00000000-0005-0000-0000-00009C0F0000}"/>
    <cellStyle name="20% - Accent2 9 4 4" xfId="13361" xr:uid="{00000000-0005-0000-0000-00009D0F0000}"/>
    <cellStyle name="20% - Accent2 9 4 5" xfId="17312" xr:uid="{00000000-0005-0000-0000-00009E0F0000}"/>
    <cellStyle name="20% - Accent2 9 5" xfId="2017" xr:uid="{00000000-0005-0000-0000-00009F0F0000}"/>
    <cellStyle name="20% - Accent2 9 5 2" xfId="2018" xr:uid="{00000000-0005-0000-0000-0000A00F0000}"/>
    <cellStyle name="20% - Accent2 9 5 2 2" xfId="13365" xr:uid="{00000000-0005-0000-0000-0000A10F0000}"/>
    <cellStyle name="20% - Accent2 9 5 2 3" xfId="17316" xr:uid="{00000000-0005-0000-0000-0000A20F0000}"/>
    <cellStyle name="20% - Accent2 9 5 3" xfId="2019" xr:uid="{00000000-0005-0000-0000-0000A30F0000}"/>
    <cellStyle name="20% - Accent2 9 5 3 2" xfId="13366" xr:uid="{00000000-0005-0000-0000-0000A40F0000}"/>
    <cellStyle name="20% - Accent2 9 5 3 3" xfId="17317" xr:uid="{00000000-0005-0000-0000-0000A50F0000}"/>
    <cellStyle name="20% - Accent2 9 5 4" xfId="13364" xr:uid="{00000000-0005-0000-0000-0000A60F0000}"/>
    <cellStyle name="20% - Accent2 9 5 5" xfId="17315" xr:uid="{00000000-0005-0000-0000-0000A70F0000}"/>
    <cellStyle name="20% - Accent2 9 6" xfId="2020" xr:uid="{00000000-0005-0000-0000-0000A80F0000}"/>
    <cellStyle name="20% - Accent2 9 6 2" xfId="2021" xr:uid="{00000000-0005-0000-0000-0000A90F0000}"/>
    <cellStyle name="20% - Accent2 9 6 2 2" xfId="13368" xr:uid="{00000000-0005-0000-0000-0000AA0F0000}"/>
    <cellStyle name="20% - Accent2 9 6 2 3" xfId="17319" xr:uid="{00000000-0005-0000-0000-0000AB0F0000}"/>
    <cellStyle name="20% - Accent2 9 6 3" xfId="2022" xr:uid="{00000000-0005-0000-0000-0000AC0F0000}"/>
    <cellStyle name="20% - Accent2 9 6 3 2" xfId="13369" xr:uid="{00000000-0005-0000-0000-0000AD0F0000}"/>
    <cellStyle name="20% - Accent2 9 6 3 3" xfId="17320" xr:uid="{00000000-0005-0000-0000-0000AE0F0000}"/>
    <cellStyle name="20% - Accent2 9 6 4" xfId="13367" xr:uid="{00000000-0005-0000-0000-0000AF0F0000}"/>
    <cellStyle name="20% - Accent2 9 6 5" xfId="17318" xr:uid="{00000000-0005-0000-0000-0000B00F0000}"/>
    <cellStyle name="20% - Accent2 9 7" xfId="2023" xr:uid="{00000000-0005-0000-0000-0000B10F0000}"/>
    <cellStyle name="20% - Accent2 9 7 2" xfId="13370" xr:uid="{00000000-0005-0000-0000-0000B20F0000}"/>
    <cellStyle name="20% - Accent2 9 7 3" xfId="17321" xr:uid="{00000000-0005-0000-0000-0000B30F0000}"/>
    <cellStyle name="20% - Accent2 9 8" xfId="2024" xr:uid="{00000000-0005-0000-0000-0000B40F0000}"/>
    <cellStyle name="20% - Accent2 9 8 2" xfId="13371" xr:uid="{00000000-0005-0000-0000-0000B50F0000}"/>
    <cellStyle name="20% - Accent2 9 8 3" xfId="17322" xr:uid="{00000000-0005-0000-0000-0000B60F0000}"/>
    <cellStyle name="20% - Accent2 9 9" xfId="13339" xr:uid="{00000000-0005-0000-0000-0000B70F0000}"/>
    <cellStyle name="20% - Accent2 9_Volatility" xfId="2025" xr:uid="{00000000-0005-0000-0000-0000B80F0000}"/>
    <cellStyle name="20% - Accent3 10" xfId="2026" xr:uid="{00000000-0005-0000-0000-0000B90F0000}"/>
    <cellStyle name="20% - Accent3 10 10" xfId="17323" xr:uid="{00000000-0005-0000-0000-0000BA0F0000}"/>
    <cellStyle name="20% - Accent3 10 2" xfId="2027" xr:uid="{00000000-0005-0000-0000-0000BB0F0000}"/>
    <cellStyle name="20% - Accent3 10 2 2" xfId="2028" xr:uid="{00000000-0005-0000-0000-0000BC0F0000}"/>
    <cellStyle name="20% - Accent3 10 2 2 2" xfId="2029" xr:uid="{00000000-0005-0000-0000-0000BD0F0000}"/>
    <cellStyle name="20% - Accent3 10 2 2 2 2" xfId="13375" xr:uid="{00000000-0005-0000-0000-0000BE0F0000}"/>
    <cellStyle name="20% - Accent3 10 2 2 2 3" xfId="17326" xr:uid="{00000000-0005-0000-0000-0000BF0F0000}"/>
    <cellStyle name="20% - Accent3 10 2 2 3" xfId="2030" xr:uid="{00000000-0005-0000-0000-0000C00F0000}"/>
    <cellStyle name="20% - Accent3 10 2 2 3 2" xfId="13376" xr:uid="{00000000-0005-0000-0000-0000C10F0000}"/>
    <cellStyle name="20% - Accent3 10 2 2 3 3" xfId="17327" xr:uid="{00000000-0005-0000-0000-0000C20F0000}"/>
    <cellStyle name="20% - Accent3 10 2 2 4" xfId="13374" xr:uid="{00000000-0005-0000-0000-0000C30F0000}"/>
    <cellStyle name="20% - Accent3 10 2 2 5" xfId="17325" xr:uid="{00000000-0005-0000-0000-0000C40F0000}"/>
    <cellStyle name="20% - Accent3 10 2 3" xfId="2031" xr:uid="{00000000-0005-0000-0000-0000C50F0000}"/>
    <cellStyle name="20% - Accent3 10 2 3 2" xfId="2032" xr:uid="{00000000-0005-0000-0000-0000C60F0000}"/>
    <cellStyle name="20% - Accent3 10 2 3 2 2" xfId="13378" xr:uid="{00000000-0005-0000-0000-0000C70F0000}"/>
    <cellStyle name="20% - Accent3 10 2 3 2 3" xfId="17329" xr:uid="{00000000-0005-0000-0000-0000C80F0000}"/>
    <cellStyle name="20% - Accent3 10 2 3 3" xfId="2033" xr:uid="{00000000-0005-0000-0000-0000C90F0000}"/>
    <cellStyle name="20% - Accent3 10 2 3 3 2" xfId="13379" xr:uid="{00000000-0005-0000-0000-0000CA0F0000}"/>
    <cellStyle name="20% - Accent3 10 2 3 3 3" xfId="17330" xr:uid="{00000000-0005-0000-0000-0000CB0F0000}"/>
    <cellStyle name="20% - Accent3 10 2 3 4" xfId="13377" xr:uid="{00000000-0005-0000-0000-0000CC0F0000}"/>
    <cellStyle name="20% - Accent3 10 2 3 5" xfId="17328" xr:uid="{00000000-0005-0000-0000-0000CD0F0000}"/>
    <cellStyle name="20% - Accent3 10 2 4" xfId="2034" xr:uid="{00000000-0005-0000-0000-0000CE0F0000}"/>
    <cellStyle name="20% - Accent3 10 2 4 2" xfId="2035" xr:uid="{00000000-0005-0000-0000-0000CF0F0000}"/>
    <cellStyle name="20% - Accent3 10 2 4 2 2" xfId="13381" xr:uid="{00000000-0005-0000-0000-0000D00F0000}"/>
    <cellStyle name="20% - Accent3 10 2 4 2 3" xfId="17332" xr:uid="{00000000-0005-0000-0000-0000D10F0000}"/>
    <cellStyle name="20% - Accent3 10 2 4 3" xfId="2036" xr:uid="{00000000-0005-0000-0000-0000D20F0000}"/>
    <cellStyle name="20% - Accent3 10 2 4 3 2" xfId="13382" xr:uid="{00000000-0005-0000-0000-0000D30F0000}"/>
    <cellStyle name="20% - Accent3 10 2 4 3 3" xfId="17333" xr:uid="{00000000-0005-0000-0000-0000D40F0000}"/>
    <cellStyle name="20% - Accent3 10 2 4 4" xfId="13380" xr:uid="{00000000-0005-0000-0000-0000D50F0000}"/>
    <cellStyle name="20% - Accent3 10 2 4 5" xfId="17331" xr:uid="{00000000-0005-0000-0000-0000D60F0000}"/>
    <cellStyle name="20% - Accent3 10 2 5" xfId="2037" xr:uid="{00000000-0005-0000-0000-0000D70F0000}"/>
    <cellStyle name="20% - Accent3 10 2 5 2" xfId="13383" xr:uid="{00000000-0005-0000-0000-0000D80F0000}"/>
    <cellStyle name="20% - Accent3 10 2 5 3" xfId="17334" xr:uid="{00000000-0005-0000-0000-0000D90F0000}"/>
    <cellStyle name="20% - Accent3 10 2 6" xfId="2038" xr:uid="{00000000-0005-0000-0000-0000DA0F0000}"/>
    <cellStyle name="20% - Accent3 10 2 6 2" xfId="13384" xr:uid="{00000000-0005-0000-0000-0000DB0F0000}"/>
    <cellStyle name="20% - Accent3 10 2 6 3" xfId="17335" xr:uid="{00000000-0005-0000-0000-0000DC0F0000}"/>
    <cellStyle name="20% - Accent3 10 2 7" xfId="13373" xr:uid="{00000000-0005-0000-0000-0000DD0F0000}"/>
    <cellStyle name="20% - Accent3 10 2 8" xfId="17324" xr:uid="{00000000-0005-0000-0000-0000DE0F0000}"/>
    <cellStyle name="20% - Accent3 10 2_Volatility" xfId="2039" xr:uid="{00000000-0005-0000-0000-0000DF0F0000}"/>
    <cellStyle name="20% - Accent3 10 3" xfId="2040" xr:uid="{00000000-0005-0000-0000-0000E00F0000}"/>
    <cellStyle name="20% - Accent3 10 3 2" xfId="2041" xr:uid="{00000000-0005-0000-0000-0000E10F0000}"/>
    <cellStyle name="20% - Accent3 10 3 2 2" xfId="2042" xr:uid="{00000000-0005-0000-0000-0000E20F0000}"/>
    <cellStyle name="20% - Accent3 10 3 2 2 2" xfId="13387" xr:uid="{00000000-0005-0000-0000-0000E30F0000}"/>
    <cellStyle name="20% - Accent3 10 3 2 2 3" xfId="17338" xr:uid="{00000000-0005-0000-0000-0000E40F0000}"/>
    <cellStyle name="20% - Accent3 10 3 2 3" xfId="2043" xr:uid="{00000000-0005-0000-0000-0000E50F0000}"/>
    <cellStyle name="20% - Accent3 10 3 2 3 2" xfId="13388" xr:uid="{00000000-0005-0000-0000-0000E60F0000}"/>
    <cellStyle name="20% - Accent3 10 3 2 3 3" xfId="17339" xr:uid="{00000000-0005-0000-0000-0000E70F0000}"/>
    <cellStyle name="20% - Accent3 10 3 2 4" xfId="13386" xr:uid="{00000000-0005-0000-0000-0000E80F0000}"/>
    <cellStyle name="20% - Accent3 10 3 2 5" xfId="17337" xr:uid="{00000000-0005-0000-0000-0000E90F0000}"/>
    <cellStyle name="20% - Accent3 10 3 3" xfId="2044" xr:uid="{00000000-0005-0000-0000-0000EA0F0000}"/>
    <cellStyle name="20% - Accent3 10 3 3 2" xfId="2045" xr:uid="{00000000-0005-0000-0000-0000EB0F0000}"/>
    <cellStyle name="20% - Accent3 10 3 3 2 2" xfId="13390" xr:uid="{00000000-0005-0000-0000-0000EC0F0000}"/>
    <cellStyle name="20% - Accent3 10 3 3 2 3" xfId="17341" xr:uid="{00000000-0005-0000-0000-0000ED0F0000}"/>
    <cellStyle name="20% - Accent3 10 3 3 3" xfId="2046" xr:uid="{00000000-0005-0000-0000-0000EE0F0000}"/>
    <cellStyle name="20% - Accent3 10 3 3 3 2" xfId="13391" xr:uid="{00000000-0005-0000-0000-0000EF0F0000}"/>
    <cellStyle name="20% - Accent3 10 3 3 3 3" xfId="17342" xr:uid="{00000000-0005-0000-0000-0000F00F0000}"/>
    <cellStyle name="20% - Accent3 10 3 3 4" xfId="13389" xr:uid="{00000000-0005-0000-0000-0000F10F0000}"/>
    <cellStyle name="20% - Accent3 10 3 3 5" xfId="17340" xr:uid="{00000000-0005-0000-0000-0000F20F0000}"/>
    <cellStyle name="20% - Accent3 10 3 4" xfId="2047" xr:uid="{00000000-0005-0000-0000-0000F30F0000}"/>
    <cellStyle name="20% - Accent3 10 3 4 2" xfId="13392" xr:uid="{00000000-0005-0000-0000-0000F40F0000}"/>
    <cellStyle name="20% - Accent3 10 3 4 3" xfId="17343" xr:uid="{00000000-0005-0000-0000-0000F50F0000}"/>
    <cellStyle name="20% - Accent3 10 3 5" xfId="2048" xr:uid="{00000000-0005-0000-0000-0000F60F0000}"/>
    <cellStyle name="20% - Accent3 10 3 5 2" xfId="13393" xr:uid="{00000000-0005-0000-0000-0000F70F0000}"/>
    <cellStyle name="20% - Accent3 10 3 5 3" xfId="17344" xr:uid="{00000000-0005-0000-0000-0000F80F0000}"/>
    <cellStyle name="20% - Accent3 10 3 6" xfId="13385" xr:uid="{00000000-0005-0000-0000-0000F90F0000}"/>
    <cellStyle name="20% - Accent3 10 3 7" xfId="17336" xr:uid="{00000000-0005-0000-0000-0000FA0F0000}"/>
    <cellStyle name="20% - Accent3 10 3_Volatility" xfId="2049" xr:uid="{00000000-0005-0000-0000-0000FB0F0000}"/>
    <cellStyle name="20% - Accent3 10 4" xfId="2050" xr:uid="{00000000-0005-0000-0000-0000FC0F0000}"/>
    <cellStyle name="20% - Accent3 10 4 2" xfId="2051" xr:uid="{00000000-0005-0000-0000-0000FD0F0000}"/>
    <cellStyle name="20% - Accent3 10 4 2 2" xfId="13395" xr:uid="{00000000-0005-0000-0000-0000FE0F0000}"/>
    <cellStyle name="20% - Accent3 10 4 2 3" xfId="17346" xr:uid="{00000000-0005-0000-0000-0000FF0F0000}"/>
    <cellStyle name="20% - Accent3 10 4 3" xfId="2052" xr:uid="{00000000-0005-0000-0000-000000100000}"/>
    <cellStyle name="20% - Accent3 10 4 3 2" xfId="13396" xr:uid="{00000000-0005-0000-0000-000001100000}"/>
    <cellStyle name="20% - Accent3 10 4 3 3" xfId="17347" xr:uid="{00000000-0005-0000-0000-000002100000}"/>
    <cellStyle name="20% - Accent3 10 4 4" xfId="13394" xr:uid="{00000000-0005-0000-0000-000003100000}"/>
    <cellStyle name="20% - Accent3 10 4 5" xfId="17345" xr:uid="{00000000-0005-0000-0000-000004100000}"/>
    <cellStyle name="20% - Accent3 10 5" xfId="2053" xr:uid="{00000000-0005-0000-0000-000005100000}"/>
    <cellStyle name="20% - Accent3 10 5 2" xfId="2054" xr:uid="{00000000-0005-0000-0000-000006100000}"/>
    <cellStyle name="20% - Accent3 10 5 2 2" xfId="13398" xr:uid="{00000000-0005-0000-0000-000007100000}"/>
    <cellStyle name="20% - Accent3 10 5 2 3" xfId="17349" xr:uid="{00000000-0005-0000-0000-000008100000}"/>
    <cellStyle name="20% - Accent3 10 5 3" xfId="2055" xr:uid="{00000000-0005-0000-0000-000009100000}"/>
    <cellStyle name="20% - Accent3 10 5 3 2" xfId="13399" xr:uid="{00000000-0005-0000-0000-00000A100000}"/>
    <cellStyle name="20% - Accent3 10 5 3 3" xfId="17350" xr:uid="{00000000-0005-0000-0000-00000B100000}"/>
    <cellStyle name="20% - Accent3 10 5 4" xfId="13397" xr:uid="{00000000-0005-0000-0000-00000C100000}"/>
    <cellStyle name="20% - Accent3 10 5 5" xfId="17348" xr:uid="{00000000-0005-0000-0000-00000D100000}"/>
    <cellStyle name="20% - Accent3 10 6" xfId="2056" xr:uid="{00000000-0005-0000-0000-00000E100000}"/>
    <cellStyle name="20% - Accent3 10 6 2" xfId="2057" xr:uid="{00000000-0005-0000-0000-00000F100000}"/>
    <cellStyle name="20% - Accent3 10 6 2 2" xfId="13401" xr:uid="{00000000-0005-0000-0000-000010100000}"/>
    <cellStyle name="20% - Accent3 10 6 2 3" xfId="17352" xr:uid="{00000000-0005-0000-0000-000011100000}"/>
    <cellStyle name="20% - Accent3 10 6 3" xfId="2058" xr:uid="{00000000-0005-0000-0000-000012100000}"/>
    <cellStyle name="20% - Accent3 10 6 3 2" xfId="13402" xr:uid="{00000000-0005-0000-0000-000013100000}"/>
    <cellStyle name="20% - Accent3 10 6 3 3" xfId="17353" xr:uid="{00000000-0005-0000-0000-000014100000}"/>
    <cellStyle name="20% - Accent3 10 6 4" xfId="13400" xr:uid="{00000000-0005-0000-0000-000015100000}"/>
    <cellStyle name="20% - Accent3 10 6 5" xfId="17351" xr:uid="{00000000-0005-0000-0000-000016100000}"/>
    <cellStyle name="20% - Accent3 10 7" xfId="2059" xr:uid="{00000000-0005-0000-0000-000017100000}"/>
    <cellStyle name="20% - Accent3 10 7 2" xfId="13403" xr:uid="{00000000-0005-0000-0000-000018100000}"/>
    <cellStyle name="20% - Accent3 10 7 3" xfId="17354" xr:uid="{00000000-0005-0000-0000-000019100000}"/>
    <cellStyle name="20% - Accent3 10 8" xfId="2060" xr:uid="{00000000-0005-0000-0000-00001A100000}"/>
    <cellStyle name="20% - Accent3 10 8 2" xfId="13404" xr:uid="{00000000-0005-0000-0000-00001B100000}"/>
    <cellStyle name="20% - Accent3 10 8 3" xfId="17355" xr:uid="{00000000-0005-0000-0000-00001C100000}"/>
    <cellStyle name="20% - Accent3 10 9" xfId="13372" xr:uid="{00000000-0005-0000-0000-00001D100000}"/>
    <cellStyle name="20% - Accent3 10_Volatility" xfId="2061" xr:uid="{00000000-0005-0000-0000-00001E100000}"/>
    <cellStyle name="20% - Accent3 11" xfId="2062" xr:uid="{00000000-0005-0000-0000-00001F100000}"/>
    <cellStyle name="20% - Accent3 11 10" xfId="17356" xr:uid="{00000000-0005-0000-0000-000020100000}"/>
    <cellStyle name="20% - Accent3 11 2" xfId="2063" xr:uid="{00000000-0005-0000-0000-000021100000}"/>
    <cellStyle name="20% - Accent3 11 2 2" xfId="2064" xr:uid="{00000000-0005-0000-0000-000022100000}"/>
    <cellStyle name="20% - Accent3 11 2 2 2" xfId="2065" xr:uid="{00000000-0005-0000-0000-000023100000}"/>
    <cellStyle name="20% - Accent3 11 2 2 2 2" xfId="13408" xr:uid="{00000000-0005-0000-0000-000024100000}"/>
    <cellStyle name="20% - Accent3 11 2 2 2 3" xfId="17359" xr:uid="{00000000-0005-0000-0000-000025100000}"/>
    <cellStyle name="20% - Accent3 11 2 2 3" xfId="2066" xr:uid="{00000000-0005-0000-0000-000026100000}"/>
    <cellStyle name="20% - Accent3 11 2 2 3 2" xfId="13409" xr:uid="{00000000-0005-0000-0000-000027100000}"/>
    <cellStyle name="20% - Accent3 11 2 2 3 3" xfId="17360" xr:uid="{00000000-0005-0000-0000-000028100000}"/>
    <cellStyle name="20% - Accent3 11 2 2 4" xfId="13407" xr:uid="{00000000-0005-0000-0000-000029100000}"/>
    <cellStyle name="20% - Accent3 11 2 2 5" xfId="17358" xr:uid="{00000000-0005-0000-0000-00002A100000}"/>
    <cellStyle name="20% - Accent3 11 2 3" xfId="2067" xr:uid="{00000000-0005-0000-0000-00002B100000}"/>
    <cellStyle name="20% - Accent3 11 2 3 2" xfId="2068" xr:uid="{00000000-0005-0000-0000-00002C100000}"/>
    <cellStyle name="20% - Accent3 11 2 3 2 2" xfId="13411" xr:uid="{00000000-0005-0000-0000-00002D100000}"/>
    <cellStyle name="20% - Accent3 11 2 3 2 3" xfId="17362" xr:uid="{00000000-0005-0000-0000-00002E100000}"/>
    <cellStyle name="20% - Accent3 11 2 3 3" xfId="2069" xr:uid="{00000000-0005-0000-0000-00002F100000}"/>
    <cellStyle name="20% - Accent3 11 2 3 3 2" xfId="13412" xr:uid="{00000000-0005-0000-0000-000030100000}"/>
    <cellStyle name="20% - Accent3 11 2 3 3 3" xfId="17363" xr:uid="{00000000-0005-0000-0000-000031100000}"/>
    <cellStyle name="20% - Accent3 11 2 3 4" xfId="13410" xr:uid="{00000000-0005-0000-0000-000032100000}"/>
    <cellStyle name="20% - Accent3 11 2 3 5" xfId="17361" xr:uid="{00000000-0005-0000-0000-000033100000}"/>
    <cellStyle name="20% - Accent3 11 2 4" xfId="2070" xr:uid="{00000000-0005-0000-0000-000034100000}"/>
    <cellStyle name="20% - Accent3 11 2 4 2" xfId="2071" xr:uid="{00000000-0005-0000-0000-000035100000}"/>
    <cellStyle name="20% - Accent3 11 2 4 2 2" xfId="13414" xr:uid="{00000000-0005-0000-0000-000036100000}"/>
    <cellStyle name="20% - Accent3 11 2 4 2 3" xfId="17365" xr:uid="{00000000-0005-0000-0000-000037100000}"/>
    <cellStyle name="20% - Accent3 11 2 4 3" xfId="2072" xr:uid="{00000000-0005-0000-0000-000038100000}"/>
    <cellStyle name="20% - Accent3 11 2 4 3 2" xfId="13415" xr:uid="{00000000-0005-0000-0000-000039100000}"/>
    <cellStyle name="20% - Accent3 11 2 4 3 3" xfId="17366" xr:uid="{00000000-0005-0000-0000-00003A100000}"/>
    <cellStyle name="20% - Accent3 11 2 4 4" xfId="13413" xr:uid="{00000000-0005-0000-0000-00003B100000}"/>
    <cellStyle name="20% - Accent3 11 2 4 5" xfId="17364" xr:uid="{00000000-0005-0000-0000-00003C100000}"/>
    <cellStyle name="20% - Accent3 11 2 5" xfId="2073" xr:uid="{00000000-0005-0000-0000-00003D100000}"/>
    <cellStyle name="20% - Accent3 11 2 5 2" xfId="13416" xr:uid="{00000000-0005-0000-0000-00003E100000}"/>
    <cellStyle name="20% - Accent3 11 2 5 3" xfId="17367" xr:uid="{00000000-0005-0000-0000-00003F100000}"/>
    <cellStyle name="20% - Accent3 11 2 6" xfId="2074" xr:uid="{00000000-0005-0000-0000-000040100000}"/>
    <cellStyle name="20% - Accent3 11 2 6 2" xfId="13417" xr:uid="{00000000-0005-0000-0000-000041100000}"/>
    <cellStyle name="20% - Accent3 11 2 6 3" xfId="17368" xr:uid="{00000000-0005-0000-0000-000042100000}"/>
    <cellStyle name="20% - Accent3 11 2 7" xfId="13406" xr:uid="{00000000-0005-0000-0000-000043100000}"/>
    <cellStyle name="20% - Accent3 11 2 8" xfId="17357" xr:uid="{00000000-0005-0000-0000-000044100000}"/>
    <cellStyle name="20% - Accent3 11 2_Volatility" xfId="2075" xr:uid="{00000000-0005-0000-0000-000045100000}"/>
    <cellStyle name="20% - Accent3 11 3" xfId="2076" xr:uid="{00000000-0005-0000-0000-000046100000}"/>
    <cellStyle name="20% - Accent3 11 3 2" xfId="2077" xr:uid="{00000000-0005-0000-0000-000047100000}"/>
    <cellStyle name="20% - Accent3 11 3 2 2" xfId="2078" xr:uid="{00000000-0005-0000-0000-000048100000}"/>
    <cellStyle name="20% - Accent3 11 3 2 2 2" xfId="13420" xr:uid="{00000000-0005-0000-0000-000049100000}"/>
    <cellStyle name="20% - Accent3 11 3 2 2 3" xfId="17371" xr:uid="{00000000-0005-0000-0000-00004A100000}"/>
    <cellStyle name="20% - Accent3 11 3 2 3" xfId="2079" xr:uid="{00000000-0005-0000-0000-00004B100000}"/>
    <cellStyle name="20% - Accent3 11 3 2 3 2" xfId="13421" xr:uid="{00000000-0005-0000-0000-00004C100000}"/>
    <cellStyle name="20% - Accent3 11 3 2 3 3" xfId="17372" xr:uid="{00000000-0005-0000-0000-00004D100000}"/>
    <cellStyle name="20% - Accent3 11 3 2 4" xfId="13419" xr:uid="{00000000-0005-0000-0000-00004E100000}"/>
    <cellStyle name="20% - Accent3 11 3 2 5" xfId="17370" xr:uid="{00000000-0005-0000-0000-00004F100000}"/>
    <cellStyle name="20% - Accent3 11 3 3" xfId="2080" xr:uid="{00000000-0005-0000-0000-000050100000}"/>
    <cellStyle name="20% - Accent3 11 3 3 2" xfId="2081" xr:uid="{00000000-0005-0000-0000-000051100000}"/>
    <cellStyle name="20% - Accent3 11 3 3 2 2" xfId="13423" xr:uid="{00000000-0005-0000-0000-000052100000}"/>
    <cellStyle name="20% - Accent3 11 3 3 2 3" xfId="17374" xr:uid="{00000000-0005-0000-0000-000053100000}"/>
    <cellStyle name="20% - Accent3 11 3 3 3" xfId="2082" xr:uid="{00000000-0005-0000-0000-000054100000}"/>
    <cellStyle name="20% - Accent3 11 3 3 3 2" xfId="13424" xr:uid="{00000000-0005-0000-0000-000055100000}"/>
    <cellStyle name="20% - Accent3 11 3 3 3 3" xfId="17375" xr:uid="{00000000-0005-0000-0000-000056100000}"/>
    <cellStyle name="20% - Accent3 11 3 3 4" xfId="13422" xr:uid="{00000000-0005-0000-0000-000057100000}"/>
    <cellStyle name="20% - Accent3 11 3 3 5" xfId="17373" xr:uid="{00000000-0005-0000-0000-000058100000}"/>
    <cellStyle name="20% - Accent3 11 3 4" xfId="2083" xr:uid="{00000000-0005-0000-0000-000059100000}"/>
    <cellStyle name="20% - Accent3 11 3 4 2" xfId="13425" xr:uid="{00000000-0005-0000-0000-00005A100000}"/>
    <cellStyle name="20% - Accent3 11 3 4 3" xfId="17376" xr:uid="{00000000-0005-0000-0000-00005B100000}"/>
    <cellStyle name="20% - Accent3 11 3 5" xfId="2084" xr:uid="{00000000-0005-0000-0000-00005C100000}"/>
    <cellStyle name="20% - Accent3 11 3 5 2" xfId="13426" xr:uid="{00000000-0005-0000-0000-00005D100000}"/>
    <cellStyle name="20% - Accent3 11 3 5 3" xfId="17377" xr:uid="{00000000-0005-0000-0000-00005E100000}"/>
    <cellStyle name="20% - Accent3 11 3 6" xfId="13418" xr:uid="{00000000-0005-0000-0000-00005F100000}"/>
    <cellStyle name="20% - Accent3 11 3 7" xfId="17369" xr:uid="{00000000-0005-0000-0000-000060100000}"/>
    <cellStyle name="20% - Accent3 11 3_Volatility" xfId="2085" xr:uid="{00000000-0005-0000-0000-000061100000}"/>
    <cellStyle name="20% - Accent3 11 4" xfId="2086" xr:uid="{00000000-0005-0000-0000-000062100000}"/>
    <cellStyle name="20% - Accent3 11 4 2" xfId="2087" xr:uid="{00000000-0005-0000-0000-000063100000}"/>
    <cellStyle name="20% - Accent3 11 4 2 2" xfId="13428" xr:uid="{00000000-0005-0000-0000-000064100000}"/>
    <cellStyle name="20% - Accent3 11 4 2 3" xfId="17379" xr:uid="{00000000-0005-0000-0000-000065100000}"/>
    <cellStyle name="20% - Accent3 11 4 3" xfId="2088" xr:uid="{00000000-0005-0000-0000-000066100000}"/>
    <cellStyle name="20% - Accent3 11 4 3 2" xfId="13429" xr:uid="{00000000-0005-0000-0000-000067100000}"/>
    <cellStyle name="20% - Accent3 11 4 3 3" xfId="17380" xr:uid="{00000000-0005-0000-0000-000068100000}"/>
    <cellStyle name="20% - Accent3 11 4 4" xfId="13427" xr:uid="{00000000-0005-0000-0000-000069100000}"/>
    <cellStyle name="20% - Accent3 11 4 5" xfId="17378" xr:uid="{00000000-0005-0000-0000-00006A100000}"/>
    <cellStyle name="20% - Accent3 11 5" xfId="2089" xr:uid="{00000000-0005-0000-0000-00006B100000}"/>
    <cellStyle name="20% - Accent3 11 5 2" xfId="2090" xr:uid="{00000000-0005-0000-0000-00006C100000}"/>
    <cellStyle name="20% - Accent3 11 5 2 2" xfId="13431" xr:uid="{00000000-0005-0000-0000-00006D100000}"/>
    <cellStyle name="20% - Accent3 11 5 2 3" xfId="17382" xr:uid="{00000000-0005-0000-0000-00006E100000}"/>
    <cellStyle name="20% - Accent3 11 5 3" xfId="2091" xr:uid="{00000000-0005-0000-0000-00006F100000}"/>
    <cellStyle name="20% - Accent3 11 5 3 2" xfId="13432" xr:uid="{00000000-0005-0000-0000-000070100000}"/>
    <cellStyle name="20% - Accent3 11 5 3 3" xfId="17383" xr:uid="{00000000-0005-0000-0000-000071100000}"/>
    <cellStyle name="20% - Accent3 11 5 4" xfId="13430" xr:uid="{00000000-0005-0000-0000-000072100000}"/>
    <cellStyle name="20% - Accent3 11 5 5" xfId="17381" xr:uid="{00000000-0005-0000-0000-000073100000}"/>
    <cellStyle name="20% - Accent3 11 6" xfId="2092" xr:uid="{00000000-0005-0000-0000-000074100000}"/>
    <cellStyle name="20% - Accent3 11 6 2" xfId="2093" xr:uid="{00000000-0005-0000-0000-000075100000}"/>
    <cellStyle name="20% - Accent3 11 6 2 2" xfId="13434" xr:uid="{00000000-0005-0000-0000-000076100000}"/>
    <cellStyle name="20% - Accent3 11 6 2 3" xfId="17385" xr:uid="{00000000-0005-0000-0000-000077100000}"/>
    <cellStyle name="20% - Accent3 11 6 3" xfId="2094" xr:uid="{00000000-0005-0000-0000-000078100000}"/>
    <cellStyle name="20% - Accent3 11 6 3 2" xfId="13435" xr:uid="{00000000-0005-0000-0000-000079100000}"/>
    <cellStyle name="20% - Accent3 11 6 3 3" xfId="17386" xr:uid="{00000000-0005-0000-0000-00007A100000}"/>
    <cellStyle name="20% - Accent3 11 6 4" xfId="13433" xr:uid="{00000000-0005-0000-0000-00007B100000}"/>
    <cellStyle name="20% - Accent3 11 6 5" xfId="17384" xr:uid="{00000000-0005-0000-0000-00007C100000}"/>
    <cellStyle name="20% - Accent3 11 7" xfId="2095" xr:uid="{00000000-0005-0000-0000-00007D100000}"/>
    <cellStyle name="20% - Accent3 11 7 2" xfId="13436" xr:uid="{00000000-0005-0000-0000-00007E100000}"/>
    <cellStyle name="20% - Accent3 11 7 3" xfId="17387" xr:uid="{00000000-0005-0000-0000-00007F100000}"/>
    <cellStyle name="20% - Accent3 11 8" xfId="2096" xr:uid="{00000000-0005-0000-0000-000080100000}"/>
    <cellStyle name="20% - Accent3 11 8 2" xfId="13437" xr:uid="{00000000-0005-0000-0000-000081100000}"/>
    <cellStyle name="20% - Accent3 11 8 3" xfId="17388" xr:uid="{00000000-0005-0000-0000-000082100000}"/>
    <cellStyle name="20% - Accent3 11 9" xfId="13405" xr:uid="{00000000-0005-0000-0000-000083100000}"/>
    <cellStyle name="20% - Accent3 11_Volatility" xfId="2097" xr:uid="{00000000-0005-0000-0000-000084100000}"/>
    <cellStyle name="20% - Accent3 12" xfId="2098" xr:uid="{00000000-0005-0000-0000-000085100000}"/>
    <cellStyle name="20% - Accent3 12 10" xfId="17389" xr:uid="{00000000-0005-0000-0000-000086100000}"/>
    <cellStyle name="20% - Accent3 12 2" xfId="2099" xr:uid="{00000000-0005-0000-0000-000087100000}"/>
    <cellStyle name="20% - Accent3 12 2 2" xfId="2100" xr:uid="{00000000-0005-0000-0000-000088100000}"/>
    <cellStyle name="20% - Accent3 12 2 2 2" xfId="2101" xr:uid="{00000000-0005-0000-0000-000089100000}"/>
    <cellStyle name="20% - Accent3 12 2 2 2 2" xfId="13441" xr:uid="{00000000-0005-0000-0000-00008A100000}"/>
    <cellStyle name="20% - Accent3 12 2 2 2 3" xfId="17392" xr:uid="{00000000-0005-0000-0000-00008B100000}"/>
    <cellStyle name="20% - Accent3 12 2 2 3" xfId="2102" xr:uid="{00000000-0005-0000-0000-00008C100000}"/>
    <cellStyle name="20% - Accent3 12 2 2 3 2" xfId="13442" xr:uid="{00000000-0005-0000-0000-00008D100000}"/>
    <cellStyle name="20% - Accent3 12 2 2 3 3" xfId="17393" xr:uid="{00000000-0005-0000-0000-00008E100000}"/>
    <cellStyle name="20% - Accent3 12 2 2 4" xfId="13440" xr:uid="{00000000-0005-0000-0000-00008F100000}"/>
    <cellStyle name="20% - Accent3 12 2 2 5" xfId="17391" xr:uid="{00000000-0005-0000-0000-000090100000}"/>
    <cellStyle name="20% - Accent3 12 2 3" xfId="2103" xr:uid="{00000000-0005-0000-0000-000091100000}"/>
    <cellStyle name="20% - Accent3 12 2 3 2" xfId="2104" xr:uid="{00000000-0005-0000-0000-000092100000}"/>
    <cellStyle name="20% - Accent3 12 2 3 2 2" xfId="13444" xr:uid="{00000000-0005-0000-0000-000093100000}"/>
    <cellStyle name="20% - Accent3 12 2 3 2 3" xfId="17395" xr:uid="{00000000-0005-0000-0000-000094100000}"/>
    <cellStyle name="20% - Accent3 12 2 3 3" xfId="2105" xr:uid="{00000000-0005-0000-0000-000095100000}"/>
    <cellStyle name="20% - Accent3 12 2 3 3 2" xfId="13445" xr:uid="{00000000-0005-0000-0000-000096100000}"/>
    <cellStyle name="20% - Accent3 12 2 3 3 3" xfId="17396" xr:uid="{00000000-0005-0000-0000-000097100000}"/>
    <cellStyle name="20% - Accent3 12 2 3 4" xfId="13443" xr:uid="{00000000-0005-0000-0000-000098100000}"/>
    <cellStyle name="20% - Accent3 12 2 3 5" xfId="17394" xr:uid="{00000000-0005-0000-0000-000099100000}"/>
    <cellStyle name="20% - Accent3 12 2 4" xfId="2106" xr:uid="{00000000-0005-0000-0000-00009A100000}"/>
    <cellStyle name="20% - Accent3 12 2 4 2" xfId="2107" xr:uid="{00000000-0005-0000-0000-00009B100000}"/>
    <cellStyle name="20% - Accent3 12 2 4 2 2" xfId="13447" xr:uid="{00000000-0005-0000-0000-00009C100000}"/>
    <cellStyle name="20% - Accent3 12 2 4 2 3" xfId="17398" xr:uid="{00000000-0005-0000-0000-00009D100000}"/>
    <cellStyle name="20% - Accent3 12 2 4 3" xfId="2108" xr:uid="{00000000-0005-0000-0000-00009E100000}"/>
    <cellStyle name="20% - Accent3 12 2 4 3 2" xfId="13448" xr:uid="{00000000-0005-0000-0000-00009F100000}"/>
    <cellStyle name="20% - Accent3 12 2 4 3 3" xfId="17399" xr:uid="{00000000-0005-0000-0000-0000A0100000}"/>
    <cellStyle name="20% - Accent3 12 2 4 4" xfId="13446" xr:uid="{00000000-0005-0000-0000-0000A1100000}"/>
    <cellStyle name="20% - Accent3 12 2 4 5" xfId="17397" xr:uid="{00000000-0005-0000-0000-0000A2100000}"/>
    <cellStyle name="20% - Accent3 12 2 5" xfId="2109" xr:uid="{00000000-0005-0000-0000-0000A3100000}"/>
    <cellStyle name="20% - Accent3 12 2 5 2" xfId="13449" xr:uid="{00000000-0005-0000-0000-0000A4100000}"/>
    <cellStyle name="20% - Accent3 12 2 5 3" xfId="17400" xr:uid="{00000000-0005-0000-0000-0000A5100000}"/>
    <cellStyle name="20% - Accent3 12 2 6" xfId="2110" xr:uid="{00000000-0005-0000-0000-0000A6100000}"/>
    <cellStyle name="20% - Accent3 12 2 6 2" xfId="13450" xr:uid="{00000000-0005-0000-0000-0000A7100000}"/>
    <cellStyle name="20% - Accent3 12 2 6 3" xfId="17401" xr:uid="{00000000-0005-0000-0000-0000A8100000}"/>
    <cellStyle name="20% - Accent3 12 2 7" xfId="13439" xr:uid="{00000000-0005-0000-0000-0000A9100000}"/>
    <cellStyle name="20% - Accent3 12 2 8" xfId="17390" xr:uid="{00000000-0005-0000-0000-0000AA100000}"/>
    <cellStyle name="20% - Accent3 12 2_Volatility" xfId="2111" xr:uid="{00000000-0005-0000-0000-0000AB100000}"/>
    <cellStyle name="20% - Accent3 12 3" xfId="2112" xr:uid="{00000000-0005-0000-0000-0000AC100000}"/>
    <cellStyle name="20% - Accent3 12 3 2" xfId="2113" xr:uid="{00000000-0005-0000-0000-0000AD100000}"/>
    <cellStyle name="20% - Accent3 12 3 2 2" xfId="2114" xr:uid="{00000000-0005-0000-0000-0000AE100000}"/>
    <cellStyle name="20% - Accent3 12 3 2 2 2" xfId="13453" xr:uid="{00000000-0005-0000-0000-0000AF100000}"/>
    <cellStyle name="20% - Accent3 12 3 2 2 3" xfId="17404" xr:uid="{00000000-0005-0000-0000-0000B0100000}"/>
    <cellStyle name="20% - Accent3 12 3 2 3" xfId="2115" xr:uid="{00000000-0005-0000-0000-0000B1100000}"/>
    <cellStyle name="20% - Accent3 12 3 2 3 2" xfId="13454" xr:uid="{00000000-0005-0000-0000-0000B2100000}"/>
    <cellStyle name="20% - Accent3 12 3 2 3 3" xfId="17405" xr:uid="{00000000-0005-0000-0000-0000B3100000}"/>
    <cellStyle name="20% - Accent3 12 3 2 4" xfId="13452" xr:uid="{00000000-0005-0000-0000-0000B4100000}"/>
    <cellStyle name="20% - Accent3 12 3 2 5" xfId="17403" xr:uid="{00000000-0005-0000-0000-0000B5100000}"/>
    <cellStyle name="20% - Accent3 12 3 3" xfId="2116" xr:uid="{00000000-0005-0000-0000-0000B6100000}"/>
    <cellStyle name="20% - Accent3 12 3 3 2" xfId="2117" xr:uid="{00000000-0005-0000-0000-0000B7100000}"/>
    <cellStyle name="20% - Accent3 12 3 3 2 2" xfId="13456" xr:uid="{00000000-0005-0000-0000-0000B8100000}"/>
    <cellStyle name="20% - Accent3 12 3 3 2 3" xfId="17407" xr:uid="{00000000-0005-0000-0000-0000B9100000}"/>
    <cellStyle name="20% - Accent3 12 3 3 3" xfId="2118" xr:uid="{00000000-0005-0000-0000-0000BA100000}"/>
    <cellStyle name="20% - Accent3 12 3 3 3 2" xfId="13457" xr:uid="{00000000-0005-0000-0000-0000BB100000}"/>
    <cellStyle name="20% - Accent3 12 3 3 3 3" xfId="17408" xr:uid="{00000000-0005-0000-0000-0000BC100000}"/>
    <cellStyle name="20% - Accent3 12 3 3 4" xfId="13455" xr:uid="{00000000-0005-0000-0000-0000BD100000}"/>
    <cellStyle name="20% - Accent3 12 3 3 5" xfId="17406" xr:uid="{00000000-0005-0000-0000-0000BE100000}"/>
    <cellStyle name="20% - Accent3 12 3 4" xfId="2119" xr:uid="{00000000-0005-0000-0000-0000BF100000}"/>
    <cellStyle name="20% - Accent3 12 3 4 2" xfId="13458" xr:uid="{00000000-0005-0000-0000-0000C0100000}"/>
    <cellStyle name="20% - Accent3 12 3 4 3" xfId="17409" xr:uid="{00000000-0005-0000-0000-0000C1100000}"/>
    <cellStyle name="20% - Accent3 12 3 5" xfId="2120" xr:uid="{00000000-0005-0000-0000-0000C2100000}"/>
    <cellStyle name="20% - Accent3 12 3 5 2" xfId="13459" xr:uid="{00000000-0005-0000-0000-0000C3100000}"/>
    <cellStyle name="20% - Accent3 12 3 5 3" xfId="17410" xr:uid="{00000000-0005-0000-0000-0000C4100000}"/>
    <cellStyle name="20% - Accent3 12 3 6" xfId="13451" xr:uid="{00000000-0005-0000-0000-0000C5100000}"/>
    <cellStyle name="20% - Accent3 12 3 7" xfId="17402" xr:uid="{00000000-0005-0000-0000-0000C6100000}"/>
    <cellStyle name="20% - Accent3 12 3_Volatility" xfId="2121" xr:uid="{00000000-0005-0000-0000-0000C7100000}"/>
    <cellStyle name="20% - Accent3 12 4" xfId="2122" xr:uid="{00000000-0005-0000-0000-0000C8100000}"/>
    <cellStyle name="20% - Accent3 12 4 2" xfId="2123" xr:uid="{00000000-0005-0000-0000-0000C9100000}"/>
    <cellStyle name="20% - Accent3 12 4 2 2" xfId="13461" xr:uid="{00000000-0005-0000-0000-0000CA100000}"/>
    <cellStyle name="20% - Accent3 12 4 2 3" xfId="17412" xr:uid="{00000000-0005-0000-0000-0000CB100000}"/>
    <cellStyle name="20% - Accent3 12 4 3" xfId="2124" xr:uid="{00000000-0005-0000-0000-0000CC100000}"/>
    <cellStyle name="20% - Accent3 12 4 3 2" xfId="13462" xr:uid="{00000000-0005-0000-0000-0000CD100000}"/>
    <cellStyle name="20% - Accent3 12 4 3 3" xfId="17413" xr:uid="{00000000-0005-0000-0000-0000CE100000}"/>
    <cellStyle name="20% - Accent3 12 4 4" xfId="13460" xr:uid="{00000000-0005-0000-0000-0000CF100000}"/>
    <cellStyle name="20% - Accent3 12 4 5" xfId="17411" xr:uid="{00000000-0005-0000-0000-0000D0100000}"/>
    <cellStyle name="20% - Accent3 12 5" xfId="2125" xr:uid="{00000000-0005-0000-0000-0000D1100000}"/>
    <cellStyle name="20% - Accent3 12 5 2" xfId="2126" xr:uid="{00000000-0005-0000-0000-0000D2100000}"/>
    <cellStyle name="20% - Accent3 12 5 2 2" xfId="13464" xr:uid="{00000000-0005-0000-0000-0000D3100000}"/>
    <cellStyle name="20% - Accent3 12 5 2 3" xfId="17415" xr:uid="{00000000-0005-0000-0000-0000D4100000}"/>
    <cellStyle name="20% - Accent3 12 5 3" xfId="2127" xr:uid="{00000000-0005-0000-0000-0000D5100000}"/>
    <cellStyle name="20% - Accent3 12 5 3 2" xfId="13465" xr:uid="{00000000-0005-0000-0000-0000D6100000}"/>
    <cellStyle name="20% - Accent3 12 5 3 3" xfId="17416" xr:uid="{00000000-0005-0000-0000-0000D7100000}"/>
    <cellStyle name="20% - Accent3 12 5 4" xfId="13463" xr:uid="{00000000-0005-0000-0000-0000D8100000}"/>
    <cellStyle name="20% - Accent3 12 5 5" xfId="17414" xr:uid="{00000000-0005-0000-0000-0000D9100000}"/>
    <cellStyle name="20% - Accent3 12 6" xfId="2128" xr:uid="{00000000-0005-0000-0000-0000DA100000}"/>
    <cellStyle name="20% - Accent3 12 6 2" xfId="2129" xr:uid="{00000000-0005-0000-0000-0000DB100000}"/>
    <cellStyle name="20% - Accent3 12 6 2 2" xfId="13467" xr:uid="{00000000-0005-0000-0000-0000DC100000}"/>
    <cellStyle name="20% - Accent3 12 6 2 3" xfId="17418" xr:uid="{00000000-0005-0000-0000-0000DD100000}"/>
    <cellStyle name="20% - Accent3 12 6 3" xfId="2130" xr:uid="{00000000-0005-0000-0000-0000DE100000}"/>
    <cellStyle name="20% - Accent3 12 6 3 2" xfId="13468" xr:uid="{00000000-0005-0000-0000-0000DF100000}"/>
    <cellStyle name="20% - Accent3 12 6 3 3" xfId="17419" xr:uid="{00000000-0005-0000-0000-0000E0100000}"/>
    <cellStyle name="20% - Accent3 12 6 4" xfId="13466" xr:uid="{00000000-0005-0000-0000-0000E1100000}"/>
    <cellStyle name="20% - Accent3 12 6 5" xfId="17417" xr:uid="{00000000-0005-0000-0000-0000E2100000}"/>
    <cellStyle name="20% - Accent3 12 7" xfId="2131" xr:uid="{00000000-0005-0000-0000-0000E3100000}"/>
    <cellStyle name="20% - Accent3 12 7 2" xfId="13469" xr:uid="{00000000-0005-0000-0000-0000E4100000}"/>
    <cellStyle name="20% - Accent3 12 7 3" xfId="17420" xr:uid="{00000000-0005-0000-0000-0000E5100000}"/>
    <cellStyle name="20% - Accent3 12 8" xfId="2132" xr:uid="{00000000-0005-0000-0000-0000E6100000}"/>
    <cellStyle name="20% - Accent3 12 8 2" xfId="13470" xr:uid="{00000000-0005-0000-0000-0000E7100000}"/>
    <cellStyle name="20% - Accent3 12 8 3" xfId="17421" xr:uid="{00000000-0005-0000-0000-0000E8100000}"/>
    <cellStyle name="20% - Accent3 12 9" xfId="13438" xr:uid="{00000000-0005-0000-0000-0000E9100000}"/>
    <cellStyle name="20% - Accent3 12_Volatility" xfId="2133" xr:uid="{00000000-0005-0000-0000-0000EA100000}"/>
    <cellStyle name="20% - Accent3 13" xfId="2134" xr:uid="{00000000-0005-0000-0000-0000EB100000}"/>
    <cellStyle name="20% - Accent3 13 10" xfId="17422" xr:uid="{00000000-0005-0000-0000-0000EC100000}"/>
    <cellStyle name="20% - Accent3 13 2" xfId="2135" xr:uid="{00000000-0005-0000-0000-0000ED100000}"/>
    <cellStyle name="20% - Accent3 13 2 2" xfId="2136" xr:uid="{00000000-0005-0000-0000-0000EE100000}"/>
    <cellStyle name="20% - Accent3 13 2 2 2" xfId="2137" xr:uid="{00000000-0005-0000-0000-0000EF100000}"/>
    <cellStyle name="20% - Accent3 13 2 2 2 2" xfId="13474" xr:uid="{00000000-0005-0000-0000-0000F0100000}"/>
    <cellStyle name="20% - Accent3 13 2 2 2 3" xfId="17425" xr:uid="{00000000-0005-0000-0000-0000F1100000}"/>
    <cellStyle name="20% - Accent3 13 2 2 3" xfId="2138" xr:uid="{00000000-0005-0000-0000-0000F2100000}"/>
    <cellStyle name="20% - Accent3 13 2 2 3 2" xfId="13475" xr:uid="{00000000-0005-0000-0000-0000F3100000}"/>
    <cellStyle name="20% - Accent3 13 2 2 3 3" xfId="17426" xr:uid="{00000000-0005-0000-0000-0000F4100000}"/>
    <cellStyle name="20% - Accent3 13 2 2 4" xfId="13473" xr:uid="{00000000-0005-0000-0000-0000F5100000}"/>
    <cellStyle name="20% - Accent3 13 2 2 5" xfId="17424" xr:uid="{00000000-0005-0000-0000-0000F6100000}"/>
    <cellStyle name="20% - Accent3 13 2 3" xfId="2139" xr:uid="{00000000-0005-0000-0000-0000F7100000}"/>
    <cellStyle name="20% - Accent3 13 2 3 2" xfId="2140" xr:uid="{00000000-0005-0000-0000-0000F8100000}"/>
    <cellStyle name="20% - Accent3 13 2 3 2 2" xfId="13477" xr:uid="{00000000-0005-0000-0000-0000F9100000}"/>
    <cellStyle name="20% - Accent3 13 2 3 2 3" xfId="17428" xr:uid="{00000000-0005-0000-0000-0000FA100000}"/>
    <cellStyle name="20% - Accent3 13 2 3 3" xfId="2141" xr:uid="{00000000-0005-0000-0000-0000FB100000}"/>
    <cellStyle name="20% - Accent3 13 2 3 3 2" xfId="13478" xr:uid="{00000000-0005-0000-0000-0000FC100000}"/>
    <cellStyle name="20% - Accent3 13 2 3 3 3" xfId="17429" xr:uid="{00000000-0005-0000-0000-0000FD100000}"/>
    <cellStyle name="20% - Accent3 13 2 3 4" xfId="13476" xr:uid="{00000000-0005-0000-0000-0000FE100000}"/>
    <cellStyle name="20% - Accent3 13 2 3 5" xfId="17427" xr:uid="{00000000-0005-0000-0000-0000FF100000}"/>
    <cellStyle name="20% - Accent3 13 2 4" xfId="2142" xr:uid="{00000000-0005-0000-0000-000000110000}"/>
    <cellStyle name="20% - Accent3 13 2 4 2" xfId="2143" xr:uid="{00000000-0005-0000-0000-000001110000}"/>
    <cellStyle name="20% - Accent3 13 2 4 2 2" xfId="13480" xr:uid="{00000000-0005-0000-0000-000002110000}"/>
    <cellStyle name="20% - Accent3 13 2 4 2 3" xfId="17431" xr:uid="{00000000-0005-0000-0000-000003110000}"/>
    <cellStyle name="20% - Accent3 13 2 4 3" xfId="2144" xr:uid="{00000000-0005-0000-0000-000004110000}"/>
    <cellStyle name="20% - Accent3 13 2 4 3 2" xfId="13481" xr:uid="{00000000-0005-0000-0000-000005110000}"/>
    <cellStyle name="20% - Accent3 13 2 4 3 3" xfId="17432" xr:uid="{00000000-0005-0000-0000-000006110000}"/>
    <cellStyle name="20% - Accent3 13 2 4 4" xfId="13479" xr:uid="{00000000-0005-0000-0000-000007110000}"/>
    <cellStyle name="20% - Accent3 13 2 4 5" xfId="17430" xr:uid="{00000000-0005-0000-0000-000008110000}"/>
    <cellStyle name="20% - Accent3 13 2 5" xfId="2145" xr:uid="{00000000-0005-0000-0000-000009110000}"/>
    <cellStyle name="20% - Accent3 13 2 5 2" xfId="13482" xr:uid="{00000000-0005-0000-0000-00000A110000}"/>
    <cellStyle name="20% - Accent3 13 2 5 3" xfId="17433" xr:uid="{00000000-0005-0000-0000-00000B110000}"/>
    <cellStyle name="20% - Accent3 13 2 6" xfId="2146" xr:uid="{00000000-0005-0000-0000-00000C110000}"/>
    <cellStyle name="20% - Accent3 13 2 6 2" xfId="13483" xr:uid="{00000000-0005-0000-0000-00000D110000}"/>
    <cellStyle name="20% - Accent3 13 2 6 3" xfId="17434" xr:uid="{00000000-0005-0000-0000-00000E110000}"/>
    <cellStyle name="20% - Accent3 13 2 7" xfId="13472" xr:uid="{00000000-0005-0000-0000-00000F110000}"/>
    <cellStyle name="20% - Accent3 13 2 8" xfId="17423" xr:uid="{00000000-0005-0000-0000-000010110000}"/>
    <cellStyle name="20% - Accent3 13 2_Volatility" xfId="2147" xr:uid="{00000000-0005-0000-0000-000011110000}"/>
    <cellStyle name="20% - Accent3 13 3" xfId="2148" xr:uid="{00000000-0005-0000-0000-000012110000}"/>
    <cellStyle name="20% - Accent3 13 3 2" xfId="2149" xr:uid="{00000000-0005-0000-0000-000013110000}"/>
    <cellStyle name="20% - Accent3 13 3 2 2" xfId="2150" xr:uid="{00000000-0005-0000-0000-000014110000}"/>
    <cellStyle name="20% - Accent3 13 3 2 2 2" xfId="13486" xr:uid="{00000000-0005-0000-0000-000015110000}"/>
    <cellStyle name="20% - Accent3 13 3 2 2 3" xfId="17437" xr:uid="{00000000-0005-0000-0000-000016110000}"/>
    <cellStyle name="20% - Accent3 13 3 2 3" xfId="2151" xr:uid="{00000000-0005-0000-0000-000017110000}"/>
    <cellStyle name="20% - Accent3 13 3 2 3 2" xfId="13487" xr:uid="{00000000-0005-0000-0000-000018110000}"/>
    <cellStyle name="20% - Accent3 13 3 2 3 3" xfId="17438" xr:uid="{00000000-0005-0000-0000-000019110000}"/>
    <cellStyle name="20% - Accent3 13 3 2 4" xfId="13485" xr:uid="{00000000-0005-0000-0000-00001A110000}"/>
    <cellStyle name="20% - Accent3 13 3 2 5" xfId="17436" xr:uid="{00000000-0005-0000-0000-00001B110000}"/>
    <cellStyle name="20% - Accent3 13 3 3" xfId="2152" xr:uid="{00000000-0005-0000-0000-00001C110000}"/>
    <cellStyle name="20% - Accent3 13 3 3 2" xfId="2153" xr:uid="{00000000-0005-0000-0000-00001D110000}"/>
    <cellStyle name="20% - Accent3 13 3 3 2 2" xfId="13489" xr:uid="{00000000-0005-0000-0000-00001E110000}"/>
    <cellStyle name="20% - Accent3 13 3 3 2 3" xfId="17440" xr:uid="{00000000-0005-0000-0000-00001F110000}"/>
    <cellStyle name="20% - Accent3 13 3 3 3" xfId="2154" xr:uid="{00000000-0005-0000-0000-000020110000}"/>
    <cellStyle name="20% - Accent3 13 3 3 3 2" xfId="13490" xr:uid="{00000000-0005-0000-0000-000021110000}"/>
    <cellStyle name="20% - Accent3 13 3 3 3 3" xfId="17441" xr:uid="{00000000-0005-0000-0000-000022110000}"/>
    <cellStyle name="20% - Accent3 13 3 3 4" xfId="13488" xr:uid="{00000000-0005-0000-0000-000023110000}"/>
    <cellStyle name="20% - Accent3 13 3 3 5" xfId="17439" xr:uid="{00000000-0005-0000-0000-000024110000}"/>
    <cellStyle name="20% - Accent3 13 3 4" xfId="2155" xr:uid="{00000000-0005-0000-0000-000025110000}"/>
    <cellStyle name="20% - Accent3 13 3 4 2" xfId="13491" xr:uid="{00000000-0005-0000-0000-000026110000}"/>
    <cellStyle name="20% - Accent3 13 3 4 3" xfId="17442" xr:uid="{00000000-0005-0000-0000-000027110000}"/>
    <cellStyle name="20% - Accent3 13 3 5" xfId="2156" xr:uid="{00000000-0005-0000-0000-000028110000}"/>
    <cellStyle name="20% - Accent3 13 3 5 2" xfId="13492" xr:uid="{00000000-0005-0000-0000-000029110000}"/>
    <cellStyle name="20% - Accent3 13 3 5 3" xfId="17443" xr:uid="{00000000-0005-0000-0000-00002A110000}"/>
    <cellStyle name="20% - Accent3 13 3 6" xfId="13484" xr:uid="{00000000-0005-0000-0000-00002B110000}"/>
    <cellStyle name="20% - Accent3 13 3 7" xfId="17435" xr:uid="{00000000-0005-0000-0000-00002C110000}"/>
    <cellStyle name="20% - Accent3 13 3_Volatility" xfId="2157" xr:uid="{00000000-0005-0000-0000-00002D110000}"/>
    <cellStyle name="20% - Accent3 13 4" xfId="2158" xr:uid="{00000000-0005-0000-0000-00002E110000}"/>
    <cellStyle name="20% - Accent3 13 4 2" xfId="2159" xr:uid="{00000000-0005-0000-0000-00002F110000}"/>
    <cellStyle name="20% - Accent3 13 4 2 2" xfId="13494" xr:uid="{00000000-0005-0000-0000-000030110000}"/>
    <cellStyle name="20% - Accent3 13 4 2 3" xfId="17445" xr:uid="{00000000-0005-0000-0000-000031110000}"/>
    <cellStyle name="20% - Accent3 13 4 3" xfId="2160" xr:uid="{00000000-0005-0000-0000-000032110000}"/>
    <cellStyle name="20% - Accent3 13 4 3 2" xfId="13495" xr:uid="{00000000-0005-0000-0000-000033110000}"/>
    <cellStyle name="20% - Accent3 13 4 3 3" xfId="17446" xr:uid="{00000000-0005-0000-0000-000034110000}"/>
    <cellStyle name="20% - Accent3 13 4 4" xfId="13493" xr:uid="{00000000-0005-0000-0000-000035110000}"/>
    <cellStyle name="20% - Accent3 13 4 5" xfId="17444" xr:uid="{00000000-0005-0000-0000-000036110000}"/>
    <cellStyle name="20% - Accent3 13 5" xfId="2161" xr:uid="{00000000-0005-0000-0000-000037110000}"/>
    <cellStyle name="20% - Accent3 13 5 2" xfId="2162" xr:uid="{00000000-0005-0000-0000-000038110000}"/>
    <cellStyle name="20% - Accent3 13 5 2 2" xfId="13497" xr:uid="{00000000-0005-0000-0000-000039110000}"/>
    <cellStyle name="20% - Accent3 13 5 2 3" xfId="17448" xr:uid="{00000000-0005-0000-0000-00003A110000}"/>
    <cellStyle name="20% - Accent3 13 5 3" xfId="2163" xr:uid="{00000000-0005-0000-0000-00003B110000}"/>
    <cellStyle name="20% - Accent3 13 5 3 2" xfId="13498" xr:uid="{00000000-0005-0000-0000-00003C110000}"/>
    <cellStyle name="20% - Accent3 13 5 3 3" xfId="17449" xr:uid="{00000000-0005-0000-0000-00003D110000}"/>
    <cellStyle name="20% - Accent3 13 5 4" xfId="13496" xr:uid="{00000000-0005-0000-0000-00003E110000}"/>
    <cellStyle name="20% - Accent3 13 5 5" xfId="17447" xr:uid="{00000000-0005-0000-0000-00003F110000}"/>
    <cellStyle name="20% - Accent3 13 6" xfId="2164" xr:uid="{00000000-0005-0000-0000-000040110000}"/>
    <cellStyle name="20% - Accent3 13 6 2" xfId="2165" xr:uid="{00000000-0005-0000-0000-000041110000}"/>
    <cellStyle name="20% - Accent3 13 6 2 2" xfId="13500" xr:uid="{00000000-0005-0000-0000-000042110000}"/>
    <cellStyle name="20% - Accent3 13 6 2 3" xfId="17451" xr:uid="{00000000-0005-0000-0000-000043110000}"/>
    <cellStyle name="20% - Accent3 13 6 3" xfId="2166" xr:uid="{00000000-0005-0000-0000-000044110000}"/>
    <cellStyle name="20% - Accent3 13 6 3 2" xfId="13501" xr:uid="{00000000-0005-0000-0000-000045110000}"/>
    <cellStyle name="20% - Accent3 13 6 3 3" xfId="17452" xr:uid="{00000000-0005-0000-0000-000046110000}"/>
    <cellStyle name="20% - Accent3 13 6 4" xfId="13499" xr:uid="{00000000-0005-0000-0000-000047110000}"/>
    <cellStyle name="20% - Accent3 13 6 5" xfId="17450" xr:uid="{00000000-0005-0000-0000-000048110000}"/>
    <cellStyle name="20% - Accent3 13 7" xfId="2167" xr:uid="{00000000-0005-0000-0000-000049110000}"/>
    <cellStyle name="20% - Accent3 13 7 2" xfId="13502" xr:uid="{00000000-0005-0000-0000-00004A110000}"/>
    <cellStyle name="20% - Accent3 13 7 3" xfId="17453" xr:uid="{00000000-0005-0000-0000-00004B110000}"/>
    <cellStyle name="20% - Accent3 13 8" xfId="2168" xr:uid="{00000000-0005-0000-0000-00004C110000}"/>
    <cellStyle name="20% - Accent3 13 8 2" xfId="13503" xr:uid="{00000000-0005-0000-0000-00004D110000}"/>
    <cellStyle name="20% - Accent3 13 8 3" xfId="17454" xr:uid="{00000000-0005-0000-0000-00004E110000}"/>
    <cellStyle name="20% - Accent3 13 9" xfId="13471" xr:uid="{00000000-0005-0000-0000-00004F110000}"/>
    <cellStyle name="20% - Accent3 13_Volatility" xfId="2169" xr:uid="{00000000-0005-0000-0000-000050110000}"/>
    <cellStyle name="20% - Accent3 14" xfId="2170" xr:uid="{00000000-0005-0000-0000-000051110000}"/>
    <cellStyle name="20% - Accent3 14 10" xfId="17455" xr:uid="{00000000-0005-0000-0000-000052110000}"/>
    <cellStyle name="20% - Accent3 14 2" xfId="2171" xr:uid="{00000000-0005-0000-0000-000053110000}"/>
    <cellStyle name="20% - Accent3 14 2 2" xfId="2172" xr:uid="{00000000-0005-0000-0000-000054110000}"/>
    <cellStyle name="20% - Accent3 14 2 2 2" xfId="2173" xr:uid="{00000000-0005-0000-0000-000055110000}"/>
    <cellStyle name="20% - Accent3 14 2 2 2 2" xfId="13507" xr:uid="{00000000-0005-0000-0000-000056110000}"/>
    <cellStyle name="20% - Accent3 14 2 2 2 3" xfId="17458" xr:uid="{00000000-0005-0000-0000-000057110000}"/>
    <cellStyle name="20% - Accent3 14 2 2 3" xfId="2174" xr:uid="{00000000-0005-0000-0000-000058110000}"/>
    <cellStyle name="20% - Accent3 14 2 2 3 2" xfId="13508" xr:uid="{00000000-0005-0000-0000-000059110000}"/>
    <cellStyle name="20% - Accent3 14 2 2 3 3" xfId="17459" xr:uid="{00000000-0005-0000-0000-00005A110000}"/>
    <cellStyle name="20% - Accent3 14 2 2 4" xfId="13506" xr:uid="{00000000-0005-0000-0000-00005B110000}"/>
    <cellStyle name="20% - Accent3 14 2 2 5" xfId="17457" xr:uid="{00000000-0005-0000-0000-00005C110000}"/>
    <cellStyle name="20% - Accent3 14 2 3" xfId="2175" xr:uid="{00000000-0005-0000-0000-00005D110000}"/>
    <cellStyle name="20% - Accent3 14 2 3 2" xfId="2176" xr:uid="{00000000-0005-0000-0000-00005E110000}"/>
    <cellStyle name="20% - Accent3 14 2 3 2 2" xfId="13510" xr:uid="{00000000-0005-0000-0000-00005F110000}"/>
    <cellStyle name="20% - Accent3 14 2 3 2 3" xfId="17461" xr:uid="{00000000-0005-0000-0000-000060110000}"/>
    <cellStyle name="20% - Accent3 14 2 3 3" xfId="2177" xr:uid="{00000000-0005-0000-0000-000061110000}"/>
    <cellStyle name="20% - Accent3 14 2 3 3 2" xfId="13511" xr:uid="{00000000-0005-0000-0000-000062110000}"/>
    <cellStyle name="20% - Accent3 14 2 3 3 3" xfId="17462" xr:uid="{00000000-0005-0000-0000-000063110000}"/>
    <cellStyle name="20% - Accent3 14 2 3 4" xfId="13509" xr:uid="{00000000-0005-0000-0000-000064110000}"/>
    <cellStyle name="20% - Accent3 14 2 3 5" xfId="17460" xr:uid="{00000000-0005-0000-0000-000065110000}"/>
    <cellStyle name="20% - Accent3 14 2 4" xfId="2178" xr:uid="{00000000-0005-0000-0000-000066110000}"/>
    <cellStyle name="20% - Accent3 14 2 4 2" xfId="2179" xr:uid="{00000000-0005-0000-0000-000067110000}"/>
    <cellStyle name="20% - Accent3 14 2 4 2 2" xfId="13513" xr:uid="{00000000-0005-0000-0000-000068110000}"/>
    <cellStyle name="20% - Accent3 14 2 4 2 3" xfId="17464" xr:uid="{00000000-0005-0000-0000-000069110000}"/>
    <cellStyle name="20% - Accent3 14 2 4 3" xfId="2180" xr:uid="{00000000-0005-0000-0000-00006A110000}"/>
    <cellStyle name="20% - Accent3 14 2 4 3 2" xfId="13514" xr:uid="{00000000-0005-0000-0000-00006B110000}"/>
    <cellStyle name="20% - Accent3 14 2 4 3 3" xfId="17465" xr:uid="{00000000-0005-0000-0000-00006C110000}"/>
    <cellStyle name="20% - Accent3 14 2 4 4" xfId="13512" xr:uid="{00000000-0005-0000-0000-00006D110000}"/>
    <cellStyle name="20% - Accent3 14 2 4 5" xfId="17463" xr:uid="{00000000-0005-0000-0000-00006E110000}"/>
    <cellStyle name="20% - Accent3 14 2 5" xfId="2181" xr:uid="{00000000-0005-0000-0000-00006F110000}"/>
    <cellStyle name="20% - Accent3 14 2 5 2" xfId="13515" xr:uid="{00000000-0005-0000-0000-000070110000}"/>
    <cellStyle name="20% - Accent3 14 2 5 3" xfId="17466" xr:uid="{00000000-0005-0000-0000-000071110000}"/>
    <cellStyle name="20% - Accent3 14 2 6" xfId="2182" xr:uid="{00000000-0005-0000-0000-000072110000}"/>
    <cellStyle name="20% - Accent3 14 2 6 2" xfId="13516" xr:uid="{00000000-0005-0000-0000-000073110000}"/>
    <cellStyle name="20% - Accent3 14 2 6 3" xfId="17467" xr:uid="{00000000-0005-0000-0000-000074110000}"/>
    <cellStyle name="20% - Accent3 14 2 7" xfId="13505" xr:uid="{00000000-0005-0000-0000-000075110000}"/>
    <cellStyle name="20% - Accent3 14 2 8" xfId="17456" xr:uid="{00000000-0005-0000-0000-000076110000}"/>
    <cellStyle name="20% - Accent3 14 2_Volatility" xfId="2183" xr:uid="{00000000-0005-0000-0000-000077110000}"/>
    <cellStyle name="20% - Accent3 14 3" xfId="2184" xr:uid="{00000000-0005-0000-0000-000078110000}"/>
    <cellStyle name="20% - Accent3 14 3 2" xfId="2185" xr:uid="{00000000-0005-0000-0000-000079110000}"/>
    <cellStyle name="20% - Accent3 14 3 2 2" xfId="2186" xr:uid="{00000000-0005-0000-0000-00007A110000}"/>
    <cellStyle name="20% - Accent3 14 3 2 2 2" xfId="13519" xr:uid="{00000000-0005-0000-0000-00007B110000}"/>
    <cellStyle name="20% - Accent3 14 3 2 2 3" xfId="17470" xr:uid="{00000000-0005-0000-0000-00007C110000}"/>
    <cellStyle name="20% - Accent3 14 3 2 3" xfId="2187" xr:uid="{00000000-0005-0000-0000-00007D110000}"/>
    <cellStyle name="20% - Accent3 14 3 2 3 2" xfId="13520" xr:uid="{00000000-0005-0000-0000-00007E110000}"/>
    <cellStyle name="20% - Accent3 14 3 2 3 3" xfId="17471" xr:uid="{00000000-0005-0000-0000-00007F110000}"/>
    <cellStyle name="20% - Accent3 14 3 2 4" xfId="13518" xr:uid="{00000000-0005-0000-0000-000080110000}"/>
    <cellStyle name="20% - Accent3 14 3 2 5" xfId="17469" xr:uid="{00000000-0005-0000-0000-000081110000}"/>
    <cellStyle name="20% - Accent3 14 3 3" xfId="2188" xr:uid="{00000000-0005-0000-0000-000082110000}"/>
    <cellStyle name="20% - Accent3 14 3 3 2" xfId="2189" xr:uid="{00000000-0005-0000-0000-000083110000}"/>
    <cellStyle name="20% - Accent3 14 3 3 2 2" xfId="13522" xr:uid="{00000000-0005-0000-0000-000084110000}"/>
    <cellStyle name="20% - Accent3 14 3 3 2 3" xfId="17473" xr:uid="{00000000-0005-0000-0000-000085110000}"/>
    <cellStyle name="20% - Accent3 14 3 3 3" xfId="2190" xr:uid="{00000000-0005-0000-0000-000086110000}"/>
    <cellStyle name="20% - Accent3 14 3 3 3 2" xfId="13523" xr:uid="{00000000-0005-0000-0000-000087110000}"/>
    <cellStyle name="20% - Accent3 14 3 3 3 3" xfId="17474" xr:uid="{00000000-0005-0000-0000-000088110000}"/>
    <cellStyle name="20% - Accent3 14 3 3 4" xfId="13521" xr:uid="{00000000-0005-0000-0000-000089110000}"/>
    <cellStyle name="20% - Accent3 14 3 3 5" xfId="17472" xr:uid="{00000000-0005-0000-0000-00008A110000}"/>
    <cellStyle name="20% - Accent3 14 3 4" xfId="2191" xr:uid="{00000000-0005-0000-0000-00008B110000}"/>
    <cellStyle name="20% - Accent3 14 3 4 2" xfId="13524" xr:uid="{00000000-0005-0000-0000-00008C110000}"/>
    <cellStyle name="20% - Accent3 14 3 4 3" xfId="17475" xr:uid="{00000000-0005-0000-0000-00008D110000}"/>
    <cellStyle name="20% - Accent3 14 3 5" xfId="2192" xr:uid="{00000000-0005-0000-0000-00008E110000}"/>
    <cellStyle name="20% - Accent3 14 3 5 2" xfId="13525" xr:uid="{00000000-0005-0000-0000-00008F110000}"/>
    <cellStyle name="20% - Accent3 14 3 5 3" xfId="17476" xr:uid="{00000000-0005-0000-0000-000090110000}"/>
    <cellStyle name="20% - Accent3 14 3 6" xfId="13517" xr:uid="{00000000-0005-0000-0000-000091110000}"/>
    <cellStyle name="20% - Accent3 14 3 7" xfId="17468" xr:uid="{00000000-0005-0000-0000-000092110000}"/>
    <cellStyle name="20% - Accent3 14 3_Volatility" xfId="2193" xr:uid="{00000000-0005-0000-0000-000093110000}"/>
    <cellStyle name="20% - Accent3 14 4" xfId="2194" xr:uid="{00000000-0005-0000-0000-000094110000}"/>
    <cellStyle name="20% - Accent3 14 4 2" xfId="2195" xr:uid="{00000000-0005-0000-0000-000095110000}"/>
    <cellStyle name="20% - Accent3 14 4 2 2" xfId="13527" xr:uid="{00000000-0005-0000-0000-000096110000}"/>
    <cellStyle name="20% - Accent3 14 4 2 3" xfId="17478" xr:uid="{00000000-0005-0000-0000-000097110000}"/>
    <cellStyle name="20% - Accent3 14 4 3" xfId="2196" xr:uid="{00000000-0005-0000-0000-000098110000}"/>
    <cellStyle name="20% - Accent3 14 4 3 2" xfId="13528" xr:uid="{00000000-0005-0000-0000-000099110000}"/>
    <cellStyle name="20% - Accent3 14 4 3 3" xfId="17479" xr:uid="{00000000-0005-0000-0000-00009A110000}"/>
    <cellStyle name="20% - Accent3 14 4 4" xfId="13526" xr:uid="{00000000-0005-0000-0000-00009B110000}"/>
    <cellStyle name="20% - Accent3 14 4 5" xfId="17477" xr:uid="{00000000-0005-0000-0000-00009C110000}"/>
    <cellStyle name="20% - Accent3 14 5" xfId="2197" xr:uid="{00000000-0005-0000-0000-00009D110000}"/>
    <cellStyle name="20% - Accent3 14 5 2" xfId="2198" xr:uid="{00000000-0005-0000-0000-00009E110000}"/>
    <cellStyle name="20% - Accent3 14 5 2 2" xfId="13530" xr:uid="{00000000-0005-0000-0000-00009F110000}"/>
    <cellStyle name="20% - Accent3 14 5 2 3" xfId="17481" xr:uid="{00000000-0005-0000-0000-0000A0110000}"/>
    <cellStyle name="20% - Accent3 14 5 3" xfId="2199" xr:uid="{00000000-0005-0000-0000-0000A1110000}"/>
    <cellStyle name="20% - Accent3 14 5 3 2" xfId="13531" xr:uid="{00000000-0005-0000-0000-0000A2110000}"/>
    <cellStyle name="20% - Accent3 14 5 3 3" xfId="17482" xr:uid="{00000000-0005-0000-0000-0000A3110000}"/>
    <cellStyle name="20% - Accent3 14 5 4" xfId="13529" xr:uid="{00000000-0005-0000-0000-0000A4110000}"/>
    <cellStyle name="20% - Accent3 14 5 5" xfId="17480" xr:uid="{00000000-0005-0000-0000-0000A5110000}"/>
    <cellStyle name="20% - Accent3 14 6" xfId="2200" xr:uid="{00000000-0005-0000-0000-0000A6110000}"/>
    <cellStyle name="20% - Accent3 14 6 2" xfId="2201" xr:uid="{00000000-0005-0000-0000-0000A7110000}"/>
    <cellStyle name="20% - Accent3 14 6 2 2" xfId="13533" xr:uid="{00000000-0005-0000-0000-0000A8110000}"/>
    <cellStyle name="20% - Accent3 14 6 2 3" xfId="17484" xr:uid="{00000000-0005-0000-0000-0000A9110000}"/>
    <cellStyle name="20% - Accent3 14 6 3" xfId="2202" xr:uid="{00000000-0005-0000-0000-0000AA110000}"/>
    <cellStyle name="20% - Accent3 14 6 3 2" xfId="13534" xr:uid="{00000000-0005-0000-0000-0000AB110000}"/>
    <cellStyle name="20% - Accent3 14 6 3 3" xfId="17485" xr:uid="{00000000-0005-0000-0000-0000AC110000}"/>
    <cellStyle name="20% - Accent3 14 6 4" xfId="13532" xr:uid="{00000000-0005-0000-0000-0000AD110000}"/>
    <cellStyle name="20% - Accent3 14 6 5" xfId="17483" xr:uid="{00000000-0005-0000-0000-0000AE110000}"/>
    <cellStyle name="20% - Accent3 14 7" xfId="2203" xr:uid="{00000000-0005-0000-0000-0000AF110000}"/>
    <cellStyle name="20% - Accent3 14 7 2" xfId="13535" xr:uid="{00000000-0005-0000-0000-0000B0110000}"/>
    <cellStyle name="20% - Accent3 14 7 3" xfId="17486" xr:uid="{00000000-0005-0000-0000-0000B1110000}"/>
    <cellStyle name="20% - Accent3 14 8" xfId="2204" xr:uid="{00000000-0005-0000-0000-0000B2110000}"/>
    <cellStyle name="20% - Accent3 14 8 2" xfId="13536" xr:uid="{00000000-0005-0000-0000-0000B3110000}"/>
    <cellStyle name="20% - Accent3 14 8 3" xfId="17487" xr:uid="{00000000-0005-0000-0000-0000B4110000}"/>
    <cellStyle name="20% - Accent3 14 9" xfId="13504" xr:uid="{00000000-0005-0000-0000-0000B5110000}"/>
    <cellStyle name="20% - Accent3 14_Volatility" xfId="2205" xr:uid="{00000000-0005-0000-0000-0000B6110000}"/>
    <cellStyle name="20% - Accent3 15" xfId="2206" xr:uid="{00000000-0005-0000-0000-0000B7110000}"/>
    <cellStyle name="20% - Accent3 15 10" xfId="17488" xr:uid="{00000000-0005-0000-0000-0000B8110000}"/>
    <cellStyle name="20% - Accent3 15 2" xfId="2207" xr:uid="{00000000-0005-0000-0000-0000B9110000}"/>
    <cellStyle name="20% - Accent3 15 2 2" xfId="2208" xr:uid="{00000000-0005-0000-0000-0000BA110000}"/>
    <cellStyle name="20% - Accent3 15 2 2 2" xfId="2209" xr:uid="{00000000-0005-0000-0000-0000BB110000}"/>
    <cellStyle name="20% - Accent3 15 2 2 2 2" xfId="13540" xr:uid="{00000000-0005-0000-0000-0000BC110000}"/>
    <cellStyle name="20% - Accent3 15 2 2 2 3" xfId="17491" xr:uid="{00000000-0005-0000-0000-0000BD110000}"/>
    <cellStyle name="20% - Accent3 15 2 2 3" xfId="2210" xr:uid="{00000000-0005-0000-0000-0000BE110000}"/>
    <cellStyle name="20% - Accent3 15 2 2 3 2" xfId="13541" xr:uid="{00000000-0005-0000-0000-0000BF110000}"/>
    <cellStyle name="20% - Accent3 15 2 2 3 3" xfId="17492" xr:uid="{00000000-0005-0000-0000-0000C0110000}"/>
    <cellStyle name="20% - Accent3 15 2 2 4" xfId="13539" xr:uid="{00000000-0005-0000-0000-0000C1110000}"/>
    <cellStyle name="20% - Accent3 15 2 2 5" xfId="17490" xr:uid="{00000000-0005-0000-0000-0000C2110000}"/>
    <cellStyle name="20% - Accent3 15 2 3" xfId="2211" xr:uid="{00000000-0005-0000-0000-0000C3110000}"/>
    <cellStyle name="20% - Accent3 15 2 3 2" xfId="2212" xr:uid="{00000000-0005-0000-0000-0000C4110000}"/>
    <cellStyle name="20% - Accent3 15 2 3 2 2" xfId="13543" xr:uid="{00000000-0005-0000-0000-0000C5110000}"/>
    <cellStyle name="20% - Accent3 15 2 3 2 3" xfId="17494" xr:uid="{00000000-0005-0000-0000-0000C6110000}"/>
    <cellStyle name="20% - Accent3 15 2 3 3" xfId="2213" xr:uid="{00000000-0005-0000-0000-0000C7110000}"/>
    <cellStyle name="20% - Accent3 15 2 3 3 2" xfId="13544" xr:uid="{00000000-0005-0000-0000-0000C8110000}"/>
    <cellStyle name="20% - Accent3 15 2 3 3 3" xfId="17495" xr:uid="{00000000-0005-0000-0000-0000C9110000}"/>
    <cellStyle name="20% - Accent3 15 2 3 4" xfId="13542" xr:uid="{00000000-0005-0000-0000-0000CA110000}"/>
    <cellStyle name="20% - Accent3 15 2 3 5" xfId="17493" xr:uid="{00000000-0005-0000-0000-0000CB110000}"/>
    <cellStyle name="20% - Accent3 15 2 4" xfId="2214" xr:uid="{00000000-0005-0000-0000-0000CC110000}"/>
    <cellStyle name="20% - Accent3 15 2 4 2" xfId="2215" xr:uid="{00000000-0005-0000-0000-0000CD110000}"/>
    <cellStyle name="20% - Accent3 15 2 4 2 2" xfId="13546" xr:uid="{00000000-0005-0000-0000-0000CE110000}"/>
    <cellStyle name="20% - Accent3 15 2 4 2 3" xfId="17497" xr:uid="{00000000-0005-0000-0000-0000CF110000}"/>
    <cellStyle name="20% - Accent3 15 2 4 3" xfId="2216" xr:uid="{00000000-0005-0000-0000-0000D0110000}"/>
    <cellStyle name="20% - Accent3 15 2 4 3 2" xfId="13547" xr:uid="{00000000-0005-0000-0000-0000D1110000}"/>
    <cellStyle name="20% - Accent3 15 2 4 3 3" xfId="17498" xr:uid="{00000000-0005-0000-0000-0000D2110000}"/>
    <cellStyle name="20% - Accent3 15 2 4 4" xfId="13545" xr:uid="{00000000-0005-0000-0000-0000D3110000}"/>
    <cellStyle name="20% - Accent3 15 2 4 5" xfId="17496" xr:uid="{00000000-0005-0000-0000-0000D4110000}"/>
    <cellStyle name="20% - Accent3 15 2 5" xfId="2217" xr:uid="{00000000-0005-0000-0000-0000D5110000}"/>
    <cellStyle name="20% - Accent3 15 2 5 2" xfId="13548" xr:uid="{00000000-0005-0000-0000-0000D6110000}"/>
    <cellStyle name="20% - Accent3 15 2 5 3" xfId="17499" xr:uid="{00000000-0005-0000-0000-0000D7110000}"/>
    <cellStyle name="20% - Accent3 15 2 6" xfId="2218" xr:uid="{00000000-0005-0000-0000-0000D8110000}"/>
    <cellStyle name="20% - Accent3 15 2 6 2" xfId="13549" xr:uid="{00000000-0005-0000-0000-0000D9110000}"/>
    <cellStyle name="20% - Accent3 15 2 6 3" xfId="17500" xr:uid="{00000000-0005-0000-0000-0000DA110000}"/>
    <cellStyle name="20% - Accent3 15 2 7" xfId="13538" xr:uid="{00000000-0005-0000-0000-0000DB110000}"/>
    <cellStyle name="20% - Accent3 15 2 8" xfId="17489" xr:uid="{00000000-0005-0000-0000-0000DC110000}"/>
    <cellStyle name="20% - Accent3 15 2_Volatility" xfId="2219" xr:uid="{00000000-0005-0000-0000-0000DD110000}"/>
    <cellStyle name="20% - Accent3 15 3" xfId="2220" xr:uid="{00000000-0005-0000-0000-0000DE110000}"/>
    <cellStyle name="20% - Accent3 15 3 2" xfId="2221" xr:uid="{00000000-0005-0000-0000-0000DF110000}"/>
    <cellStyle name="20% - Accent3 15 3 2 2" xfId="2222" xr:uid="{00000000-0005-0000-0000-0000E0110000}"/>
    <cellStyle name="20% - Accent3 15 3 2 2 2" xfId="13552" xr:uid="{00000000-0005-0000-0000-0000E1110000}"/>
    <cellStyle name="20% - Accent3 15 3 2 2 3" xfId="17503" xr:uid="{00000000-0005-0000-0000-0000E2110000}"/>
    <cellStyle name="20% - Accent3 15 3 2 3" xfId="2223" xr:uid="{00000000-0005-0000-0000-0000E3110000}"/>
    <cellStyle name="20% - Accent3 15 3 2 3 2" xfId="13553" xr:uid="{00000000-0005-0000-0000-0000E4110000}"/>
    <cellStyle name="20% - Accent3 15 3 2 3 3" xfId="17504" xr:uid="{00000000-0005-0000-0000-0000E5110000}"/>
    <cellStyle name="20% - Accent3 15 3 2 4" xfId="13551" xr:uid="{00000000-0005-0000-0000-0000E6110000}"/>
    <cellStyle name="20% - Accent3 15 3 2 5" xfId="17502" xr:uid="{00000000-0005-0000-0000-0000E7110000}"/>
    <cellStyle name="20% - Accent3 15 3 3" xfId="2224" xr:uid="{00000000-0005-0000-0000-0000E8110000}"/>
    <cellStyle name="20% - Accent3 15 3 3 2" xfId="2225" xr:uid="{00000000-0005-0000-0000-0000E9110000}"/>
    <cellStyle name="20% - Accent3 15 3 3 2 2" xfId="13555" xr:uid="{00000000-0005-0000-0000-0000EA110000}"/>
    <cellStyle name="20% - Accent3 15 3 3 2 3" xfId="17506" xr:uid="{00000000-0005-0000-0000-0000EB110000}"/>
    <cellStyle name="20% - Accent3 15 3 3 3" xfId="2226" xr:uid="{00000000-0005-0000-0000-0000EC110000}"/>
    <cellStyle name="20% - Accent3 15 3 3 3 2" xfId="13556" xr:uid="{00000000-0005-0000-0000-0000ED110000}"/>
    <cellStyle name="20% - Accent3 15 3 3 3 3" xfId="17507" xr:uid="{00000000-0005-0000-0000-0000EE110000}"/>
    <cellStyle name="20% - Accent3 15 3 3 4" xfId="13554" xr:uid="{00000000-0005-0000-0000-0000EF110000}"/>
    <cellStyle name="20% - Accent3 15 3 3 5" xfId="17505" xr:uid="{00000000-0005-0000-0000-0000F0110000}"/>
    <cellStyle name="20% - Accent3 15 3 4" xfId="2227" xr:uid="{00000000-0005-0000-0000-0000F1110000}"/>
    <cellStyle name="20% - Accent3 15 3 4 2" xfId="13557" xr:uid="{00000000-0005-0000-0000-0000F2110000}"/>
    <cellStyle name="20% - Accent3 15 3 4 3" xfId="17508" xr:uid="{00000000-0005-0000-0000-0000F3110000}"/>
    <cellStyle name="20% - Accent3 15 3 5" xfId="2228" xr:uid="{00000000-0005-0000-0000-0000F4110000}"/>
    <cellStyle name="20% - Accent3 15 3 5 2" xfId="13558" xr:uid="{00000000-0005-0000-0000-0000F5110000}"/>
    <cellStyle name="20% - Accent3 15 3 5 3" xfId="17509" xr:uid="{00000000-0005-0000-0000-0000F6110000}"/>
    <cellStyle name="20% - Accent3 15 3 6" xfId="13550" xr:uid="{00000000-0005-0000-0000-0000F7110000}"/>
    <cellStyle name="20% - Accent3 15 3 7" xfId="17501" xr:uid="{00000000-0005-0000-0000-0000F8110000}"/>
    <cellStyle name="20% - Accent3 15 3_Volatility" xfId="2229" xr:uid="{00000000-0005-0000-0000-0000F9110000}"/>
    <cellStyle name="20% - Accent3 15 4" xfId="2230" xr:uid="{00000000-0005-0000-0000-0000FA110000}"/>
    <cellStyle name="20% - Accent3 15 4 2" xfId="2231" xr:uid="{00000000-0005-0000-0000-0000FB110000}"/>
    <cellStyle name="20% - Accent3 15 4 2 2" xfId="13560" xr:uid="{00000000-0005-0000-0000-0000FC110000}"/>
    <cellStyle name="20% - Accent3 15 4 2 3" xfId="17511" xr:uid="{00000000-0005-0000-0000-0000FD110000}"/>
    <cellStyle name="20% - Accent3 15 4 3" xfId="2232" xr:uid="{00000000-0005-0000-0000-0000FE110000}"/>
    <cellStyle name="20% - Accent3 15 4 3 2" xfId="13561" xr:uid="{00000000-0005-0000-0000-0000FF110000}"/>
    <cellStyle name="20% - Accent3 15 4 3 3" xfId="17512" xr:uid="{00000000-0005-0000-0000-000000120000}"/>
    <cellStyle name="20% - Accent3 15 4 4" xfId="13559" xr:uid="{00000000-0005-0000-0000-000001120000}"/>
    <cellStyle name="20% - Accent3 15 4 5" xfId="17510" xr:uid="{00000000-0005-0000-0000-000002120000}"/>
    <cellStyle name="20% - Accent3 15 5" xfId="2233" xr:uid="{00000000-0005-0000-0000-000003120000}"/>
    <cellStyle name="20% - Accent3 15 5 2" xfId="2234" xr:uid="{00000000-0005-0000-0000-000004120000}"/>
    <cellStyle name="20% - Accent3 15 5 2 2" xfId="13563" xr:uid="{00000000-0005-0000-0000-000005120000}"/>
    <cellStyle name="20% - Accent3 15 5 2 3" xfId="17514" xr:uid="{00000000-0005-0000-0000-000006120000}"/>
    <cellStyle name="20% - Accent3 15 5 3" xfId="2235" xr:uid="{00000000-0005-0000-0000-000007120000}"/>
    <cellStyle name="20% - Accent3 15 5 3 2" xfId="13564" xr:uid="{00000000-0005-0000-0000-000008120000}"/>
    <cellStyle name="20% - Accent3 15 5 3 3" xfId="17515" xr:uid="{00000000-0005-0000-0000-000009120000}"/>
    <cellStyle name="20% - Accent3 15 5 4" xfId="13562" xr:uid="{00000000-0005-0000-0000-00000A120000}"/>
    <cellStyle name="20% - Accent3 15 5 5" xfId="17513" xr:uid="{00000000-0005-0000-0000-00000B120000}"/>
    <cellStyle name="20% - Accent3 15 6" xfId="2236" xr:uid="{00000000-0005-0000-0000-00000C120000}"/>
    <cellStyle name="20% - Accent3 15 6 2" xfId="2237" xr:uid="{00000000-0005-0000-0000-00000D120000}"/>
    <cellStyle name="20% - Accent3 15 6 2 2" xfId="13566" xr:uid="{00000000-0005-0000-0000-00000E120000}"/>
    <cellStyle name="20% - Accent3 15 6 2 3" xfId="17517" xr:uid="{00000000-0005-0000-0000-00000F120000}"/>
    <cellStyle name="20% - Accent3 15 6 3" xfId="2238" xr:uid="{00000000-0005-0000-0000-000010120000}"/>
    <cellStyle name="20% - Accent3 15 6 3 2" xfId="13567" xr:uid="{00000000-0005-0000-0000-000011120000}"/>
    <cellStyle name="20% - Accent3 15 6 3 3" xfId="17518" xr:uid="{00000000-0005-0000-0000-000012120000}"/>
    <cellStyle name="20% - Accent3 15 6 4" xfId="13565" xr:uid="{00000000-0005-0000-0000-000013120000}"/>
    <cellStyle name="20% - Accent3 15 6 5" xfId="17516" xr:uid="{00000000-0005-0000-0000-000014120000}"/>
    <cellStyle name="20% - Accent3 15 7" xfId="2239" xr:uid="{00000000-0005-0000-0000-000015120000}"/>
    <cellStyle name="20% - Accent3 15 7 2" xfId="13568" xr:uid="{00000000-0005-0000-0000-000016120000}"/>
    <cellStyle name="20% - Accent3 15 7 3" xfId="17519" xr:uid="{00000000-0005-0000-0000-000017120000}"/>
    <cellStyle name="20% - Accent3 15 8" xfId="2240" xr:uid="{00000000-0005-0000-0000-000018120000}"/>
    <cellStyle name="20% - Accent3 15 8 2" xfId="13569" xr:uid="{00000000-0005-0000-0000-000019120000}"/>
    <cellStyle name="20% - Accent3 15 8 3" xfId="17520" xr:uid="{00000000-0005-0000-0000-00001A120000}"/>
    <cellStyle name="20% - Accent3 15 9" xfId="13537" xr:uid="{00000000-0005-0000-0000-00001B120000}"/>
    <cellStyle name="20% - Accent3 15_Volatility" xfId="2241" xr:uid="{00000000-0005-0000-0000-00001C120000}"/>
    <cellStyle name="20% - Accent3 16" xfId="2242" xr:uid="{00000000-0005-0000-0000-00001D120000}"/>
    <cellStyle name="20% - Accent3 16 2" xfId="13570" xr:uid="{00000000-0005-0000-0000-00001E120000}"/>
    <cellStyle name="20% - Accent3 16 3" xfId="17521" xr:uid="{00000000-0005-0000-0000-00001F120000}"/>
    <cellStyle name="20% - Accent3 17" xfId="2243" xr:uid="{00000000-0005-0000-0000-000020120000}"/>
    <cellStyle name="20% - Accent3 17 2" xfId="13571" xr:uid="{00000000-0005-0000-0000-000021120000}"/>
    <cellStyle name="20% - Accent3 17 3" xfId="17522" xr:uid="{00000000-0005-0000-0000-000022120000}"/>
    <cellStyle name="20% - Accent3 18" xfId="2244" xr:uid="{00000000-0005-0000-0000-000023120000}"/>
    <cellStyle name="20% - Accent3 18 2" xfId="13572" xr:uid="{00000000-0005-0000-0000-000024120000}"/>
    <cellStyle name="20% - Accent3 18 3" xfId="17523" xr:uid="{00000000-0005-0000-0000-000025120000}"/>
    <cellStyle name="20% - Accent3 19" xfId="2245" xr:uid="{00000000-0005-0000-0000-000026120000}"/>
    <cellStyle name="20% - Accent3 19 2" xfId="13573" xr:uid="{00000000-0005-0000-0000-000027120000}"/>
    <cellStyle name="20% - Accent3 19 3" xfId="17524" xr:uid="{00000000-0005-0000-0000-000028120000}"/>
    <cellStyle name="20% - Accent3 2" xfId="2246" xr:uid="{00000000-0005-0000-0000-000029120000}"/>
    <cellStyle name="20% - Accent3 2 10" xfId="17525" xr:uid="{00000000-0005-0000-0000-00002A120000}"/>
    <cellStyle name="20% - Accent3 2 2" xfId="2247" xr:uid="{00000000-0005-0000-0000-00002B120000}"/>
    <cellStyle name="20% - Accent3 2 2 2" xfId="2248" xr:uid="{00000000-0005-0000-0000-00002C120000}"/>
    <cellStyle name="20% - Accent3 2 2 2 2" xfId="2249" xr:uid="{00000000-0005-0000-0000-00002D120000}"/>
    <cellStyle name="20% - Accent3 2 2 2 2 2" xfId="13577" xr:uid="{00000000-0005-0000-0000-00002E120000}"/>
    <cellStyle name="20% - Accent3 2 2 2 2 3" xfId="17528" xr:uid="{00000000-0005-0000-0000-00002F120000}"/>
    <cellStyle name="20% - Accent3 2 2 2 3" xfId="2250" xr:uid="{00000000-0005-0000-0000-000030120000}"/>
    <cellStyle name="20% - Accent3 2 2 2 3 2" xfId="13578" xr:uid="{00000000-0005-0000-0000-000031120000}"/>
    <cellStyle name="20% - Accent3 2 2 2 3 3" xfId="17529" xr:uid="{00000000-0005-0000-0000-000032120000}"/>
    <cellStyle name="20% - Accent3 2 2 2 4" xfId="13576" xr:uid="{00000000-0005-0000-0000-000033120000}"/>
    <cellStyle name="20% - Accent3 2 2 2 5" xfId="17527" xr:uid="{00000000-0005-0000-0000-000034120000}"/>
    <cellStyle name="20% - Accent3 2 2 3" xfId="2251" xr:uid="{00000000-0005-0000-0000-000035120000}"/>
    <cellStyle name="20% - Accent3 2 2 3 2" xfId="2252" xr:uid="{00000000-0005-0000-0000-000036120000}"/>
    <cellStyle name="20% - Accent3 2 2 3 2 2" xfId="13580" xr:uid="{00000000-0005-0000-0000-000037120000}"/>
    <cellStyle name="20% - Accent3 2 2 3 2 3" xfId="17531" xr:uid="{00000000-0005-0000-0000-000038120000}"/>
    <cellStyle name="20% - Accent3 2 2 3 3" xfId="2253" xr:uid="{00000000-0005-0000-0000-000039120000}"/>
    <cellStyle name="20% - Accent3 2 2 3 3 2" xfId="13581" xr:uid="{00000000-0005-0000-0000-00003A120000}"/>
    <cellStyle name="20% - Accent3 2 2 3 3 3" xfId="17532" xr:uid="{00000000-0005-0000-0000-00003B120000}"/>
    <cellStyle name="20% - Accent3 2 2 3 4" xfId="13579" xr:uid="{00000000-0005-0000-0000-00003C120000}"/>
    <cellStyle name="20% - Accent3 2 2 3 5" xfId="17530" xr:uid="{00000000-0005-0000-0000-00003D120000}"/>
    <cellStyle name="20% - Accent3 2 2 4" xfId="2254" xr:uid="{00000000-0005-0000-0000-00003E120000}"/>
    <cellStyle name="20% - Accent3 2 2 4 2" xfId="2255" xr:uid="{00000000-0005-0000-0000-00003F120000}"/>
    <cellStyle name="20% - Accent3 2 2 4 2 2" xfId="13583" xr:uid="{00000000-0005-0000-0000-000040120000}"/>
    <cellStyle name="20% - Accent3 2 2 4 2 3" xfId="17534" xr:uid="{00000000-0005-0000-0000-000041120000}"/>
    <cellStyle name="20% - Accent3 2 2 4 3" xfId="2256" xr:uid="{00000000-0005-0000-0000-000042120000}"/>
    <cellStyle name="20% - Accent3 2 2 4 3 2" xfId="13584" xr:uid="{00000000-0005-0000-0000-000043120000}"/>
    <cellStyle name="20% - Accent3 2 2 4 3 3" xfId="17535" xr:uid="{00000000-0005-0000-0000-000044120000}"/>
    <cellStyle name="20% - Accent3 2 2 4 4" xfId="13582" xr:uid="{00000000-0005-0000-0000-000045120000}"/>
    <cellStyle name="20% - Accent3 2 2 4 5" xfId="17533" xr:uid="{00000000-0005-0000-0000-000046120000}"/>
    <cellStyle name="20% - Accent3 2 2 5" xfId="2257" xr:uid="{00000000-0005-0000-0000-000047120000}"/>
    <cellStyle name="20% - Accent3 2 2 5 2" xfId="13585" xr:uid="{00000000-0005-0000-0000-000048120000}"/>
    <cellStyle name="20% - Accent3 2 2 5 3" xfId="17536" xr:uid="{00000000-0005-0000-0000-000049120000}"/>
    <cellStyle name="20% - Accent3 2 2 6" xfId="2258" xr:uid="{00000000-0005-0000-0000-00004A120000}"/>
    <cellStyle name="20% - Accent3 2 2 6 2" xfId="13586" xr:uid="{00000000-0005-0000-0000-00004B120000}"/>
    <cellStyle name="20% - Accent3 2 2 6 3" xfId="17537" xr:uid="{00000000-0005-0000-0000-00004C120000}"/>
    <cellStyle name="20% - Accent3 2 2 7" xfId="13575" xr:uid="{00000000-0005-0000-0000-00004D120000}"/>
    <cellStyle name="20% - Accent3 2 2 8" xfId="17526" xr:uid="{00000000-0005-0000-0000-00004E120000}"/>
    <cellStyle name="20% - Accent3 2 2_Volatility" xfId="2259" xr:uid="{00000000-0005-0000-0000-00004F120000}"/>
    <cellStyle name="20% - Accent3 2 3" xfId="2260" xr:uid="{00000000-0005-0000-0000-000050120000}"/>
    <cellStyle name="20% - Accent3 2 3 2" xfId="2261" xr:uid="{00000000-0005-0000-0000-000051120000}"/>
    <cellStyle name="20% - Accent3 2 3 2 2" xfId="2262" xr:uid="{00000000-0005-0000-0000-000052120000}"/>
    <cellStyle name="20% - Accent3 2 3 2 2 2" xfId="13589" xr:uid="{00000000-0005-0000-0000-000053120000}"/>
    <cellStyle name="20% - Accent3 2 3 2 2 3" xfId="17540" xr:uid="{00000000-0005-0000-0000-000054120000}"/>
    <cellStyle name="20% - Accent3 2 3 2 3" xfId="2263" xr:uid="{00000000-0005-0000-0000-000055120000}"/>
    <cellStyle name="20% - Accent3 2 3 2 3 2" xfId="13590" xr:uid="{00000000-0005-0000-0000-000056120000}"/>
    <cellStyle name="20% - Accent3 2 3 2 3 3" xfId="17541" xr:uid="{00000000-0005-0000-0000-000057120000}"/>
    <cellStyle name="20% - Accent3 2 3 2 4" xfId="13588" xr:uid="{00000000-0005-0000-0000-000058120000}"/>
    <cellStyle name="20% - Accent3 2 3 2 5" xfId="17539" xr:uid="{00000000-0005-0000-0000-000059120000}"/>
    <cellStyle name="20% - Accent3 2 3 3" xfId="2264" xr:uid="{00000000-0005-0000-0000-00005A120000}"/>
    <cellStyle name="20% - Accent3 2 3 3 2" xfId="2265" xr:uid="{00000000-0005-0000-0000-00005B120000}"/>
    <cellStyle name="20% - Accent3 2 3 3 2 2" xfId="13592" xr:uid="{00000000-0005-0000-0000-00005C120000}"/>
    <cellStyle name="20% - Accent3 2 3 3 2 3" xfId="17543" xr:uid="{00000000-0005-0000-0000-00005D120000}"/>
    <cellStyle name="20% - Accent3 2 3 3 3" xfId="2266" xr:uid="{00000000-0005-0000-0000-00005E120000}"/>
    <cellStyle name="20% - Accent3 2 3 3 3 2" xfId="13593" xr:uid="{00000000-0005-0000-0000-00005F120000}"/>
    <cellStyle name="20% - Accent3 2 3 3 3 3" xfId="17544" xr:uid="{00000000-0005-0000-0000-000060120000}"/>
    <cellStyle name="20% - Accent3 2 3 3 4" xfId="13591" xr:uid="{00000000-0005-0000-0000-000061120000}"/>
    <cellStyle name="20% - Accent3 2 3 3 5" xfId="17542" xr:uid="{00000000-0005-0000-0000-000062120000}"/>
    <cellStyle name="20% - Accent3 2 3 4" xfId="2267" xr:uid="{00000000-0005-0000-0000-000063120000}"/>
    <cellStyle name="20% - Accent3 2 3 4 2" xfId="13594" xr:uid="{00000000-0005-0000-0000-000064120000}"/>
    <cellStyle name="20% - Accent3 2 3 4 3" xfId="17545" xr:uid="{00000000-0005-0000-0000-000065120000}"/>
    <cellStyle name="20% - Accent3 2 3 5" xfId="2268" xr:uid="{00000000-0005-0000-0000-000066120000}"/>
    <cellStyle name="20% - Accent3 2 3 5 2" xfId="13595" xr:uid="{00000000-0005-0000-0000-000067120000}"/>
    <cellStyle name="20% - Accent3 2 3 5 3" xfId="17546" xr:uid="{00000000-0005-0000-0000-000068120000}"/>
    <cellStyle name="20% - Accent3 2 3 6" xfId="13587" xr:uid="{00000000-0005-0000-0000-000069120000}"/>
    <cellStyle name="20% - Accent3 2 3 7" xfId="17538" xr:uid="{00000000-0005-0000-0000-00006A120000}"/>
    <cellStyle name="20% - Accent3 2 3_Volatility" xfId="2269" xr:uid="{00000000-0005-0000-0000-00006B120000}"/>
    <cellStyle name="20% - Accent3 2 4" xfId="2270" xr:uid="{00000000-0005-0000-0000-00006C120000}"/>
    <cellStyle name="20% - Accent3 2 4 2" xfId="2271" xr:uid="{00000000-0005-0000-0000-00006D120000}"/>
    <cellStyle name="20% - Accent3 2 4 2 2" xfId="13597" xr:uid="{00000000-0005-0000-0000-00006E120000}"/>
    <cellStyle name="20% - Accent3 2 4 2 3" xfId="17548" xr:uid="{00000000-0005-0000-0000-00006F120000}"/>
    <cellStyle name="20% - Accent3 2 4 3" xfId="2272" xr:uid="{00000000-0005-0000-0000-000070120000}"/>
    <cellStyle name="20% - Accent3 2 4 3 2" xfId="13598" xr:uid="{00000000-0005-0000-0000-000071120000}"/>
    <cellStyle name="20% - Accent3 2 4 3 3" xfId="17549" xr:uid="{00000000-0005-0000-0000-000072120000}"/>
    <cellStyle name="20% - Accent3 2 4 4" xfId="13596" xr:uid="{00000000-0005-0000-0000-000073120000}"/>
    <cellStyle name="20% - Accent3 2 4 5" xfId="17547" xr:uid="{00000000-0005-0000-0000-000074120000}"/>
    <cellStyle name="20% - Accent3 2 5" xfId="2273" xr:uid="{00000000-0005-0000-0000-000075120000}"/>
    <cellStyle name="20% - Accent3 2 5 2" xfId="2274" xr:uid="{00000000-0005-0000-0000-000076120000}"/>
    <cellStyle name="20% - Accent3 2 5 2 2" xfId="13600" xr:uid="{00000000-0005-0000-0000-000077120000}"/>
    <cellStyle name="20% - Accent3 2 5 2 3" xfId="17551" xr:uid="{00000000-0005-0000-0000-000078120000}"/>
    <cellStyle name="20% - Accent3 2 5 3" xfId="2275" xr:uid="{00000000-0005-0000-0000-000079120000}"/>
    <cellStyle name="20% - Accent3 2 5 3 2" xfId="13601" xr:uid="{00000000-0005-0000-0000-00007A120000}"/>
    <cellStyle name="20% - Accent3 2 5 3 3" xfId="17552" xr:uid="{00000000-0005-0000-0000-00007B120000}"/>
    <cellStyle name="20% - Accent3 2 5 4" xfId="13599" xr:uid="{00000000-0005-0000-0000-00007C120000}"/>
    <cellStyle name="20% - Accent3 2 5 5" xfId="17550" xr:uid="{00000000-0005-0000-0000-00007D120000}"/>
    <cellStyle name="20% - Accent3 2 6" xfId="2276" xr:uid="{00000000-0005-0000-0000-00007E120000}"/>
    <cellStyle name="20% - Accent3 2 6 2" xfId="2277" xr:uid="{00000000-0005-0000-0000-00007F120000}"/>
    <cellStyle name="20% - Accent3 2 6 2 2" xfId="13603" xr:uid="{00000000-0005-0000-0000-000080120000}"/>
    <cellStyle name="20% - Accent3 2 6 2 3" xfId="17554" xr:uid="{00000000-0005-0000-0000-000081120000}"/>
    <cellStyle name="20% - Accent3 2 6 3" xfId="2278" xr:uid="{00000000-0005-0000-0000-000082120000}"/>
    <cellStyle name="20% - Accent3 2 6 3 2" xfId="13604" xr:uid="{00000000-0005-0000-0000-000083120000}"/>
    <cellStyle name="20% - Accent3 2 6 3 3" xfId="17555" xr:uid="{00000000-0005-0000-0000-000084120000}"/>
    <cellStyle name="20% - Accent3 2 6 4" xfId="13602" xr:uid="{00000000-0005-0000-0000-000085120000}"/>
    <cellStyle name="20% - Accent3 2 6 5" xfId="17553" xr:uid="{00000000-0005-0000-0000-000086120000}"/>
    <cellStyle name="20% - Accent3 2 7" xfId="2279" xr:uid="{00000000-0005-0000-0000-000087120000}"/>
    <cellStyle name="20% - Accent3 2 7 2" xfId="13605" xr:uid="{00000000-0005-0000-0000-000088120000}"/>
    <cellStyle name="20% - Accent3 2 7 3" xfId="17556" xr:uid="{00000000-0005-0000-0000-000089120000}"/>
    <cellStyle name="20% - Accent3 2 8" xfId="2280" xr:uid="{00000000-0005-0000-0000-00008A120000}"/>
    <cellStyle name="20% - Accent3 2 8 2" xfId="13606" xr:uid="{00000000-0005-0000-0000-00008B120000}"/>
    <cellStyle name="20% - Accent3 2 8 3" xfId="17557" xr:uid="{00000000-0005-0000-0000-00008C120000}"/>
    <cellStyle name="20% - Accent3 2 9" xfId="13574" xr:uid="{00000000-0005-0000-0000-00008D120000}"/>
    <cellStyle name="20% - Accent3 2_Volatility" xfId="2281" xr:uid="{00000000-0005-0000-0000-00008E120000}"/>
    <cellStyle name="20% - Accent3 3" xfId="2282" xr:uid="{00000000-0005-0000-0000-00008F120000}"/>
    <cellStyle name="20% - Accent3 3 10" xfId="17558" xr:uid="{00000000-0005-0000-0000-000090120000}"/>
    <cellStyle name="20% - Accent3 3 2" xfId="2283" xr:uid="{00000000-0005-0000-0000-000091120000}"/>
    <cellStyle name="20% - Accent3 3 2 2" xfId="2284" xr:uid="{00000000-0005-0000-0000-000092120000}"/>
    <cellStyle name="20% - Accent3 3 2 2 2" xfId="2285" xr:uid="{00000000-0005-0000-0000-000093120000}"/>
    <cellStyle name="20% - Accent3 3 2 2 2 2" xfId="13610" xr:uid="{00000000-0005-0000-0000-000094120000}"/>
    <cellStyle name="20% - Accent3 3 2 2 2 3" xfId="17561" xr:uid="{00000000-0005-0000-0000-000095120000}"/>
    <cellStyle name="20% - Accent3 3 2 2 3" xfId="2286" xr:uid="{00000000-0005-0000-0000-000096120000}"/>
    <cellStyle name="20% - Accent3 3 2 2 3 2" xfId="13611" xr:uid="{00000000-0005-0000-0000-000097120000}"/>
    <cellStyle name="20% - Accent3 3 2 2 3 3" xfId="17562" xr:uid="{00000000-0005-0000-0000-000098120000}"/>
    <cellStyle name="20% - Accent3 3 2 2 4" xfId="13609" xr:uid="{00000000-0005-0000-0000-000099120000}"/>
    <cellStyle name="20% - Accent3 3 2 2 5" xfId="17560" xr:uid="{00000000-0005-0000-0000-00009A120000}"/>
    <cellStyle name="20% - Accent3 3 2 3" xfId="2287" xr:uid="{00000000-0005-0000-0000-00009B120000}"/>
    <cellStyle name="20% - Accent3 3 2 3 2" xfId="2288" xr:uid="{00000000-0005-0000-0000-00009C120000}"/>
    <cellStyle name="20% - Accent3 3 2 3 2 2" xfId="13613" xr:uid="{00000000-0005-0000-0000-00009D120000}"/>
    <cellStyle name="20% - Accent3 3 2 3 2 3" xfId="17564" xr:uid="{00000000-0005-0000-0000-00009E120000}"/>
    <cellStyle name="20% - Accent3 3 2 3 3" xfId="2289" xr:uid="{00000000-0005-0000-0000-00009F120000}"/>
    <cellStyle name="20% - Accent3 3 2 3 3 2" xfId="13614" xr:uid="{00000000-0005-0000-0000-0000A0120000}"/>
    <cellStyle name="20% - Accent3 3 2 3 3 3" xfId="17565" xr:uid="{00000000-0005-0000-0000-0000A1120000}"/>
    <cellStyle name="20% - Accent3 3 2 3 4" xfId="13612" xr:uid="{00000000-0005-0000-0000-0000A2120000}"/>
    <cellStyle name="20% - Accent3 3 2 3 5" xfId="17563" xr:uid="{00000000-0005-0000-0000-0000A3120000}"/>
    <cellStyle name="20% - Accent3 3 2 4" xfId="2290" xr:uid="{00000000-0005-0000-0000-0000A4120000}"/>
    <cellStyle name="20% - Accent3 3 2 4 2" xfId="2291" xr:uid="{00000000-0005-0000-0000-0000A5120000}"/>
    <cellStyle name="20% - Accent3 3 2 4 2 2" xfId="13616" xr:uid="{00000000-0005-0000-0000-0000A6120000}"/>
    <cellStyle name="20% - Accent3 3 2 4 2 3" xfId="17567" xr:uid="{00000000-0005-0000-0000-0000A7120000}"/>
    <cellStyle name="20% - Accent3 3 2 4 3" xfId="2292" xr:uid="{00000000-0005-0000-0000-0000A8120000}"/>
    <cellStyle name="20% - Accent3 3 2 4 3 2" xfId="13617" xr:uid="{00000000-0005-0000-0000-0000A9120000}"/>
    <cellStyle name="20% - Accent3 3 2 4 3 3" xfId="17568" xr:uid="{00000000-0005-0000-0000-0000AA120000}"/>
    <cellStyle name="20% - Accent3 3 2 4 4" xfId="13615" xr:uid="{00000000-0005-0000-0000-0000AB120000}"/>
    <cellStyle name="20% - Accent3 3 2 4 5" xfId="17566" xr:uid="{00000000-0005-0000-0000-0000AC120000}"/>
    <cellStyle name="20% - Accent3 3 2 5" xfId="2293" xr:uid="{00000000-0005-0000-0000-0000AD120000}"/>
    <cellStyle name="20% - Accent3 3 2 5 2" xfId="13618" xr:uid="{00000000-0005-0000-0000-0000AE120000}"/>
    <cellStyle name="20% - Accent3 3 2 5 3" xfId="17569" xr:uid="{00000000-0005-0000-0000-0000AF120000}"/>
    <cellStyle name="20% - Accent3 3 2 6" xfId="2294" xr:uid="{00000000-0005-0000-0000-0000B0120000}"/>
    <cellStyle name="20% - Accent3 3 2 6 2" xfId="13619" xr:uid="{00000000-0005-0000-0000-0000B1120000}"/>
    <cellStyle name="20% - Accent3 3 2 6 3" xfId="17570" xr:uid="{00000000-0005-0000-0000-0000B2120000}"/>
    <cellStyle name="20% - Accent3 3 2 7" xfId="13608" xr:uid="{00000000-0005-0000-0000-0000B3120000}"/>
    <cellStyle name="20% - Accent3 3 2 8" xfId="17559" xr:uid="{00000000-0005-0000-0000-0000B4120000}"/>
    <cellStyle name="20% - Accent3 3 2_Volatility" xfId="2295" xr:uid="{00000000-0005-0000-0000-0000B5120000}"/>
    <cellStyle name="20% - Accent3 3 3" xfId="2296" xr:uid="{00000000-0005-0000-0000-0000B6120000}"/>
    <cellStyle name="20% - Accent3 3 3 2" xfId="2297" xr:uid="{00000000-0005-0000-0000-0000B7120000}"/>
    <cellStyle name="20% - Accent3 3 3 2 2" xfId="2298" xr:uid="{00000000-0005-0000-0000-0000B8120000}"/>
    <cellStyle name="20% - Accent3 3 3 2 2 2" xfId="13622" xr:uid="{00000000-0005-0000-0000-0000B9120000}"/>
    <cellStyle name="20% - Accent3 3 3 2 2 3" xfId="17573" xr:uid="{00000000-0005-0000-0000-0000BA120000}"/>
    <cellStyle name="20% - Accent3 3 3 2 3" xfId="2299" xr:uid="{00000000-0005-0000-0000-0000BB120000}"/>
    <cellStyle name="20% - Accent3 3 3 2 3 2" xfId="13623" xr:uid="{00000000-0005-0000-0000-0000BC120000}"/>
    <cellStyle name="20% - Accent3 3 3 2 3 3" xfId="17574" xr:uid="{00000000-0005-0000-0000-0000BD120000}"/>
    <cellStyle name="20% - Accent3 3 3 2 4" xfId="13621" xr:uid="{00000000-0005-0000-0000-0000BE120000}"/>
    <cellStyle name="20% - Accent3 3 3 2 5" xfId="17572" xr:uid="{00000000-0005-0000-0000-0000BF120000}"/>
    <cellStyle name="20% - Accent3 3 3 3" xfId="2300" xr:uid="{00000000-0005-0000-0000-0000C0120000}"/>
    <cellStyle name="20% - Accent3 3 3 3 2" xfId="2301" xr:uid="{00000000-0005-0000-0000-0000C1120000}"/>
    <cellStyle name="20% - Accent3 3 3 3 2 2" xfId="13625" xr:uid="{00000000-0005-0000-0000-0000C2120000}"/>
    <cellStyle name="20% - Accent3 3 3 3 2 3" xfId="17576" xr:uid="{00000000-0005-0000-0000-0000C3120000}"/>
    <cellStyle name="20% - Accent3 3 3 3 3" xfId="2302" xr:uid="{00000000-0005-0000-0000-0000C4120000}"/>
    <cellStyle name="20% - Accent3 3 3 3 3 2" xfId="13626" xr:uid="{00000000-0005-0000-0000-0000C5120000}"/>
    <cellStyle name="20% - Accent3 3 3 3 3 3" xfId="17577" xr:uid="{00000000-0005-0000-0000-0000C6120000}"/>
    <cellStyle name="20% - Accent3 3 3 3 4" xfId="13624" xr:uid="{00000000-0005-0000-0000-0000C7120000}"/>
    <cellStyle name="20% - Accent3 3 3 3 5" xfId="17575" xr:uid="{00000000-0005-0000-0000-0000C8120000}"/>
    <cellStyle name="20% - Accent3 3 3 4" xfId="2303" xr:uid="{00000000-0005-0000-0000-0000C9120000}"/>
    <cellStyle name="20% - Accent3 3 3 4 2" xfId="13627" xr:uid="{00000000-0005-0000-0000-0000CA120000}"/>
    <cellStyle name="20% - Accent3 3 3 4 3" xfId="17578" xr:uid="{00000000-0005-0000-0000-0000CB120000}"/>
    <cellStyle name="20% - Accent3 3 3 5" xfId="2304" xr:uid="{00000000-0005-0000-0000-0000CC120000}"/>
    <cellStyle name="20% - Accent3 3 3 5 2" xfId="13628" xr:uid="{00000000-0005-0000-0000-0000CD120000}"/>
    <cellStyle name="20% - Accent3 3 3 5 3" xfId="17579" xr:uid="{00000000-0005-0000-0000-0000CE120000}"/>
    <cellStyle name="20% - Accent3 3 3 6" xfId="13620" xr:uid="{00000000-0005-0000-0000-0000CF120000}"/>
    <cellStyle name="20% - Accent3 3 3 7" xfId="17571" xr:uid="{00000000-0005-0000-0000-0000D0120000}"/>
    <cellStyle name="20% - Accent3 3 3_Volatility" xfId="2305" xr:uid="{00000000-0005-0000-0000-0000D1120000}"/>
    <cellStyle name="20% - Accent3 3 4" xfId="2306" xr:uid="{00000000-0005-0000-0000-0000D2120000}"/>
    <cellStyle name="20% - Accent3 3 4 2" xfId="2307" xr:uid="{00000000-0005-0000-0000-0000D3120000}"/>
    <cellStyle name="20% - Accent3 3 4 2 2" xfId="13630" xr:uid="{00000000-0005-0000-0000-0000D4120000}"/>
    <cellStyle name="20% - Accent3 3 4 2 3" xfId="17581" xr:uid="{00000000-0005-0000-0000-0000D5120000}"/>
    <cellStyle name="20% - Accent3 3 4 3" xfId="2308" xr:uid="{00000000-0005-0000-0000-0000D6120000}"/>
    <cellStyle name="20% - Accent3 3 4 3 2" xfId="13631" xr:uid="{00000000-0005-0000-0000-0000D7120000}"/>
    <cellStyle name="20% - Accent3 3 4 3 3" xfId="17582" xr:uid="{00000000-0005-0000-0000-0000D8120000}"/>
    <cellStyle name="20% - Accent3 3 4 4" xfId="13629" xr:uid="{00000000-0005-0000-0000-0000D9120000}"/>
    <cellStyle name="20% - Accent3 3 4 5" xfId="17580" xr:uid="{00000000-0005-0000-0000-0000DA120000}"/>
    <cellStyle name="20% - Accent3 3 5" xfId="2309" xr:uid="{00000000-0005-0000-0000-0000DB120000}"/>
    <cellStyle name="20% - Accent3 3 5 2" xfId="2310" xr:uid="{00000000-0005-0000-0000-0000DC120000}"/>
    <cellStyle name="20% - Accent3 3 5 2 2" xfId="13633" xr:uid="{00000000-0005-0000-0000-0000DD120000}"/>
    <cellStyle name="20% - Accent3 3 5 2 3" xfId="17584" xr:uid="{00000000-0005-0000-0000-0000DE120000}"/>
    <cellStyle name="20% - Accent3 3 5 3" xfId="2311" xr:uid="{00000000-0005-0000-0000-0000DF120000}"/>
    <cellStyle name="20% - Accent3 3 5 3 2" xfId="13634" xr:uid="{00000000-0005-0000-0000-0000E0120000}"/>
    <cellStyle name="20% - Accent3 3 5 3 3" xfId="17585" xr:uid="{00000000-0005-0000-0000-0000E1120000}"/>
    <cellStyle name="20% - Accent3 3 5 4" xfId="13632" xr:uid="{00000000-0005-0000-0000-0000E2120000}"/>
    <cellStyle name="20% - Accent3 3 5 5" xfId="17583" xr:uid="{00000000-0005-0000-0000-0000E3120000}"/>
    <cellStyle name="20% - Accent3 3 6" xfId="2312" xr:uid="{00000000-0005-0000-0000-0000E4120000}"/>
    <cellStyle name="20% - Accent3 3 6 2" xfId="2313" xr:uid="{00000000-0005-0000-0000-0000E5120000}"/>
    <cellStyle name="20% - Accent3 3 6 2 2" xfId="13636" xr:uid="{00000000-0005-0000-0000-0000E6120000}"/>
    <cellStyle name="20% - Accent3 3 6 2 3" xfId="17587" xr:uid="{00000000-0005-0000-0000-0000E7120000}"/>
    <cellStyle name="20% - Accent3 3 6 3" xfId="2314" xr:uid="{00000000-0005-0000-0000-0000E8120000}"/>
    <cellStyle name="20% - Accent3 3 6 3 2" xfId="13637" xr:uid="{00000000-0005-0000-0000-0000E9120000}"/>
    <cellStyle name="20% - Accent3 3 6 3 3" xfId="17588" xr:uid="{00000000-0005-0000-0000-0000EA120000}"/>
    <cellStyle name="20% - Accent3 3 6 4" xfId="13635" xr:uid="{00000000-0005-0000-0000-0000EB120000}"/>
    <cellStyle name="20% - Accent3 3 6 5" xfId="17586" xr:uid="{00000000-0005-0000-0000-0000EC120000}"/>
    <cellStyle name="20% - Accent3 3 7" xfId="2315" xr:uid="{00000000-0005-0000-0000-0000ED120000}"/>
    <cellStyle name="20% - Accent3 3 7 2" xfId="13638" xr:uid="{00000000-0005-0000-0000-0000EE120000}"/>
    <cellStyle name="20% - Accent3 3 7 3" xfId="17589" xr:uid="{00000000-0005-0000-0000-0000EF120000}"/>
    <cellStyle name="20% - Accent3 3 8" xfId="2316" xr:uid="{00000000-0005-0000-0000-0000F0120000}"/>
    <cellStyle name="20% - Accent3 3 8 2" xfId="13639" xr:uid="{00000000-0005-0000-0000-0000F1120000}"/>
    <cellStyle name="20% - Accent3 3 8 3" xfId="17590" xr:uid="{00000000-0005-0000-0000-0000F2120000}"/>
    <cellStyle name="20% - Accent3 3 9" xfId="13607" xr:uid="{00000000-0005-0000-0000-0000F3120000}"/>
    <cellStyle name="20% - Accent3 3_Volatility" xfId="2317" xr:uid="{00000000-0005-0000-0000-0000F4120000}"/>
    <cellStyle name="20% - Accent3 4" xfId="2318" xr:uid="{00000000-0005-0000-0000-0000F5120000}"/>
    <cellStyle name="20% - Accent3 4 10" xfId="17591" xr:uid="{00000000-0005-0000-0000-0000F6120000}"/>
    <cellStyle name="20% - Accent3 4 2" xfId="2319" xr:uid="{00000000-0005-0000-0000-0000F7120000}"/>
    <cellStyle name="20% - Accent3 4 2 2" xfId="2320" xr:uid="{00000000-0005-0000-0000-0000F8120000}"/>
    <cellStyle name="20% - Accent3 4 2 2 2" xfId="2321" xr:uid="{00000000-0005-0000-0000-0000F9120000}"/>
    <cellStyle name="20% - Accent3 4 2 2 2 2" xfId="13643" xr:uid="{00000000-0005-0000-0000-0000FA120000}"/>
    <cellStyle name="20% - Accent3 4 2 2 2 3" xfId="17594" xr:uid="{00000000-0005-0000-0000-0000FB120000}"/>
    <cellStyle name="20% - Accent3 4 2 2 3" xfId="2322" xr:uid="{00000000-0005-0000-0000-0000FC120000}"/>
    <cellStyle name="20% - Accent3 4 2 2 3 2" xfId="13644" xr:uid="{00000000-0005-0000-0000-0000FD120000}"/>
    <cellStyle name="20% - Accent3 4 2 2 3 3" xfId="17595" xr:uid="{00000000-0005-0000-0000-0000FE120000}"/>
    <cellStyle name="20% - Accent3 4 2 2 4" xfId="13642" xr:uid="{00000000-0005-0000-0000-0000FF120000}"/>
    <cellStyle name="20% - Accent3 4 2 2 5" xfId="17593" xr:uid="{00000000-0005-0000-0000-000000130000}"/>
    <cellStyle name="20% - Accent3 4 2 3" xfId="2323" xr:uid="{00000000-0005-0000-0000-000001130000}"/>
    <cellStyle name="20% - Accent3 4 2 3 2" xfId="2324" xr:uid="{00000000-0005-0000-0000-000002130000}"/>
    <cellStyle name="20% - Accent3 4 2 3 2 2" xfId="13646" xr:uid="{00000000-0005-0000-0000-000003130000}"/>
    <cellStyle name="20% - Accent3 4 2 3 2 3" xfId="17597" xr:uid="{00000000-0005-0000-0000-000004130000}"/>
    <cellStyle name="20% - Accent3 4 2 3 3" xfId="2325" xr:uid="{00000000-0005-0000-0000-000005130000}"/>
    <cellStyle name="20% - Accent3 4 2 3 3 2" xfId="13647" xr:uid="{00000000-0005-0000-0000-000006130000}"/>
    <cellStyle name="20% - Accent3 4 2 3 3 3" xfId="17598" xr:uid="{00000000-0005-0000-0000-000007130000}"/>
    <cellStyle name="20% - Accent3 4 2 3 4" xfId="13645" xr:uid="{00000000-0005-0000-0000-000008130000}"/>
    <cellStyle name="20% - Accent3 4 2 3 5" xfId="17596" xr:uid="{00000000-0005-0000-0000-000009130000}"/>
    <cellStyle name="20% - Accent3 4 2 4" xfId="2326" xr:uid="{00000000-0005-0000-0000-00000A130000}"/>
    <cellStyle name="20% - Accent3 4 2 4 2" xfId="2327" xr:uid="{00000000-0005-0000-0000-00000B130000}"/>
    <cellStyle name="20% - Accent3 4 2 4 2 2" xfId="13649" xr:uid="{00000000-0005-0000-0000-00000C130000}"/>
    <cellStyle name="20% - Accent3 4 2 4 2 3" xfId="17600" xr:uid="{00000000-0005-0000-0000-00000D130000}"/>
    <cellStyle name="20% - Accent3 4 2 4 3" xfId="2328" xr:uid="{00000000-0005-0000-0000-00000E130000}"/>
    <cellStyle name="20% - Accent3 4 2 4 3 2" xfId="13650" xr:uid="{00000000-0005-0000-0000-00000F130000}"/>
    <cellStyle name="20% - Accent3 4 2 4 3 3" xfId="17601" xr:uid="{00000000-0005-0000-0000-000010130000}"/>
    <cellStyle name="20% - Accent3 4 2 4 4" xfId="13648" xr:uid="{00000000-0005-0000-0000-000011130000}"/>
    <cellStyle name="20% - Accent3 4 2 4 5" xfId="17599" xr:uid="{00000000-0005-0000-0000-000012130000}"/>
    <cellStyle name="20% - Accent3 4 2 5" xfId="2329" xr:uid="{00000000-0005-0000-0000-000013130000}"/>
    <cellStyle name="20% - Accent3 4 2 5 2" xfId="13651" xr:uid="{00000000-0005-0000-0000-000014130000}"/>
    <cellStyle name="20% - Accent3 4 2 5 3" xfId="17602" xr:uid="{00000000-0005-0000-0000-000015130000}"/>
    <cellStyle name="20% - Accent3 4 2 6" xfId="2330" xr:uid="{00000000-0005-0000-0000-000016130000}"/>
    <cellStyle name="20% - Accent3 4 2 6 2" xfId="13652" xr:uid="{00000000-0005-0000-0000-000017130000}"/>
    <cellStyle name="20% - Accent3 4 2 6 3" xfId="17603" xr:uid="{00000000-0005-0000-0000-000018130000}"/>
    <cellStyle name="20% - Accent3 4 2 7" xfId="13641" xr:uid="{00000000-0005-0000-0000-000019130000}"/>
    <cellStyle name="20% - Accent3 4 2 8" xfId="17592" xr:uid="{00000000-0005-0000-0000-00001A130000}"/>
    <cellStyle name="20% - Accent3 4 2_Volatility" xfId="2331" xr:uid="{00000000-0005-0000-0000-00001B130000}"/>
    <cellStyle name="20% - Accent3 4 3" xfId="2332" xr:uid="{00000000-0005-0000-0000-00001C130000}"/>
    <cellStyle name="20% - Accent3 4 3 2" xfId="2333" xr:uid="{00000000-0005-0000-0000-00001D130000}"/>
    <cellStyle name="20% - Accent3 4 3 2 2" xfId="2334" xr:uid="{00000000-0005-0000-0000-00001E130000}"/>
    <cellStyle name="20% - Accent3 4 3 2 2 2" xfId="13655" xr:uid="{00000000-0005-0000-0000-00001F130000}"/>
    <cellStyle name="20% - Accent3 4 3 2 2 3" xfId="17606" xr:uid="{00000000-0005-0000-0000-000020130000}"/>
    <cellStyle name="20% - Accent3 4 3 2 3" xfId="2335" xr:uid="{00000000-0005-0000-0000-000021130000}"/>
    <cellStyle name="20% - Accent3 4 3 2 3 2" xfId="13656" xr:uid="{00000000-0005-0000-0000-000022130000}"/>
    <cellStyle name="20% - Accent3 4 3 2 3 3" xfId="17607" xr:uid="{00000000-0005-0000-0000-000023130000}"/>
    <cellStyle name="20% - Accent3 4 3 2 4" xfId="13654" xr:uid="{00000000-0005-0000-0000-000024130000}"/>
    <cellStyle name="20% - Accent3 4 3 2 5" xfId="17605" xr:uid="{00000000-0005-0000-0000-000025130000}"/>
    <cellStyle name="20% - Accent3 4 3 3" xfId="2336" xr:uid="{00000000-0005-0000-0000-000026130000}"/>
    <cellStyle name="20% - Accent3 4 3 3 2" xfId="2337" xr:uid="{00000000-0005-0000-0000-000027130000}"/>
    <cellStyle name="20% - Accent3 4 3 3 2 2" xfId="13658" xr:uid="{00000000-0005-0000-0000-000028130000}"/>
    <cellStyle name="20% - Accent3 4 3 3 2 3" xfId="17609" xr:uid="{00000000-0005-0000-0000-000029130000}"/>
    <cellStyle name="20% - Accent3 4 3 3 3" xfId="2338" xr:uid="{00000000-0005-0000-0000-00002A130000}"/>
    <cellStyle name="20% - Accent3 4 3 3 3 2" xfId="13659" xr:uid="{00000000-0005-0000-0000-00002B130000}"/>
    <cellStyle name="20% - Accent3 4 3 3 3 3" xfId="17610" xr:uid="{00000000-0005-0000-0000-00002C130000}"/>
    <cellStyle name="20% - Accent3 4 3 3 4" xfId="13657" xr:uid="{00000000-0005-0000-0000-00002D130000}"/>
    <cellStyle name="20% - Accent3 4 3 3 5" xfId="17608" xr:uid="{00000000-0005-0000-0000-00002E130000}"/>
    <cellStyle name="20% - Accent3 4 3 4" xfId="2339" xr:uid="{00000000-0005-0000-0000-00002F130000}"/>
    <cellStyle name="20% - Accent3 4 3 4 2" xfId="13660" xr:uid="{00000000-0005-0000-0000-000030130000}"/>
    <cellStyle name="20% - Accent3 4 3 4 3" xfId="17611" xr:uid="{00000000-0005-0000-0000-000031130000}"/>
    <cellStyle name="20% - Accent3 4 3 5" xfId="2340" xr:uid="{00000000-0005-0000-0000-000032130000}"/>
    <cellStyle name="20% - Accent3 4 3 5 2" xfId="13661" xr:uid="{00000000-0005-0000-0000-000033130000}"/>
    <cellStyle name="20% - Accent3 4 3 5 3" xfId="17612" xr:uid="{00000000-0005-0000-0000-000034130000}"/>
    <cellStyle name="20% - Accent3 4 3 6" xfId="13653" xr:uid="{00000000-0005-0000-0000-000035130000}"/>
    <cellStyle name="20% - Accent3 4 3 7" xfId="17604" xr:uid="{00000000-0005-0000-0000-000036130000}"/>
    <cellStyle name="20% - Accent3 4 3_Volatility" xfId="2341" xr:uid="{00000000-0005-0000-0000-000037130000}"/>
    <cellStyle name="20% - Accent3 4 4" xfId="2342" xr:uid="{00000000-0005-0000-0000-000038130000}"/>
    <cellStyle name="20% - Accent3 4 4 2" xfId="2343" xr:uid="{00000000-0005-0000-0000-000039130000}"/>
    <cellStyle name="20% - Accent3 4 4 2 2" xfId="13663" xr:uid="{00000000-0005-0000-0000-00003A130000}"/>
    <cellStyle name="20% - Accent3 4 4 2 3" xfId="17614" xr:uid="{00000000-0005-0000-0000-00003B130000}"/>
    <cellStyle name="20% - Accent3 4 4 3" xfId="2344" xr:uid="{00000000-0005-0000-0000-00003C130000}"/>
    <cellStyle name="20% - Accent3 4 4 3 2" xfId="13664" xr:uid="{00000000-0005-0000-0000-00003D130000}"/>
    <cellStyle name="20% - Accent3 4 4 3 3" xfId="17615" xr:uid="{00000000-0005-0000-0000-00003E130000}"/>
    <cellStyle name="20% - Accent3 4 4 4" xfId="13662" xr:uid="{00000000-0005-0000-0000-00003F130000}"/>
    <cellStyle name="20% - Accent3 4 4 5" xfId="17613" xr:uid="{00000000-0005-0000-0000-000040130000}"/>
    <cellStyle name="20% - Accent3 4 5" xfId="2345" xr:uid="{00000000-0005-0000-0000-000041130000}"/>
    <cellStyle name="20% - Accent3 4 5 2" xfId="2346" xr:uid="{00000000-0005-0000-0000-000042130000}"/>
    <cellStyle name="20% - Accent3 4 5 2 2" xfId="13666" xr:uid="{00000000-0005-0000-0000-000043130000}"/>
    <cellStyle name="20% - Accent3 4 5 2 3" xfId="17617" xr:uid="{00000000-0005-0000-0000-000044130000}"/>
    <cellStyle name="20% - Accent3 4 5 3" xfId="2347" xr:uid="{00000000-0005-0000-0000-000045130000}"/>
    <cellStyle name="20% - Accent3 4 5 3 2" xfId="13667" xr:uid="{00000000-0005-0000-0000-000046130000}"/>
    <cellStyle name="20% - Accent3 4 5 3 3" xfId="17618" xr:uid="{00000000-0005-0000-0000-000047130000}"/>
    <cellStyle name="20% - Accent3 4 5 4" xfId="13665" xr:uid="{00000000-0005-0000-0000-000048130000}"/>
    <cellStyle name="20% - Accent3 4 5 5" xfId="17616" xr:uid="{00000000-0005-0000-0000-000049130000}"/>
    <cellStyle name="20% - Accent3 4 6" xfId="2348" xr:uid="{00000000-0005-0000-0000-00004A130000}"/>
    <cellStyle name="20% - Accent3 4 6 2" xfId="2349" xr:uid="{00000000-0005-0000-0000-00004B130000}"/>
    <cellStyle name="20% - Accent3 4 6 2 2" xfId="13669" xr:uid="{00000000-0005-0000-0000-00004C130000}"/>
    <cellStyle name="20% - Accent3 4 6 2 3" xfId="17620" xr:uid="{00000000-0005-0000-0000-00004D130000}"/>
    <cellStyle name="20% - Accent3 4 6 3" xfId="2350" xr:uid="{00000000-0005-0000-0000-00004E130000}"/>
    <cellStyle name="20% - Accent3 4 6 3 2" xfId="13670" xr:uid="{00000000-0005-0000-0000-00004F130000}"/>
    <cellStyle name="20% - Accent3 4 6 3 3" xfId="17621" xr:uid="{00000000-0005-0000-0000-000050130000}"/>
    <cellStyle name="20% - Accent3 4 6 4" xfId="13668" xr:uid="{00000000-0005-0000-0000-000051130000}"/>
    <cellStyle name="20% - Accent3 4 6 5" xfId="17619" xr:uid="{00000000-0005-0000-0000-000052130000}"/>
    <cellStyle name="20% - Accent3 4 7" xfId="2351" xr:uid="{00000000-0005-0000-0000-000053130000}"/>
    <cellStyle name="20% - Accent3 4 7 2" xfId="13671" xr:uid="{00000000-0005-0000-0000-000054130000}"/>
    <cellStyle name="20% - Accent3 4 7 3" xfId="17622" xr:uid="{00000000-0005-0000-0000-000055130000}"/>
    <cellStyle name="20% - Accent3 4 8" xfId="2352" xr:uid="{00000000-0005-0000-0000-000056130000}"/>
    <cellStyle name="20% - Accent3 4 8 2" xfId="13672" xr:uid="{00000000-0005-0000-0000-000057130000}"/>
    <cellStyle name="20% - Accent3 4 8 3" xfId="17623" xr:uid="{00000000-0005-0000-0000-000058130000}"/>
    <cellStyle name="20% - Accent3 4 9" xfId="13640" xr:uid="{00000000-0005-0000-0000-000059130000}"/>
    <cellStyle name="20% - Accent3 4_Volatility" xfId="2353" xr:uid="{00000000-0005-0000-0000-00005A130000}"/>
    <cellStyle name="20% - Accent3 5" xfId="2354" xr:uid="{00000000-0005-0000-0000-00005B130000}"/>
    <cellStyle name="20% - Accent3 5 10" xfId="17624" xr:uid="{00000000-0005-0000-0000-00005C130000}"/>
    <cellStyle name="20% - Accent3 5 2" xfId="2355" xr:uid="{00000000-0005-0000-0000-00005D130000}"/>
    <cellStyle name="20% - Accent3 5 2 2" xfId="2356" xr:uid="{00000000-0005-0000-0000-00005E130000}"/>
    <cellStyle name="20% - Accent3 5 2 2 2" xfId="2357" xr:uid="{00000000-0005-0000-0000-00005F130000}"/>
    <cellStyle name="20% - Accent3 5 2 2 2 2" xfId="13676" xr:uid="{00000000-0005-0000-0000-000060130000}"/>
    <cellStyle name="20% - Accent3 5 2 2 2 3" xfId="17627" xr:uid="{00000000-0005-0000-0000-000061130000}"/>
    <cellStyle name="20% - Accent3 5 2 2 3" xfId="2358" xr:uid="{00000000-0005-0000-0000-000062130000}"/>
    <cellStyle name="20% - Accent3 5 2 2 3 2" xfId="13677" xr:uid="{00000000-0005-0000-0000-000063130000}"/>
    <cellStyle name="20% - Accent3 5 2 2 3 3" xfId="17628" xr:uid="{00000000-0005-0000-0000-000064130000}"/>
    <cellStyle name="20% - Accent3 5 2 2 4" xfId="13675" xr:uid="{00000000-0005-0000-0000-000065130000}"/>
    <cellStyle name="20% - Accent3 5 2 2 5" xfId="17626" xr:uid="{00000000-0005-0000-0000-000066130000}"/>
    <cellStyle name="20% - Accent3 5 2 3" xfId="2359" xr:uid="{00000000-0005-0000-0000-000067130000}"/>
    <cellStyle name="20% - Accent3 5 2 3 2" xfId="2360" xr:uid="{00000000-0005-0000-0000-000068130000}"/>
    <cellStyle name="20% - Accent3 5 2 3 2 2" xfId="13679" xr:uid="{00000000-0005-0000-0000-000069130000}"/>
    <cellStyle name="20% - Accent3 5 2 3 2 3" xfId="17630" xr:uid="{00000000-0005-0000-0000-00006A130000}"/>
    <cellStyle name="20% - Accent3 5 2 3 3" xfId="2361" xr:uid="{00000000-0005-0000-0000-00006B130000}"/>
    <cellStyle name="20% - Accent3 5 2 3 3 2" xfId="13680" xr:uid="{00000000-0005-0000-0000-00006C130000}"/>
    <cellStyle name="20% - Accent3 5 2 3 3 3" xfId="17631" xr:uid="{00000000-0005-0000-0000-00006D130000}"/>
    <cellStyle name="20% - Accent3 5 2 3 4" xfId="13678" xr:uid="{00000000-0005-0000-0000-00006E130000}"/>
    <cellStyle name="20% - Accent3 5 2 3 5" xfId="17629" xr:uid="{00000000-0005-0000-0000-00006F130000}"/>
    <cellStyle name="20% - Accent3 5 2 4" xfId="2362" xr:uid="{00000000-0005-0000-0000-000070130000}"/>
    <cellStyle name="20% - Accent3 5 2 4 2" xfId="2363" xr:uid="{00000000-0005-0000-0000-000071130000}"/>
    <cellStyle name="20% - Accent3 5 2 4 2 2" xfId="13682" xr:uid="{00000000-0005-0000-0000-000072130000}"/>
    <cellStyle name="20% - Accent3 5 2 4 2 3" xfId="17633" xr:uid="{00000000-0005-0000-0000-000073130000}"/>
    <cellStyle name="20% - Accent3 5 2 4 3" xfId="2364" xr:uid="{00000000-0005-0000-0000-000074130000}"/>
    <cellStyle name="20% - Accent3 5 2 4 3 2" xfId="13683" xr:uid="{00000000-0005-0000-0000-000075130000}"/>
    <cellStyle name="20% - Accent3 5 2 4 3 3" xfId="17634" xr:uid="{00000000-0005-0000-0000-000076130000}"/>
    <cellStyle name="20% - Accent3 5 2 4 4" xfId="13681" xr:uid="{00000000-0005-0000-0000-000077130000}"/>
    <cellStyle name="20% - Accent3 5 2 4 5" xfId="17632" xr:uid="{00000000-0005-0000-0000-000078130000}"/>
    <cellStyle name="20% - Accent3 5 2 5" xfId="2365" xr:uid="{00000000-0005-0000-0000-000079130000}"/>
    <cellStyle name="20% - Accent3 5 2 5 2" xfId="13684" xr:uid="{00000000-0005-0000-0000-00007A130000}"/>
    <cellStyle name="20% - Accent3 5 2 5 3" xfId="17635" xr:uid="{00000000-0005-0000-0000-00007B130000}"/>
    <cellStyle name="20% - Accent3 5 2 6" xfId="2366" xr:uid="{00000000-0005-0000-0000-00007C130000}"/>
    <cellStyle name="20% - Accent3 5 2 6 2" xfId="13685" xr:uid="{00000000-0005-0000-0000-00007D130000}"/>
    <cellStyle name="20% - Accent3 5 2 6 3" xfId="17636" xr:uid="{00000000-0005-0000-0000-00007E130000}"/>
    <cellStyle name="20% - Accent3 5 2 7" xfId="13674" xr:uid="{00000000-0005-0000-0000-00007F130000}"/>
    <cellStyle name="20% - Accent3 5 2 8" xfId="17625" xr:uid="{00000000-0005-0000-0000-000080130000}"/>
    <cellStyle name="20% - Accent3 5 2_Volatility" xfId="2367" xr:uid="{00000000-0005-0000-0000-000081130000}"/>
    <cellStyle name="20% - Accent3 5 3" xfId="2368" xr:uid="{00000000-0005-0000-0000-000082130000}"/>
    <cellStyle name="20% - Accent3 5 3 2" xfId="2369" xr:uid="{00000000-0005-0000-0000-000083130000}"/>
    <cellStyle name="20% - Accent3 5 3 2 2" xfId="2370" xr:uid="{00000000-0005-0000-0000-000084130000}"/>
    <cellStyle name="20% - Accent3 5 3 2 2 2" xfId="13688" xr:uid="{00000000-0005-0000-0000-000085130000}"/>
    <cellStyle name="20% - Accent3 5 3 2 2 3" xfId="17639" xr:uid="{00000000-0005-0000-0000-000086130000}"/>
    <cellStyle name="20% - Accent3 5 3 2 3" xfId="2371" xr:uid="{00000000-0005-0000-0000-000087130000}"/>
    <cellStyle name="20% - Accent3 5 3 2 3 2" xfId="13689" xr:uid="{00000000-0005-0000-0000-000088130000}"/>
    <cellStyle name="20% - Accent3 5 3 2 3 3" xfId="17640" xr:uid="{00000000-0005-0000-0000-000089130000}"/>
    <cellStyle name="20% - Accent3 5 3 2 4" xfId="13687" xr:uid="{00000000-0005-0000-0000-00008A130000}"/>
    <cellStyle name="20% - Accent3 5 3 2 5" xfId="17638" xr:uid="{00000000-0005-0000-0000-00008B130000}"/>
    <cellStyle name="20% - Accent3 5 3 3" xfId="2372" xr:uid="{00000000-0005-0000-0000-00008C130000}"/>
    <cellStyle name="20% - Accent3 5 3 3 2" xfId="2373" xr:uid="{00000000-0005-0000-0000-00008D130000}"/>
    <cellStyle name="20% - Accent3 5 3 3 2 2" xfId="13691" xr:uid="{00000000-0005-0000-0000-00008E130000}"/>
    <cellStyle name="20% - Accent3 5 3 3 2 3" xfId="17642" xr:uid="{00000000-0005-0000-0000-00008F130000}"/>
    <cellStyle name="20% - Accent3 5 3 3 3" xfId="2374" xr:uid="{00000000-0005-0000-0000-000090130000}"/>
    <cellStyle name="20% - Accent3 5 3 3 3 2" xfId="13692" xr:uid="{00000000-0005-0000-0000-000091130000}"/>
    <cellStyle name="20% - Accent3 5 3 3 3 3" xfId="17643" xr:uid="{00000000-0005-0000-0000-000092130000}"/>
    <cellStyle name="20% - Accent3 5 3 3 4" xfId="13690" xr:uid="{00000000-0005-0000-0000-000093130000}"/>
    <cellStyle name="20% - Accent3 5 3 3 5" xfId="17641" xr:uid="{00000000-0005-0000-0000-000094130000}"/>
    <cellStyle name="20% - Accent3 5 3 4" xfId="2375" xr:uid="{00000000-0005-0000-0000-000095130000}"/>
    <cellStyle name="20% - Accent3 5 3 4 2" xfId="13693" xr:uid="{00000000-0005-0000-0000-000096130000}"/>
    <cellStyle name="20% - Accent3 5 3 4 3" xfId="17644" xr:uid="{00000000-0005-0000-0000-000097130000}"/>
    <cellStyle name="20% - Accent3 5 3 5" xfId="2376" xr:uid="{00000000-0005-0000-0000-000098130000}"/>
    <cellStyle name="20% - Accent3 5 3 5 2" xfId="13694" xr:uid="{00000000-0005-0000-0000-000099130000}"/>
    <cellStyle name="20% - Accent3 5 3 5 3" xfId="17645" xr:uid="{00000000-0005-0000-0000-00009A130000}"/>
    <cellStyle name="20% - Accent3 5 3 6" xfId="13686" xr:uid="{00000000-0005-0000-0000-00009B130000}"/>
    <cellStyle name="20% - Accent3 5 3 7" xfId="17637" xr:uid="{00000000-0005-0000-0000-00009C130000}"/>
    <cellStyle name="20% - Accent3 5 3_Volatility" xfId="2377" xr:uid="{00000000-0005-0000-0000-00009D130000}"/>
    <cellStyle name="20% - Accent3 5 4" xfId="2378" xr:uid="{00000000-0005-0000-0000-00009E130000}"/>
    <cellStyle name="20% - Accent3 5 4 2" xfId="2379" xr:uid="{00000000-0005-0000-0000-00009F130000}"/>
    <cellStyle name="20% - Accent3 5 4 2 2" xfId="13696" xr:uid="{00000000-0005-0000-0000-0000A0130000}"/>
    <cellStyle name="20% - Accent3 5 4 2 3" xfId="17647" xr:uid="{00000000-0005-0000-0000-0000A1130000}"/>
    <cellStyle name="20% - Accent3 5 4 3" xfId="2380" xr:uid="{00000000-0005-0000-0000-0000A2130000}"/>
    <cellStyle name="20% - Accent3 5 4 3 2" xfId="13697" xr:uid="{00000000-0005-0000-0000-0000A3130000}"/>
    <cellStyle name="20% - Accent3 5 4 3 3" xfId="17648" xr:uid="{00000000-0005-0000-0000-0000A4130000}"/>
    <cellStyle name="20% - Accent3 5 4 4" xfId="13695" xr:uid="{00000000-0005-0000-0000-0000A5130000}"/>
    <cellStyle name="20% - Accent3 5 4 5" xfId="17646" xr:uid="{00000000-0005-0000-0000-0000A6130000}"/>
    <cellStyle name="20% - Accent3 5 5" xfId="2381" xr:uid="{00000000-0005-0000-0000-0000A7130000}"/>
    <cellStyle name="20% - Accent3 5 5 2" xfId="2382" xr:uid="{00000000-0005-0000-0000-0000A8130000}"/>
    <cellStyle name="20% - Accent3 5 5 2 2" xfId="13699" xr:uid="{00000000-0005-0000-0000-0000A9130000}"/>
    <cellStyle name="20% - Accent3 5 5 2 3" xfId="17650" xr:uid="{00000000-0005-0000-0000-0000AA130000}"/>
    <cellStyle name="20% - Accent3 5 5 3" xfId="2383" xr:uid="{00000000-0005-0000-0000-0000AB130000}"/>
    <cellStyle name="20% - Accent3 5 5 3 2" xfId="13700" xr:uid="{00000000-0005-0000-0000-0000AC130000}"/>
    <cellStyle name="20% - Accent3 5 5 3 3" xfId="17651" xr:uid="{00000000-0005-0000-0000-0000AD130000}"/>
    <cellStyle name="20% - Accent3 5 5 4" xfId="13698" xr:uid="{00000000-0005-0000-0000-0000AE130000}"/>
    <cellStyle name="20% - Accent3 5 5 5" xfId="17649" xr:uid="{00000000-0005-0000-0000-0000AF130000}"/>
    <cellStyle name="20% - Accent3 5 6" xfId="2384" xr:uid="{00000000-0005-0000-0000-0000B0130000}"/>
    <cellStyle name="20% - Accent3 5 6 2" xfId="2385" xr:uid="{00000000-0005-0000-0000-0000B1130000}"/>
    <cellStyle name="20% - Accent3 5 6 2 2" xfId="13702" xr:uid="{00000000-0005-0000-0000-0000B2130000}"/>
    <cellStyle name="20% - Accent3 5 6 2 3" xfId="17653" xr:uid="{00000000-0005-0000-0000-0000B3130000}"/>
    <cellStyle name="20% - Accent3 5 6 3" xfId="2386" xr:uid="{00000000-0005-0000-0000-0000B4130000}"/>
    <cellStyle name="20% - Accent3 5 6 3 2" xfId="13703" xr:uid="{00000000-0005-0000-0000-0000B5130000}"/>
    <cellStyle name="20% - Accent3 5 6 3 3" xfId="17654" xr:uid="{00000000-0005-0000-0000-0000B6130000}"/>
    <cellStyle name="20% - Accent3 5 6 4" xfId="13701" xr:uid="{00000000-0005-0000-0000-0000B7130000}"/>
    <cellStyle name="20% - Accent3 5 6 5" xfId="17652" xr:uid="{00000000-0005-0000-0000-0000B8130000}"/>
    <cellStyle name="20% - Accent3 5 7" xfId="2387" xr:uid="{00000000-0005-0000-0000-0000B9130000}"/>
    <cellStyle name="20% - Accent3 5 7 2" xfId="13704" xr:uid="{00000000-0005-0000-0000-0000BA130000}"/>
    <cellStyle name="20% - Accent3 5 7 3" xfId="17655" xr:uid="{00000000-0005-0000-0000-0000BB130000}"/>
    <cellStyle name="20% - Accent3 5 8" xfId="2388" xr:uid="{00000000-0005-0000-0000-0000BC130000}"/>
    <cellStyle name="20% - Accent3 5 8 2" xfId="13705" xr:uid="{00000000-0005-0000-0000-0000BD130000}"/>
    <cellStyle name="20% - Accent3 5 8 3" xfId="17656" xr:uid="{00000000-0005-0000-0000-0000BE130000}"/>
    <cellStyle name="20% - Accent3 5 9" xfId="13673" xr:uid="{00000000-0005-0000-0000-0000BF130000}"/>
    <cellStyle name="20% - Accent3 5_Volatility" xfId="2389" xr:uid="{00000000-0005-0000-0000-0000C0130000}"/>
    <cellStyle name="20% - Accent3 6" xfId="2390" xr:uid="{00000000-0005-0000-0000-0000C1130000}"/>
    <cellStyle name="20% - Accent3 6 10" xfId="17657" xr:uid="{00000000-0005-0000-0000-0000C2130000}"/>
    <cellStyle name="20% - Accent3 6 2" xfId="2391" xr:uid="{00000000-0005-0000-0000-0000C3130000}"/>
    <cellStyle name="20% - Accent3 6 2 2" xfId="2392" xr:uid="{00000000-0005-0000-0000-0000C4130000}"/>
    <cellStyle name="20% - Accent3 6 2 2 2" xfId="2393" xr:uid="{00000000-0005-0000-0000-0000C5130000}"/>
    <cellStyle name="20% - Accent3 6 2 2 2 2" xfId="13709" xr:uid="{00000000-0005-0000-0000-0000C6130000}"/>
    <cellStyle name="20% - Accent3 6 2 2 2 3" xfId="17660" xr:uid="{00000000-0005-0000-0000-0000C7130000}"/>
    <cellStyle name="20% - Accent3 6 2 2 3" xfId="2394" xr:uid="{00000000-0005-0000-0000-0000C8130000}"/>
    <cellStyle name="20% - Accent3 6 2 2 3 2" xfId="13710" xr:uid="{00000000-0005-0000-0000-0000C9130000}"/>
    <cellStyle name="20% - Accent3 6 2 2 3 3" xfId="17661" xr:uid="{00000000-0005-0000-0000-0000CA130000}"/>
    <cellStyle name="20% - Accent3 6 2 2 4" xfId="13708" xr:uid="{00000000-0005-0000-0000-0000CB130000}"/>
    <cellStyle name="20% - Accent3 6 2 2 5" xfId="17659" xr:uid="{00000000-0005-0000-0000-0000CC130000}"/>
    <cellStyle name="20% - Accent3 6 2 3" xfId="2395" xr:uid="{00000000-0005-0000-0000-0000CD130000}"/>
    <cellStyle name="20% - Accent3 6 2 3 2" xfId="2396" xr:uid="{00000000-0005-0000-0000-0000CE130000}"/>
    <cellStyle name="20% - Accent3 6 2 3 2 2" xfId="13712" xr:uid="{00000000-0005-0000-0000-0000CF130000}"/>
    <cellStyle name="20% - Accent3 6 2 3 2 3" xfId="17663" xr:uid="{00000000-0005-0000-0000-0000D0130000}"/>
    <cellStyle name="20% - Accent3 6 2 3 3" xfId="2397" xr:uid="{00000000-0005-0000-0000-0000D1130000}"/>
    <cellStyle name="20% - Accent3 6 2 3 3 2" xfId="13713" xr:uid="{00000000-0005-0000-0000-0000D2130000}"/>
    <cellStyle name="20% - Accent3 6 2 3 3 3" xfId="17664" xr:uid="{00000000-0005-0000-0000-0000D3130000}"/>
    <cellStyle name="20% - Accent3 6 2 3 4" xfId="13711" xr:uid="{00000000-0005-0000-0000-0000D4130000}"/>
    <cellStyle name="20% - Accent3 6 2 3 5" xfId="17662" xr:uid="{00000000-0005-0000-0000-0000D5130000}"/>
    <cellStyle name="20% - Accent3 6 2 4" xfId="2398" xr:uid="{00000000-0005-0000-0000-0000D6130000}"/>
    <cellStyle name="20% - Accent3 6 2 4 2" xfId="2399" xr:uid="{00000000-0005-0000-0000-0000D7130000}"/>
    <cellStyle name="20% - Accent3 6 2 4 2 2" xfId="13715" xr:uid="{00000000-0005-0000-0000-0000D8130000}"/>
    <cellStyle name="20% - Accent3 6 2 4 2 3" xfId="17666" xr:uid="{00000000-0005-0000-0000-0000D9130000}"/>
    <cellStyle name="20% - Accent3 6 2 4 3" xfId="2400" xr:uid="{00000000-0005-0000-0000-0000DA130000}"/>
    <cellStyle name="20% - Accent3 6 2 4 3 2" xfId="13716" xr:uid="{00000000-0005-0000-0000-0000DB130000}"/>
    <cellStyle name="20% - Accent3 6 2 4 3 3" xfId="17667" xr:uid="{00000000-0005-0000-0000-0000DC130000}"/>
    <cellStyle name="20% - Accent3 6 2 4 4" xfId="13714" xr:uid="{00000000-0005-0000-0000-0000DD130000}"/>
    <cellStyle name="20% - Accent3 6 2 4 5" xfId="17665" xr:uid="{00000000-0005-0000-0000-0000DE130000}"/>
    <cellStyle name="20% - Accent3 6 2 5" xfId="2401" xr:uid="{00000000-0005-0000-0000-0000DF130000}"/>
    <cellStyle name="20% - Accent3 6 2 5 2" xfId="13717" xr:uid="{00000000-0005-0000-0000-0000E0130000}"/>
    <cellStyle name="20% - Accent3 6 2 5 3" xfId="17668" xr:uid="{00000000-0005-0000-0000-0000E1130000}"/>
    <cellStyle name="20% - Accent3 6 2 6" xfId="2402" xr:uid="{00000000-0005-0000-0000-0000E2130000}"/>
    <cellStyle name="20% - Accent3 6 2 6 2" xfId="13718" xr:uid="{00000000-0005-0000-0000-0000E3130000}"/>
    <cellStyle name="20% - Accent3 6 2 6 3" xfId="17669" xr:uid="{00000000-0005-0000-0000-0000E4130000}"/>
    <cellStyle name="20% - Accent3 6 2 7" xfId="13707" xr:uid="{00000000-0005-0000-0000-0000E5130000}"/>
    <cellStyle name="20% - Accent3 6 2 8" xfId="17658" xr:uid="{00000000-0005-0000-0000-0000E6130000}"/>
    <cellStyle name="20% - Accent3 6 2_Volatility" xfId="2403" xr:uid="{00000000-0005-0000-0000-0000E7130000}"/>
    <cellStyle name="20% - Accent3 6 3" xfId="2404" xr:uid="{00000000-0005-0000-0000-0000E8130000}"/>
    <cellStyle name="20% - Accent3 6 3 2" xfId="2405" xr:uid="{00000000-0005-0000-0000-0000E9130000}"/>
    <cellStyle name="20% - Accent3 6 3 2 2" xfId="2406" xr:uid="{00000000-0005-0000-0000-0000EA130000}"/>
    <cellStyle name="20% - Accent3 6 3 2 2 2" xfId="13721" xr:uid="{00000000-0005-0000-0000-0000EB130000}"/>
    <cellStyle name="20% - Accent3 6 3 2 2 3" xfId="17672" xr:uid="{00000000-0005-0000-0000-0000EC130000}"/>
    <cellStyle name="20% - Accent3 6 3 2 3" xfId="2407" xr:uid="{00000000-0005-0000-0000-0000ED130000}"/>
    <cellStyle name="20% - Accent3 6 3 2 3 2" xfId="13722" xr:uid="{00000000-0005-0000-0000-0000EE130000}"/>
    <cellStyle name="20% - Accent3 6 3 2 3 3" xfId="17673" xr:uid="{00000000-0005-0000-0000-0000EF130000}"/>
    <cellStyle name="20% - Accent3 6 3 2 4" xfId="13720" xr:uid="{00000000-0005-0000-0000-0000F0130000}"/>
    <cellStyle name="20% - Accent3 6 3 2 5" xfId="17671" xr:uid="{00000000-0005-0000-0000-0000F1130000}"/>
    <cellStyle name="20% - Accent3 6 3 3" xfId="2408" xr:uid="{00000000-0005-0000-0000-0000F2130000}"/>
    <cellStyle name="20% - Accent3 6 3 3 2" xfId="2409" xr:uid="{00000000-0005-0000-0000-0000F3130000}"/>
    <cellStyle name="20% - Accent3 6 3 3 2 2" xfId="13724" xr:uid="{00000000-0005-0000-0000-0000F4130000}"/>
    <cellStyle name="20% - Accent3 6 3 3 2 3" xfId="17675" xr:uid="{00000000-0005-0000-0000-0000F5130000}"/>
    <cellStyle name="20% - Accent3 6 3 3 3" xfId="2410" xr:uid="{00000000-0005-0000-0000-0000F6130000}"/>
    <cellStyle name="20% - Accent3 6 3 3 3 2" xfId="13725" xr:uid="{00000000-0005-0000-0000-0000F7130000}"/>
    <cellStyle name="20% - Accent3 6 3 3 3 3" xfId="17676" xr:uid="{00000000-0005-0000-0000-0000F8130000}"/>
    <cellStyle name="20% - Accent3 6 3 3 4" xfId="13723" xr:uid="{00000000-0005-0000-0000-0000F9130000}"/>
    <cellStyle name="20% - Accent3 6 3 3 5" xfId="17674" xr:uid="{00000000-0005-0000-0000-0000FA130000}"/>
    <cellStyle name="20% - Accent3 6 3 4" xfId="2411" xr:uid="{00000000-0005-0000-0000-0000FB130000}"/>
    <cellStyle name="20% - Accent3 6 3 4 2" xfId="13726" xr:uid="{00000000-0005-0000-0000-0000FC130000}"/>
    <cellStyle name="20% - Accent3 6 3 4 3" xfId="17677" xr:uid="{00000000-0005-0000-0000-0000FD130000}"/>
    <cellStyle name="20% - Accent3 6 3 5" xfId="2412" xr:uid="{00000000-0005-0000-0000-0000FE130000}"/>
    <cellStyle name="20% - Accent3 6 3 5 2" xfId="13727" xr:uid="{00000000-0005-0000-0000-0000FF130000}"/>
    <cellStyle name="20% - Accent3 6 3 5 3" xfId="17678" xr:uid="{00000000-0005-0000-0000-000000140000}"/>
    <cellStyle name="20% - Accent3 6 3 6" xfId="13719" xr:uid="{00000000-0005-0000-0000-000001140000}"/>
    <cellStyle name="20% - Accent3 6 3 7" xfId="17670" xr:uid="{00000000-0005-0000-0000-000002140000}"/>
    <cellStyle name="20% - Accent3 6 3_Volatility" xfId="2413" xr:uid="{00000000-0005-0000-0000-000003140000}"/>
    <cellStyle name="20% - Accent3 6 4" xfId="2414" xr:uid="{00000000-0005-0000-0000-000004140000}"/>
    <cellStyle name="20% - Accent3 6 4 2" xfId="2415" xr:uid="{00000000-0005-0000-0000-000005140000}"/>
    <cellStyle name="20% - Accent3 6 4 2 2" xfId="13729" xr:uid="{00000000-0005-0000-0000-000006140000}"/>
    <cellStyle name="20% - Accent3 6 4 2 3" xfId="17680" xr:uid="{00000000-0005-0000-0000-000007140000}"/>
    <cellStyle name="20% - Accent3 6 4 3" xfId="2416" xr:uid="{00000000-0005-0000-0000-000008140000}"/>
    <cellStyle name="20% - Accent3 6 4 3 2" xfId="13730" xr:uid="{00000000-0005-0000-0000-000009140000}"/>
    <cellStyle name="20% - Accent3 6 4 3 3" xfId="17681" xr:uid="{00000000-0005-0000-0000-00000A140000}"/>
    <cellStyle name="20% - Accent3 6 4 4" xfId="13728" xr:uid="{00000000-0005-0000-0000-00000B140000}"/>
    <cellStyle name="20% - Accent3 6 4 5" xfId="17679" xr:uid="{00000000-0005-0000-0000-00000C140000}"/>
    <cellStyle name="20% - Accent3 6 5" xfId="2417" xr:uid="{00000000-0005-0000-0000-00000D140000}"/>
    <cellStyle name="20% - Accent3 6 5 2" xfId="2418" xr:uid="{00000000-0005-0000-0000-00000E140000}"/>
    <cellStyle name="20% - Accent3 6 5 2 2" xfId="13732" xr:uid="{00000000-0005-0000-0000-00000F140000}"/>
    <cellStyle name="20% - Accent3 6 5 2 3" xfId="17683" xr:uid="{00000000-0005-0000-0000-000010140000}"/>
    <cellStyle name="20% - Accent3 6 5 3" xfId="2419" xr:uid="{00000000-0005-0000-0000-000011140000}"/>
    <cellStyle name="20% - Accent3 6 5 3 2" xfId="13733" xr:uid="{00000000-0005-0000-0000-000012140000}"/>
    <cellStyle name="20% - Accent3 6 5 3 3" xfId="17684" xr:uid="{00000000-0005-0000-0000-000013140000}"/>
    <cellStyle name="20% - Accent3 6 5 4" xfId="13731" xr:uid="{00000000-0005-0000-0000-000014140000}"/>
    <cellStyle name="20% - Accent3 6 5 5" xfId="17682" xr:uid="{00000000-0005-0000-0000-000015140000}"/>
    <cellStyle name="20% - Accent3 6 6" xfId="2420" xr:uid="{00000000-0005-0000-0000-000016140000}"/>
    <cellStyle name="20% - Accent3 6 6 2" xfId="2421" xr:uid="{00000000-0005-0000-0000-000017140000}"/>
    <cellStyle name="20% - Accent3 6 6 2 2" xfId="13735" xr:uid="{00000000-0005-0000-0000-000018140000}"/>
    <cellStyle name="20% - Accent3 6 6 2 3" xfId="17686" xr:uid="{00000000-0005-0000-0000-000019140000}"/>
    <cellStyle name="20% - Accent3 6 6 3" xfId="2422" xr:uid="{00000000-0005-0000-0000-00001A140000}"/>
    <cellStyle name="20% - Accent3 6 6 3 2" xfId="13736" xr:uid="{00000000-0005-0000-0000-00001B140000}"/>
    <cellStyle name="20% - Accent3 6 6 3 3" xfId="17687" xr:uid="{00000000-0005-0000-0000-00001C140000}"/>
    <cellStyle name="20% - Accent3 6 6 4" xfId="13734" xr:uid="{00000000-0005-0000-0000-00001D140000}"/>
    <cellStyle name="20% - Accent3 6 6 5" xfId="17685" xr:uid="{00000000-0005-0000-0000-00001E140000}"/>
    <cellStyle name="20% - Accent3 6 7" xfId="2423" xr:uid="{00000000-0005-0000-0000-00001F140000}"/>
    <cellStyle name="20% - Accent3 6 7 2" xfId="13737" xr:uid="{00000000-0005-0000-0000-000020140000}"/>
    <cellStyle name="20% - Accent3 6 7 3" xfId="17688" xr:uid="{00000000-0005-0000-0000-000021140000}"/>
    <cellStyle name="20% - Accent3 6 8" xfId="2424" xr:uid="{00000000-0005-0000-0000-000022140000}"/>
    <cellStyle name="20% - Accent3 6 8 2" xfId="13738" xr:uid="{00000000-0005-0000-0000-000023140000}"/>
    <cellStyle name="20% - Accent3 6 8 3" xfId="17689" xr:uid="{00000000-0005-0000-0000-000024140000}"/>
    <cellStyle name="20% - Accent3 6 9" xfId="13706" xr:uid="{00000000-0005-0000-0000-000025140000}"/>
    <cellStyle name="20% - Accent3 6_Volatility" xfId="2425" xr:uid="{00000000-0005-0000-0000-000026140000}"/>
    <cellStyle name="20% - Accent3 7" xfId="2426" xr:uid="{00000000-0005-0000-0000-000027140000}"/>
    <cellStyle name="20% - Accent3 7 10" xfId="17690" xr:uid="{00000000-0005-0000-0000-000028140000}"/>
    <cellStyle name="20% - Accent3 7 2" xfId="2427" xr:uid="{00000000-0005-0000-0000-000029140000}"/>
    <cellStyle name="20% - Accent3 7 2 2" xfId="2428" xr:uid="{00000000-0005-0000-0000-00002A140000}"/>
    <cellStyle name="20% - Accent3 7 2 2 2" xfId="2429" xr:uid="{00000000-0005-0000-0000-00002B140000}"/>
    <cellStyle name="20% - Accent3 7 2 2 2 2" xfId="13742" xr:uid="{00000000-0005-0000-0000-00002C140000}"/>
    <cellStyle name="20% - Accent3 7 2 2 2 3" xfId="17693" xr:uid="{00000000-0005-0000-0000-00002D140000}"/>
    <cellStyle name="20% - Accent3 7 2 2 3" xfId="2430" xr:uid="{00000000-0005-0000-0000-00002E140000}"/>
    <cellStyle name="20% - Accent3 7 2 2 3 2" xfId="13743" xr:uid="{00000000-0005-0000-0000-00002F140000}"/>
    <cellStyle name="20% - Accent3 7 2 2 3 3" xfId="17694" xr:uid="{00000000-0005-0000-0000-000030140000}"/>
    <cellStyle name="20% - Accent3 7 2 2 4" xfId="13741" xr:uid="{00000000-0005-0000-0000-000031140000}"/>
    <cellStyle name="20% - Accent3 7 2 2 5" xfId="17692" xr:uid="{00000000-0005-0000-0000-000032140000}"/>
    <cellStyle name="20% - Accent3 7 2 3" xfId="2431" xr:uid="{00000000-0005-0000-0000-000033140000}"/>
    <cellStyle name="20% - Accent3 7 2 3 2" xfId="2432" xr:uid="{00000000-0005-0000-0000-000034140000}"/>
    <cellStyle name="20% - Accent3 7 2 3 2 2" xfId="13745" xr:uid="{00000000-0005-0000-0000-000035140000}"/>
    <cellStyle name="20% - Accent3 7 2 3 2 3" xfId="17696" xr:uid="{00000000-0005-0000-0000-000036140000}"/>
    <cellStyle name="20% - Accent3 7 2 3 3" xfId="2433" xr:uid="{00000000-0005-0000-0000-000037140000}"/>
    <cellStyle name="20% - Accent3 7 2 3 3 2" xfId="13746" xr:uid="{00000000-0005-0000-0000-000038140000}"/>
    <cellStyle name="20% - Accent3 7 2 3 3 3" xfId="17697" xr:uid="{00000000-0005-0000-0000-000039140000}"/>
    <cellStyle name="20% - Accent3 7 2 3 4" xfId="13744" xr:uid="{00000000-0005-0000-0000-00003A140000}"/>
    <cellStyle name="20% - Accent3 7 2 3 5" xfId="17695" xr:uid="{00000000-0005-0000-0000-00003B140000}"/>
    <cellStyle name="20% - Accent3 7 2 4" xfId="2434" xr:uid="{00000000-0005-0000-0000-00003C140000}"/>
    <cellStyle name="20% - Accent3 7 2 4 2" xfId="2435" xr:uid="{00000000-0005-0000-0000-00003D140000}"/>
    <cellStyle name="20% - Accent3 7 2 4 2 2" xfId="13748" xr:uid="{00000000-0005-0000-0000-00003E140000}"/>
    <cellStyle name="20% - Accent3 7 2 4 2 3" xfId="17699" xr:uid="{00000000-0005-0000-0000-00003F140000}"/>
    <cellStyle name="20% - Accent3 7 2 4 3" xfId="2436" xr:uid="{00000000-0005-0000-0000-000040140000}"/>
    <cellStyle name="20% - Accent3 7 2 4 3 2" xfId="13749" xr:uid="{00000000-0005-0000-0000-000041140000}"/>
    <cellStyle name="20% - Accent3 7 2 4 3 3" xfId="17700" xr:uid="{00000000-0005-0000-0000-000042140000}"/>
    <cellStyle name="20% - Accent3 7 2 4 4" xfId="13747" xr:uid="{00000000-0005-0000-0000-000043140000}"/>
    <cellStyle name="20% - Accent3 7 2 4 5" xfId="17698" xr:uid="{00000000-0005-0000-0000-000044140000}"/>
    <cellStyle name="20% - Accent3 7 2 5" xfId="2437" xr:uid="{00000000-0005-0000-0000-000045140000}"/>
    <cellStyle name="20% - Accent3 7 2 5 2" xfId="13750" xr:uid="{00000000-0005-0000-0000-000046140000}"/>
    <cellStyle name="20% - Accent3 7 2 5 3" xfId="17701" xr:uid="{00000000-0005-0000-0000-000047140000}"/>
    <cellStyle name="20% - Accent3 7 2 6" xfId="2438" xr:uid="{00000000-0005-0000-0000-000048140000}"/>
    <cellStyle name="20% - Accent3 7 2 6 2" xfId="13751" xr:uid="{00000000-0005-0000-0000-000049140000}"/>
    <cellStyle name="20% - Accent3 7 2 6 3" xfId="17702" xr:uid="{00000000-0005-0000-0000-00004A140000}"/>
    <cellStyle name="20% - Accent3 7 2 7" xfId="13740" xr:uid="{00000000-0005-0000-0000-00004B140000}"/>
    <cellStyle name="20% - Accent3 7 2 8" xfId="17691" xr:uid="{00000000-0005-0000-0000-00004C140000}"/>
    <cellStyle name="20% - Accent3 7 2_Volatility" xfId="2439" xr:uid="{00000000-0005-0000-0000-00004D140000}"/>
    <cellStyle name="20% - Accent3 7 3" xfId="2440" xr:uid="{00000000-0005-0000-0000-00004E140000}"/>
    <cellStyle name="20% - Accent3 7 3 2" xfId="2441" xr:uid="{00000000-0005-0000-0000-00004F140000}"/>
    <cellStyle name="20% - Accent3 7 3 2 2" xfId="2442" xr:uid="{00000000-0005-0000-0000-000050140000}"/>
    <cellStyle name="20% - Accent3 7 3 2 2 2" xfId="13754" xr:uid="{00000000-0005-0000-0000-000051140000}"/>
    <cellStyle name="20% - Accent3 7 3 2 2 3" xfId="17705" xr:uid="{00000000-0005-0000-0000-000052140000}"/>
    <cellStyle name="20% - Accent3 7 3 2 3" xfId="2443" xr:uid="{00000000-0005-0000-0000-000053140000}"/>
    <cellStyle name="20% - Accent3 7 3 2 3 2" xfId="13755" xr:uid="{00000000-0005-0000-0000-000054140000}"/>
    <cellStyle name="20% - Accent3 7 3 2 3 3" xfId="17706" xr:uid="{00000000-0005-0000-0000-000055140000}"/>
    <cellStyle name="20% - Accent3 7 3 2 4" xfId="13753" xr:uid="{00000000-0005-0000-0000-000056140000}"/>
    <cellStyle name="20% - Accent3 7 3 2 5" xfId="17704" xr:uid="{00000000-0005-0000-0000-000057140000}"/>
    <cellStyle name="20% - Accent3 7 3 3" xfId="2444" xr:uid="{00000000-0005-0000-0000-000058140000}"/>
    <cellStyle name="20% - Accent3 7 3 3 2" xfId="2445" xr:uid="{00000000-0005-0000-0000-000059140000}"/>
    <cellStyle name="20% - Accent3 7 3 3 2 2" xfId="13757" xr:uid="{00000000-0005-0000-0000-00005A140000}"/>
    <cellStyle name="20% - Accent3 7 3 3 2 3" xfId="17708" xr:uid="{00000000-0005-0000-0000-00005B140000}"/>
    <cellStyle name="20% - Accent3 7 3 3 3" xfId="2446" xr:uid="{00000000-0005-0000-0000-00005C140000}"/>
    <cellStyle name="20% - Accent3 7 3 3 3 2" xfId="13758" xr:uid="{00000000-0005-0000-0000-00005D140000}"/>
    <cellStyle name="20% - Accent3 7 3 3 3 3" xfId="17709" xr:uid="{00000000-0005-0000-0000-00005E140000}"/>
    <cellStyle name="20% - Accent3 7 3 3 4" xfId="13756" xr:uid="{00000000-0005-0000-0000-00005F140000}"/>
    <cellStyle name="20% - Accent3 7 3 3 5" xfId="17707" xr:uid="{00000000-0005-0000-0000-000060140000}"/>
    <cellStyle name="20% - Accent3 7 3 4" xfId="2447" xr:uid="{00000000-0005-0000-0000-000061140000}"/>
    <cellStyle name="20% - Accent3 7 3 4 2" xfId="13759" xr:uid="{00000000-0005-0000-0000-000062140000}"/>
    <cellStyle name="20% - Accent3 7 3 4 3" xfId="17710" xr:uid="{00000000-0005-0000-0000-000063140000}"/>
    <cellStyle name="20% - Accent3 7 3 5" xfId="2448" xr:uid="{00000000-0005-0000-0000-000064140000}"/>
    <cellStyle name="20% - Accent3 7 3 5 2" xfId="13760" xr:uid="{00000000-0005-0000-0000-000065140000}"/>
    <cellStyle name="20% - Accent3 7 3 5 3" xfId="17711" xr:uid="{00000000-0005-0000-0000-000066140000}"/>
    <cellStyle name="20% - Accent3 7 3 6" xfId="13752" xr:uid="{00000000-0005-0000-0000-000067140000}"/>
    <cellStyle name="20% - Accent3 7 3 7" xfId="17703" xr:uid="{00000000-0005-0000-0000-000068140000}"/>
    <cellStyle name="20% - Accent3 7 3_Volatility" xfId="2449" xr:uid="{00000000-0005-0000-0000-000069140000}"/>
    <cellStyle name="20% - Accent3 7 4" xfId="2450" xr:uid="{00000000-0005-0000-0000-00006A140000}"/>
    <cellStyle name="20% - Accent3 7 4 2" xfId="2451" xr:uid="{00000000-0005-0000-0000-00006B140000}"/>
    <cellStyle name="20% - Accent3 7 4 2 2" xfId="13762" xr:uid="{00000000-0005-0000-0000-00006C140000}"/>
    <cellStyle name="20% - Accent3 7 4 2 3" xfId="17713" xr:uid="{00000000-0005-0000-0000-00006D140000}"/>
    <cellStyle name="20% - Accent3 7 4 3" xfId="2452" xr:uid="{00000000-0005-0000-0000-00006E140000}"/>
    <cellStyle name="20% - Accent3 7 4 3 2" xfId="13763" xr:uid="{00000000-0005-0000-0000-00006F140000}"/>
    <cellStyle name="20% - Accent3 7 4 3 3" xfId="17714" xr:uid="{00000000-0005-0000-0000-000070140000}"/>
    <cellStyle name="20% - Accent3 7 4 4" xfId="13761" xr:uid="{00000000-0005-0000-0000-000071140000}"/>
    <cellStyle name="20% - Accent3 7 4 5" xfId="17712" xr:uid="{00000000-0005-0000-0000-000072140000}"/>
    <cellStyle name="20% - Accent3 7 5" xfId="2453" xr:uid="{00000000-0005-0000-0000-000073140000}"/>
    <cellStyle name="20% - Accent3 7 5 2" xfId="2454" xr:uid="{00000000-0005-0000-0000-000074140000}"/>
    <cellStyle name="20% - Accent3 7 5 2 2" xfId="13765" xr:uid="{00000000-0005-0000-0000-000075140000}"/>
    <cellStyle name="20% - Accent3 7 5 2 3" xfId="17716" xr:uid="{00000000-0005-0000-0000-000076140000}"/>
    <cellStyle name="20% - Accent3 7 5 3" xfId="2455" xr:uid="{00000000-0005-0000-0000-000077140000}"/>
    <cellStyle name="20% - Accent3 7 5 3 2" xfId="13766" xr:uid="{00000000-0005-0000-0000-000078140000}"/>
    <cellStyle name="20% - Accent3 7 5 3 3" xfId="17717" xr:uid="{00000000-0005-0000-0000-000079140000}"/>
    <cellStyle name="20% - Accent3 7 5 4" xfId="13764" xr:uid="{00000000-0005-0000-0000-00007A140000}"/>
    <cellStyle name="20% - Accent3 7 5 5" xfId="17715" xr:uid="{00000000-0005-0000-0000-00007B140000}"/>
    <cellStyle name="20% - Accent3 7 6" xfId="2456" xr:uid="{00000000-0005-0000-0000-00007C140000}"/>
    <cellStyle name="20% - Accent3 7 6 2" xfId="2457" xr:uid="{00000000-0005-0000-0000-00007D140000}"/>
    <cellStyle name="20% - Accent3 7 6 2 2" xfId="13768" xr:uid="{00000000-0005-0000-0000-00007E140000}"/>
    <cellStyle name="20% - Accent3 7 6 2 3" xfId="17719" xr:uid="{00000000-0005-0000-0000-00007F140000}"/>
    <cellStyle name="20% - Accent3 7 6 3" xfId="2458" xr:uid="{00000000-0005-0000-0000-000080140000}"/>
    <cellStyle name="20% - Accent3 7 6 3 2" xfId="13769" xr:uid="{00000000-0005-0000-0000-000081140000}"/>
    <cellStyle name="20% - Accent3 7 6 3 3" xfId="17720" xr:uid="{00000000-0005-0000-0000-000082140000}"/>
    <cellStyle name="20% - Accent3 7 6 4" xfId="13767" xr:uid="{00000000-0005-0000-0000-000083140000}"/>
    <cellStyle name="20% - Accent3 7 6 5" xfId="17718" xr:uid="{00000000-0005-0000-0000-000084140000}"/>
    <cellStyle name="20% - Accent3 7 7" xfId="2459" xr:uid="{00000000-0005-0000-0000-000085140000}"/>
    <cellStyle name="20% - Accent3 7 7 2" xfId="13770" xr:uid="{00000000-0005-0000-0000-000086140000}"/>
    <cellStyle name="20% - Accent3 7 7 3" xfId="17721" xr:uid="{00000000-0005-0000-0000-000087140000}"/>
    <cellStyle name="20% - Accent3 7 8" xfId="2460" xr:uid="{00000000-0005-0000-0000-000088140000}"/>
    <cellStyle name="20% - Accent3 7 8 2" xfId="13771" xr:uid="{00000000-0005-0000-0000-000089140000}"/>
    <cellStyle name="20% - Accent3 7 8 3" xfId="17722" xr:uid="{00000000-0005-0000-0000-00008A140000}"/>
    <cellStyle name="20% - Accent3 7 9" xfId="13739" xr:uid="{00000000-0005-0000-0000-00008B140000}"/>
    <cellStyle name="20% - Accent3 7_Volatility" xfId="2461" xr:uid="{00000000-0005-0000-0000-00008C140000}"/>
    <cellStyle name="20% - Accent3 8" xfId="2462" xr:uid="{00000000-0005-0000-0000-00008D140000}"/>
    <cellStyle name="20% - Accent3 8 10" xfId="17723" xr:uid="{00000000-0005-0000-0000-00008E140000}"/>
    <cellStyle name="20% - Accent3 8 2" xfId="2463" xr:uid="{00000000-0005-0000-0000-00008F140000}"/>
    <cellStyle name="20% - Accent3 8 2 2" xfId="2464" xr:uid="{00000000-0005-0000-0000-000090140000}"/>
    <cellStyle name="20% - Accent3 8 2 2 2" xfId="2465" xr:uid="{00000000-0005-0000-0000-000091140000}"/>
    <cellStyle name="20% - Accent3 8 2 2 2 2" xfId="13775" xr:uid="{00000000-0005-0000-0000-000092140000}"/>
    <cellStyle name="20% - Accent3 8 2 2 2 3" xfId="17726" xr:uid="{00000000-0005-0000-0000-000093140000}"/>
    <cellStyle name="20% - Accent3 8 2 2 3" xfId="2466" xr:uid="{00000000-0005-0000-0000-000094140000}"/>
    <cellStyle name="20% - Accent3 8 2 2 3 2" xfId="13776" xr:uid="{00000000-0005-0000-0000-000095140000}"/>
    <cellStyle name="20% - Accent3 8 2 2 3 3" xfId="17727" xr:uid="{00000000-0005-0000-0000-000096140000}"/>
    <cellStyle name="20% - Accent3 8 2 2 4" xfId="13774" xr:uid="{00000000-0005-0000-0000-000097140000}"/>
    <cellStyle name="20% - Accent3 8 2 2 5" xfId="17725" xr:uid="{00000000-0005-0000-0000-000098140000}"/>
    <cellStyle name="20% - Accent3 8 2 3" xfId="2467" xr:uid="{00000000-0005-0000-0000-000099140000}"/>
    <cellStyle name="20% - Accent3 8 2 3 2" xfId="2468" xr:uid="{00000000-0005-0000-0000-00009A140000}"/>
    <cellStyle name="20% - Accent3 8 2 3 2 2" xfId="13778" xr:uid="{00000000-0005-0000-0000-00009B140000}"/>
    <cellStyle name="20% - Accent3 8 2 3 2 3" xfId="17729" xr:uid="{00000000-0005-0000-0000-00009C140000}"/>
    <cellStyle name="20% - Accent3 8 2 3 3" xfId="2469" xr:uid="{00000000-0005-0000-0000-00009D140000}"/>
    <cellStyle name="20% - Accent3 8 2 3 3 2" xfId="13779" xr:uid="{00000000-0005-0000-0000-00009E140000}"/>
    <cellStyle name="20% - Accent3 8 2 3 3 3" xfId="17730" xr:uid="{00000000-0005-0000-0000-00009F140000}"/>
    <cellStyle name="20% - Accent3 8 2 3 4" xfId="13777" xr:uid="{00000000-0005-0000-0000-0000A0140000}"/>
    <cellStyle name="20% - Accent3 8 2 3 5" xfId="17728" xr:uid="{00000000-0005-0000-0000-0000A1140000}"/>
    <cellStyle name="20% - Accent3 8 2 4" xfId="2470" xr:uid="{00000000-0005-0000-0000-0000A2140000}"/>
    <cellStyle name="20% - Accent3 8 2 4 2" xfId="2471" xr:uid="{00000000-0005-0000-0000-0000A3140000}"/>
    <cellStyle name="20% - Accent3 8 2 4 2 2" xfId="13781" xr:uid="{00000000-0005-0000-0000-0000A4140000}"/>
    <cellStyle name="20% - Accent3 8 2 4 2 3" xfId="17732" xr:uid="{00000000-0005-0000-0000-0000A5140000}"/>
    <cellStyle name="20% - Accent3 8 2 4 3" xfId="2472" xr:uid="{00000000-0005-0000-0000-0000A6140000}"/>
    <cellStyle name="20% - Accent3 8 2 4 3 2" xfId="13782" xr:uid="{00000000-0005-0000-0000-0000A7140000}"/>
    <cellStyle name="20% - Accent3 8 2 4 3 3" xfId="17733" xr:uid="{00000000-0005-0000-0000-0000A8140000}"/>
    <cellStyle name="20% - Accent3 8 2 4 4" xfId="13780" xr:uid="{00000000-0005-0000-0000-0000A9140000}"/>
    <cellStyle name="20% - Accent3 8 2 4 5" xfId="17731" xr:uid="{00000000-0005-0000-0000-0000AA140000}"/>
    <cellStyle name="20% - Accent3 8 2 5" xfId="2473" xr:uid="{00000000-0005-0000-0000-0000AB140000}"/>
    <cellStyle name="20% - Accent3 8 2 5 2" xfId="13783" xr:uid="{00000000-0005-0000-0000-0000AC140000}"/>
    <cellStyle name="20% - Accent3 8 2 5 3" xfId="17734" xr:uid="{00000000-0005-0000-0000-0000AD140000}"/>
    <cellStyle name="20% - Accent3 8 2 6" xfId="2474" xr:uid="{00000000-0005-0000-0000-0000AE140000}"/>
    <cellStyle name="20% - Accent3 8 2 6 2" xfId="13784" xr:uid="{00000000-0005-0000-0000-0000AF140000}"/>
    <cellStyle name="20% - Accent3 8 2 6 3" xfId="17735" xr:uid="{00000000-0005-0000-0000-0000B0140000}"/>
    <cellStyle name="20% - Accent3 8 2 7" xfId="13773" xr:uid="{00000000-0005-0000-0000-0000B1140000}"/>
    <cellStyle name="20% - Accent3 8 2 8" xfId="17724" xr:uid="{00000000-0005-0000-0000-0000B2140000}"/>
    <cellStyle name="20% - Accent3 8 2_Volatility" xfId="2475" xr:uid="{00000000-0005-0000-0000-0000B3140000}"/>
    <cellStyle name="20% - Accent3 8 3" xfId="2476" xr:uid="{00000000-0005-0000-0000-0000B4140000}"/>
    <cellStyle name="20% - Accent3 8 3 2" xfId="2477" xr:uid="{00000000-0005-0000-0000-0000B5140000}"/>
    <cellStyle name="20% - Accent3 8 3 2 2" xfId="2478" xr:uid="{00000000-0005-0000-0000-0000B6140000}"/>
    <cellStyle name="20% - Accent3 8 3 2 2 2" xfId="13787" xr:uid="{00000000-0005-0000-0000-0000B7140000}"/>
    <cellStyle name="20% - Accent3 8 3 2 2 3" xfId="17738" xr:uid="{00000000-0005-0000-0000-0000B8140000}"/>
    <cellStyle name="20% - Accent3 8 3 2 3" xfId="2479" xr:uid="{00000000-0005-0000-0000-0000B9140000}"/>
    <cellStyle name="20% - Accent3 8 3 2 3 2" xfId="13788" xr:uid="{00000000-0005-0000-0000-0000BA140000}"/>
    <cellStyle name="20% - Accent3 8 3 2 3 3" xfId="17739" xr:uid="{00000000-0005-0000-0000-0000BB140000}"/>
    <cellStyle name="20% - Accent3 8 3 2 4" xfId="13786" xr:uid="{00000000-0005-0000-0000-0000BC140000}"/>
    <cellStyle name="20% - Accent3 8 3 2 5" xfId="17737" xr:uid="{00000000-0005-0000-0000-0000BD140000}"/>
    <cellStyle name="20% - Accent3 8 3 3" xfId="2480" xr:uid="{00000000-0005-0000-0000-0000BE140000}"/>
    <cellStyle name="20% - Accent3 8 3 3 2" xfId="2481" xr:uid="{00000000-0005-0000-0000-0000BF140000}"/>
    <cellStyle name="20% - Accent3 8 3 3 2 2" xfId="13790" xr:uid="{00000000-0005-0000-0000-0000C0140000}"/>
    <cellStyle name="20% - Accent3 8 3 3 2 3" xfId="17741" xr:uid="{00000000-0005-0000-0000-0000C1140000}"/>
    <cellStyle name="20% - Accent3 8 3 3 3" xfId="2482" xr:uid="{00000000-0005-0000-0000-0000C2140000}"/>
    <cellStyle name="20% - Accent3 8 3 3 3 2" xfId="13791" xr:uid="{00000000-0005-0000-0000-0000C3140000}"/>
    <cellStyle name="20% - Accent3 8 3 3 3 3" xfId="17742" xr:uid="{00000000-0005-0000-0000-0000C4140000}"/>
    <cellStyle name="20% - Accent3 8 3 3 4" xfId="13789" xr:uid="{00000000-0005-0000-0000-0000C5140000}"/>
    <cellStyle name="20% - Accent3 8 3 3 5" xfId="17740" xr:uid="{00000000-0005-0000-0000-0000C6140000}"/>
    <cellStyle name="20% - Accent3 8 3 4" xfId="2483" xr:uid="{00000000-0005-0000-0000-0000C7140000}"/>
    <cellStyle name="20% - Accent3 8 3 4 2" xfId="13792" xr:uid="{00000000-0005-0000-0000-0000C8140000}"/>
    <cellStyle name="20% - Accent3 8 3 4 3" xfId="17743" xr:uid="{00000000-0005-0000-0000-0000C9140000}"/>
    <cellStyle name="20% - Accent3 8 3 5" xfId="2484" xr:uid="{00000000-0005-0000-0000-0000CA140000}"/>
    <cellStyle name="20% - Accent3 8 3 5 2" xfId="13793" xr:uid="{00000000-0005-0000-0000-0000CB140000}"/>
    <cellStyle name="20% - Accent3 8 3 5 3" xfId="17744" xr:uid="{00000000-0005-0000-0000-0000CC140000}"/>
    <cellStyle name="20% - Accent3 8 3 6" xfId="13785" xr:uid="{00000000-0005-0000-0000-0000CD140000}"/>
    <cellStyle name="20% - Accent3 8 3 7" xfId="17736" xr:uid="{00000000-0005-0000-0000-0000CE140000}"/>
    <cellStyle name="20% - Accent3 8 3_Volatility" xfId="2485" xr:uid="{00000000-0005-0000-0000-0000CF140000}"/>
    <cellStyle name="20% - Accent3 8 4" xfId="2486" xr:uid="{00000000-0005-0000-0000-0000D0140000}"/>
    <cellStyle name="20% - Accent3 8 4 2" xfId="2487" xr:uid="{00000000-0005-0000-0000-0000D1140000}"/>
    <cellStyle name="20% - Accent3 8 4 2 2" xfId="13795" xr:uid="{00000000-0005-0000-0000-0000D2140000}"/>
    <cellStyle name="20% - Accent3 8 4 2 3" xfId="17746" xr:uid="{00000000-0005-0000-0000-0000D3140000}"/>
    <cellStyle name="20% - Accent3 8 4 3" xfId="2488" xr:uid="{00000000-0005-0000-0000-0000D4140000}"/>
    <cellStyle name="20% - Accent3 8 4 3 2" xfId="13796" xr:uid="{00000000-0005-0000-0000-0000D5140000}"/>
    <cellStyle name="20% - Accent3 8 4 3 3" xfId="17747" xr:uid="{00000000-0005-0000-0000-0000D6140000}"/>
    <cellStyle name="20% - Accent3 8 4 4" xfId="13794" xr:uid="{00000000-0005-0000-0000-0000D7140000}"/>
    <cellStyle name="20% - Accent3 8 4 5" xfId="17745" xr:uid="{00000000-0005-0000-0000-0000D8140000}"/>
    <cellStyle name="20% - Accent3 8 5" xfId="2489" xr:uid="{00000000-0005-0000-0000-0000D9140000}"/>
    <cellStyle name="20% - Accent3 8 5 2" xfId="2490" xr:uid="{00000000-0005-0000-0000-0000DA140000}"/>
    <cellStyle name="20% - Accent3 8 5 2 2" xfId="13798" xr:uid="{00000000-0005-0000-0000-0000DB140000}"/>
    <cellStyle name="20% - Accent3 8 5 2 3" xfId="17749" xr:uid="{00000000-0005-0000-0000-0000DC140000}"/>
    <cellStyle name="20% - Accent3 8 5 3" xfId="2491" xr:uid="{00000000-0005-0000-0000-0000DD140000}"/>
    <cellStyle name="20% - Accent3 8 5 3 2" xfId="13799" xr:uid="{00000000-0005-0000-0000-0000DE140000}"/>
    <cellStyle name="20% - Accent3 8 5 3 3" xfId="17750" xr:uid="{00000000-0005-0000-0000-0000DF140000}"/>
    <cellStyle name="20% - Accent3 8 5 4" xfId="13797" xr:uid="{00000000-0005-0000-0000-0000E0140000}"/>
    <cellStyle name="20% - Accent3 8 5 5" xfId="17748" xr:uid="{00000000-0005-0000-0000-0000E1140000}"/>
    <cellStyle name="20% - Accent3 8 6" xfId="2492" xr:uid="{00000000-0005-0000-0000-0000E2140000}"/>
    <cellStyle name="20% - Accent3 8 6 2" xfId="2493" xr:uid="{00000000-0005-0000-0000-0000E3140000}"/>
    <cellStyle name="20% - Accent3 8 6 2 2" xfId="13801" xr:uid="{00000000-0005-0000-0000-0000E4140000}"/>
    <cellStyle name="20% - Accent3 8 6 2 3" xfId="17752" xr:uid="{00000000-0005-0000-0000-0000E5140000}"/>
    <cellStyle name="20% - Accent3 8 6 3" xfId="2494" xr:uid="{00000000-0005-0000-0000-0000E6140000}"/>
    <cellStyle name="20% - Accent3 8 6 3 2" xfId="13802" xr:uid="{00000000-0005-0000-0000-0000E7140000}"/>
    <cellStyle name="20% - Accent3 8 6 3 3" xfId="17753" xr:uid="{00000000-0005-0000-0000-0000E8140000}"/>
    <cellStyle name="20% - Accent3 8 6 4" xfId="13800" xr:uid="{00000000-0005-0000-0000-0000E9140000}"/>
    <cellStyle name="20% - Accent3 8 6 5" xfId="17751" xr:uid="{00000000-0005-0000-0000-0000EA140000}"/>
    <cellStyle name="20% - Accent3 8 7" xfId="2495" xr:uid="{00000000-0005-0000-0000-0000EB140000}"/>
    <cellStyle name="20% - Accent3 8 7 2" xfId="13803" xr:uid="{00000000-0005-0000-0000-0000EC140000}"/>
    <cellStyle name="20% - Accent3 8 7 3" xfId="17754" xr:uid="{00000000-0005-0000-0000-0000ED140000}"/>
    <cellStyle name="20% - Accent3 8 8" xfId="2496" xr:uid="{00000000-0005-0000-0000-0000EE140000}"/>
    <cellStyle name="20% - Accent3 8 8 2" xfId="13804" xr:uid="{00000000-0005-0000-0000-0000EF140000}"/>
    <cellStyle name="20% - Accent3 8 8 3" xfId="17755" xr:uid="{00000000-0005-0000-0000-0000F0140000}"/>
    <cellStyle name="20% - Accent3 8 9" xfId="13772" xr:uid="{00000000-0005-0000-0000-0000F1140000}"/>
    <cellStyle name="20% - Accent3 8_Volatility" xfId="2497" xr:uid="{00000000-0005-0000-0000-0000F2140000}"/>
    <cellStyle name="20% - Accent3 9" xfId="2498" xr:uid="{00000000-0005-0000-0000-0000F3140000}"/>
    <cellStyle name="20% - Accent3 9 10" xfId="17756" xr:uid="{00000000-0005-0000-0000-0000F4140000}"/>
    <cellStyle name="20% - Accent3 9 2" xfId="2499" xr:uid="{00000000-0005-0000-0000-0000F5140000}"/>
    <cellStyle name="20% - Accent3 9 2 2" xfId="2500" xr:uid="{00000000-0005-0000-0000-0000F6140000}"/>
    <cellStyle name="20% - Accent3 9 2 2 2" xfId="2501" xr:uid="{00000000-0005-0000-0000-0000F7140000}"/>
    <cellStyle name="20% - Accent3 9 2 2 2 2" xfId="13808" xr:uid="{00000000-0005-0000-0000-0000F8140000}"/>
    <cellStyle name="20% - Accent3 9 2 2 2 3" xfId="17759" xr:uid="{00000000-0005-0000-0000-0000F9140000}"/>
    <cellStyle name="20% - Accent3 9 2 2 3" xfId="2502" xr:uid="{00000000-0005-0000-0000-0000FA140000}"/>
    <cellStyle name="20% - Accent3 9 2 2 3 2" xfId="13809" xr:uid="{00000000-0005-0000-0000-0000FB140000}"/>
    <cellStyle name="20% - Accent3 9 2 2 3 3" xfId="17760" xr:uid="{00000000-0005-0000-0000-0000FC140000}"/>
    <cellStyle name="20% - Accent3 9 2 2 4" xfId="13807" xr:uid="{00000000-0005-0000-0000-0000FD140000}"/>
    <cellStyle name="20% - Accent3 9 2 2 5" xfId="17758" xr:uid="{00000000-0005-0000-0000-0000FE140000}"/>
    <cellStyle name="20% - Accent3 9 2 3" xfId="2503" xr:uid="{00000000-0005-0000-0000-0000FF140000}"/>
    <cellStyle name="20% - Accent3 9 2 3 2" xfId="2504" xr:uid="{00000000-0005-0000-0000-000000150000}"/>
    <cellStyle name="20% - Accent3 9 2 3 2 2" xfId="13811" xr:uid="{00000000-0005-0000-0000-000001150000}"/>
    <cellStyle name="20% - Accent3 9 2 3 2 3" xfId="17762" xr:uid="{00000000-0005-0000-0000-000002150000}"/>
    <cellStyle name="20% - Accent3 9 2 3 3" xfId="2505" xr:uid="{00000000-0005-0000-0000-000003150000}"/>
    <cellStyle name="20% - Accent3 9 2 3 3 2" xfId="13812" xr:uid="{00000000-0005-0000-0000-000004150000}"/>
    <cellStyle name="20% - Accent3 9 2 3 3 3" xfId="17763" xr:uid="{00000000-0005-0000-0000-000005150000}"/>
    <cellStyle name="20% - Accent3 9 2 3 4" xfId="13810" xr:uid="{00000000-0005-0000-0000-000006150000}"/>
    <cellStyle name="20% - Accent3 9 2 3 5" xfId="17761" xr:uid="{00000000-0005-0000-0000-000007150000}"/>
    <cellStyle name="20% - Accent3 9 2 4" xfId="2506" xr:uid="{00000000-0005-0000-0000-000008150000}"/>
    <cellStyle name="20% - Accent3 9 2 4 2" xfId="2507" xr:uid="{00000000-0005-0000-0000-000009150000}"/>
    <cellStyle name="20% - Accent3 9 2 4 2 2" xfId="13814" xr:uid="{00000000-0005-0000-0000-00000A150000}"/>
    <cellStyle name="20% - Accent3 9 2 4 2 3" xfId="17765" xr:uid="{00000000-0005-0000-0000-00000B150000}"/>
    <cellStyle name="20% - Accent3 9 2 4 3" xfId="2508" xr:uid="{00000000-0005-0000-0000-00000C150000}"/>
    <cellStyle name="20% - Accent3 9 2 4 3 2" xfId="13815" xr:uid="{00000000-0005-0000-0000-00000D150000}"/>
    <cellStyle name="20% - Accent3 9 2 4 3 3" xfId="17766" xr:uid="{00000000-0005-0000-0000-00000E150000}"/>
    <cellStyle name="20% - Accent3 9 2 4 4" xfId="13813" xr:uid="{00000000-0005-0000-0000-00000F150000}"/>
    <cellStyle name="20% - Accent3 9 2 4 5" xfId="17764" xr:uid="{00000000-0005-0000-0000-000010150000}"/>
    <cellStyle name="20% - Accent3 9 2 5" xfId="2509" xr:uid="{00000000-0005-0000-0000-000011150000}"/>
    <cellStyle name="20% - Accent3 9 2 5 2" xfId="13816" xr:uid="{00000000-0005-0000-0000-000012150000}"/>
    <cellStyle name="20% - Accent3 9 2 5 3" xfId="17767" xr:uid="{00000000-0005-0000-0000-000013150000}"/>
    <cellStyle name="20% - Accent3 9 2 6" xfId="2510" xr:uid="{00000000-0005-0000-0000-000014150000}"/>
    <cellStyle name="20% - Accent3 9 2 6 2" xfId="13817" xr:uid="{00000000-0005-0000-0000-000015150000}"/>
    <cellStyle name="20% - Accent3 9 2 6 3" xfId="17768" xr:uid="{00000000-0005-0000-0000-000016150000}"/>
    <cellStyle name="20% - Accent3 9 2 7" xfId="13806" xr:uid="{00000000-0005-0000-0000-000017150000}"/>
    <cellStyle name="20% - Accent3 9 2 8" xfId="17757" xr:uid="{00000000-0005-0000-0000-000018150000}"/>
    <cellStyle name="20% - Accent3 9 2_Volatility" xfId="2511" xr:uid="{00000000-0005-0000-0000-000019150000}"/>
    <cellStyle name="20% - Accent3 9 3" xfId="2512" xr:uid="{00000000-0005-0000-0000-00001A150000}"/>
    <cellStyle name="20% - Accent3 9 3 2" xfId="2513" xr:uid="{00000000-0005-0000-0000-00001B150000}"/>
    <cellStyle name="20% - Accent3 9 3 2 2" xfId="2514" xr:uid="{00000000-0005-0000-0000-00001C150000}"/>
    <cellStyle name="20% - Accent3 9 3 2 2 2" xfId="13820" xr:uid="{00000000-0005-0000-0000-00001D150000}"/>
    <cellStyle name="20% - Accent3 9 3 2 2 3" xfId="17771" xr:uid="{00000000-0005-0000-0000-00001E150000}"/>
    <cellStyle name="20% - Accent3 9 3 2 3" xfId="2515" xr:uid="{00000000-0005-0000-0000-00001F150000}"/>
    <cellStyle name="20% - Accent3 9 3 2 3 2" xfId="13821" xr:uid="{00000000-0005-0000-0000-000020150000}"/>
    <cellStyle name="20% - Accent3 9 3 2 3 3" xfId="17772" xr:uid="{00000000-0005-0000-0000-000021150000}"/>
    <cellStyle name="20% - Accent3 9 3 2 4" xfId="13819" xr:uid="{00000000-0005-0000-0000-000022150000}"/>
    <cellStyle name="20% - Accent3 9 3 2 5" xfId="17770" xr:uid="{00000000-0005-0000-0000-000023150000}"/>
    <cellStyle name="20% - Accent3 9 3 3" xfId="2516" xr:uid="{00000000-0005-0000-0000-000024150000}"/>
    <cellStyle name="20% - Accent3 9 3 3 2" xfId="2517" xr:uid="{00000000-0005-0000-0000-000025150000}"/>
    <cellStyle name="20% - Accent3 9 3 3 2 2" xfId="13823" xr:uid="{00000000-0005-0000-0000-000026150000}"/>
    <cellStyle name="20% - Accent3 9 3 3 2 3" xfId="17774" xr:uid="{00000000-0005-0000-0000-000027150000}"/>
    <cellStyle name="20% - Accent3 9 3 3 3" xfId="2518" xr:uid="{00000000-0005-0000-0000-000028150000}"/>
    <cellStyle name="20% - Accent3 9 3 3 3 2" xfId="13824" xr:uid="{00000000-0005-0000-0000-000029150000}"/>
    <cellStyle name="20% - Accent3 9 3 3 3 3" xfId="17775" xr:uid="{00000000-0005-0000-0000-00002A150000}"/>
    <cellStyle name="20% - Accent3 9 3 3 4" xfId="13822" xr:uid="{00000000-0005-0000-0000-00002B150000}"/>
    <cellStyle name="20% - Accent3 9 3 3 5" xfId="17773" xr:uid="{00000000-0005-0000-0000-00002C150000}"/>
    <cellStyle name="20% - Accent3 9 3 4" xfId="2519" xr:uid="{00000000-0005-0000-0000-00002D150000}"/>
    <cellStyle name="20% - Accent3 9 3 4 2" xfId="13825" xr:uid="{00000000-0005-0000-0000-00002E150000}"/>
    <cellStyle name="20% - Accent3 9 3 4 3" xfId="17776" xr:uid="{00000000-0005-0000-0000-00002F150000}"/>
    <cellStyle name="20% - Accent3 9 3 5" xfId="2520" xr:uid="{00000000-0005-0000-0000-000030150000}"/>
    <cellStyle name="20% - Accent3 9 3 5 2" xfId="13826" xr:uid="{00000000-0005-0000-0000-000031150000}"/>
    <cellStyle name="20% - Accent3 9 3 5 3" xfId="17777" xr:uid="{00000000-0005-0000-0000-000032150000}"/>
    <cellStyle name="20% - Accent3 9 3 6" xfId="13818" xr:uid="{00000000-0005-0000-0000-000033150000}"/>
    <cellStyle name="20% - Accent3 9 3 7" xfId="17769" xr:uid="{00000000-0005-0000-0000-000034150000}"/>
    <cellStyle name="20% - Accent3 9 3_Volatility" xfId="2521" xr:uid="{00000000-0005-0000-0000-000035150000}"/>
    <cellStyle name="20% - Accent3 9 4" xfId="2522" xr:uid="{00000000-0005-0000-0000-000036150000}"/>
    <cellStyle name="20% - Accent3 9 4 2" xfId="2523" xr:uid="{00000000-0005-0000-0000-000037150000}"/>
    <cellStyle name="20% - Accent3 9 4 2 2" xfId="13828" xr:uid="{00000000-0005-0000-0000-000038150000}"/>
    <cellStyle name="20% - Accent3 9 4 2 3" xfId="17779" xr:uid="{00000000-0005-0000-0000-000039150000}"/>
    <cellStyle name="20% - Accent3 9 4 3" xfId="2524" xr:uid="{00000000-0005-0000-0000-00003A150000}"/>
    <cellStyle name="20% - Accent3 9 4 3 2" xfId="13829" xr:uid="{00000000-0005-0000-0000-00003B150000}"/>
    <cellStyle name="20% - Accent3 9 4 3 3" xfId="17780" xr:uid="{00000000-0005-0000-0000-00003C150000}"/>
    <cellStyle name="20% - Accent3 9 4 4" xfId="13827" xr:uid="{00000000-0005-0000-0000-00003D150000}"/>
    <cellStyle name="20% - Accent3 9 4 5" xfId="17778" xr:uid="{00000000-0005-0000-0000-00003E150000}"/>
    <cellStyle name="20% - Accent3 9 5" xfId="2525" xr:uid="{00000000-0005-0000-0000-00003F150000}"/>
    <cellStyle name="20% - Accent3 9 5 2" xfId="2526" xr:uid="{00000000-0005-0000-0000-000040150000}"/>
    <cellStyle name="20% - Accent3 9 5 2 2" xfId="13831" xr:uid="{00000000-0005-0000-0000-000041150000}"/>
    <cellStyle name="20% - Accent3 9 5 2 3" xfId="17782" xr:uid="{00000000-0005-0000-0000-000042150000}"/>
    <cellStyle name="20% - Accent3 9 5 3" xfId="2527" xr:uid="{00000000-0005-0000-0000-000043150000}"/>
    <cellStyle name="20% - Accent3 9 5 3 2" xfId="13832" xr:uid="{00000000-0005-0000-0000-000044150000}"/>
    <cellStyle name="20% - Accent3 9 5 3 3" xfId="17783" xr:uid="{00000000-0005-0000-0000-000045150000}"/>
    <cellStyle name="20% - Accent3 9 5 4" xfId="13830" xr:uid="{00000000-0005-0000-0000-000046150000}"/>
    <cellStyle name="20% - Accent3 9 5 5" xfId="17781" xr:uid="{00000000-0005-0000-0000-000047150000}"/>
    <cellStyle name="20% - Accent3 9 6" xfId="2528" xr:uid="{00000000-0005-0000-0000-000048150000}"/>
    <cellStyle name="20% - Accent3 9 6 2" xfId="2529" xr:uid="{00000000-0005-0000-0000-000049150000}"/>
    <cellStyle name="20% - Accent3 9 6 2 2" xfId="13834" xr:uid="{00000000-0005-0000-0000-00004A150000}"/>
    <cellStyle name="20% - Accent3 9 6 2 3" xfId="17785" xr:uid="{00000000-0005-0000-0000-00004B150000}"/>
    <cellStyle name="20% - Accent3 9 6 3" xfId="2530" xr:uid="{00000000-0005-0000-0000-00004C150000}"/>
    <cellStyle name="20% - Accent3 9 6 3 2" xfId="13835" xr:uid="{00000000-0005-0000-0000-00004D150000}"/>
    <cellStyle name="20% - Accent3 9 6 3 3" xfId="17786" xr:uid="{00000000-0005-0000-0000-00004E150000}"/>
    <cellStyle name="20% - Accent3 9 6 4" xfId="13833" xr:uid="{00000000-0005-0000-0000-00004F150000}"/>
    <cellStyle name="20% - Accent3 9 6 5" xfId="17784" xr:uid="{00000000-0005-0000-0000-000050150000}"/>
    <cellStyle name="20% - Accent3 9 7" xfId="2531" xr:uid="{00000000-0005-0000-0000-000051150000}"/>
    <cellStyle name="20% - Accent3 9 7 2" xfId="13836" xr:uid="{00000000-0005-0000-0000-000052150000}"/>
    <cellStyle name="20% - Accent3 9 7 3" xfId="17787" xr:uid="{00000000-0005-0000-0000-000053150000}"/>
    <cellStyle name="20% - Accent3 9 8" xfId="2532" xr:uid="{00000000-0005-0000-0000-000054150000}"/>
    <cellStyle name="20% - Accent3 9 8 2" xfId="13837" xr:uid="{00000000-0005-0000-0000-000055150000}"/>
    <cellStyle name="20% - Accent3 9 8 3" xfId="17788" xr:uid="{00000000-0005-0000-0000-000056150000}"/>
    <cellStyle name="20% - Accent3 9 9" xfId="13805" xr:uid="{00000000-0005-0000-0000-000057150000}"/>
    <cellStyle name="20% - Accent3 9_Volatility" xfId="2533" xr:uid="{00000000-0005-0000-0000-000058150000}"/>
    <cellStyle name="20% - Accent4 10" xfId="2534" xr:uid="{00000000-0005-0000-0000-000059150000}"/>
    <cellStyle name="20% - Accent4 10 10" xfId="17789" xr:uid="{00000000-0005-0000-0000-00005A150000}"/>
    <cellStyle name="20% - Accent4 10 2" xfId="2535" xr:uid="{00000000-0005-0000-0000-00005B150000}"/>
    <cellStyle name="20% - Accent4 10 2 2" xfId="2536" xr:uid="{00000000-0005-0000-0000-00005C150000}"/>
    <cellStyle name="20% - Accent4 10 2 2 2" xfId="2537" xr:uid="{00000000-0005-0000-0000-00005D150000}"/>
    <cellStyle name="20% - Accent4 10 2 2 2 2" xfId="13841" xr:uid="{00000000-0005-0000-0000-00005E150000}"/>
    <cellStyle name="20% - Accent4 10 2 2 2 3" xfId="17792" xr:uid="{00000000-0005-0000-0000-00005F150000}"/>
    <cellStyle name="20% - Accent4 10 2 2 3" xfId="2538" xr:uid="{00000000-0005-0000-0000-000060150000}"/>
    <cellStyle name="20% - Accent4 10 2 2 3 2" xfId="13842" xr:uid="{00000000-0005-0000-0000-000061150000}"/>
    <cellStyle name="20% - Accent4 10 2 2 3 3" xfId="17793" xr:uid="{00000000-0005-0000-0000-000062150000}"/>
    <cellStyle name="20% - Accent4 10 2 2 4" xfId="13840" xr:uid="{00000000-0005-0000-0000-000063150000}"/>
    <cellStyle name="20% - Accent4 10 2 2 5" xfId="17791" xr:uid="{00000000-0005-0000-0000-000064150000}"/>
    <cellStyle name="20% - Accent4 10 2 3" xfId="2539" xr:uid="{00000000-0005-0000-0000-000065150000}"/>
    <cellStyle name="20% - Accent4 10 2 3 2" xfId="2540" xr:uid="{00000000-0005-0000-0000-000066150000}"/>
    <cellStyle name="20% - Accent4 10 2 3 2 2" xfId="13844" xr:uid="{00000000-0005-0000-0000-000067150000}"/>
    <cellStyle name="20% - Accent4 10 2 3 2 3" xfId="17795" xr:uid="{00000000-0005-0000-0000-000068150000}"/>
    <cellStyle name="20% - Accent4 10 2 3 3" xfId="2541" xr:uid="{00000000-0005-0000-0000-000069150000}"/>
    <cellStyle name="20% - Accent4 10 2 3 3 2" xfId="13845" xr:uid="{00000000-0005-0000-0000-00006A150000}"/>
    <cellStyle name="20% - Accent4 10 2 3 3 3" xfId="17796" xr:uid="{00000000-0005-0000-0000-00006B150000}"/>
    <cellStyle name="20% - Accent4 10 2 3 4" xfId="13843" xr:uid="{00000000-0005-0000-0000-00006C150000}"/>
    <cellStyle name="20% - Accent4 10 2 3 5" xfId="17794" xr:uid="{00000000-0005-0000-0000-00006D150000}"/>
    <cellStyle name="20% - Accent4 10 2 4" xfId="2542" xr:uid="{00000000-0005-0000-0000-00006E150000}"/>
    <cellStyle name="20% - Accent4 10 2 4 2" xfId="2543" xr:uid="{00000000-0005-0000-0000-00006F150000}"/>
    <cellStyle name="20% - Accent4 10 2 4 2 2" xfId="13847" xr:uid="{00000000-0005-0000-0000-000070150000}"/>
    <cellStyle name="20% - Accent4 10 2 4 2 3" xfId="17798" xr:uid="{00000000-0005-0000-0000-000071150000}"/>
    <cellStyle name="20% - Accent4 10 2 4 3" xfId="2544" xr:uid="{00000000-0005-0000-0000-000072150000}"/>
    <cellStyle name="20% - Accent4 10 2 4 3 2" xfId="13848" xr:uid="{00000000-0005-0000-0000-000073150000}"/>
    <cellStyle name="20% - Accent4 10 2 4 3 3" xfId="17799" xr:uid="{00000000-0005-0000-0000-000074150000}"/>
    <cellStyle name="20% - Accent4 10 2 4 4" xfId="13846" xr:uid="{00000000-0005-0000-0000-000075150000}"/>
    <cellStyle name="20% - Accent4 10 2 4 5" xfId="17797" xr:uid="{00000000-0005-0000-0000-000076150000}"/>
    <cellStyle name="20% - Accent4 10 2 5" xfId="2545" xr:uid="{00000000-0005-0000-0000-000077150000}"/>
    <cellStyle name="20% - Accent4 10 2 5 2" xfId="13849" xr:uid="{00000000-0005-0000-0000-000078150000}"/>
    <cellStyle name="20% - Accent4 10 2 5 3" xfId="17800" xr:uid="{00000000-0005-0000-0000-000079150000}"/>
    <cellStyle name="20% - Accent4 10 2 6" xfId="2546" xr:uid="{00000000-0005-0000-0000-00007A150000}"/>
    <cellStyle name="20% - Accent4 10 2 6 2" xfId="13850" xr:uid="{00000000-0005-0000-0000-00007B150000}"/>
    <cellStyle name="20% - Accent4 10 2 6 3" xfId="17801" xr:uid="{00000000-0005-0000-0000-00007C150000}"/>
    <cellStyle name="20% - Accent4 10 2 7" xfId="13839" xr:uid="{00000000-0005-0000-0000-00007D150000}"/>
    <cellStyle name="20% - Accent4 10 2 8" xfId="17790" xr:uid="{00000000-0005-0000-0000-00007E150000}"/>
    <cellStyle name="20% - Accent4 10 2_Volatility" xfId="2547" xr:uid="{00000000-0005-0000-0000-00007F150000}"/>
    <cellStyle name="20% - Accent4 10 3" xfId="2548" xr:uid="{00000000-0005-0000-0000-000080150000}"/>
    <cellStyle name="20% - Accent4 10 3 2" xfId="2549" xr:uid="{00000000-0005-0000-0000-000081150000}"/>
    <cellStyle name="20% - Accent4 10 3 2 2" xfId="2550" xr:uid="{00000000-0005-0000-0000-000082150000}"/>
    <cellStyle name="20% - Accent4 10 3 2 2 2" xfId="13853" xr:uid="{00000000-0005-0000-0000-000083150000}"/>
    <cellStyle name="20% - Accent4 10 3 2 2 3" xfId="17804" xr:uid="{00000000-0005-0000-0000-000084150000}"/>
    <cellStyle name="20% - Accent4 10 3 2 3" xfId="2551" xr:uid="{00000000-0005-0000-0000-000085150000}"/>
    <cellStyle name="20% - Accent4 10 3 2 3 2" xfId="13854" xr:uid="{00000000-0005-0000-0000-000086150000}"/>
    <cellStyle name="20% - Accent4 10 3 2 3 3" xfId="17805" xr:uid="{00000000-0005-0000-0000-000087150000}"/>
    <cellStyle name="20% - Accent4 10 3 2 4" xfId="13852" xr:uid="{00000000-0005-0000-0000-000088150000}"/>
    <cellStyle name="20% - Accent4 10 3 2 5" xfId="17803" xr:uid="{00000000-0005-0000-0000-000089150000}"/>
    <cellStyle name="20% - Accent4 10 3 3" xfId="2552" xr:uid="{00000000-0005-0000-0000-00008A150000}"/>
    <cellStyle name="20% - Accent4 10 3 3 2" xfId="2553" xr:uid="{00000000-0005-0000-0000-00008B150000}"/>
    <cellStyle name="20% - Accent4 10 3 3 2 2" xfId="13856" xr:uid="{00000000-0005-0000-0000-00008C150000}"/>
    <cellStyle name="20% - Accent4 10 3 3 2 3" xfId="17807" xr:uid="{00000000-0005-0000-0000-00008D150000}"/>
    <cellStyle name="20% - Accent4 10 3 3 3" xfId="2554" xr:uid="{00000000-0005-0000-0000-00008E150000}"/>
    <cellStyle name="20% - Accent4 10 3 3 3 2" xfId="13857" xr:uid="{00000000-0005-0000-0000-00008F150000}"/>
    <cellStyle name="20% - Accent4 10 3 3 3 3" xfId="17808" xr:uid="{00000000-0005-0000-0000-000090150000}"/>
    <cellStyle name="20% - Accent4 10 3 3 4" xfId="13855" xr:uid="{00000000-0005-0000-0000-000091150000}"/>
    <cellStyle name="20% - Accent4 10 3 3 5" xfId="17806" xr:uid="{00000000-0005-0000-0000-000092150000}"/>
    <cellStyle name="20% - Accent4 10 3 4" xfId="2555" xr:uid="{00000000-0005-0000-0000-000093150000}"/>
    <cellStyle name="20% - Accent4 10 3 4 2" xfId="13858" xr:uid="{00000000-0005-0000-0000-000094150000}"/>
    <cellStyle name="20% - Accent4 10 3 4 3" xfId="17809" xr:uid="{00000000-0005-0000-0000-000095150000}"/>
    <cellStyle name="20% - Accent4 10 3 5" xfId="2556" xr:uid="{00000000-0005-0000-0000-000096150000}"/>
    <cellStyle name="20% - Accent4 10 3 5 2" xfId="13859" xr:uid="{00000000-0005-0000-0000-000097150000}"/>
    <cellStyle name="20% - Accent4 10 3 5 3" xfId="17810" xr:uid="{00000000-0005-0000-0000-000098150000}"/>
    <cellStyle name="20% - Accent4 10 3 6" xfId="13851" xr:uid="{00000000-0005-0000-0000-000099150000}"/>
    <cellStyle name="20% - Accent4 10 3 7" xfId="17802" xr:uid="{00000000-0005-0000-0000-00009A150000}"/>
    <cellStyle name="20% - Accent4 10 3_Volatility" xfId="2557" xr:uid="{00000000-0005-0000-0000-00009B150000}"/>
    <cellStyle name="20% - Accent4 10 4" xfId="2558" xr:uid="{00000000-0005-0000-0000-00009C150000}"/>
    <cellStyle name="20% - Accent4 10 4 2" xfId="2559" xr:uid="{00000000-0005-0000-0000-00009D150000}"/>
    <cellStyle name="20% - Accent4 10 4 2 2" xfId="13861" xr:uid="{00000000-0005-0000-0000-00009E150000}"/>
    <cellStyle name="20% - Accent4 10 4 2 3" xfId="17812" xr:uid="{00000000-0005-0000-0000-00009F150000}"/>
    <cellStyle name="20% - Accent4 10 4 3" xfId="2560" xr:uid="{00000000-0005-0000-0000-0000A0150000}"/>
    <cellStyle name="20% - Accent4 10 4 3 2" xfId="13862" xr:uid="{00000000-0005-0000-0000-0000A1150000}"/>
    <cellStyle name="20% - Accent4 10 4 3 3" xfId="17813" xr:uid="{00000000-0005-0000-0000-0000A2150000}"/>
    <cellStyle name="20% - Accent4 10 4 4" xfId="13860" xr:uid="{00000000-0005-0000-0000-0000A3150000}"/>
    <cellStyle name="20% - Accent4 10 4 5" xfId="17811" xr:uid="{00000000-0005-0000-0000-0000A4150000}"/>
    <cellStyle name="20% - Accent4 10 5" xfId="2561" xr:uid="{00000000-0005-0000-0000-0000A5150000}"/>
    <cellStyle name="20% - Accent4 10 5 2" xfId="2562" xr:uid="{00000000-0005-0000-0000-0000A6150000}"/>
    <cellStyle name="20% - Accent4 10 5 2 2" xfId="13864" xr:uid="{00000000-0005-0000-0000-0000A7150000}"/>
    <cellStyle name="20% - Accent4 10 5 2 3" xfId="17815" xr:uid="{00000000-0005-0000-0000-0000A8150000}"/>
    <cellStyle name="20% - Accent4 10 5 3" xfId="2563" xr:uid="{00000000-0005-0000-0000-0000A9150000}"/>
    <cellStyle name="20% - Accent4 10 5 3 2" xfId="13865" xr:uid="{00000000-0005-0000-0000-0000AA150000}"/>
    <cellStyle name="20% - Accent4 10 5 3 3" xfId="17816" xr:uid="{00000000-0005-0000-0000-0000AB150000}"/>
    <cellStyle name="20% - Accent4 10 5 4" xfId="13863" xr:uid="{00000000-0005-0000-0000-0000AC150000}"/>
    <cellStyle name="20% - Accent4 10 5 5" xfId="17814" xr:uid="{00000000-0005-0000-0000-0000AD150000}"/>
    <cellStyle name="20% - Accent4 10 6" xfId="2564" xr:uid="{00000000-0005-0000-0000-0000AE150000}"/>
    <cellStyle name="20% - Accent4 10 6 2" xfId="2565" xr:uid="{00000000-0005-0000-0000-0000AF150000}"/>
    <cellStyle name="20% - Accent4 10 6 2 2" xfId="13867" xr:uid="{00000000-0005-0000-0000-0000B0150000}"/>
    <cellStyle name="20% - Accent4 10 6 2 3" xfId="17818" xr:uid="{00000000-0005-0000-0000-0000B1150000}"/>
    <cellStyle name="20% - Accent4 10 6 3" xfId="2566" xr:uid="{00000000-0005-0000-0000-0000B2150000}"/>
    <cellStyle name="20% - Accent4 10 6 3 2" xfId="13868" xr:uid="{00000000-0005-0000-0000-0000B3150000}"/>
    <cellStyle name="20% - Accent4 10 6 3 3" xfId="17819" xr:uid="{00000000-0005-0000-0000-0000B4150000}"/>
    <cellStyle name="20% - Accent4 10 6 4" xfId="13866" xr:uid="{00000000-0005-0000-0000-0000B5150000}"/>
    <cellStyle name="20% - Accent4 10 6 5" xfId="17817" xr:uid="{00000000-0005-0000-0000-0000B6150000}"/>
    <cellStyle name="20% - Accent4 10 7" xfId="2567" xr:uid="{00000000-0005-0000-0000-0000B7150000}"/>
    <cellStyle name="20% - Accent4 10 7 2" xfId="13869" xr:uid="{00000000-0005-0000-0000-0000B8150000}"/>
    <cellStyle name="20% - Accent4 10 7 3" xfId="17820" xr:uid="{00000000-0005-0000-0000-0000B9150000}"/>
    <cellStyle name="20% - Accent4 10 8" xfId="2568" xr:uid="{00000000-0005-0000-0000-0000BA150000}"/>
    <cellStyle name="20% - Accent4 10 8 2" xfId="13870" xr:uid="{00000000-0005-0000-0000-0000BB150000}"/>
    <cellStyle name="20% - Accent4 10 8 3" xfId="17821" xr:uid="{00000000-0005-0000-0000-0000BC150000}"/>
    <cellStyle name="20% - Accent4 10 9" xfId="13838" xr:uid="{00000000-0005-0000-0000-0000BD150000}"/>
    <cellStyle name="20% - Accent4 10_Volatility" xfId="2569" xr:uid="{00000000-0005-0000-0000-0000BE150000}"/>
    <cellStyle name="20% - Accent4 11" xfId="2570" xr:uid="{00000000-0005-0000-0000-0000BF150000}"/>
    <cellStyle name="20% - Accent4 11 10" xfId="17822" xr:uid="{00000000-0005-0000-0000-0000C0150000}"/>
    <cellStyle name="20% - Accent4 11 2" xfId="2571" xr:uid="{00000000-0005-0000-0000-0000C1150000}"/>
    <cellStyle name="20% - Accent4 11 2 2" xfId="2572" xr:uid="{00000000-0005-0000-0000-0000C2150000}"/>
    <cellStyle name="20% - Accent4 11 2 2 2" xfId="2573" xr:uid="{00000000-0005-0000-0000-0000C3150000}"/>
    <cellStyle name="20% - Accent4 11 2 2 2 2" xfId="13874" xr:uid="{00000000-0005-0000-0000-0000C4150000}"/>
    <cellStyle name="20% - Accent4 11 2 2 2 3" xfId="17825" xr:uid="{00000000-0005-0000-0000-0000C5150000}"/>
    <cellStyle name="20% - Accent4 11 2 2 3" xfId="2574" xr:uid="{00000000-0005-0000-0000-0000C6150000}"/>
    <cellStyle name="20% - Accent4 11 2 2 3 2" xfId="13875" xr:uid="{00000000-0005-0000-0000-0000C7150000}"/>
    <cellStyle name="20% - Accent4 11 2 2 3 3" xfId="17826" xr:uid="{00000000-0005-0000-0000-0000C8150000}"/>
    <cellStyle name="20% - Accent4 11 2 2 4" xfId="13873" xr:uid="{00000000-0005-0000-0000-0000C9150000}"/>
    <cellStyle name="20% - Accent4 11 2 2 5" xfId="17824" xr:uid="{00000000-0005-0000-0000-0000CA150000}"/>
    <cellStyle name="20% - Accent4 11 2 3" xfId="2575" xr:uid="{00000000-0005-0000-0000-0000CB150000}"/>
    <cellStyle name="20% - Accent4 11 2 3 2" xfId="2576" xr:uid="{00000000-0005-0000-0000-0000CC150000}"/>
    <cellStyle name="20% - Accent4 11 2 3 2 2" xfId="13877" xr:uid="{00000000-0005-0000-0000-0000CD150000}"/>
    <cellStyle name="20% - Accent4 11 2 3 2 3" xfId="17828" xr:uid="{00000000-0005-0000-0000-0000CE150000}"/>
    <cellStyle name="20% - Accent4 11 2 3 3" xfId="2577" xr:uid="{00000000-0005-0000-0000-0000CF150000}"/>
    <cellStyle name="20% - Accent4 11 2 3 3 2" xfId="13878" xr:uid="{00000000-0005-0000-0000-0000D0150000}"/>
    <cellStyle name="20% - Accent4 11 2 3 3 3" xfId="17829" xr:uid="{00000000-0005-0000-0000-0000D1150000}"/>
    <cellStyle name="20% - Accent4 11 2 3 4" xfId="13876" xr:uid="{00000000-0005-0000-0000-0000D2150000}"/>
    <cellStyle name="20% - Accent4 11 2 3 5" xfId="17827" xr:uid="{00000000-0005-0000-0000-0000D3150000}"/>
    <cellStyle name="20% - Accent4 11 2 4" xfId="2578" xr:uid="{00000000-0005-0000-0000-0000D4150000}"/>
    <cellStyle name="20% - Accent4 11 2 4 2" xfId="2579" xr:uid="{00000000-0005-0000-0000-0000D5150000}"/>
    <cellStyle name="20% - Accent4 11 2 4 2 2" xfId="13880" xr:uid="{00000000-0005-0000-0000-0000D6150000}"/>
    <cellStyle name="20% - Accent4 11 2 4 2 3" xfId="17831" xr:uid="{00000000-0005-0000-0000-0000D7150000}"/>
    <cellStyle name="20% - Accent4 11 2 4 3" xfId="2580" xr:uid="{00000000-0005-0000-0000-0000D8150000}"/>
    <cellStyle name="20% - Accent4 11 2 4 3 2" xfId="13881" xr:uid="{00000000-0005-0000-0000-0000D9150000}"/>
    <cellStyle name="20% - Accent4 11 2 4 3 3" xfId="17832" xr:uid="{00000000-0005-0000-0000-0000DA150000}"/>
    <cellStyle name="20% - Accent4 11 2 4 4" xfId="13879" xr:uid="{00000000-0005-0000-0000-0000DB150000}"/>
    <cellStyle name="20% - Accent4 11 2 4 5" xfId="17830" xr:uid="{00000000-0005-0000-0000-0000DC150000}"/>
    <cellStyle name="20% - Accent4 11 2 5" xfId="2581" xr:uid="{00000000-0005-0000-0000-0000DD150000}"/>
    <cellStyle name="20% - Accent4 11 2 5 2" xfId="13882" xr:uid="{00000000-0005-0000-0000-0000DE150000}"/>
    <cellStyle name="20% - Accent4 11 2 5 3" xfId="17833" xr:uid="{00000000-0005-0000-0000-0000DF150000}"/>
    <cellStyle name="20% - Accent4 11 2 6" xfId="2582" xr:uid="{00000000-0005-0000-0000-0000E0150000}"/>
    <cellStyle name="20% - Accent4 11 2 6 2" xfId="13883" xr:uid="{00000000-0005-0000-0000-0000E1150000}"/>
    <cellStyle name="20% - Accent4 11 2 6 3" xfId="17834" xr:uid="{00000000-0005-0000-0000-0000E2150000}"/>
    <cellStyle name="20% - Accent4 11 2 7" xfId="13872" xr:uid="{00000000-0005-0000-0000-0000E3150000}"/>
    <cellStyle name="20% - Accent4 11 2 8" xfId="17823" xr:uid="{00000000-0005-0000-0000-0000E4150000}"/>
    <cellStyle name="20% - Accent4 11 2_Volatility" xfId="2583" xr:uid="{00000000-0005-0000-0000-0000E5150000}"/>
    <cellStyle name="20% - Accent4 11 3" xfId="2584" xr:uid="{00000000-0005-0000-0000-0000E6150000}"/>
    <cellStyle name="20% - Accent4 11 3 2" xfId="2585" xr:uid="{00000000-0005-0000-0000-0000E7150000}"/>
    <cellStyle name="20% - Accent4 11 3 2 2" xfId="2586" xr:uid="{00000000-0005-0000-0000-0000E8150000}"/>
    <cellStyle name="20% - Accent4 11 3 2 2 2" xfId="13886" xr:uid="{00000000-0005-0000-0000-0000E9150000}"/>
    <cellStyle name="20% - Accent4 11 3 2 2 3" xfId="17837" xr:uid="{00000000-0005-0000-0000-0000EA150000}"/>
    <cellStyle name="20% - Accent4 11 3 2 3" xfId="2587" xr:uid="{00000000-0005-0000-0000-0000EB150000}"/>
    <cellStyle name="20% - Accent4 11 3 2 3 2" xfId="13887" xr:uid="{00000000-0005-0000-0000-0000EC150000}"/>
    <cellStyle name="20% - Accent4 11 3 2 3 3" xfId="17838" xr:uid="{00000000-0005-0000-0000-0000ED150000}"/>
    <cellStyle name="20% - Accent4 11 3 2 4" xfId="13885" xr:uid="{00000000-0005-0000-0000-0000EE150000}"/>
    <cellStyle name="20% - Accent4 11 3 2 5" xfId="17836" xr:uid="{00000000-0005-0000-0000-0000EF150000}"/>
    <cellStyle name="20% - Accent4 11 3 3" xfId="2588" xr:uid="{00000000-0005-0000-0000-0000F0150000}"/>
    <cellStyle name="20% - Accent4 11 3 3 2" xfId="2589" xr:uid="{00000000-0005-0000-0000-0000F1150000}"/>
    <cellStyle name="20% - Accent4 11 3 3 2 2" xfId="13889" xr:uid="{00000000-0005-0000-0000-0000F2150000}"/>
    <cellStyle name="20% - Accent4 11 3 3 2 3" xfId="17840" xr:uid="{00000000-0005-0000-0000-0000F3150000}"/>
    <cellStyle name="20% - Accent4 11 3 3 3" xfId="2590" xr:uid="{00000000-0005-0000-0000-0000F4150000}"/>
    <cellStyle name="20% - Accent4 11 3 3 3 2" xfId="13890" xr:uid="{00000000-0005-0000-0000-0000F5150000}"/>
    <cellStyle name="20% - Accent4 11 3 3 3 3" xfId="17841" xr:uid="{00000000-0005-0000-0000-0000F6150000}"/>
    <cellStyle name="20% - Accent4 11 3 3 4" xfId="13888" xr:uid="{00000000-0005-0000-0000-0000F7150000}"/>
    <cellStyle name="20% - Accent4 11 3 3 5" xfId="17839" xr:uid="{00000000-0005-0000-0000-0000F8150000}"/>
    <cellStyle name="20% - Accent4 11 3 4" xfId="2591" xr:uid="{00000000-0005-0000-0000-0000F9150000}"/>
    <cellStyle name="20% - Accent4 11 3 4 2" xfId="13891" xr:uid="{00000000-0005-0000-0000-0000FA150000}"/>
    <cellStyle name="20% - Accent4 11 3 4 3" xfId="17842" xr:uid="{00000000-0005-0000-0000-0000FB150000}"/>
    <cellStyle name="20% - Accent4 11 3 5" xfId="2592" xr:uid="{00000000-0005-0000-0000-0000FC150000}"/>
    <cellStyle name="20% - Accent4 11 3 5 2" xfId="13892" xr:uid="{00000000-0005-0000-0000-0000FD150000}"/>
    <cellStyle name="20% - Accent4 11 3 5 3" xfId="17843" xr:uid="{00000000-0005-0000-0000-0000FE150000}"/>
    <cellStyle name="20% - Accent4 11 3 6" xfId="13884" xr:uid="{00000000-0005-0000-0000-0000FF150000}"/>
    <cellStyle name="20% - Accent4 11 3 7" xfId="17835" xr:uid="{00000000-0005-0000-0000-000000160000}"/>
    <cellStyle name="20% - Accent4 11 3_Volatility" xfId="2593" xr:uid="{00000000-0005-0000-0000-000001160000}"/>
    <cellStyle name="20% - Accent4 11 4" xfId="2594" xr:uid="{00000000-0005-0000-0000-000002160000}"/>
    <cellStyle name="20% - Accent4 11 4 2" xfId="2595" xr:uid="{00000000-0005-0000-0000-000003160000}"/>
    <cellStyle name="20% - Accent4 11 4 2 2" xfId="13894" xr:uid="{00000000-0005-0000-0000-000004160000}"/>
    <cellStyle name="20% - Accent4 11 4 2 3" xfId="17845" xr:uid="{00000000-0005-0000-0000-000005160000}"/>
    <cellStyle name="20% - Accent4 11 4 3" xfId="2596" xr:uid="{00000000-0005-0000-0000-000006160000}"/>
    <cellStyle name="20% - Accent4 11 4 3 2" xfId="13895" xr:uid="{00000000-0005-0000-0000-000007160000}"/>
    <cellStyle name="20% - Accent4 11 4 3 3" xfId="17846" xr:uid="{00000000-0005-0000-0000-000008160000}"/>
    <cellStyle name="20% - Accent4 11 4 4" xfId="13893" xr:uid="{00000000-0005-0000-0000-000009160000}"/>
    <cellStyle name="20% - Accent4 11 4 5" xfId="17844" xr:uid="{00000000-0005-0000-0000-00000A160000}"/>
    <cellStyle name="20% - Accent4 11 5" xfId="2597" xr:uid="{00000000-0005-0000-0000-00000B160000}"/>
    <cellStyle name="20% - Accent4 11 5 2" xfId="2598" xr:uid="{00000000-0005-0000-0000-00000C160000}"/>
    <cellStyle name="20% - Accent4 11 5 2 2" xfId="13897" xr:uid="{00000000-0005-0000-0000-00000D160000}"/>
    <cellStyle name="20% - Accent4 11 5 2 3" xfId="17848" xr:uid="{00000000-0005-0000-0000-00000E160000}"/>
    <cellStyle name="20% - Accent4 11 5 3" xfId="2599" xr:uid="{00000000-0005-0000-0000-00000F160000}"/>
    <cellStyle name="20% - Accent4 11 5 3 2" xfId="13898" xr:uid="{00000000-0005-0000-0000-000010160000}"/>
    <cellStyle name="20% - Accent4 11 5 3 3" xfId="17849" xr:uid="{00000000-0005-0000-0000-000011160000}"/>
    <cellStyle name="20% - Accent4 11 5 4" xfId="13896" xr:uid="{00000000-0005-0000-0000-000012160000}"/>
    <cellStyle name="20% - Accent4 11 5 5" xfId="17847" xr:uid="{00000000-0005-0000-0000-000013160000}"/>
    <cellStyle name="20% - Accent4 11 6" xfId="2600" xr:uid="{00000000-0005-0000-0000-000014160000}"/>
    <cellStyle name="20% - Accent4 11 6 2" xfId="2601" xr:uid="{00000000-0005-0000-0000-000015160000}"/>
    <cellStyle name="20% - Accent4 11 6 2 2" xfId="13900" xr:uid="{00000000-0005-0000-0000-000016160000}"/>
    <cellStyle name="20% - Accent4 11 6 2 3" xfId="17851" xr:uid="{00000000-0005-0000-0000-000017160000}"/>
    <cellStyle name="20% - Accent4 11 6 3" xfId="2602" xr:uid="{00000000-0005-0000-0000-000018160000}"/>
    <cellStyle name="20% - Accent4 11 6 3 2" xfId="13901" xr:uid="{00000000-0005-0000-0000-000019160000}"/>
    <cellStyle name="20% - Accent4 11 6 3 3" xfId="17852" xr:uid="{00000000-0005-0000-0000-00001A160000}"/>
    <cellStyle name="20% - Accent4 11 6 4" xfId="13899" xr:uid="{00000000-0005-0000-0000-00001B160000}"/>
    <cellStyle name="20% - Accent4 11 6 5" xfId="17850" xr:uid="{00000000-0005-0000-0000-00001C160000}"/>
    <cellStyle name="20% - Accent4 11 7" xfId="2603" xr:uid="{00000000-0005-0000-0000-00001D160000}"/>
    <cellStyle name="20% - Accent4 11 7 2" xfId="13902" xr:uid="{00000000-0005-0000-0000-00001E160000}"/>
    <cellStyle name="20% - Accent4 11 7 3" xfId="17853" xr:uid="{00000000-0005-0000-0000-00001F160000}"/>
    <cellStyle name="20% - Accent4 11 8" xfId="2604" xr:uid="{00000000-0005-0000-0000-000020160000}"/>
    <cellStyle name="20% - Accent4 11 8 2" xfId="13903" xr:uid="{00000000-0005-0000-0000-000021160000}"/>
    <cellStyle name="20% - Accent4 11 8 3" xfId="17854" xr:uid="{00000000-0005-0000-0000-000022160000}"/>
    <cellStyle name="20% - Accent4 11 9" xfId="13871" xr:uid="{00000000-0005-0000-0000-000023160000}"/>
    <cellStyle name="20% - Accent4 11_Volatility" xfId="2605" xr:uid="{00000000-0005-0000-0000-000024160000}"/>
    <cellStyle name="20% - Accent4 12" xfId="2606" xr:uid="{00000000-0005-0000-0000-000025160000}"/>
    <cellStyle name="20% - Accent4 12 10" xfId="17855" xr:uid="{00000000-0005-0000-0000-000026160000}"/>
    <cellStyle name="20% - Accent4 12 2" xfId="2607" xr:uid="{00000000-0005-0000-0000-000027160000}"/>
    <cellStyle name="20% - Accent4 12 2 2" xfId="2608" xr:uid="{00000000-0005-0000-0000-000028160000}"/>
    <cellStyle name="20% - Accent4 12 2 2 2" xfId="2609" xr:uid="{00000000-0005-0000-0000-000029160000}"/>
    <cellStyle name="20% - Accent4 12 2 2 2 2" xfId="13907" xr:uid="{00000000-0005-0000-0000-00002A160000}"/>
    <cellStyle name="20% - Accent4 12 2 2 2 3" xfId="17858" xr:uid="{00000000-0005-0000-0000-00002B160000}"/>
    <cellStyle name="20% - Accent4 12 2 2 3" xfId="2610" xr:uid="{00000000-0005-0000-0000-00002C160000}"/>
    <cellStyle name="20% - Accent4 12 2 2 3 2" xfId="13908" xr:uid="{00000000-0005-0000-0000-00002D160000}"/>
    <cellStyle name="20% - Accent4 12 2 2 3 3" xfId="17859" xr:uid="{00000000-0005-0000-0000-00002E160000}"/>
    <cellStyle name="20% - Accent4 12 2 2 4" xfId="13906" xr:uid="{00000000-0005-0000-0000-00002F160000}"/>
    <cellStyle name="20% - Accent4 12 2 2 5" xfId="17857" xr:uid="{00000000-0005-0000-0000-000030160000}"/>
    <cellStyle name="20% - Accent4 12 2 3" xfId="2611" xr:uid="{00000000-0005-0000-0000-000031160000}"/>
    <cellStyle name="20% - Accent4 12 2 3 2" xfId="2612" xr:uid="{00000000-0005-0000-0000-000032160000}"/>
    <cellStyle name="20% - Accent4 12 2 3 2 2" xfId="13910" xr:uid="{00000000-0005-0000-0000-000033160000}"/>
    <cellStyle name="20% - Accent4 12 2 3 2 3" xfId="17861" xr:uid="{00000000-0005-0000-0000-000034160000}"/>
    <cellStyle name="20% - Accent4 12 2 3 3" xfId="2613" xr:uid="{00000000-0005-0000-0000-000035160000}"/>
    <cellStyle name="20% - Accent4 12 2 3 3 2" xfId="13911" xr:uid="{00000000-0005-0000-0000-000036160000}"/>
    <cellStyle name="20% - Accent4 12 2 3 3 3" xfId="17862" xr:uid="{00000000-0005-0000-0000-000037160000}"/>
    <cellStyle name="20% - Accent4 12 2 3 4" xfId="13909" xr:uid="{00000000-0005-0000-0000-000038160000}"/>
    <cellStyle name="20% - Accent4 12 2 3 5" xfId="17860" xr:uid="{00000000-0005-0000-0000-000039160000}"/>
    <cellStyle name="20% - Accent4 12 2 4" xfId="2614" xr:uid="{00000000-0005-0000-0000-00003A160000}"/>
    <cellStyle name="20% - Accent4 12 2 4 2" xfId="2615" xr:uid="{00000000-0005-0000-0000-00003B160000}"/>
    <cellStyle name="20% - Accent4 12 2 4 2 2" xfId="13913" xr:uid="{00000000-0005-0000-0000-00003C160000}"/>
    <cellStyle name="20% - Accent4 12 2 4 2 3" xfId="17864" xr:uid="{00000000-0005-0000-0000-00003D160000}"/>
    <cellStyle name="20% - Accent4 12 2 4 3" xfId="2616" xr:uid="{00000000-0005-0000-0000-00003E160000}"/>
    <cellStyle name="20% - Accent4 12 2 4 3 2" xfId="13914" xr:uid="{00000000-0005-0000-0000-00003F160000}"/>
    <cellStyle name="20% - Accent4 12 2 4 3 3" xfId="17865" xr:uid="{00000000-0005-0000-0000-000040160000}"/>
    <cellStyle name="20% - Accent4 12 2 4 4" xfId="13912" xr:uid="{00000000-0005-0000-0000-000041160000}"/>
    <cellStyle name="20% - Accent4 12 2 4 5" xfId="17863" xr:uid="{00000000-0005-0000-0000-000042160000}"/>
    <cellStyle name="20% - Accent4 12 2 5" xfId="2617" xr:uid="{00000000-0005-0000-0000-000043160000}"/>
    <cellStyle name="20% - Accent4 12 2 5 2" xfId="13915" xr:uid="{00000000-0005-0000-0000-000044160000}"/>
    <cellStyle name="20% - Accent4 12 2 5 3" xfId="17866" xr:uid="{00000000-0005-0000-0000-000045160000}"/>
    <cellStyle name="20% - Accent4 12 2 6" xfId="2618" xr:uid="{00000000-0005-0000-0000-000046160000}"/>
    <cellStyle name="20% - Accent4 12 2 6 2" xfId="13916" xr:uid="{00000000-0005-0000-0000-000047160000}"/>
    <cellStyle name="20% - Accent4 12 2 6 3" xfId="17867" xr:uid="{00000000-0005-0000-0000-000048160000}"/>
    <cellStyle name="20% - Accent4 12 2 7" xfId="13905" xr:uid="{00000000-0005-0000-0000-000049160000}"/>
    <cellStyle name="20% - Accent4 12 2 8" xfId="17856" xr:uid="{00000000-0005-0000-0000-00004A160000}"/>
    <cellStyle name="20% - Accent4 12 2_Volatility" xfId="2619" xr:uid="{00000000-0005-0000-0000-00004B160000}"/>
    <cellStyle name="20% - Accent4 12 3" xfId="2620" xr:uid="{00000000-0005-0000-0000-00004C160000}"/>
    <cellStyle name="20% - Accent4 12 3 2" xfId="2621" xr:uid="{00000000-0005-0000-0000-00004D160000}"/>
    <cellStyle name="20% - Accent4 12 3 2 2" xfId="2622" xr:uid="{00000000-0005-0000-0000-00004E160000}"/>
    <cellStyle name="20% - Accent4 12 3 2 2 2" xfId="13919" xr:uid="{00000000-0005-0000-0000-00004F160000}"/>
    <cellStyle name="20% - Accent4 12 3 2 2 3" xfId="17870" xr:uid="{00000000-0005-0000-0000-000050160000}"/>
    <cellStyle name="20% - Accent4 12 3 2 3" xfId="2623" xr:uid="{00000000-0005-0000-0000-000051160000}"/>
    <cellStyle name="20% - Accent4 12 3 2 3 2" xfId="13920" xr:uid="{00000000-0005-0000-0000-000052160000}"/>
    <cellStyle name="20% - Accent4 12 3 2 3 3" xfId="17871" xr:uid="{00000000-0005-0000-0000-000053160000}"/>
    <cellStyle name="20% - Accent4 12 3 2 4" xfId="13918" xr:uid="{00000000-0005-0000-0000-000054160000}"/>
    <cellStyle name="20% - Accent4 12 3 2 5" xfId="17869" xr:uid="{00000000-0005-0000-0000-000055160000}"/>
    <cellStyle name="20% - Accent4 12 3 3" xfId="2624" xr:uid="{00000000-0005-0000-0000-000056160000}"/>
    <cellStyle name="20% - Accent4 12 3 3 2" xfId="2625" xr:uid="{00000000-0005-0000-0000-000057160000}"/>
    <cellStyle name="20% - Accent4 12 3 3 2 2" xfId="13922" xr:uid="{00000000-0005-0000-0000-000058160000}"/>
    <cellStyle name="20% - Accent4 12 3 3 2 3" xfId="17873" xr:uid="{00000000-0005-0000-0000-000059160000}"/>
    <cellStyle name="20% - Accent4 12 3 3 3" xfId="2626" xr:uid="{00000000-0005-0000-0000-00005A160000}"/>
    <cellStyle name="20% - Accent4 12 3 3 3 2" xfId="13923" xr:uid="{00000000-0005-0000-0000-00005B160000}"/>
    <cellStyle name="20% - Accent4 12 3 3 3 3" xfId="17874" xr:uid="{00000000-0005-0000-0000-00005C160000}"/>
    <cellStyle name="20% - Accent4 12 3 3 4" xfId="13921" xr:uid="{00000000-0005-0000-0000-00005D160000}"/>
    <cellStyle name="20% - Accent4 12 3 3 5" xfId="17872" xr:uid="{00000000-0005-0000-0000-00005E160000}"/>
    <cellStyle name="20% - Accent4 12 3 4" xfId="2627" xr:uid="{00000000-0005-0000-0000-00005F160000}"/>
    <cellStyle name="20% - Accent4 12 3 4 2" xfId="13924" xr:uid="{00000000-0005-0000-0000-000060160000}"/>
    <cellStyle name="20% - Accent4 12 3 4 3" xfId="17875" xr:uid="{00000000-0005-0000-0000-000061160000}"/>
    <cellStyle name="20% - Accent4 12 3 5" xfId="2628" xr:uid="{00000000-0005-0000-0000-000062160000}"/>
    <cellStyle name="20% - Accent4 12 3 5 2" xfId="13925" xr:uid="{00000000-0005-0000-0000-000063160000}"/>
    <cellStyle name="20% - Accent4 12 3 5 3" xfId="17876" xr:uid="{00000000-0005-0000-0000-000064160000}"/>
    <cellStyle name="20% - Accent4 12 3 6" xfId="13917" xr:uid="{00000000-0005-0000-0000-000065160000}"/>
    <cellStyle name="20% - Accent4 12 3 7" xfId="17868" xr:uid="{00000000-0005-0000-0000-000066160000}"/>
    <cellStyle name="20% - Accent4 12 3_Volatility" xfId="2629" xr:uid="{00000000-0005-0000-0000-000067160000}"/>
    <cellStyle name="20% - Accent4 12 4" xfId="2630" xr:uid="{00000000-0005-0000-0000-000068160000}"/>
    <cellStyle name="20% - Accent4 12 4 2" xfId="2631" xr:uid="{00000000-0005-0000-0000-000069160000}"/>
    <cellStyle name="20% - Accent4 12 4 2 2" xfId="13927" xr:uid="{00000000-0005-0000-0000-00006A160000}"/>
    <cellStyle name="20% - Accent4 12 4 2 3" xfId="17878" xr:uid="{00000000-0005-0000-0000-00006B160000}"/>
    <cellStyle name="20% - Accent4 12 4 3" xfId="2632" xr:uid="{00000000-0005-0000-0000-00006C160000}"/>
    <cellStyle name="20% - Accent4 12 4 3 2" xfId="13928" xr:uid="{00000000-0005-0000-0000-00006D160000}"/>
    <cellStyle name="20% - Accent4 12 4 3 3" xfId="17879" xr:uid="{00000000-0005-0000-0000-00006E160000}"/>
    <cellStyle name="20% - Accent4 12 4 4" xfId="13926" xr:uid="{00000000-0005-0000-0000-00006F160000}"/>
    <cellStyle name="20% - Accent4 12 4 5" xfId="17877" xr:uid="{00000000-0005-0000-0000-000070160000}"/>
    <cellStyle name="20% - Accent4 12 5" xfId="2633" xr:uid="{00000000-0005-0000-0000-000071160000}"/>
    <cellStyle name="20% - Accent4 12 5 2" xfId="2634" xr:uid="{00000000-0005-0000-0000-000072160000}"/>
    <cellStyle name="20% - Accent4 12 5 2 2" xfId="13930" xr:uid="{00000000-0005-0000-0000-000073160000}"/>
    <cellStyle name="20% - Accent4 12 5 2 3" xfId="17881" xr:uid="{00000000-0005-0000-0000-000074160000}"/>
    <cellStyle name="20% - Accent4 12 5 3" xfId="2635" xr:uid="{00000000-0005-0000-0000-000075160000}"/>
    <cellStyle name="20% - Accent4 12 5 3 2" xfId="13931" xr:uid="{00000000-0005-0000-0000-000076160000}"/>
    <cellStyle name="20% - Accent4 12 5 3 3" xfId="17882" xr:uid="{00000000-0005-0000-0000-000077160000}"/>
    <cellStyle name="20% - Accent4 12 5 4" xfId="13929" xr:uid="{00000000-0005-0000-0000-000078160000}"/>
    <cellStyle name="20% - Accent4 12 5 5" xfId="17880" xr:uid="{00000000-0005-0000-0000-000079160000}"/>
    <cellStyle name="20% - Accent4 12 6" xfId="2636" xr:uid="{00000000-0005-0000-0000-00007A160000}"/>
    <cellStyle name="20% - Accent4 12 6 2" xfId="2637" xr:uid="{00000000-0005-0000-0000-00007B160000}"/>
    <cellStyle name="20% - Accent4 12 6 2 2" xfId="13933" xr:uid="{00000000-0005-0000-0000-00007C160000}"/>
    <cellStyle name="20% - Accent4 12 6 2 3" xfId="17884" xr:uid="{00000000-0005-0000-0000-00007D160000}"/>
    <cellStyle name="20% - Accent4 12 6 3" xfId="2638" xr:uid="{00000000-0005-0000-0000-00007E160000}"/>
    <cellStyle name="20% - Accent4 12 6 3 2" xfId="13934" xr:uid="{00000000-0005-0000-0000-00007F160000}"/>
    <cellStyle name="20% - Accent4 12 6 3 3" xfId="17885" xr:uid="{00000000-0005-0000-0000-000080160000}"/>
    <cellStyle name="20% - Accent4 12 6 4" xfId="13932" xr:uid="{00000000-0005-0000-0000-000081160000}"/>
    <cellStyle name="20% - Accent4 12 6 5" xfId="17883" xr:uid="{00000000-0005-0000-0000-000082160000}"/>
    <cellStyle name="20% - Accent4 12 7" xfId="2639" xr:uid="{00000000-0005-0000-0000-000083160000}"/>
    <cellStyle name="20% - Accent4 12 7 2" xfId="13935" xr:uid="{00000000-0005-0000-0000-000084160000}"/>
    <cellStyle name="20% - Accent4 12 7 3" xfId="17886" xr:uid="{00000000-0005-0000-0000-000085160000}"/>
    <cellStyle name="20% - Accent4 12 8" xfId="2640" xr:uid="{00000000-0005-0000-0000-000086160000}"/>
    <cellStyle name="20% - Accent4 12 8 2" xfId="13936" xr:uid="{00000000-0005-0000-0000-000087160000}"/>
    <cellStyle name="20% - Accent4 12 8 3" xfId="17887" xr:uid="{00000000-0005-0000-0000-000088160000}"/>
    <cellStyle name="20% - Accent4 12 9" xfId="13904" xr:uid="{00000000-0005-0000-0000-000089160000}"/>
    <cellStyle name="20% - Accent4 12_Volatility" xfId="2641" xr:uid="{00000000-0005-0000-0000-00008A160000}"/>
    <cellStyle name="20% - Accent4 13" xfId="2642" xr:uid="{00000000-0005-0000-0000-00008B160000}"/>
    <cellStyle name="20% - Accent4 13 10" xfId="17888" xr:uid="{00000000-0005-0000-0000-00008C160000}"/>
    <cellStyle name="20% - Accent4 13 2" xfId="2643" xr:uid="{00000000-0005-0000-0000-00008D160000}"/>
    <cellStyle name="20% - Accent4 13 2 2" xfId="2644" xr:uid="{00000000-0005-0000-0000-00008E160000}"/>
    <cellStyle name="20% - Accent4 13 2 2 2" xfId="2645" xr:uid="{00000000-0005-0000-0000-00008F160000}"/>
    <cellStyle name="20% - Accent4 13 2 2 2 2" xfId="13940" xr:uid="{00000000-0005-0000-0000-000090160000}"/>
    <cellStyle name="20% - Accent4 13 2 2 2 3" xfId="17891" xr:uid="{00000000-0005-0000-0000-000091160000}"/>
    <cellStyle name="20% - Accent4 13 2 2 3" xfId="2646" xr:uid="{00000000-0005-0000-0000-000092160000}"/>
    <cellStyle name="20% - Accent4 13 2 2 3 2" xfId="13941" xr:uid="{00000000-0005-0000-0000-000093160000}"/>
    <cellStyle name="20% - Accent4 13 2 2 3 3" xfId="17892" xr:uid="{00000000-0005-0000-0000-000094160000}"/>
    <cellStyle name="20% - Accent4 13 2 2 4" xfId="13939" xr:uid="{00000000-0005-0000-0000-000095160000}"/>
    <cellStyle name="20% - Accent4 13 2 2 5" xfId="17890" xr:uid="{00000000-0005-0000-0000-000096160000}"/>
    <cellStyle name="20% - Accent4 13 2 3" xfId="2647" xr:uid="{00000000-0005-0000-0000-000097160000}"/>
    <cellStyle name="20% - Accent4 13 2 3 2" xfId="2648" xr:uid="{00000000-0005-0000-0000-000098160000}"/>
    <cellStyle name="20% - Accent4 13 2 3 2 2" xfId="13943" xr:uid="{00000000-0005-0000-0000-000099160000}"/>
    <cellStyle name="20% - Accent4 13 2 3 2 3" xfId="17894" xr:uid="{00000000-0005-0000-0000-00009A160000}"/>
    <cellStyle name="20% - Accent4 13 2 3 3" xfId="2649" xr:uid="{00000000-0005-0000-0000-00009B160000}"/>
    <cellStyle name="20% - Accent4 13 2 3 3 2" xfId="13944" xr:uid="{00000000-0005-0000-0000-00009C160000}"/>
    <cellStyle name="20% - Accent4 13 2 3 3 3" xfId="17895" xr:uid="{00000000-0005-0000-0000-00009D160000}"/>
    <cellStyle name="20% - Accent4 13 2 3 4" xfId="13942" xr:uid="{00000000-0005-0000-0000-00009E160000}"/>
    <cellStyle name="20% - Accent4 13 2 3 5" xfId="17893" xr:uid="{00000000-0005-0000-0000-00009F160000}"/>
    <cellStyle name="20% - Accent4 13 2 4" xfId="2650" xr:uid="{00000000-0005-0000-0000-0000A0160000}"/>
    <cellStyle name="20% - Accent4 13 2 4 2" xfId="2651" xr:uid="{00000000-0005-0000-0000-0000A1160000}"/>
    <cellStyle name="20% - Accent4 13 2 4 2 2" xfId="13946" xr:uid="{00000000-0005-0000-0000-0000A2160000}"/>
    <cellStyle name="20% - Accent4 13 2 4 2 3" xfId="17897" xr:uid="{00000000-0005-0000-0000-0000A3160000}"/>
    <cellStyle name="20% - Accent4 13 2 4 3" xfId="2652" xr:uid="{00000000-0005-0000-0000-0000A4160000}"/>
    <cellStyle name="20% - Accent4 13 2 4 3 2" xfId="13947" xr:uid="{00000000-0005-0000-0000-0000A5160000}"/>
    <cellStyle name="20% - Accent4 13 2 4 3 3" xfId="17898" xr:uid="{00000000-0005-0000-0000-0000A6160000}"/>
    <cellStyle name="20% - Accent4 13 2 4 4" xfId="13945" xr:uid="{00000000-0005-0000-0000-0000A7160000}"/>
    <cellStyle name="20% - Accent4 13 2 4 5" xfId="17896" xr:uid="{00000000-0005-0000-0000-0000A8160000}"/>
    <cellStyle name="20% - Accent4 13 2 5" xfId="2653" xr:uid="{00000000-0005-0000-0000-0000A9160000}"/>
    <cellStyle name="20% - Accent4 13 2 5 2" xfId="13948" xr:uid="{00000000-0005-0000-0000-0000AA160000}"/>
    <cellStyle name="20% - Accent4 13 2 5 3" xfId="17899" xr:uid="{00000000-0005-0000-0000-0000AB160000}"/>
    <cellStyle name="20% - Accent4 13 2 6" xfId="2654" xr:uid="{00000000-0005-0000-0000-0000AC160000}"/>
    <cellStyle name="20% - Accent4 13 2 6 2" xfId="13949" xr:uid="{00000000-0005-0000-0000-0000AD160000}"/>
    <cellStyle name="20% - Accent4 13 2 6 3" xfId="17900" xr:uid="{00000000-0005-0000-0000-0000AE160000}"/>
    <cellStyle name="20% - Accent4 13 2 7" xfId="13938" xr:uid="{00000000-0005-0000-0000-0000AF160000}"/>
    <cellStyle name="20% - Accent4 13 2 8" xfId="17889" xr:uid="{00000000-0005-0000-0000-0000B0160000}"/>
    <cellStyle name="20% - Accent4 13 2_Volatility" xfId="2655" xr:uid="{00000000-0005-0000-0000-0000B1160000}"/>
    <cellStyle name="20% - Accent4 13 3" xfId="2656" xr:uid="{00000000-0005-0000-0000-0000B2160000}"/>
    <cellStyle name="20% - Accent4 13 3 2" xfId="2657" xr:uid="{00000000-0005-0000-0000-0000B3160000}"/>
    <cellStyle name="20% - Accent4 13 3 2 2" xfId="2658" xr:uid="{00000000-0005-0000-0000-0000B4160000}"/>
    <cellStyle name="20% - Accent4 13 3 2 2 2" xfId="13952" xr:uid="{00000000-0005-0000-0000-0000B5160000}"/>
    <cellStyle name="20% - Accent4 13 3 2 2 3" xfId="17903" xr:uid="{00000000-0005-0000-0000-0000B6160000}"/>
    <cellStyle name="20% - Accent4 13 3 2 3" xfId="2659" xr:uid="{00000000-0005-0000-0000-0000B7160000}"/>
    <cellStyle name="20% - Accent4 13 3 2 3 2" xfId="13953" xr:uid="{00000000-0005-0000-0000-0000B8160000}"/>
    <cellStyle name="20% - Accent4 13 3 2 3 3" xfId="17904" xr:uid="{00000000-0005-0000-0000-0000B9160000}"/>
    <cellStyle name="20% - Accent4 13 3 2 4" xfId="13951" xr:uid="{00000000-0005-0000-0000-0000BA160000}"/>
    <cellStyle name="20% - Accent4 13 3 2 5" xfId="17902" xr:uid="{00000000-0005-0000-0000-0000BB160000}"/>
    <cellStyle name="20% - Accent4 13 3 3" xfId="2660" xr:uid="{00000000-0005-0000-0000-0000BC160000}"/>
    <cellStyle name="20% - Accent4 13 3 3 2" xfId="2661" xr:uid="{00000000-0005-0000-0000-0000BD160000}"/>
    <cellStyle name="20% - Accent4 13 3 3 2 2" xfId="13955" xr:uid="{00000000-0005-0000-0000-0000BE160000}"/>
    <cellStyle name="20% - Accent4 13 3 3 2 3" xfId="17906" xr:uid="{00000000-0005-0000-0000-0000BF160000}"/>
    <cellStyle name="20% - Accent4 13 3 3 3" xfId="2662" xr:uid="{00000000-0005-0000-0000-0000C0160000}"/>
    <cellStyle name="20% - Accent4 13 3 3 3 2" xfId="13956" xr:uid="{00000000-0005-0000-0000-0000C1160000}"/>
    <cellStyle name="20% - Accent4 13 3 3 3 3" xfId="17907" xr:uid="{00000000-0005-0000-0000-0000C2160000}"/>
    <cellStyle name="20% - Accent4 13 3 3 4" xfId="13954" xr:uid="{00000000-0005-0000-0000-0000C3160000}"/>
    <cellStyle name="20% - Accent4 13 3 3 5" xfId="17905" xr:uid="{00000000-0005-0000-0000-0000C4160000}"/>
    <cellStyle name="20% - Accent4 13 3 4" xfId="2663" xr:uid="{00000000-0005-0000-0000-0000C5160000}"/>
    <cellStyle name="20% - Accent4 13 3 4 2" xfId="13957" xr:uid="{00000000-0005-0000-0000-0000C6160000}"/>
    <cellStyle name="20% - Accent4 13 3 4 3" xfId="17908" xr:uid="{00000000-0005-0000-0000-0000C7160000}"/>
    <cellStyle name="20% - Accent4 13 3 5" xfId="2664" xr:uid="{00000000-0005-0000-0000-0000C8160000}"/>
    <cellStyle name="20% - Accent4 13 3 5 2" xfId="13958" xr:uid="{00000000-0005-0000-0000-0000C9160000}"/>
    <cellStyle name="20% - Accent4 13 3 5 3" xfId="17909" xr:uid="{00000000-0005-0000-0000-0000CA160000}"/>
    <cellStyle name="20% - Accent4 13 3 6" xfId="13950" xr:uid="{00000000-0005-0000-0000-0000CB160000}"/>
    <cellStyle name="20% - Accent4 13 3 7" xfId="17901" xr:uid="{00000000-0005-0000-0000-0000CC160000}"/>
    <cellStyle name="20% - Accent4 13 3_Volatility" xfId="2665" xr:uid="{00000000-0005-0000-0000-0000CD160000}"/>
    <cellStyle name="20% - Accent4 13 4" xfId="2666" xr:uid="{00000000-0005-0000-0000-0000CE160000}"/>
    <cellStyle name="20% - Accent4 13 4 2" xfId="2667" xr:uid="{00000000-0005-0000-0000-0000CF160000}"/>
    <cellStyle name="20% - Accent4 13 4 2 2" xfId="13960" xr:uid="{00000000-0005-0000-0000-0000D0160000}"/>
    <cellStyle name="20% - Accent4 13 4 2 3" xfId="17911" xr:uid="{00000000-0005-0000-0000-0000D1160000}"/>
    <cellStyle name="20% - Accent4 13 4 3" xfId="2668" xr:uid="{00000000-0005-0000-0000-0000D2160000}"/>
    <cellStyle name="20% - Accent4 13 4 3 2" xfId="13961" xr:uid="{00000000-0005-0000-0000-0000D3160000}"/>
    <cellStyle name="20% - Accent4 13 4 3 3" xfId="17912" xr:uid="{00000000-0005-0000-0000-0000D4160000}"/>
    <cellStyle name="20% - Accent4 13 4 4" xfId="13959" xr:uid="{00000000-0005-0000-0000-0000D5160000}"/>
    <cellStyle name="20% - Accent4 13 4 5" xfId="17910" xr:uid="{00000000-0005-0000-0000-0000D6160000}"/>
    <cellStyle name="20% - Accent4 13 5" xfId="2669" xr:uid="{00000000-0005-0000-0000-0000D7160000}"/>
    <cellStyle name="20% - Accent4 13 5 2" xfId="2670" xr:uid="{00000000-0005-0000-0000-0000D8160000}"/>
    <cellStyle name="20% - Accent4 13 5 2 2" xfId="13963" xr:uid="{00000000-0005-0000-0000-0000D9160000}"/>
    <cellStyle name="20% - Accent4 13 5 2 3" xfId="17914" xr:uid="{00000000-0005-0000-0000-0000DA160000}"/>
    <cellStyle name="20% - Accent4 13 5 3" xfId="2671" xr:uid="{00000000-0005-0000-0000-0000DB160000}"/>
    <cellStyle name="20% - Accent4 13 5 3 2" xfId="13964" xr:uid="{00000000-0005-0000-0000-0000DC160000}"/>
    <cellStyle name="20% - Accent4 13 5 3 3" xfId="17915" xr:uid="{00000000-0005-0000-0000-0000DD160000}"/>
    <cellStyle name="20% - Accent4 13 5 4" xfId="13962" xr:uid="{00000000-0005-0000-0000-0000DE160000}"/>
    <cellStyle name="20% - Accent4 13 5 5" xfId="17913" xr:uid="{00000000-0005-0000-0000-0000DF160000}"/>
    <cellStyle name="20% - Accent4 13 6" xfId="2672" xr:uid="{00000000-0005-0000-0000-0000E0160000}"/>
    <cellStyle name="20% - Accent4 13 6 2" xfId="2673" xr:uid="{00000000-0005-0000-0000-0000E1160000}"/>
    <cellStyle name="20% - Accent4 13 6 2 2" xfId="13966" xr:uid="{00000000-0005-0000-0000-0000E2160000}"/>
    <cellStyle name="20% - Accent4 13 6 2 3" xfId="17917" xr:uid="{00000000-0005-0000-0000-0000E3160000}"/>
    <cellStyle name="20% - Accent4 13 6 3" xfId="2674" xr:uid="{00000000-0005-0000-0000-0000E4160000}"/>
    <cellStyle name="20% - Accent4 13 6 3 2" xfId="13967" xr:uid="{00000000-0005-0000-0000-0000E5160000}"/>
    <cellStyle name="20% - Accent4 13 6 3 3" xfId="17918" xr:uid="{00000000-0005-0000-0000-0000E6160000}"/>
    <cellStyle name="20% - Accent4 13 6 4" xfId="13965" xr:uid="{00000000-0005-0000-0000-0000E7160000}"/>
    <cellStyle name="20% - Accent4 13 6 5" xfId="17916" xr:uid="{00000000-0005-0000-0000-0000E8160000}"/>
    <cellStyle name="20% - Accent4 13 7" xfId="2675" xr:uid="{00000000-0005-0000-0000-0000E9160000}"/>
    <cellStyle name="20% - Accent4 13 7 2" xfId="13968" xr:uid="{00000000-0005-0000-0000-0000EA160000}"/>
    <cellStyle name="20% - Accent4 13 7 3" xfId="17919" xr:uid="{00000000-0005-0000-0000-0000EB160000}"/>
    <cellStyle name="20% - Accent4 13 8" xfId="2676" xr:uid="{00000000-0005-0000-0000-0000EC160000}"/>
    <cellStyle name="20% - Accent4 13 8 2" xfId="13969" xr:uid="{00000000-0005-0000-0000-0000ED160000}"/>
    <cellStyle name="20% - Accent4 13 8 3" xfId="17920" xr:uid="{00000000-0005-0000-0000-0000EE160000}"/>
    <cellStyle name="20% - Accent4 13 9" xfId="13937" xr:uid="{00000000-0005-0000-0000-0000EF160000}"/>
    <cellStyle name="20% - Accent4 13_Volatility" xfId="2677" xr:uid="{00000000-0005-0000-0000-0000F0160000}"/>
    <cellStyle name="20% - Accent4 14" xfId="2678" xr:uid="{00000000-0005-0000-0000-0000F1160000}"/>
    <cellStyle name="20% - Accent4 14 10" xfId="17921" xr:uid="{00000000-0005-0000-0000-0000F2160000}"/>
    <cellStyle name="20% - Accent4 14 2" xfId="2679" xr:uid="{00000000-0005-0000-0000-0000F3160000}"/>
    <cellStyle name="20% - Accent4 14 2 2" xfId="2680" xr:uid="{00000000-0005-0000-0000-0000F4160000}"/>
    <cellStyle name="20% - Accent4 14 2 2 2" xfId="2681" xr:uid="{00000000-0005-0000-0000-0000F5160000}"/>
    <cellStyle name="20% - Accent4 14 2 2 2 2" xfId="13973" xr:uid="{00000000-0005-0000-0000-0000F6160000}"/>
    <cellStyle name="20% - Accent4 14 2 2 2 3" xfId="17924" xr:uid="{00000000-0005-0000-0000-0000F7160000}"/>
    <cellStyle name="20% - Accent4 14 2 2 3" xfId="2682" xr:uid="{00000000-0005-0000-0000-0000F8160000}"/>
    <cellStyle name="20% - Accent4 14 2 2 3 2" xfId="13974" xr:uid="{00000000-0005-0000-0000-0000F9160000}"/>
    <cellStyle name="20% - Accent4 14 2 2 3 3" xfId="17925" xr:uid="{00000000-0005-0000-0000-0000FA160000}"/>
    <cellStyle name="20% - Accent4 14 2 2 4" xfId="13972" xr:uid="{00000000-0005-0000-0000-0000FB160000}"/>
    <cellStyle name="20% - Accent4 14 2 2 5" xfId="17923" xr:uid="{00000000-0005-0000-0000-0000FC160000}"/>
    <cellStyle name="20% - Accent4 14 2 3" xfId="2683" xr:uid="{00000000-0005-0000-0000-0000FD160000}"/>
    <cellStyle name="20% - Accent4 14 2 3 2" xfId="2684" xr:uid="{00000000-0005-0000-0000-0000FE160000}"/>
    <cellStyle name="20% - Accent4 14 2 3 2 2" xfId="13976" xr:uid="{00000000-0005-0000-0000-0000FF160000}"/>
    <cellStyle name="20% - Accent4 14 2 3 2 3" xfId="17927" xr:uid="{00000000-0005-0000-0000-000000170000}"/>
    <cellStyle name="20% - Accent4 14 2 3 3" xfId="2685" xr:uid="{00000000-0005-0000-0000-000001170000}"/>
    <cellStyle name="20% - Accent4 14 2 3 3 2" xfId="13977" xr:uid="{00000000-0005-0000-0000-000002170000}"/>
    <cellStyle name="20% - Accent4 14 2 3 3 3" xfId="17928" xr:uid="{00000000-0005-0000-0000-000003170000}"/>
    <cellStyle name="20% - Accent4 14 2 3 4" xfId="13975" xr:uid="{00000000-0005-0000-0000-000004170000}"/>
    <cellStyle name="20% - Accent4 14 2 3 5" xfId="17926" xr:uid="{00000000-0005-0000-0000-000005170000}"/>
    <cellStyle name="20% - Accent4 14 2 4" xfId="2686" xr:uid="{00000000-0005-0000-0000-000006170000}"/>
    <cellStyle name="20% - Accent4 14 2 4 2" xfId="2687" xr:uid="{00000000-0005-0000-0000-000007170000}"/>
    <cellStyle name="20% - Accent4 14 2 4 2 2" xfId="13979" xr:uid="{00000000-0005-0000-0000-000008170000}"/>
    <cellStyle name="20% - Accent4 14 2 4 2 3" xfId="17930" xr:uid="{00000000-0005-0000-0000-000009170000}"/>
    <cellStyle name="20% - Accent4 14 2 4 3" xfId="2688" xr:uid="{00000000-0005-0000-0000-00000A170000}"/>
    <cellStyle name="20% - Accent4 14 2 4 3 2" xfId="13980" xr:uid="{00000000-0005-0000-0000-00000B170000}"/>
    <cellStyle name="20% - Accent4 14 2 4 3 3" xfId="17931" xr:uid="{00000000-0005-0000-0000-00000C170000}"/>
    <cellStyle name="20% - Accent4 14 2 4 4" xfId="13978" xr:uid="{00000000-0005-0000-0000-00000D170000}"/>
    <cellStyle name="20% - Accent4 14 2 4 5" xfId="17929" xr:uid="{00000000-0005-0000-0000-00000E170000}"/>
    <cellStyle name="20% - Accent4 14 2 5" xfId="2689" xr:uid="{00000000-0005-0000-0000-00000F170000}"/>
    <cellStyle name="20% - Accent4 14 2 5 2" xfId="13981" xr:uid="{00000000-0005-0000-0000-000010170000}"/>
    <cellStyle name="20% - Accent4 14 2 5 3" xfId="17932" xr:uid="{00000000-0005-0000-0000-000011170000}"/>
    <cellStyle name="20% - Accent4 14 2 6" xfId="2690" xr:uid="{00000000-0005-0000-0000-000012170000}"/>
    <cellStyle name="20% - Accent4 14 2 6 2" xfId="13982" xr:uid="{00000000-0005-0000-0000-000013170000}"/>
    <cellStyle name="20% - Accent4 14 2 6 3" xfId="17933" xr:uid="{00000000-0005-0000-0000-000014170000}"/>
    <cellStyle name="20% - Accent4 14 2 7" xfId="13971" xr:uid="{00000000-0005-0000-0000-000015170000}"/>
    <cellStyle name="20% - Accent4 14 2 8" xfId="17922" xr:uid="{00000000-0005-0000-0000-000016170000}"/>
    <cellStyle name="20% - Accent4 14 2_Volatility" xfId="2691" xr:uid="{00000000-0005-0000-0000-000017170000}"/>
    <cellStyle name="20% - Accent4 14 3" xfId="2692" xr:uid="{00000000-0005-0000-0000-000018170000}"/>
    <cellStyle name="20% - Accent4 14 3 2" xfId="2693" xr:uid="{00000000-0005-0000-0000-000019170000}"/>
    <cellStyle name="20% - Accent4 14 3 2 2" xfId="2694" xr:uid="{00000000-0005-0000-0000-00001A170000}"/>
    <cellStyle name="20% - Accent4 14 3 2 2 2" xfId="13985" xr:uid="{00000000-0005-0000-0000-00001B170000}"/>
    <cellStyle name="20% - Accent4 14 3 2 2 3" xfId="17936" xr:uid="{00000000-0005-0000-0000-00001C170000}"/>
    <cellStyle name="20% - Accent4 14 3 2 3" xfId="2695" xr:uid="{00000000-0005-0000-0000-00001D170000}"/>
    <cellStyle name="20% - Accent4 14 3 2 3 2" xfId="13986" xr:uid="{00000000-0005-0000-0000-00001E170000}"/>
    <cellStyle name="20% - Accent4 14 3 2 3 3" xfId="17937" xr:uid="{00000000-0005-0000-0000-00001F170000}"/>
    <cellStyle name="20% - Accent4 14 3 2 4" xfId="13984" xr:uid="{00000000-0005-0000-0000-000020170000}"/>
    <cellStyle name="20% - Accent4 14 3 2 5" xfId="17935" xr:uid="{00000000-0005-0000-0000-000021170000}"/>
    <cellStyle name="20% - Accent4 14 3 3" xfId="2696" xr:uid="{00000000-0005-0000-0000-000022170000}"/>
    <cellStyle name="20% - Accent4 14 3 3 2" xfId="2697" xr:uid="{00000000-0005-0000-0000-000023170000}"/>
    <cellStyle name="20% - Accent4 14 3 3 2 2" xfId="13988" xr:uid="{00000000-0005-0000-0000-000024170000}"/>
    <cellStyle name="20% - Accent4 14 3 3 2 3" xfId="17939" xr:uid="{00000000-0005-0000-0000-000025170000}"/>
    <cellStyle name="20% - Accent4 14 3 3 3" xfId="2698" xr:uid="{00000000-0005-0000-0000-000026170000}"/>
    <cellStyle name="20% - Accent4 14 3 3 3 2" xfId="13989" xr:uid="{00000000-0005-0000-0000-000027170000}"/>
    <cellStyle name="20% - Accent4 14 3 3 3 3" xfId="17940" xr:uid="{00000000-0005-0000-0000-000028170000}"/>
    <cellStyle name="20% - Accent4 14 3 3 4" xfId="13987" xr:uid="{00000000-0005-0000-0000-000029170000}"/>
    <cellStyle name="20% - Accent4 14 3 3 5" xfId="17938" xr:uid="{00000000-0005-0000-0000-00002A170000}"/>
    <cellStyle name="20% - Accent4 14 3 4" xfId="2699" xr:uid="{00000000-0005-0000-0000-00002B170000}"/>
    <cellStyle name="20% - Accent4 14 3 4 2" xfId="13990" xr:uid="{00000000-0005-0000-0000-00002C170000}"/>
    <cellStyle name="20% - Accent4 14 3 4 3" xfId="17941" xr:uid="{00000000-0005-0000-0000-00002D170000}"/>
    <cellStyle name="20% - Accent4 14 3 5" xfId="2700" xr:uid="{00000000-0005-0000-0000-00002E170000}"/>
    <cellStyle name="20% - Accent4 14 3 5 2" xfId="13991" xr:uid="{00000000-0005-0000-0000-00002F170000}"/>
    <cellStyle name="20% - Accent4 14 3 5 3" xfId="17942" xr:uid="{00000000-0005-0000-0000-000030170000}"/>
    <cellStyle name="20% - Accent4 14 3 6" xfId="13983" xr:uid="{00000000-0005-0000-0000-000031170000}"/>
    <cellStyle name="20% - Accent4 14 3 7" xfId="17934" xr:uid="{00000000-0005-0000-0000-000032170000}"/>
    <cellStyle name="20% - Accent4 14 3_Volatility" xfId="2701" xr:uid="{00000000-0005-0000-0000-000033170000}"/>
    <cellStyle name="20% - Accent4 14 4" xfId="2702" xr:uid="{00000000-0005-0000-0000-000034170000}"/>
    <cellStyle name="20% - Accent4 14 4 2" xfId="2703" xr:uid="{00000000-0005-0000-0000-000035170000}"/>
    <cellStyle name="20% - Accent4 14 4 2 2" xfId="13993" xr:uid="{00000000-0005-0000-0000-000036170000}"/>
    <cellStyle name="20% - Accent4 14 4 2 3" xfId="17944" xr:uid="{00000000-0005-0000-0000-000037170000}"/>
    <cellStyle name="20% - Accent4 14 4 3" xfId="2704" xr:uid="{00000000-0005-0000-0000-000038170000}"/>
    <cellStyle name="20% - Accent4 14 4 3 2" xfId="13994" xr:uid="{00000000-0005-0000-0000-000039170000}"/>
    <cellStyle name="20% - Accent4 14 4 3 3" xfId="17945" xr:uid="{00000000-0005-0000-0000-00003A170000}"/>
    <cellStyle name="20% - Accent4 14 4 4" xfId="13992" xr:uid="{00000000-0005-0000-0000-00003B170000}"/>
    <cellStyle name="20% - Accent4 14 4 5" xfId="17943" xr:uid="{00000000-0005-0000-0000-00003C170000}"/>
    <cellStyle name="20% - Accent4 14 5" xfId="2705" xr:uid="{00000000-0005-0000-0000-00003D170000}"/>
    <cellStyle name="20% - Accent4 14 5 2" xfId="2706" xr:uid="{00000000-0005-0000-0000-00003E170000}"/>
    <cellStyle name="20% - Accent4 14 5 2 2" xfId="13996" xr:uid="{00000000-0005-0000-0000-00003F170000}"/>
    <cellStyle name="20% - Accent4 14 5 2 3" xfId="17947" xr:uid="{00000000-0005-0000-0000-000040170000}"/>
    <cellStyle name="20% - Accent4 14 5 3" xfId="2707" xr:uid="{00000000-0005-0000-0000-000041170000}"/>
    <cellStyle name="20% - Accent4 14 5 3 2" xfId="13997" xr:uid="{00000000-0005-0000-0000-000042170000}"/>
    <cellStyle name="20% - Accent4 14 5 3 3" xfId="17948" xr:uid="{00000000-0005-0000-0000-000043170000}"/>
    <cellStyle name="20% - Accent4 14 5 4" xfId="13995" xr:uid="{00000000-0005-0000-0000-000044170000}"/>
    <cellStyle name="20% - Accent4 14 5 5" xfId="17946" xr:uid="{00000000-0005-0000-0000-000045170000}"/>
    <cellStyle name="20% - Accent4 14 6" xfId="2708" xr:uid="{00000000-0005-0000-0000-000046170000}"/>
    <cellStyle name="20% - Accent4 14 6 2" xfId="2709" xr:uid="{00000000-0005-0000-0000-000047170000}"/>
    <cellStyle name="20% - Accent4 14 6 2 2" xfId="13999" xr:uid="{00000000-0005-0000-0000-000048170000}"/>
    <cellStyle name="20% - Accent4 14 6 2 3" xfId="17950" xr:uid="{00000000-0005-0000-0000-000049170000}"/>
    <cellStyle name="20% - Accent4 14 6 3" xfId="2710" xr:uid="{00000000-0005-0000-0000-00004A170000}"/>
    <cellStyle name="20% - Accent4 14 6 3 2" xfId="14000" xr:uid="{00000000-0005-0000-0000-00004B170000}"/>
    <cellStyle name="20% - Accent4 14 6 3 3" xfId="17951" xr:uid="{00000000-0005-0000-0000-00004C170000}"/>
    <cellStyle name="20% - Accent4 14 6 4" xfId="13998" xr:uid="{00000000-0005-0000-0000-00004D170000}"/>
    <cellStyle name="20% - Accent4 14 6 5" xfId="17949" xr:uid="{00000000-0005-0000-0000-00004E170000}"/>
    <cellStyle name="20% - Accent4 14 7" xfId="2711" xr:uid="{00000000-0005-0000-0000-00004F170000}"/>
    <cellStyle name="20% - Accent4 14 7 2" xfId="14001" xr:uid="{00000000-0005-0000-0000-000050170000}"/>
    <cellStyle name="20% - Accent4 14 7 3" xfId="17952" xr:uid="{00000000-0005-0000-0000-000051170000}"/>
    <cellStyle name="20% - Accent4 14 8" xfId="2712" xr:uid="{00000000-0005-0000-0000-000052170000}"/>
    <cellStyle name="20% - Accent4 14 8 2" xfId="14002" xr:uid="{00000000-0005-0000-0000-000053170000}"/>
    <cellStyle name="20% - Accent4 14 8 3" xfId="17953" xr:uid="{00000000-0005-0000-0000-000054170000}"/>
    <cellStyle name="20% - Accent4 14 9" xfId="13970" xr:uid="{00000000-0005-0000-0000-000055170000}"/>
    <cellStyle name="20% - Accent4 14_Volatility" xfId="2713" xr:uid="{00000000-0005-0000-0000-000056170000}"/>
    <cellStyle name="20% - Accent4 15" xfId="2714" xr:uid="{00000000-0005-0000-0000-000057170000}"/>
    <cellStyle name="20% - Accent4 15 10" xfId="17954" xr:uid="{00000000-0005-0000-0000-000058170000}"/>
    <cellStyle name="20% - Accent4 15 2" xfId="2715" xr:uid="{00000000-0005-0000-0000-000059170000}"/>
    <cellStyle name="20% - Accent4 15 2 2" xfId="2716" xr:uid="{00000000-0005-0000-0000-00005A170000}"/>
    <cellStyle name="20% - Accent4 15 2 2 2" xfId="2717" xr:uid="{00000000-0005-0000-0000-00005B170000}"/>
    <cellStyle name="20% - Accent4 15 2 2 2 2" xfId="14006" xr:uid="{00000000-0005-0000-0000-00005C170000}"/>
    <cellStyle name="20% - Accent4 15 2 2 2 3" xfId="17957" xr:uid="{00000000-0005-0000-0000-00005D170000}"/>
    <cellStyle name="20% - Accent4 15 2 2 3" xfId="2718" xr:uid="{00000000-0005-0000-0000-00005E170000}"/>
    <cellStyle name="20% - Accent4 15 2 2 3 2" xfId="14007" xr:uid="{00000000-0005-0000-0000-00005F170000}"/>
    <cellStyle name="20% - Accent4 15 2 2 3 3" xfId="17958" xr:uid="{00000000-0005-0000-0000-000060170000}"/>
    <cellStyle name="20% - Accent4 15 2 2 4" xfId="14005" xr:uid="{00000000-0005-0000-0000-000061170000}"/>
    <cellStyle name="20% - Accent4 15 2 2 5" xfId="17956" xr:uid="{00000000-0005-0000-0000-000062170000}"/>
    <cellStyle name="20% - Accent4 15 2 3" xfId="2719" xr:uid="{00000000-0005-0000-0000-000063170000}"/>
    <cellStyle name="20% - Accent4 15 2 3 2" xfId="2720" xr:uid="{00000000-0005-0000-0000-000064170000}"/>
    <cellStyle name="20% - Accent4 15 2 3 2 2" xfId="14009" xr:uid="{00000000-0005-0000-0000-000065170000}"/>
    <cellStyle name="20% - Accent4 15 2 3 2 3" xfId="17960" xr:uid="{00000000-0005-0000-0000-000066170000}"/>
    <cellStyle name="20% - Accent4 15 2 3 3" xfId="2721" xr:uid="{00000000-0005-0000-0000-000067170000}"/>
    <cellStyle name="20% - Accent4 15 2 3 3 2" xfId="14010" xr:uid="{00000000-0005-0000-0000-000068170000}"/>
    <cellStyle name="20% - Accent4 15 2 3 3 3" xfId="17961" xr:uid="{00000000-0005-0000-0000-000069170000}"/>
    <cellStyle name="20% - Accent4 15 2 3 4" xfId="14008" xr:uid="{00000000-0005-0000-0000-00006A170000}"/>
    <cellStyle name="20% - Accent4 15 2 3 5" xfId="17959" xr:uid="{00000000-0005-0000-0000-00006B170000}"/>
    <cellStyle name="20% - Accent4 15 2 4" xfId="2722" xr:uid="{00000000-0005-0000-0000-00006C170000}"/>
    <cellStyle name="20% - Accent4 15 2 4 2" xfId="2723" xr:uid="{00000000-0005-0000-0000-00006D170000}"/>
    <cellStyle name="20% - Accent4 15 2 4 2 2" xfId="14012" xr:uid="{00000000-0005-0000-0000-00006E170000}"/>
    <cellStyle name="20% - Accent4 15 2 4 2 3" xfId="17963" xr:uid="{00000000-0005-0000-0000-00006F170000}"/>
    <cellStyle name="20% - Accent4 15 2 4 3" xfId="2724" xr:uid="{00000000-0005-0000-0000-000070170000}"/>
    <cellStyle name="20% - Accent4 15 2 4 3 2" xfId="14013" xr:uid="{00000000-0005-0000-0000-000071170000}"/>
    <cellStyle name="20% - Accent4 15 2 4 3 3" xfId="17964" xr:uid="{00000000-0005-0000-0000-000072170000}"/>
    <cellStyle name="20% - Accent4 15 2 4 4" xfId="14011" xr:uid="{00000000-0005-0000-0000-000073170000}"/>
    <cellStyle name="20% - Accent4 15 2 4 5" xfId="17962" xr:uid="{00000000-0005-0000-0000-000074170000}"/>
    <cellStyle name="20% - Accent4 15 2 5" xfId="2725" xr:uid="{00000000-0005-0000-0000-000075170000}"/>
    <cellStyle name="20% - Accent4 15 2 5 2" xfId="14014" xr:uid="{00000000-0005-0000-0000-000076170000}"/>
    <cellStyle name="20% - Accent4 15 2 5 3" xfId="17965" xr:uid="{00000000-0005-0000-0000-000077170000}"/>
    <cellStyle name="20% - Accent4 15 2 6" xfId="2726" xr:uid="{00000000-0005-0000-0000-000078170000}"/>
    <cellStyle name="20% - Accent4 15 2 6 2" xfId="14015" xr:uid="{00000000-0005-0000-0000-000079170000}"/>
    <cellStyle name="20% - Accent4 15 2 6 3" xfId="17966" xr:uid="{00000000-0005-0000-0000-00007A170000}"/>
    <cellStyle name="20% - Accent4 15 2 7" xfId="14004" xr:uid="{00000000-0005-0000-0000-00007B170000}"/>
    <cellStyle name="20% - Accent4 15 2 8" xfId="17955" xr:uid="{00000000-0005-0000-0000-00007C170000}"/>
    <cellStyle name="20% - Accent4 15 2_Volatility" xfId="2727" xr:uid="{00000000-0005-0000-0000-00007D170000}"/>
    <cellStyle name="20% - Accent4 15 3" xfId="2728" xr:uid="{00000000-0005-0000-0000-00007E170000}"/>
    <cellStyle name="20% - Accent4 15 3 2" xfId="2729" xr:uid="{00000000-0005-0000-0000-00007F170000}"/>
    <cellStyle name="20% - Accent4 15 3 2 2" xfId="2730" xr:uid="{00000000-0005-0000-0000-000080170000}"/>
    <cellStyle name="20% - Accent4 15 3 2 2 2" xfId="14018" xr:uid="{00000000-0005-0000-0000-000081170000}"/>
    <cellStyle name="20% - Accent4 15 3 2 2 3" xfId="17969" xr:uid="{00000000-0005-0000-0000-000082170000}"/>
    <cellStyle name="20% - Accent4 15 3 2 3" xfId="2731" xr:uid="{00000000-0005-0000-0000-000083170000}"/>
    <cellStyle name="20% - Accent4 15 3 2 3 2" xfId="14019" xr:uid="{00000000-0005-0000-0000-000084170000}"/>
    <cellStyle name="20% - Accent4 15 3 2 3 3" xfId="17970" xr:uid="{00000000-0005-0000-0000-000085170000}"/>
    <cellStyle name="20% - Accent4 15 3 2 4" xfId="14017" xr:uid="{00000000-0005-0000-0000-000086170000}"/>
    <cellStyle name="20% - Accent4 15 3 2 5" xfId="17968" xr:uid="{00000000-0005-0000-0000-000087170000}"/>
    <cellStyle name="20% - Accent4 15 3 3" xfId="2732" xr:uid="{00000000-0005-0000-0000-000088170000}"/>
    <cellStyle name="20% - Accent4 15 3 3 2" xfId="2733" xr:uid="{00000000-0005-0000-0000-000089170000}"/>
    <cellStyle name="20% - Accent4 15 3 3 2 2" xfId="14021" xr:uid="{00000000-0005-0000-0000-00008A170000}"/>
    <cellStyle name="20% - Accent4 15 3 3 2 3" xfId="17972" xr:uid="{00000000-0005-0000-0000-00008B170000}"/>
    <cellStyle name="20% - Accent4 15 3 3 3" xfId="2734" xr:uid="{00000000-0005-0000-0000-00008C170000}"/>
    <cellStyle name="20% - Accent4 15 3 3 3 2" xfId="14022" xr:uid="{00000000-0005-0000-0000-00008D170000}"/>
    <cellStyle name="20% - Accent4 15 3 3 3 3" xfId="17973" xr:uid="{00000000-0005-0000-0000-00008E170000}"/>
    <cellStyle name="20% - Accent4 15 3 3 4" xfId="14020" xr:uid="{00000000-0005-0000-0000-00008F170000}"/>
    <cellStyle name="20% - Accent4 15 3 3 5" xfId="17971" xr:uid="{00000000-0005-0000-0000-000090170000}"/>
    <cellStyle name="20% - Accent4 15 3 4" xfId="2735" xr:uid="{00000000-0005-0000-0000-000091170000}"/>
    <cellStyle name="20% - Accent4 15 3 4 2" xfId="14023" xr:uid="{00000000-0005-0000-0000-000092170000}"/>
    <cellStyle name="20% - Accent4 15 3 4 3" xfId="17974" xr:uid="{00000000-0005-0000-0000-000093170000}"/>
    <cellStyle name="20% - Accent4 15 3 5" xfId="2736" xr:uid="{00000000-0005-0000-0000-000094170000}"/>
    <cellStyle name="20% - Accent4 15 3 5 2" xfId="14024" xr:uid="{00000000-0005-0000-0000-000095170000}"/>
    <cellStyle name="20% - Accent4 15 3 5 3" xfId="17975" xr:uid="{00000000-0005-0000-0000-000096170000}"/>
    <cellStyle name="20% - Accent4 15 3 6" xfId="14016" xr:uid="{00000000-0005-0000-0000-000097170000}"/>
    <cellStyle name="20% - Accent4 15 3 7" xfId="17967" xr:uid="{00000000-0005-0000-0000-000098170000}"/>
    <cellStyle name="20% - Accent4 15 3_Volatility" xfId="2737" xr:uid="{00000000-0005-0000-0000-000099170000}"/>
    <cellStyle name="20% - Accent4 15 4" xfId="2738" xr:uid="{00000000-0005-0000-0000-00009A170000}"/>
    <cellStyle name="20% - Accent4 15 4 2" xfId="2739" xr:uid="{00000000-0005-0000-0000-00009B170000}"/>
    <cellStyle name="20% - Accent4 15 4 2 2" xfId="14026" xr:uid="{00000000-0005-0000-0000-00009C170000}"/>
    <cellStyle name="20% - Accent4 15 4 2 3" xfId="17977" xr:uid="{00000000-0005-0000-0000-00009D170000}"/>
    <cellStyle name="20% - Accent4 15 4 3" xfId="2740" xr:uid="{00000000-0005-0000-0000-00009E170000}"/>
    <cellStyle name="20% - Accent4 15 4 3 2" xfId="14027" xr:uid="{00000000-0005-0000-0000-00009F170000}"/>
    <cellStyle name="20% - Accent4 15 4 3 3" xfId="17978" xr:uid="{00000000-0005-0000-0000-0000A0170000}"/>
    <cellStyle name="20% - Accent4 15 4 4" xfId="14025" xr:uid="{00000000-0005-0000-0000-0000A1170000}"/>
    <cellStyle name="20% - Accent4 15 4 5" xfId="17976" xr:uid="{00000000-0005-0000-0000-0000A2170000}"/>
    <cellStyle name="20% - Accent4 15 5" xfId="2741" xr:uid="{00000000-0005-0000-0000-0000A3170000}"/>
    <cellStyle name="20% - Accent4 15 5 2" xfId="2742" xr:uid="{00000000-0005-0000-0000-0000A4170000}"/>
    <cellStyle name="20% - Accent4 15 5 2 2" xfId="14029" xr:uid="{00000000-0005-0000-0000-0000A5170000}"/>
    <cellStyle name="20% - Accent4 15 5 2 3" xfId="17980" xr:uid="{00000000-0005-0000-0000-0000A6170000}"/>
    <cellStyle name="20% - Accent4 15 5 3" xfId="2743" xr:uid="{00000000-0005-0000-0000-0000A7170000}"/>
    <cellStyle name="20% - Accent4 15 5 3 2" xfId="14030" xr:uid="{00000000-0005-0000-0000-0000A8170000}"/>
    <cellStyle name="20% - Accent4 15 5 3 3" xfId="17981" xr:uid="{00000000-0005-0000-0000-0000A9170000}"/>
    <cellStyle name="20% - Accent4 15 5 4" xfId="14028" xr:uid="{00000000-0005-0000-0000-0000AA170000}"/>
    <cellStyle name="20% - Accent4 15 5 5" xfId="17979" xr:uid="{00000000-0005-0000-0000-0000AB170000}"/>
    <cellStyle name="20% - Accent4 15 6" xfId="2744" xr:uid="{00000000-0005-0000-0000-0000AC170000}"/>
    <cellStyle name="20% - Accent4 15 6 2" xfId="2745" xr:uid="{00000000-0005-0000-0000-0000AD170000}"/>
    <cellStyle name="20% - Accent4 15 6 2 2" xfId="14032" xr:uid="{00000000-0005-0000-0000-0000AE170000}"/>
    <cellStyle name="20% - Accent4 15 6 2 3" xfId="17983" xr:uid="{00000000-0005-0000-0000-0000AF170000}"/>
    <cellStyle name="20% - Accent4 15 6 3" xfId="2746" xr:uid="{00000000-0005-0000-0000-0000B0170000}"/>
    <cellStyle name="20% - Accent4 15 6 3 2" xfId="14033" xr:uid="{00000000-0005-0000-0000-0000B1170000}"/>
    <cellStyle name="20% - Accent4 15 6 3 3" xfId="17984" xr:uid="{00000000-0005-0000-0000-0000B2170000}"/>
    <cellStyle name="20% - Accent4 15 6 4" xfId="14031" xr:uid="{00000000-0005-0000-0000-0000B3170000}"/>
    <cellStyle name="20% - Accent4 15 6 5" xfId="17982" xr:uid="{00000000-0005-0000-0000-0000B4170000}"/>
    <cellStyle name="20% - Accent4 15 7" xfId="2747" xr:uid="{00000000-0005-0000-0000-0000B5170000}"/>
    <cellStyle name="20% - Accent4 15 7 2" xfId="14034" xr:uid="{00000000-0005-0000-0000-0000B6170000}"/>
    <cellStyle name="20% - Accent4 15 7 3" xfId="17985" xr:uid="{00000000-0005-0000-0000-0000B7170000}"/>
    <cellStyle name="20% - Accent4 15 8" xfId="2748" xr:uid="{00000000-0005-0000-0000-0000B8170000}"/>
    <cellStyle name="20% - Accent4 15 8 2" xfId="14035" xr:uid="{00000000-0005-0000-0000-0000B9170000}"/>
    <cellStyle name="20% - Accent4 15 8 3" xfId="17986" xr:uid="{00000000-0005-0000-0000-0000BA170000}"/>
    <cellStyle name="20% - Accent4 15 9" xfId="14003" xr:uid="{00000000-0005-0000-0000-0000BB170000}"/>
    <cellStyle name="20% - Accent4 15_Volatility" xfId="2749" xr:uid="{00000000-0005-0000-0000-0000BC170000}"/>
    <cellStyle name="20% - Accent4 16" xfId="2750" xr:uid="{00000000-0005-0000-0000-0000BD170000}"/>
    <cellStyle name="20% - Accent4 16 2" xfId="14036" xr:uid="{00000000-0005-0000-0000-0000BE170000}"/>
    <cellStyle name="20% - Accent4 16 3" xfId="17987" xr:uid="{00000000-0005-0000-0000-0000BF170000}"/>
    <cellStyle name="20% - Accent4 17" xfId="2751" xr:uid="{00000000-0005-0000-0000-0000C0170000}"/>
    <cellStyle name="20% - Accent4 17 2" xfId="14037" xr:uid="{00000000-0005-0000-0000-0000C1170000}"/>
    <cellStyle name="20% - Accent4 17 3" xfId="17988" xr:uid="{00000000-0005-0000-0000-0000C2170000}"/>
    <cellStyle name="20% - Accent4 18" xfId="2752" xr:uid="{00000000-0005-0000-0000-0000C3170000}"/>
    <cellStyle name="20% - Accent4 18 2" xfId="14038" xr:uid="{00000000-0005-0000-0000-0000C4170000}"/>
    <cellStyle name="20% - Accent4 18 3" xfId="17989" xr:uid="{00000000-0005-0000-0000-0000C5170000}"/>
    <cellStyle name="20% - Accent4 19" xfId="2753" xr:uid="{00000000-0005-0000-0000-0000C6170000}"/>
    <cellStyle name="20% - Accent4 19 2" xfId="14039" xr:uid="{00000000-0005-0000-0000-0000C7170000}"/>
    <cellStyle name="20% - Accent4 19 3" xfId="17990" xr:uid="{00000000-0005-0000-0000-0000C8170000}"/>
    <cellStyle name="20% - Accent4 2" xfId="2754" xr:uid="{00000000-0005-0000-0000-0000C9170000}"/>
    <cellStyle name="20% - Accent4 2 10" xfId="17991" xr:uid="{00000000-0005-0000-0000-0000CA170000}"/>
    <cellStyle name="20% - Accent4 2 2" xfId="2755" xr:uid="{00000000-0005-0000-0000-0000CB170000}"/>
    <cellStyle name="20% - Accent4 2 2 2" xfId="2756" xr:uid="{00000000-0005-0000-0000-0000CC170000}"/>
    <cellStyle name="20% - Accent4 2 2 2 2" xfId="2757" xr:uid="{00000000-0005-0000-0000-0000CD170000}"/>
    <cellStyle name="20% - Accent4 2 2 2 2 2" xfId="14043" xr:uid="{00000000-0005-0000-0000-0000CE170000}"/>
    <cellStyle name="20% - Accent4 2 2 2 2 3" xfId="17994" xr:uid="{00000000-0005-0000-0000-0000CF170000}"/>
    <cellStyle name="20% - Accent4 2 2 2 3" xfId="2758" xr:uid="{00000000-0005-0000-0000-0000D0170000}"/>
    <cellStyle name="20% - Accent4 2 2 2 3 2" xfId="14044" xr:uid="{00000000-0005-0000-0000-0000D1170000}"/>
    <cellStyle name="20% - Accent4 2 2 2 3 3" xfId="17995" xr:uid="{00000000-0005-0000-0000-0000D2170000}"/>
    <cellStyle name="20% - Accent4 2 2 2 4" xfId="14042" xr:uid="{00000000-0005-0000-0000-0000D3170000}"/>
    <cellStyle name="20% - Accent4 2 2 2 5" xfId="17993" xr:uid="{00000000-0005-0000-0000-0000D4170000}"/>
    <cellStyle name="20% - Accent4 2 2 3" xfId="2759" xr:uid="{00000000-0005-0000-0000-0000D5170000}"/>
    <cellStyle name="20% - Accent4 2 2 3 2" xfId="2760" xr:uid="{00000000-0005-0000-0000-0000D6170000}"/>
    <cellStyle name="20% - Accent4 2 2 3 2 2" xfId="14046" xr:uid="{00000000-0005-0000-0000-0000D7170000}"/>
    <cellStyle name="20% - Accent4 2 2 3 2 3" xfId="17997" xr:uid="{00000000-0005-0000-0000-0000D8170000}"/>
    <cellStyle name="20% - Accent4 2 2 3 3" xfId="2761" xr:uid="{00000000-0005-0000-0000-0000D9170000}"/>
    <cellStyle name="20% - Accent4 2 2 3 3 2" xfId="14047" xr:uid="{00000000-0005-0000-0000-0000DA170000}"/>
    <cellStyle name="20% - Accent4 2 2 3 3 3" xfId="17998" xr:uid="{00000000-0005-0000-0000-0000DB170000}"/>
    <cellStyle name="20% - Accent4 2 2 3 4" xfId="14045" xr:uid="{00000000-0005-0000-0000-0000DC170000}"/>
    <cellStyle name="20% - Accent4 2 2 3 5" xfId="17996" xr:uid="{00000000-0005-0000-0000-0000DD170000}"/>
    <cellStyle name="20% - Accent4 2 2 4" xfId="2762" xr:uid="{00000000-0005-0000-0000-0000DE170000}"/>
    <cellStyle name="20% - Accent4 2 2 4 2" xfId="2763" xr:uid="{00000000-0005-0000-0000-0000DF170000}"/>
    <cellStyle name="20% - Accent4 2 2 4 2 2" xfId="14049" xr:uid="{00000000-0005-0000-0000-0000E0170000}"/>
    <cellStyle name="20% - Accent4 2 2 4 2 3" xfId="18000" xr:uid="{00000000-0005-0000-0000-0000E1170000}"/>
    <cellStyle name="20% - Accent4 2 2 4 3" xfId="2764" xr:uid="{00000000-0005-0000-0000-0000E2170000}"/>
    <cellStyle name="20% - Accent4 2 2 4 3 2" xfId="14050" xr:uid="{00000000-0005-0000-0000-0000E3170000}"/>
    <cellStyle name="20% - Accent4 2 2 4 3 3" xfId="18001" xr:uid="{00000000-0005-0000-0000-0000E4170000}"/>
    <cellStyle name="20% - Accent4 2 2 4 4" xfId="14048" xr:uid="{00000000-0005-0000-0000-0000E5170000}"/>
    <cellStyle name="20% - Accent4 2 2 4 5" xfId="17999" xr:uid="{00000000-0005-0000-0000-0000E6170000}"/>
    <cellStyle name="20% - Accent4 2 2 5" xfId="2765" xr:uid="{00000000-0005-0000-0000-0000E7170000}"/>
    <cellStyle name="20% - Accent4 2 2 5 2" xfId="14051" xr:uid="{00000000-0005-0000-0000-0000E8170000}"/>
    <cellStyle name="20% - Accent4 2 2 5 3" xfId="18002" xr:uid="{00000000-0005-0000-0000-0000E9170000}"/>
    <cellStyle name="20% - Accent4 2 2 6" xfId="2766" xr:uid="{00000000-0005-0000-0000-0000EA170000}"/>
    <cellStyle name="20% - Accent4 2 2 6 2" xfId="14052" xr:uid="{00000000-0005-0000-0000-0000EB170000}"/>
    <cellStyle name="20% - Accent4 2 2 6 3" xfId="18003" xr:uid="{00000000-0005-0000-0000-0000EC170000}"/>
    <cellStyle name="20% - Accent4 2 2 7" xfId="14041" xr:uid="{00000000-0005-0000-0000-0000ED170000}"/>
    <cellStyle name="20% - Accent4 2 2 8" xfId="17992" xr:uid="{00000000-0005-0000-0000-0000EE170000}"/>
    <cellStyle name="20% - Accent4 2 2_Volatility" xfId="2767" xr:uid="{00000000-0005-0000-0000-0000EF170000}"/>
    <cellStyle name="20% - Accent4 2 3" xfId="2768" xr:uid="{00000000-0005-0000-0000-0000F0170000}"/>
    <cellStyle name="20% - Accent4 2 3 2" xfId="2769" xr:uid="{00000000-0005-0000-0000-0000F1170000}"/>
    <cellStyle name="20% - Accent4 2 3 2 2" xfId="2770" xr:uid="{00000000-0005-0000-0000-0000F2170000}"/>
    <cellStyle name="20% - Accent4 2 3 2 2 2" xfId="14055" xr:uid="{00000000-0005-0000-0000-0000F3170000}"/>
    <cellStyle name="20% - Accent4 2 3 2 2 3" xfId="18006" xr:uid="{00000000-0005-0000-0000-0000F4170000}"/>
    <cellStyle name="20% - Accent4 2 3 2 3" xfId="2771" xr:uid="{00000000-0005-0000-0000-0000F5170000}"/>
    <cellStyle name="20% - Accent4 2 3 2 3 2" xfId="14056" xr:uid="{00000000-0005-0000-0000-0000F6170000}"/>
    <cellStyle name="20% - Accent4 2 3 2 3 3" xfId="18007" xr:uid="{00000000-0005-0000-0000-0000F7170000}"/>
    <cellStyle name="20% - Accent4 2 3 2 4" xfId="14054" xr:uid="{00000000-0005-0000-0000-0000F8170000}"/>
    <cellStyle name="20% - Accent4 2 3 2 5" xfId="18005" xr:uid="{00000000-0005-0000-0000-0000F9170000}"/>
    <cellStyle name="20% - Accent4 2 3 3" xfId="2772" xr:uid="{00000000-0005-0000-0000-0000FA170000}"/>
    <cellStyle name="20% - Accent4 2 3 3 2" xfId="2773" xr:uid="{00000000-0005-0000-0000-0000FB170000}"/>
    <cellStyle name="20% - Accent4 2 3 3 2 2" xfId="14058" xr:uid="{00000000-0005-0000-0000-0000FC170000}"/>
    <cellStyle name="20% - Accent4 2 3 3 2 3" xfId="18009" xr:uid="{00000000-0005-0000-0000-0000FD170000}"/>
    <cellStyle name="20% - Accent4 2 3 3 3" xfId="2774" xr:uid="{00000000-0005-0000-0000-0000FE170000}"/>
    <cellStyle name="20% - Accent4 2 3 3 3 2" xfId="14059" xr:uid="{00000000-0005-0000-0000-0000FF170000}"/>
    <cellStyle name="20% - Accent4 2 3 3 3 3" xfId="18010" xr:uid="{00000000-0005-0000-0000-000000180000}"/>
    <cellStyle name="20% - Accent4 2 3 3 4" xfId="14057" xr:uid="{00000000-0005-0000-0000-000001180000}"/>
    <cellStyle name="20% - Accent4 2 3 3 5" xfId="18008" xr:uid="{00000000-0005-0000-0000-000002180000}"/>
    <cellStyle name="20% - Accent4 2 3 4" xfId="2775" xr:uid="{00000000-0005-0000-0000-000003180000}"/>
    <cellStyle name="20% - Accent4 2 3 4 2" xfId="14060" xr:uid="{00000000-0005-0000-0000-000004180000}"/>
    <cellStyle name="20% - Accent4 2 3 4 3" xfId="18011" xr:uid="{00000000-0005-0000-0000-000005180000}"/>
    <cellStyle name="20% - Accent4 2 3 5" xfId="2776" xr:uid="{00000000-0005-0000-0000-000006180000}"/>
    <cellStyle name="20% - Accent4 2 3 5 2" xfId="14061" xr:uid="{00000000-0005-0000-0000-000007180000}"/>
    <cellStyle name="20% - Accent4 2 3 5 3" xfId="18012" xr:uid="{00000000-0005-0000-0000-000008180000}"/>
    <cellStyle name="20% - Accent4 2 3 6" xfId="14053" xr:uid="{00000000-0005-0000-0000-000009180000}"/>
    <cellStyle name="20% - Accent4 2 3 7" xfId="18004" xr:uid="{00000000-0005-0000-0000-00000A180000}"/>
    <cellStyle name="20% - Accent4 2 3_Volatility" xfId="2777" xr:uid="{00000000-0005-0000-0000-00000B180000}"/>
    <cellStyle name="20% - Accent4 2 4" xfId="2778" xr:uid="{00000000-0005-0000-0000-00000C180000}"/>
    <cellStyle name="20% - Accent4 2 4 2" xfId="2779" xr:uid="{00000000-0005-0000-0000-00000D180000}"/>
    <cellStyle name="20% - Accent4 2 4 2 2" xfId="14063" xr:uid="{00000000-0005-0000-0000-00000E180000}"/>
    <cellStyle name="20% - Accent4 2 4 2 3" xfId="18014" xr:uid="{00000000-0005-0000-0000-00000F180000}"/>
    <cellStyle name="20% - Accent4 2 4 3" xfId="2780" xr:uid="{00000000-0005-0000-0000-000010180000}"/>
    <cellStyle name="20% - Accent4 2 4 3 2" xfId="14064" xr:uid="{00000000-0005-0000-0000-000011180000}"/>
    <cellStyle name="20% - Accent4 2 4 3 3" xfId="18015" xr:uid="{00000000-0005-0000-0000-000012180000}"/>
    <cellStyle name="20% - Accent4 2 4 4" xfId="14062" xr:uid="{00000000-0005-0000-0000-000013180000}"/>
    <cellStyle name="20% - Accent4 2 4 5" xfId="18013" xr:uid="{00000000-0005-0000-0000-000014180000}"/>
    <cellStyle name="20% - Accent4 2 5" xfId="2781" xr:uid="{00000000-0005-0000-0000-000015180000}"/>
    <cellStyle name="20% - Accent4 2 5 2" xfId="2782" xr:uid="{00000000-0005-0000-0000-000016180000}"/>
    <cellStyle name="20% - Accent4 2 5 2 2" xfId="14066" xr:uid="{00000000-0005-0000-0000-000017180000}"/>
    <cellStyle name="20% - Accent4 2 5 2 3" xfId="18017" xr:uid="{00000000-0005-0000-0000-000018180000}"/>
    <cellStyle name="20% - Accent4 2 5 3" xfId="2783" xr:uid="{00000000-0005-0000-0000-000019180000}"/>
    <cellStyle name="20% - Accent4 2 5 3 2" xfId="14067" xr:uid="{00000000-0005-0000-0000-00001A180000}"/>
    <cellStyle name="20% - Accent4 2 5 3 3" xfId="18018" xr:uid="{00000000-0005-0000-0000-00001B180000}"/>
    <cellStyle name="20% - Accent4 2 5 4" xfId="14065" xr:uid="{00000000-0005-0000-0000-00001C180000}"/>
    <cellStyle name="20% - Accent4 2 5 5" xfId="18016" xr:uid="{00000000-0005-0000-0000-00001D180000}"/>
    <cellStyle name="20% - Accent4 2 6" xfId="2784" xr:uid="{00000000-0005-0000-0000-00001E180000}"/>
    <cellStyle name="20% - Accent4 2 6 2" xfId="2785" xr:uid="{00000000-0005-0000-0000-00001F180000}"/>
    <cellStyle name="20% - Accent4 2 6 2 2" xfId="14069" xr:uid="{00000000-0005-0000-0000-000020180000}"/>
    <cellStyle name="20% - Accent4 2 6 2 3" xfId="18020" xr:uid="{00000000-0005-0000-0000-000021180000}"/>
    <cellStyle name="20% - Accent4 2 6 3" xfId="2786" xr:uid="{00000000-0005-0000-0000-000022180000}"/>
    <cellStyle name="20% - Accent4 2 6 3 2" xfId="14070" xr:uid="{00000000-0005-0000-0000-000023180000}"/>
    <cellStyle name="20% - Accent4 2 6 3 3" xfId="18021" xr:uid="{00000000-0005-0000-0000-000024180000}"/>
    <cellStyle name="20% - Accent4 2 6 4" xfId="14068" xr:uid="{00000000-0005-0000-0000-000025180000}"/>
    <cellStyle name="20% - Accent4 2 6 5" xfId="18019" xr:uid="{00000000-0005-0000-0000-000026180000}"/>
    <cellStyle name="20% - Accent4 2 7" xfId="2787" xr:uid="{00000000-0005-0000-0000-000027180000}"/>
    <cellStyle name="20% - Accent4 2 7 2" xfId="14071" xr:uid="{00000000-0005-0000-0000-000028180000}"/>
    <cellStyle name="20% - Accent4 2 7 3" xfId="18022" xr:uid="{00000000-0005-0000-0000-000029180000}"/>
    <cellStyle name="20% - Accent4 2 8" xfId="2788" xr:uid="{00000000-0005-0000-0000-00002A180000}"/>
    <cellStyle name="20% - Accent4 2 8 2" xfId="14072" xr:uid="{00000000-0005-0000-0000-00002B180000}"/>
    <cellStyle name="20% - Accent4 2 8 3" xfId="18023" xr:uid="{00000000-0005-0000-0000-00002C180000}"/>
    <cellStyle name="20% - Accent4 2 9" xfId="14040" xr:uid="{00000000-0005-0000-0000-00002D180000}"/>
    <cellStyle name="20% - Accent4 2_Volatility" xfId="2789" xr:uid="{00000000-0005-0000-0000-00002E180000}"/>
    <cellStyle name="20% - Accent4 3" xfId="2790" xr:uid="{00000000-0005-0000-0000-00002F180000}"/>
    <cellStyle name="20% - Accent4 3 10" xfId="18024" xr:uid="{00000000-0005-0000-0000-000030180000}"/>
    <cellStyle name="20% - Accent4 3 2" xfId="2791" xr:uid="{00000000-0005-0000-0000-000031180000}"/>
    <cellStyle name="20% - Accent4 3 2 2" xfId="2792" xr:uid="{00000000-0005-0000-0000-000032180000}"/>
    <cellStyle name="20% - Accent4 3 2 2 2" xfId="2793" xr:uid="{00000000-0005-0000-0000-000033180000}"/>
    <cellStyle name="20% - Accent4 3 2 2 2 2" xfId="14076" xr:uid="{00000000-0005-0000-0000-000034180000}"/>
    <cellStyle name="20% - Accent4 3 2 2 2 3" xfId="18027" xr:uid="{00000000-0005-0000-0000-000035180000}"/>
    <cellStyle name="20% - Accent4 3 2 2 3" xfId="2794" xr:uid="{00000000-0005-0000-0000-000036180000}"/>
    <cellStyle name="20% - Accent4 3 2 2 3 2" xfId="14077" xr:uid="{00000000-0005-0000-0000-000037180000}"/>
    <cellStyle name="20% - Accent4 3 2 2 3 3" xfId="18028" xr:uid="{00000000-0005-0000-0000-000038180000}"/>
    <cellStyle name="20% - Accent4 3 2 2 4" xfId="14075" xr:uid="{00000000-0005-0000-0000-000039180000}"/>
    <cellStyle name="20% - Accent4 3 2 2 5" xfId="18026" xr:uid="{00000000-0005-0000-0000-00003A180000}"/>
    <cellStyle name="20% - Accent4 3 2 3" xfId="2795" xr:uid="{00000000-0005-0000-0000-00003B180000}"/>
    <cellStyle name="20% - Accent4 3 2 3 2" xfId="2796" xr:uid="{00000000-0005-0000-0000-00003C180000}"/>
    <cellStyle name="20% - Accent4 3 2 3 2 2" xfId="14079" xr:uid="{00000000-0005-0000-0000-00003D180000}"/>
    <cellStyle name="20% - Accent4 3 2 3 2 3" xfId="18030" xr:uid="{00000000-0005-0000-0000-00003E180000}"/>
    <cellStyle name="20% - Accent4 3 2 3 3" xfId="2797" xr:uid="{00000000-0005-0000-0000-00003F180000}"/>
    <cellStyle name="20% - Accent4 3 2 3 3 2" xfId="14080" xr:uid="{00000000-0005-0000-0000-000040180000}"/>
    <cellStyle name="20% - Accent4 3 2 3 3 3" xfId="18031" xr:uid="{00000000-0005-0000-0000-000041180000}"/>
    <cellStyle name="20% - Accent4 3 2 3 4" xfId="14078" xr:uid="{00000000-0005-0000-0000-000042180000}"/>
    <cellStyle name="20% - Accent4 3 2 3 5" xfId="18029" xr:uid="{00000000-0005-0000-0000-000043180000}"/>
    <cellStyle name="20% - Accent4 3 2 4" xfId="2798" xr:uid="{00000000-0005-0000-0000-000044180000}"/>
    <cellStyle name="20% - Accent4 3 2 4 2" xfId="2799" xr:uid="{00000000-0005-0000-0000-000045180000}"/>
    <cellStyle name="20% - Accent4 3 2 4 2 2" xfId="14082" xr:uid="{00000000-0005-0000-0000-000046180000}"/>
    <cellStyle name="20% - Accent4 3 2 4 2 3" xfId="18033" xr:uid="{00000000-0005-0000-0000-000047180000}"/>
    <cellStyle name="20% - Accent4 3 2 4 3" xfId="2800" xr:uid="{00000000-0005-0000-0000-000048180000}"/>
    <cellStyle name="20% - Accent4 3 2 4 3 2" xfId="14083" xr:uid="{00000000-0005-0000-0000-000049180000}"/>
    <cellStyle name="20% - Accent4 3 2 4 3 3" xfId="18034" xr:uid="{00000000-0005-0000-0000-00004A180000}"/>
    <cellStyle name="20% - Accent4 3 2 4 4" xfId="14081" xr:uid="{00000000-0005-0000-0000-00004B180000}"/>
    <cellStyle name="20% - Accent4 3 2 4 5" xfId="18032" xr:uid="{00000000-0005-0000-0000-00004C180000}"/>
    <cellStyle name="20% - Accent4 3 2 5" xfId="2801" xr:uid="{00000000-0005-0000-0000-00004D180000}"/>
    <cellStyle name="20% - Accent4 3 2 5 2" xfId="14084" xr:uid="{00000000-0005-0000-0000-00004E180000}"/>
    <cellStyle name="20% - Accent4 3 2 5 3" xfId="18035" xr:uid="{00000000-0005-0000-0000-00004F180000}"/>
    <cellStyle name="20% - Accent4 3 2 6" xfId="2802" xr:uid="{00000000-0005-0000-0000-000050180000}"/>
    <cellStyle name="20% - Accent4 3 2 6 2" xfId="14085" xr:uid="{00000000-0005-0000-0000-000051180000}"/>
    <cellStyle name="20% - Accent4 3 2 6 3" xfId="18036" xr:uid="{00000000-0005-0000-0000-000052180000}"/>
    <cellStyle name="20% - Accent4 3 2 7" xfId="14074" xr:uid="{00000000-0005-0000-0000-000053180000}"/>
    <cellStyle name="20% - Accent4 3 2 8" xfId="18025" xr:uid="{00000000-0005-0000-0000-000054180000}"/>
    <cellStyle name="20% - Accent4 3 2_Volatility" xfId="2803" xr:uid="{00000000-0005-0000-0000-000055180000}"/>
    <cellStyle name="20% - Accent4 3 3" xfId="2804" xr:uid="{00000000-0005-0000-0000-000056180000}"/>
    <cellStyle name="20% - Accent4 3 3 2" xfId="2805" xr:uid="{00000000-0005-0000-0000-000057180000}"/>
    <cellStyle name="20% - Accent4 3 3 2 2" xfId="2806" xr:uid="{00000000-0005-0000-0000-000058180000}"/>
    <cellStyle name="20% - Accent4 3 3 2 2 2" xfId="14088" xr:uid="{00000000-0005-0000-0000-000059180000}"/>
    <cellStyle name="20% - Accent4 3 3 2 2 3" xfId="18039" xr:uid="{00000000-0005-0000-0000-00005A180000}"/>
    <cellStyle name="20% - Accent4 3 3 2 3" xfId="2807" xr:uid="{00000000-0005-0000-0000-00005B180000}"/>
    <cellStyle name="20% - Accent4 3 3 2 3 2" xfId="14089" xr:uid="{00000000-0005-0000-0000-00005C180000}"/>
    <cellStyle name="20% - Accent4 3 3 2 3 3" xfId="18040" xr:uid="{00000000-0005-0000-0000-00005D180000}"/>
    <cellStyle name="20% - Accent4 3 3 2 4" xfId="14087" xr:uid="{00000000-0005-0000-0000-00005E180000}"/>
    <cellStyle name="20% - Accent4 3 3 2 5" xfId="18038" xr:uid="{00000000-0005-0000-0000-00005F180000}"/>
    <cellStyle name="20% - Accent4 3 3 3" xfId="2808" xr:uid="{00000000-0005-0000-0000-000060180000}"/>
    <cellStyle name="20% - Accent4 3 3 3 2" xfId="2809" xr:uid="{00000000-0005-0000-0000-000061180000}"/>
    <cellStyle name="20% - Accent4 3 3 3 2 2" xfId="14091" xr:uid="{00000000-0005-0000-0000-000062180000}"/>
    <cellStyle name="20% - Accent4 3 3 3 2 3" xfId="18042" xr:uid="{00000000-0005-0000-0000-000063180000}"/>
    <cellStyle name="20% - Accent4 3 3 3 3" xfId="2810" xr:uid="{00000000-0005-0000-0000-000064180000}"/>
    <cellStyle name="20% - Accent4 3 3 3 3 2" xfId="14092" xr:uid="{00000000-0005-0000-0000-000065180000}"/>
    <cellStyle name="20% - Accent4 3 3 3 3 3" xfId="18043" xr:uid="{00000000-0005-0000-0000-000066180000}"/>
    <cellStyle name="20% - Accent4 3 3 3 4" xfId="14090" xr:uid="{00000000-0005-0000-0000-000067180000}"/>
    <cellStyle name="20% - Accent4 3 3 3 5" xfId="18041" xr:uid="{00000000-0005-0000-0000-000068180000}"/>
    <cellStyle name="20% - Accent4 3 3 4" xfId="2811" xr:uid="{00000000-0005-0000-0000-000069180000}"/>
    <cellStyle name="20% - Accent4 3 3 4 2" xfId="14093" xr:uid="{00000000-0005-0000-0000-00006A180000}"/>
    <cellStyle name="20% - Accent4 3 3 4 3" xfId="18044" xr:uid="{00000000-0005-0000-0000-00006B180000}"/>
    <cellStyle name="20% - Accent4 3 3 5" xfId="2812" xr:uid="{00000000-0005-0000-0000-00006C180000}"/>
    <cellStyle name="20% - Accent4 3 3 5 2" xfId="14094" xr:uid="{00000000-0005-0000-0000-00006D180000}"/>
    <cellStyle name="20% - Accent4 3 3 5 3" xfId="18045" xr:uid="{00000000-0005-0000-0000-00006E180000}"/>
    <cellStyle name="20% - Accent4 3 3 6" xfId="14086" xr:uid="{00000000-0005-0000-0000-00006F180000}"/>
    <cellStyle name="20% - Accent4 3 3 7" xfId="18037" xr:uid="{00000000-0005-0000-0000-000070180000}"/>
    <cellStyle name="20% - Accent4 3 3_Volatility" xfId="2813" xr:uid="{00000000-0005-0000-0000-000071180000}"/>
    <cellStyle name="20% - Accent4 3 4" xfId="2814" xr:uid="{00000000-0005-0000-0000-000072180000}"/>
    <cellStyle name="20% - Accent4 3 4 2" xfId="2815" xr:uid="{00000000-0005-0000-0000-000073180000}"/>
    <cellStyle name="20% - Accent4 3 4 2 2" xfId="14096" xr:uid="{00000000-0005-0000-0000-000074180000}"/>
    <cellStyle name="20% - Accent4 3 4 2 3" xfId="18047" xr:uid="{00000000-0005-0000-0000-000075180000}"/>
    <cellStyle name="20% - Accent4 3 4 3" xfId="2816" xr:uid="{00000000-0005-0000-0000-000076180000}"/>
    <cellStyle name="20% - Accent4 3 4 3 2" xfId="14097" xr:uid="{00000000-0005-0000-0000-000077180000}"/>
    <cellStyle name="20% - Accent4 3 4 3 3" xfId="18048" xr:uid="{00000000-0005-0000-0000-000078180000}"/>
    <cellStyle name="20% - Accent4 3 4 4" xfId="14095" xr:uid="{00000000-0005-0000-0000-000079180000}"/>
    <cellStyle name="20% - Accent4 3 4 5" xfId="18046" xr:uid="{00000000-0005-0000-0000-00007A180000}"/>
    <cellStyle name="20% - Accent4 3 5" xfId="2817" xr:uid="{00000000-0005-0000-0000-00007B180000}"/>
    <cellStyle name="20% - Accent4 3 5 2" xfId="2818" xr:uid="{00000000-0005-0000-0000-00007C180000}"/>
    <cellStyle name="20% - Accent4 3 5 2 2" xfId="14099" xr:uid="{00000000-0005-0000-0000-00007D180000}"/>
    <cellStyle name="20% - Accent4 3 5 2 3" xfId="18050" xr:uid="{00000000-0005-0000-0000-00007E180000}"/>
    <cellStyle name="20% - Accent4 3 5 3" xfId="2819" xr:uid="{00000000-0005-0000-0000-00007F180000}"/>
    <cellStyle name="20% - Accent4 3 5 3 2" xfId="14100" xr:uid="{00000000-0005-0000-0000-000080180000}"/>
    <cellStyle name="20% - Accent4 3 5 3 3" xfId="18051" xr:uid="{00000000-0005-0000-0000-000081180000}"/>
    <cellStyle name="20% - Accent4 3 5 4" xfId="14098" xr:uid="{00000000-0005-0000-0000-000082180000}"/>
    <cellStyle name="20% - Accent4 3 5 5" xfId="18049" xr:uid="{00000000-0005-0000-0000-000083180000}"/>
    <cellStyle name="20% - Accent4 3 6" xfId="2820" xr:uid="{00000000-0005-0000-0000-000084180000}"/>
    <cellStyle name="20% - Accent4 3 6 2" xfId="2821" xr:uid="{00000000-0005-0000-0000-000085180000}"/>
    <cellStyle name="20% - Accent4 3 6 2 2" xfId="14102" xr:uid="{00000000-0005-0000-0000-000086180000}"/>
    <cellStyle name="20% - Accent4 3 6 2 3" xfId="18053" xr:uid="{00000000-0005-0000-0000-000087180000}"/>
    <cellStyle name="20% - Accent4 3 6 3" xfId="2822" xr:uid="{00000000-0005-0000-0000-000088180000}"/>
    <cellStyle name="20% - Accent4 3 6 3 2" xfId="14103" xr:uid="{00000000-0005-0000-0000-000089180000}"/>
    <cellStyle name="20% - Accent4 3 6 3 3" xfId="18054" xr:uid="{00000000-0005-0000-0000-00008A180000}"/>
    <cellStyle name="20% - Accent4 3 6 4" xfId="14101" xr:uid="{00000000-0005-0000-0000-00008B180000}"/>
    <cellStyle name="20% - Accent4 3 6 5" xfId="18052" xr:uid="{00000000-0005-0000-0000-00008C180000}"/>
    <cellStyle name="20% - Accent4 3 7" xfId="2823" xr:uid="{00000000-0005-0000-0000-00008D180000}"/>
    <cellStyle name="20% - Accent4 3 7 2" xfId="14104" xr:uid="{00000000-0005-0000-0000-00008E180000}"/>
    <cellStyle name="20% - Accent4 3 7 3" xfId="18055" xr:uid="{00000000-0005-0000-0000-00008F180000}"/>
    <cellStyle name="20% - Accent4 3 8" xfId="2824" xr:uid="{00000000-0005-0000-0000-000090180000}"/>
    <cellStyle name="20% - Accent4 3 8 2" xfId="14105" xr:uid="{00000000-0005-0000-0000-000091180000}"/>
    <cellStyle name="20% - Accent4 3 8 3" xfId="18056" xr:uid="{00000000-0005-0000-0000-000092180000}"/>
    <cellStyle name="20% - Accent4 3 9" xfId="14073" xr:uid="{00000000-0005-0000-0000-000093180000}"/>
    <cellStyle name="20% - Accent4 3_Volatility" xfId="2825" xr:uid="{00000000-0005-0000-0000-000094180000}"/>
    <cellStyle name="20% - Accent4 4" xfId="2826" xr:uid="{00000000-0005-0000-0000-000095180000}"/>
    <cellStyle name="20% - Accent4 4 10" xfId="18057" xr:uid="{00000000-0005-0000-0000-000096180000}"/>
    <cellStyle name="20% - Accent4 4 2" xfId="2827" xr:uid="{00000000-0005-0000-0000-000097180000}"/>
    <cellStyle name="20% - Accent4 4 2 2" xfId="2828" xr:uid="{00000000-0005-0000-0000-000098180000}"/>
    <cellStyle name="20% - Accent4 4 2 2 2" xfId="2829" xr:uid="{00000000-0005-0000-0000-000099180000}"/>
    <cellStyle name="20% - Accent4 4 2 2 2 2" xfId="14109" xr:uid="{00000000-0005-0000-0000-00009A180000}"/>
    <cellStyle name="20% - Accent4 4 2 2 2 3" xfId="18060" xr:uid="{00000000-0005-0000-0000-00009B180000}"/>
    <cellStyle name="20% - Accent4 4 2 2 3" xfId="2830" xr:uid="{00000000-0005-0000-0000-00009C180000}"/>
    <cellStyle name="20% - Accent4 4 2 2 3 2" xfId="14110" xr:uid="{00000000-0005-0000-0000-00009D180000}"/>
    <cellStyle name="20% - Accent4 4 2 2 3 3" xfId="18061" xr:uid="{00000000-0005-0000-0000-00009E180000}"/>
    <cellStyle name="20% - Accent4 4 2 2 4" xfId="14108" xr:uid="{00000000-0005-0000-0000-00009F180000}"/>
    <cellStyle name="20% - Accent4 4 2 2 5" xfId="18059" xr:uid="{00000000-0005-0000-0000-0000A0180000}"/>
    <cellStyle name="20% - Accent4 4 2 3" xfId="2831" xr:uid="{00000000-0005-0000-0000-0000A1180000}"/>
    <cellStyle name="20% - Accent4 4 2 3 2" xfId="2832" xr:uid="{00000000-0005-0000-0000-0000A2180000}"/>
    <cellStyle name="20% - Accent4 4 2 3 2 2" xfId="14112" xr:uid="{00000000-0005-0000-0000-0000A3180000}"/>
    <cellStyle name="20% - Accent4 4 2 3 2 3" xfId="18063" xr:uid="{00000000-0005-0000-0000-0000A4180000}"/>
    <cellStyle name="20% - Accent4 4 2 3 3" xfId="2833" xr:uid="{00000000-0005-0000-0000-0000A5180000}"/>
    <cellStyle name="20% - Accent4 4 2 3 3 2" xfId="14113" xr:uid="{00000000-0005-0000-0000-0000A6180000}"/>
    <cellStyle name="20% - Accent4 4 2 3 3 3" xfId="18064" xr:uid="{00000000-0005-0000-0000-0000A7180000}"/>
    <cellStyle name="20% - Accent4 4 2 3 4" xfId="14111" xr:uid="{00000000-0005-0000-0000-0000A8180000}"/>
    <cellStyle name="20% - Accent4 4 2 3 5" xfId="18062" xr:uid="{00000000-0005-0000-0000-0000A9180000}"/>
    <cellStyle name="20% - Accent4 4 2 4" xfId="2834" xr:uid="{00000000-0005-0000-0000-0000AA180000}"/>
    <cellStyle name="20% - Accent4 4 2 4 2" xfId="2835" xr:uid="{00000000-0005-0000-0000-0000AB180000}"/>
    <cellStyle name="20% - Accent4 4 2 4 2 2" xfId="14115" xr:uid="{00000000-0005-0000-0000-0000AC180000}"/>
    <cellStyle name="20% - Accent4 4 2 4 2 3" xfId="18066" xr:uid="{00000000-0005-0000-0000-0000AD180000}"/>
    <cellStyle name="20% - Accent4 4 2 4 3" xfId="2836" xr:uid="{00000000-0005-0000-0000-0000AE180000}"/>
    <cellStyle name="20% - Accent4 4 2 4 3 2" xfId="14116" xr:uid="{00000000-0005-0000-0000-0000AF180000}"/>
    <cellStyle name="20% - Accent4 4 2 4 3 3" xfId="18067" xr:uid="{00000000-0005-0000-0000-0000B0180000}"/>
    <cellStyle name="20% - Accent4 4 2 4 4" xfId="14114" xr:uid="{00000000-0005-0000-0000-0000B1180000}"/>
    <cellStyle name="20% - Accent4 4 2 4 5" xfId="18065" xr:uid="{00000000-0005-0000-0000-0000B2180000}"/>
    <cellStyle name="20% - Accent4 4 2 5" xfId="2837" xr:uid="{00000000-0005-0000-0000-0000B3180000}"/>
    <cellStyle name="20% - Accent4 4 2 5 2" xfId="14117" xr:uid="{00000000-0005-0000-0000-0000B4180000}"/>
    <cellStyle name="20% - Accent4 4 2 5 3" xfId="18068" xr:uid="{00000000-0005-0000-0000-0000B5180000}"/>
    <cellStyle name="20% - Accent4 4 2 6" xfId="2838" xr:uid="{00000000-0005-0000-0000-0000B6180000}"/>
    <cellStyle name="20% - Accent4 4 2 6 2" xfId="14118" xr:uid="{00000000-0005-0000-0000-0000B7180000}"/>
    <cellStyle name="20% - Accent4 4 2 6 3" xfId="18069" xr:uid="{00000000-0005-0000-0000-0000B8180000}"/>
    <cellStyle name="20% - Accent4 4 2 7" xfId="14107" xr:uid="{00000000-0005-0000-0000-0000B9180000}"/>
    <cellStyle name="20% - Accent4 4 2 8" xfId="18058" xr:uid="{00000000-0005-0000-0000-0000BA180000}"/>
    <cellStyle name="20% - Accent4 4 2_Volatility" xfId="2839" xr:uid="{00000000-0005-0000-0000-0000BB180000}"/>
    <cellStyle name="20% - Accent4 4 3" xfId="2840" xr:uid="{00000000-0005-0000-0000-0000BC180000}"/>
    <cellStyle name="20% - Accent4 4 3 2" xfId="2841" xr:uid="{00000000-0005-0000-0000-0000BD180000}"/>
    <cellStyle name="20% - Accent4 4 3 2 2" xfId="2842" xr:uid="{00000000-0005-0000-0000-0000BE180000}"/>
    <cellStyle name="20% - Accent4 4 3 2 2 2" xfId="14121" xr:uid="{00000000-0005-0000-0000-0000BF180000}"/>
    <cellStyle name="20% - Accent4 4 3 2 2 3" xfId="18072" xr:uid="{00000000-0005-0000-0000-0000C0180000}"/>
    <cellStyle name="20% - Accent4 4 3 2 3" xfId="2843" xr:uid="{00000000-0005-0000-0000-0000C1180000}"/>
    <cellStyle name="20% - Accent4 4 3 2 3 2" xfId="14122" xr:uid="{00000000-0005-0000-0000-0000C2180000}"/>
    <cellStyle name="20% - Accent4 4 3 2 3 3" xfId="18073" xr:uid="{00000000-0005-0000-0000-0000C3180000}"/>
    <cellStyle name="20% - Accent4 4 3 2 4" xfId="14120" xr:uid="{00000000-0005-0000-0000-0000C4180000}"/>
    <cellStyle name="20% - Accent4 4 3 2 5" xfId="18071" xr:uid="{00000000-0005-0000-0000-0000C5180000}"/>
    <cellStyle name="20% - Accent4 4 3 3" xfId="2844" xr:uid="{00000000-0005-0000-0000-0000C6180000}"/>
    <cellStyle name="20% - Accent4 4 3 3 2" xfId="2845" xr:uid="{00000000-0005-0000-0000-0000C7180000}"/>
    <cellStyle name="20% - Accent4 4 3 3 2 2" xfId="14124" xr:uid="{00000000-0005-0000-0000-0000C8180000}"/>
    <cellStyle name="20% - Accent4 4 3 3 2 3" xfId="18075" xr:uid="{00000000-0005-0000-0000-0000C9180000}"/>
    <cellStyle name="20% - Accent4 4 3 3 3" xfId="2846" xr:uid="{00000000-0005-0000-0000-0000CA180000}"/>
    <cellStyle name="20% - Accent4 4 3 3 3 2" xfId="14125" xr:uid="{00000000-0005-0000-0000-0000CB180000}"/>
    <cellStyle name="20% - Accent4 4 3 3 3 3" xfId="18076" xr:uid="{00000000-0005-0000-0000-0000CC180000}"/>
    <cellStyle name="20% - Accent4 4 3 3 4" xfId="14123" xr:uid="{00000000-0005-0000-0000-0000CD180000}"/>
    <cellStyle name="20% - Accent4 4 3 3 5" xfId="18074" xr:uid="{00000000-0005-0000-0000-0000CE180000}"/>
    <cellStyle name="20% - Accent4 4 3 4" xfId="2847" xr:uid="{00000000-0005-0000-0000-0000CF180000}"/>
    <cellStyle name="20% - Accent4 4 3 4 2" xfId="14126" xr:uid="{00000000-0005-0000-0000-0000D0180000}"/>
    <cellStyle name="20% - Accent4 4 3 4 3" xfId="18077" xr:uid="{00000000-0005-0000-0000-0000D1180000}"/>
    <cellStyle name="20% - Accent4 4 3 5" xfId="2848" xr:uid="{00000000-0005-0000-0000-0000D2180000}"/>
    <cellStyle name="20% - Accent4 4 3 5 2" xfId="14127" xr:uid="{00000000-0005-0000-0000-0000D3180000}"/>
    <cellStyle name="20% - Accent4 4 3 5 3" xfId="18078" xr:uid="{00000000-0005-0000-0000-0000D4180000}"/>
    <cellStyle name="20% - Accent4 4 3 6" xfId="14119" xr:uid="{00000000-0005-0000-0000-0000D5180000}"/>
    <cellStyle name="20% - Accent4 4 3 7" xfId="18070" xr:uid="{00000000-0005-0000-0000-0000D6180000}"/>
    <cellStyle name="20% - Accent4 4 3_Volatility" xfId="2849" xr:uid="{00000000-0005-0000-0000-0000D7180000}"/>
    <cellStyle name="20% - Accent4 4 4" xfId="2850" xr:uid="{00000000-0005-0000-0000-0000D8180000}"/>
    <cellStyle name="20% - Accent4 4 4 2" xfId="2851" xr:uid="{00000000-0005-0000-0000-0000D9180000}"/>
    <cellStyle name="20% - Accent4 4 4 2 2" xfId="14129" xr:uid="{00000000-0005-0000-0000-0000DA180000}"/>
    <cellStyle name="20% - Accent4 4 4 2 3" xfId="18080" xr:uid="{00000000-0005-0000-0000-0000DB180000}"/>
    <cellStyle name="20% - Accent4 4 4 3" xfId="2852" xr:uid="{00000000-0005-0000-0000-0000DC180000}"/>
    <cellStyle name="20% - Accent4 4 4 3 2" xfId="14130" xr:uid="{00000000-0005-0000-0000-0000DD180000}"/>
    <cellStyle name="20% - Accent4 4 4 3 3" xfId="18081" xr:uid="{00000000-0005-0000-0000-0000DE180000}"/>
    <cellStyle name="20% - Accent4 4 4 4" xfId="14128" xr:uid="{00000000-0005-0000-0000-0000DF180000}"/>
    <cellStyle name="20% - Accent4 4 4 5" xfId="18079" xr:uid="{00000000-0005-0000-0000-0000E0180000}"/>
    <cellStyle name="20% - Accent4 4 5" xfId="2853" xr:uid="{00000000-0005-0000-0000-0000E1180000}"/>
    <cellStyle name="20% - Accent4 4 5 2" xfId="2854" xr:uid="{00000000-0005-0000-0000-0000E2180000}"/>
    <cellStyle name="20% - Accent4 4 5 2 2" xfId="14132" xr:uid="{00000000-0005-0000-0000-0000E3180000}"/>
    <cellStyle name="20% - Accent4 4 5 2 3" xfId="18083" xr:uid="{00000000-0005-0000-0000-0000E4180000}"/>
    <cellStyle name="20% - Accent4 4 5 3" xfId="2855" xr:uid="{00000000-0005-0000-0000-0000E5180000}"/>
    <cellStyle name="20% - Accent4 4 5 3 2" xfId="14133" xr:uid="{00000000-0005-0000-0000-0000E6180000}"/>
    <cellStyle name="20% - Accent4 4 5 3 3" xfId="18084" xr:uid="{00000000-0005-0000-0000-0000E7180000}"/>
    <cellStyle name="20% - Accent4 4 5 4" xfId="14131" xr:uid="{00000000-0005-0000-0000-0000E8180000}"/>
    <cellStyle name="20% - Accent4 4 5 5" xfId="18082" xr:uid="{00000000-0005-0000-0000-0000E9180000}"/>
    <cellStyle name="20% - Accent4 4 6" xfId="2856" xr:uid="{00000000-0005-0000-0000-0000EA180000}"/>
    <cellStyle name="20% - Accent4 4 6 2" xfId="2857" xr:uid="{00000000-0005-0000-0000-0000EB180000}"/>
    <cellStyle name="20% - Accent4 4 6 2 2" xfId="14135" xr:uid="{00000000-0005-0000-0000-0000EC180000}"/>
    <cellStyle name="20% - Accent4 4 6 2 3" xfId="18086" xr:uid="{00000000-0005-0000-0000-0000ED180000}"/>
    <cellStyle name="20% - Accent4 4 6 3" xfId="2858" xr:uid="{00000000-0005-0000-0000-0000EE180000}"/>
    <cellStyle name="20% - Accent4 4 6 3 2" xfId="14136" xr:uid="{00000000-0005-0000-0000-0000EF180000}"/>
    <cellStyle name="20% - Accent4 4 6 3 3" xfId="18087" xr:uid="{00000000-0005-0000-0000-0000F0180000}"/>
    <cellStyle name="20% - Accent4 4 6 4" xfId="14134" xr:uid="{00000000-0005-0000-0000-0000F1180000}"/>
    <cellStyle name="20% - Accent4 4 6 5" xfId="18085" xr:uid="{00000000-0005-0000-0000-0000F2180000}"/>
    <cellStyle name="20% - Accent4 4 7" xfId="2859" xr:uid="{00000000-0005-0000-0000-0000F3180000}"/>
    <cellStyle name="20% - Accent4 4 7 2" xfId="14137" xr:uid="{00000000-0005-0000-0000-0000F4180000}"/>
    <cellStyle name="20% - Accent4 4 7 3" xfId="18088" xr:uid="{00000000-0005-0000-0000-0000F5180000}"/>
    <cellStyle name="20% - Accent4 4 8" xfId="2860" xr:uid="{00000000-0005-0000-0000-0000F6180000}"/>
    <cellStyle name="20% - Accent4 4 8 2" xfId="14138" xr:uid="{00000000-0005-0000-0000-0000F7180000}"/>
    <cellStyle name="20% - Accent4 4 8 3" xfId="18089" xr:uid="{00000000-0005-0000-0000-0000F8180000}"/>
    <cellStyle name="20% - Accent4 4 9" xfId="14106" xr:uid="{00000000-0005-0000-0000-0000F9180000}"/>
    <cellStyle name="20% - Accent4 4_Volatility" xfId="2861" xr:uid="{00000000-0005-0000-0000-0000FA180000}"/>
    <cellStyle name="20% - Accent4 5" xfId="2862" xr:uid="{00000000-0005-0000-0000-0000FB180000}"/>
    <cellStyle name="20% - Accent4 5 10" xfId="18090" xr:uid="{00000000-0005-0000-0000-0000FC180000}"/>
    <cellStyle name="20% - Accent4 5 2" xfId="2863" xr:uid="{00000000-0005-0000-0000-0000FD180000}"/>
    <cellStyle name="20% - Accent4 5 2 2" xfId="2864" xr:uid="{00000000-0005-0000-0000-0000FE180000}"/>
    <cellStyle name="20% - Accent4 5 2 2 2" xfId="2865" xr:uid="{00000000-0005-0000-0000-0000FF180000}"/>
    <cellStyle name="20% - Accent4 5 2 2 2 2" xfId="14142" xr:uid="{00000000-0005-0000-0000-000000190000}"/>
    <cellStyle name="20% - Accent4 5 2 2 2 3" xfId="18093" xr:uid="{00000000-0005-0000-0000-000001190000}"/>
    <cellStyle name="20% - Accent4 5 2 2 3" xfId="2866" xr:uid="{00000000-0005-0000-0000-000002190000}"/>
    <cellStyle name="20% - Accent4 5 2 2 3 2" xfId="14143" xr:uid="{00000000-0005-0000-0000-000003190000}"/>
    <cellStyle name="20% - Accent4 5 2 2 3 3" xfId="18094" xr:uid="{00000000-0005-0000-0000-000004190000}"/>
    <cellStyle name="20% - Accent4 5 2 2 4" xfId="14141" xr:uid="{00000000-0005-0000-0000-000005190000}"/>
    <cellStyle name="20% - Accent4 5 2 2 5" xfId="18092" xr:uid="{00000000-0005-0000-0000-000006190000}"/>
    <cellStyle name="20% - Accent4 5 2 3" xfId="2867" xr:uid="{00000000-0005-0000-0000-000007190000}"/>
    <cellStyle name="20% - Accent4 5 2 3 2" xfId="2868" xr:uid="{00000000-0005-0000-0000-000008190000}"/>
    <cellStyle name="20% - Accent4 5 2 3 2 2" xfId="14145" xr:uid="{00000000-0005-0000-0000-000009190000}"/>
    <cellStyle name="20% - Accent4 5 2 3 2 3" xfId="18096" xr:uid="{00000000-0005-0000-0000-00000A190000}"/>
    <cellStyle name="20% - Accent4 5 2 3 3" xfId="2869" xr:uid="{00000000-0005-0000-0000-00000B190000}"/>
    <cellStyle name="20% - Accent4 5 2 3 3 2" xfId="14146" xr:uid="{00000000-0005-0000-0000-00000C190000}"/>
    <cellStyle name="20% - Accent4 5 2 3 3 3" xfId="18097" xr:uid="{00000000-0005-0000-0000-00000D190000}"/>
    <cellStyle name="20% - Accent4 5 2 3 4" xfId="14144" xr:uid="{00000000-0005-0000-0000-00000E190000}"/>
    <cellStyle name="20% - Accent4 5 2 3 5" xfId="18095" xr:uid="{00000000-0005-0000-0000-00000F190000}"/>
    <cellStyle name="20% - Accent4 5 2 4" xfId="2870" xr:uid="{00000000-0005-0000-0000-000010190000}"/>
    <cellStyle name="20% - Accent4 5 2 4 2" xfId="2871" xr:uid="{00000000-0005-0000-0000-000011190000}"/>
    <cellStyle name="20% - Accent4 5 2 4 2 2" xfId="14148" xr:uid="{00000000-0005-0000-0000-000012190000}"/>
    <cellStyle name="20% - Accent4 5 2 4 2 3" xfId="18099" xr:uid="{00000000-0005-0000-0000-000013190000}"/>
    <cellStyle name="20% - Accent4 5 2 4 3" xfId="2872" xr:uid="{00000000-0005-0000-0000-000014190000}"/>
    <cellStyle name="20% - Accent4 5 2 4 3 2" xfId="14149" xr:uid="{00000000-0005-0000-0000-000015190000}"/>
    <cellStyle name="20% - Accent4 5 2 4 3 3" xfId="18100" xr:uid="{00000000-0005-0000-0000-000016190000}"/>
    <cellStyle name="20% - Accent4 5 2 4 4" xfId="14147" xr:uid="{00000000-0005-0000-0000-000017190000}"/>
    <cellStyle name="20% - Accent4 5 2 4 5" xfId="18098" xr:uid="{00000000-0005-0000-0000-000018190000}"/>
    <cellStyle name="20% - Accent4 5 2 5" xfId="2873" xr:uid="{00000000-0005-0000-0000-000019190000}"/>
    <cellStyle name="20% - Accent4 5 2 5 2" xfId="14150" xr:uid="{00000000-0005-0000-0000-00001A190000}"/>
    <cellStyle name="20% - Accent4 5 2 5 3" xfId="18101" xr:uid="{00000000-0005-0000-0000-00001B190000}"/>
    <cellStyle name="20% - Accent4 5 2 6" xfId="2874" xr:uid="{00000000-0005-0000-0000-00001C190000}"/>
    <cellStyle name="20% - Accent4 5 2 6 2" xfId="14151" xr:uid="{00000000-0005-0000-0000-00001D190000}"/>
    <cellStyle name="20% - Accent4 5 2 6 3" xfId="18102" xr:uid="{00000000-0005-0000-0000-00001E190000}"/>
    <cellStyle name="20% - Accent4 5 2 7" xfId="14140" xr:uid="{00000000-0005-0000-0000-00001F190000}"/>
    <cellStyle name="20% - Accent4 5 2 8" xfId="18091" xr:uid="{00000000-0005-0000-0000-000020190000}"/>
    <cellStyle name="20% - Accent4 5 2_Volatility" xfId="2875" xr:uid="{00000000-0005-0000-0000-000021190000}"/>
    <cellStyle name="20% - Accent4 5 3" xfId="2876" xr:uid="{00000000-0005-0000-0000-000022190000}"/>
    <cellStyle name="20% - Accent4 5 3 2" xfId="2877" xr:uid="{00000000-0005-0000-0000-000023190000}"/>
    <cellStyle name="20% - Accent4 5 3 2 2" xfId="2878" xr:uid="{00000000-0005-0000-0000-000024190000}"/>
    <cellStyle name="20% - Accent4 5 3 2 2 2" xfId="14154" xr:uid="{00000000-0005-0000-0000-000025190000}"/>
    <cellStyle name="20% - Accent4 5 3 2 2 3" xfId="18105" xr:uid="{00000000-0005-0000-0000-000026190000}"/>
    <cellStyle name="20% - Accent4 5 3 2 3" xfId="2879" xr:uid="{00000000-0005-0000-0000-000027190000}"/>
    <cellStyle name="20% - Accent4 5 3 2 3 2" xfId="14155" xr:uid="{00000000-0005-0000-0000-000028190000}"/>
    <cellStyle name="20% - Accent4 5 3 2 3 3" xfId="18106" xr:uid="{00000000-0005-0000-0000-000029190000}"/>
    <cellStyle name="20% - Accent4 5 3 2 4" xfId="14153" xr:uid="{00000000-0005-0000-0000-00002A190000}"/>
    <cellStyle name="20% - Accent4 5 3 2 5" xfId="18104" xr:uid="{00000000-0005-0000-0000-00002B190000}"/>
    <cellStyle name="20% - Accent4 5 3 3" xfId="2880" xr:uid="{00000000-0005-0000-0000-00002C190000}"/>
    <cellStyle name="20% - Accent4 5 3 3 2" xfId="2881" xr:uid="{00000000-0005-0000-0000-00002D190000}"/>
    <cellStyle name="20% - Accent4 5 3 3 2 2" xfId="14157" xr:uid="{00000000-0005-0000-0000-00002E190000}"/>
    <cellStyle name="20% - Accent4 5 3 3 2 3" xfId="18108" xr:uid="{00000000-0005-0000-0000-00002F190000}"/>
    <cellStyle name="20% - Accent4 5 3 3 3" xfId="2882" xr:uid="{00000000-0005-0000-0000-000030190000}"/>
    <cellStyle name="20% - Accent4 5 3 3 3 2" xfId="14158" xr:uid="{00000000-0005-0000-0000-000031190000}"/>
    <cellStyle name="20% - Accent4 5 3 3 3 3" xfId="18109" xr:uid="{00000000-0005-0000-0000-000032190000}"/>
    <cellStyle name="20% - Accent4 5 3 3 4" xfId="14156" xr:uid="{00000000-0005-0000-0000-000033190000}"/>
    <cellStyle name="20% - Accent4 5 3 3 5" xfId="18107" xr:uid="{00000000-0005-0000-0000-000034190000}"/>
    <cellStyle name="20% - Accent4 5 3 4" xfId="2883" xr:uid="{00000000-0005-0000-0000-000035190000}"/>
    <cellStyle name="20% - Accent4 5 3 4 2" xfId="14159" xr:uid="{00000000-0005-0000-0000-000036190000}"/>
    <cellStyle name="20% - Accent4 5 3 4 3" xfId="18110" xr:uid="{00000000-0005-0000-0000-000037190000}"/>
    <cellStyle name="20% - Accent4 5 3 5" xfId="2884" xr:uid="{00000000-0005-0000-0000-000038190000}"/>
    <cellStyle name="20% - Accent4 5 3 5 2" xfId="14160" xr:uid="{00000000-0005-0000-0000-000039190000}"/>
    <cellStyle name="20% - Accent4 5 3 5 3" xfId="18111" xr:uid="{00000000-0005-0000-0000-00003A190000}"/>
    <cellStyle name="20% - Accent4 5 3 6" xfId="14152" xr:uid="{00000000-0005-0000-0000-00003B190000}"/>
    <cellStyle name="20% - Accent4 5 3 7" xfId="18103" xr:uid="{00000000-0005-0000-0000-00003C190000}"/>
    <cellStyle name="20% - Accent4 5 3_Volatility" xfId="2885" xr:uid="{00000000-0005-0000-0000-00003D190000}"/>
    <cellStyle name="20% - Accent4 5 4" xfId="2886" xr:uid="{00000000-0005-0000-0000-00003E190000}"/>
    <cellStyle name="20% - Accent4 5 4 2" xfId="2887" xr:uid="{00000000-0005-0000-0000-00003F190000}"/>
    <cellStyle name="20% - Accent4 5 4 2 2" xfId="14162" xr:uid="{00000000-0005-0000-0000-000040190000}"/>
    <cellStyle name="20% - Accent4 5 4 2 3" xfId="18113" xr:uid="{00000000-0005-0000-0000-000041190000}"/>
    <cellStyle name="20% - Accent4 5 4 3" xfId="2888" xr:uid="{00000000-0005-0000-0000-000042190000}"/>
    <cellStyle name="20% - Accent4 5 4 3 2" xfId="14163" xr:uid="{00000000-0005-0000-0000-000043190000}"/>
    <cellStyle name="20% - Accent4 5 4 3 3" xfId="18114" xr:uid="{00000000-0005-0000-0000-000044190000}"/>
    <cellStyle name="20% - Accent4 5 4 4" xfId="14161" xr:uid="{00000000-0005-0000-0000-000045190000}"/>
    <cellStyle name="20% - Accent4 5 4 5" xfId="18112" xr:uid="{00000000-0005-0000-0000-000046190000}"/>
    <cellStyle name="20% - Accent4 5 5" xfId="2889" xr:uid="{00000000-0005-0000-0000-000047190000}"/>
    <cellStyle name="20% - Accent4 5 5 2" xfId="2890" xr:uid="{00000000-0005-0000-0000-000048190000}"/>
    <cellStyle name="20% - Accent4 5 5 2 2" xfId="14165" xr:uid="{00000000-0005-0000-0000-000049190000}"/>
    <cellStyle name="20% - Accent4 5 5 2 3" xfId="18116" xr:uid="{00000000-0005-0000-0000-00004A190000}"/>
    <cellStyle name="20% - Accent4 5 5 3" xfId="2891" xr:uid="{00000000-0005-0000-0000-00004B190000}"/>
    <cellStyle name="20% - Accent4 5 5 3 2" xfId="14166" xr:uid="{00000000-0005-0000-0000-00004C190000}"/>
    <cellStyle name="20% - Accent4 5 5 3 3" xfId="18117" xr:uid="{00000000-0005-0000-0000-00004D190000}"/>
    <cellStyle name="20% - Accent4 5 5 4" xfId="14164" xr:uid="{00000000-0005-0000-0000-00004E190000}"/>
    <cellStyle name="20% - Accent4 5 5 5" xfId="18115" xr:uid="{00000000-0005-0000-0000-00004F190000}"/>
    <cellStyle name="20% - Accent4 5 6" xfId="2892" xr:uid="{00000000-0005-0000-0000-000050190000}"/>
    <cellStyle name="20% - Accent4 5 6 2" xfId="2893" xr:uid="{00000000-0005-0000-0000-000051190000}"/>
    <cellStyle name="20% - Accent4 5 6 2 2" xfId="14168" xr:uid="{00000000-0005-0000-0000-000052190000}"/>
    <cellStyle name="20% - Accent4 5 6 2 3" xfId="18119" xr:uid="{00000000-0005-0000-0000-000053190000}"/>
    <cellStyle name="20% - Accent4 5 6 3" xfId="2894" xr:uid="{00000000-0005-0000-0000-000054190000}"/>
    <cellStyle name="20% - Accent4 5 6 3 2" xfId="14169" xr:uid="{00000000-0005-0000-0000-000055190000}"/>
    <cellStyle name="20% - Accent4 5 6 3 3" xfId="18120" xr:uid="{00000000-0005-0000-0000-000056190000}"/>
    <cellStyle name="20% - Accent4 5 6 4" xfId="14167" xr:uid="{00000000-0005-0000-0000-000057190000}"/>
    <cellStyle name="20% - Accent4 5 6 5" xfId="18118" xr:uid="{00000000-0005-0000-0000-000058190000}"/>
    <cellStyle name="20% - Accent4 5 7" xfId="2895" xr:uid="{00000000-0005-0000-0000-000059190000}"/>
    <cellStyle name="20% - Accent4 5 7 2" xfId="14170" xr:uid="{00000000-0005-0000-0000-00005A190000}"/>
    <cellStyle name="20% - Accent4 5 7 3" xfId="18121" xr:uid="{00000000-0005-0000-0000-00005B190000}"/>
    <cellStyle name="20% - Accent4 5 8" xfId="2896" xr:uid="{00000000-0005-0000-0000-00005C190000}"/>
    <cellStyle name="20% - Accent4 5 8 2" xfId="14171" xr:uid="{00000000-0005-0000-0000-00005D190000}"/>
    <cellStyle name="20% - Accent4 5 8 3" xfId="18122" xr:uid="{00000000-0005-0000-0000-00005E190000}"/>
    <cellStyle name="20% - Accent4 5 9" xfId="14139" xr:uid="{00000000-0005-0000-0000-00005F190000}"/>
    <cellStyle name="20% - Accent4 5_Volatility" xfId="2897" xr:uid="{00000000-0005-0000-0000-000060190000}"/>
    <cellStyle name="20% - Accent4 6" xfId="2898" xr:uid="{00000000-0005-0000-0000-000061190000}"/>
    <cellStyle name="20% - Accent4 6 10" xfId="18123" xr:uid="{00000000-0005-0000-0000-000062190000}"/>
    <cellStyle name="20% - Accent4 6 2" xfId="2899" xr:uid="{00000000-0005-0000-0000-000063190000}"/>
    <cellStyle name="20% - Accent4 6 2 2" xfId="2900" xr:uid="{00000000-0005-0000-0000-000064190000}"/>
    <cellStyle name="20% - Accent4 6 2 2 2" xfId="2901" xr:uid="{00000000-0005-0000-0000-000065190000}"/>
    <cellStyle name="20% - Accent4 6 2 2 2 2" xfId="14175" xr:uid="{00000000-0005-0000-0000-000066190000}"/>
    <cellStyle name="20% - Accent4 6 2 2 2 3" xfId="18126" xr:uid="{00000000-0005-0000-0000-000067190000}"/>
    <cellStyle name="20% - Accent4 6 2 2 3" xfId="2902" xr:uid="{00000000-0005-0000-0000-000068190000}"/>
    <cellStyle name="20% - Accent4 6 2 2 3 2" xfId="14176" xr:uid="{00000000-0005-0000-0000-000069190000}"/>
    <cellStyle name="20% - Accent4 6 2 2 3 3" xfId="18127" xr:uid="{00000000-0005-0000-0000-00006A190000}"/>
    <cellStyle name="20% - Accent4 6 2 2 4" xfId="14174" xr:uid="{00000000-0005-0000-0000-00006B190000}"/>
    <cellStyle name="20% - Accent4 6 2 2 5" xfId="18125" xr:uid="{00000000-0005-0000-0000-00006C190000}"/>
    <cellStyle name="20% - Accent4 6 2 3" xfId="2903" xr:uid="{00000000-0005-0000-0000-00006D190000}"/>
    <cellStyle name="20% - Accent4 6 2 3 2" xfId="2904" xr:uid="{00000000-0005-0000-0000-00006E190000}"/>
    <cellStyle name="20% - Accent4 6 2 3 2 2" xfId="14178" xr:uid="{00000000-0005-0000-0000-00006F190000}"/>
    <cellStyle name="20% - Accent4 6 2 3 2 3" xfId="18129" xr:uid="{00000000-0005-0000-0000-000070190000}"/>
    <cellStyle name="20% - Accent4 6 2 3 3" xfId="2905" xr:uid="{00000000-0005-0000-0000-000071190000}"/>
    <cellStyle name="20% - Accent4 6 2 3 3 2" xfId="14179" xr:uid="{00000000-0005-0000-0000-000072190000}"/>
    <cellStyle name="20% - Accent4 6 2 3 3 3" xfId="18130" xr:uid="{00000000-0005-0000-0000-000073190000}"/>
    <cellStyle name="20% - Accent4 6 2 3 4" xfId="14177" xr:uid="{00000000-0005-0000-0000-000074190000}"/>
    <cellStyle name="20% - Accent4 6 2 3 5" xfId="18128" xr:uid="{00000000-0005-0000-0000-000075190000}"/>
    <cellStyle name="20% - Accent4 6 2 4" xfId="2906" xr:uid="{00000000-0005-0000-0000-000076190000}"/>
    <cellStyle name="20% - Accent4 6 2 4 2" xfId="2907" xr:uid="{00000000-0005-0000-0000-000077190000}"/>
    <cellStyle name="20% - Accent4 6 2 4 2 2" xfId="14181" xr:uid="{00000000-0005-0000-0000-000078190000}"/>
    <cellStyle name="20% - Accent4 6 2 4 2 3" xfId="18132" xr:uid="{00000000-0005-0000-0000-000079190000}"/>
    <cellStyle name="20% - Accent4 6 2 4 3" xfId="2908" xr:uid="{00000000-0005-0000-0000-00007A190000}"/>
    <cellStyle name="20% - Accent4 6 2 4 3 2" xfId="14182" xr:uid="{00000000-0005-0000-0000-00007B190000}"/>
    <cellStyle name="20% - Accent4 6 2 4 3 3" xfId="18133" xr:uid="{00000000-0005-0000-0000-00007C190000}"/>
    <cellStyle name="20% - Accent4 6 2 4 4" xfId="14180" xr:uid="{00000000-0005-0000-0000-00007D190000}"/>
    <cellStyle name="20% - Accent4 6 2 4 5" xfId="18131" xr:uid="{00000000-0005-0000-0000-00007E190000}"/>
    <cellStyle name="20% - Accent4 6 2 5" xfId="2909" xr:uid="{00000000-0005-0000-0000-00007F190000}"/>
    <cellStyle name="20% - Accent4 6 2 5 2" xfId="14183" xr:uid="{00000000-0005-0000-0000-000080190000}"/>
    <cellStyle name="20% - Accent4 6 2 5 3" xfId="18134" xr:uid="{00000000-0005-0000-0000-000081190000}"/>
    <cellStyle name="20% - Accent4 6 2 6" xfId="2910" xr:uid="{00000000-0005-0000-0000-000082190000}"/>
    <cellStyle name="20% - Accent4 6 2 6 2" xfId="14184" xr:uid="{00000000-0005-0000-0000-000083190000}"/>
    <cellStyle name="20% - Accent4 6 2 6 3" xfId="18135" xr:uid="{00000000-0005-0000-0000-000084190000}"/>
    <cellStyle name="20% - Accent4 6 2 7" xfId="14173" xr:uid="{00000000-0005-0000-0000-000085190000}"/>
    <cellStyle name="20% - Accent4 6 2 8" xfId="18124" xr:uid="{00000000-0005-0000-0000-000086190000}"/>
    <cellStyle name="20% - Accent4 6 2_Volatility" xfId="2911" xr:uid="{00000000-0005-0000-0000-000087190000}"/>
    <cellStyle name="20% - Accent4 6 3" xfId="2912" xr:uid="{00000000-0005-0000-0000-000088190000}"/>
    <cellStyle name="20% - Accent4 6 3 2" xfId="2913" xr:uid="{00000000-0005-0000-0000-000089190000}"/>
    <cellStyle name="20% - Accent4 6 3 2 2" xfId="2914" xr:uid="{00000000-0005-0000-0000-00008A190000}"/>
    <cellStyle name="20% - Accent4 6 3 2 2 2" xfId="14187" xr:uid="{00000000-0005-0000-0000-00008B190000}"/>
    <cellStyle name="20% - Accent4 6 3 2 2 3" xfId="18138" xr:uid="{00000000-0005-0000-0000-00008C190000}"/>
    <cellStyle name="20% - Accent4 6 3 2 3" xfId="2915" xr:uid="{00000000-0005-0000-0000-00008D190000}"/>
    <cellStyle name="20% - Accent4 6 3 2 3 2" xfId="14188" xr:uid="{00000000-0005-0000-0000-00008E190000}"/>
    <cellStyle name="20% - Accent4 6 3 2 3 3" xfId="18139" xr:uid="{00000000-0005-0000-0000-00008F190000}"/>
    <cellStyle name="20% - Accent4 6 3 2 4" xfId="14186" xr:uid="{00000000-0005-0000-0000-000090190000}"/>
    <cellStyle name="20% - Accent4 6 3 2 5" xfId="18137" xr:uid="{00000000-0005-0000-0000-000091190000}"/>
    <cellStyle name="20% - Accent4 6 3 3" xfId="2916" xr:uid="{00000000-0005-0000-0000-000092190000}"/>
    <cellStyle name="20% - Accent4 6 3 3 2" xfId="2917" xr:uid="{00000000-0005-0000-0000-000093190000}"/>
    <cellStyle name="20% - Accent4 6 3 3 2 2" xfId="14190" xr:uid="{00000000-0005-0000-0000-000094190000}"/>
    <cellStyle name="20% - Accent4 6 3 3 2 3" xfId="18141" xr:uid="{00000000-0005-0000-0000-000095190000}"/>
    <cellStyle name="20% - Accent4 6 3 3 3" xfId="2918" xr:uid="{00000000-0005-0000-0000-000096190000}"/>
    <cellStyle name="20% - Accent4 6 3 3 3 2" xfId="14191" xr:uid="{00000000-0005-0000-0000-000097190000}"/>
    <cellStyle name="20% - Accent4 6 3 3 3 3" xfId="18142" xr:uid="{00000000-0005-0000-0000-000098190000}"/>
    <cellStyle name="20% - Accent4 6 3 3 4" xfId="14189" xr:uid="{00000000-0005-0000-0000-000099190000}"/>
    <cellStyle name="20% - Accent4 6 3 3 5" xfId="18140" xr:uid="{00000000-0005-0000-0000-00009A190000}"/>
    <cellStyle name="20% - Accent4 6 3 4" xfId="2919" xr:uid="{00000000-0005-0000-0000-00009B190000}"/>
    <cellStyle name="20% - Accent4 6 3 4 2" xfId="14192" xr:uid="{00000000-0005-0000-0000-00009C190000}"/>
    <cellStyle name="20% - Accent4 6 3 4 3" xfId="18143" xr:uid="{00000000-0005-0000-0000-00009D190000}"/>
    <cellStyle name="20% - Accent4 6 3 5" xfId="2920" xr:uid="{00000000-0005-0000-0000-00009E190000}"/>
    <cellStyle name="20% - Accent4 6 3 5 2" xfId="14193" xr:uid="{00000000-0005-0000-0000-00009F190000}"/>
    <cellStyle name="20% - Accent4 6 3 5 3" xfId="18144" xr:uid="{00000000-0005-0000-0000-0000A0190000}"/>
    <cellStyle name="20% - Accent4 6 3 6" xfId="14185" xr:uid="{00000000-0005-0000-0000-0000A1190000}"/>
    <cellStyle name="20% - Accent4 6 3 7" xfId="18136" xr:uid="{00000000-0005-0000-0000-0000A2190000}"/>
    <cellStyle name="20% - Accent4 6 3_Volatility" xfId="2921" xr:uid="{00000000-0005-0000-0000-0000A3190000}"/>
    <cellStyle name="20% - Accent4 6 4" xfId="2922" xr:uid="{00000000-0005-0000-0000-0000A4190000}"/>
    <cellStyle name="20% - Accent4 6 4 2" xfId="2923" xr:uid="{00000000-0005-0000-0000-0000A5190000}"/>
    <cellStyle name="20% - Accent4 6 4 2 2" xfId="14195" xr:uid="{00000000-0005-0000-0000-0000A6190000}"/>
    <cellStyle name="20% - Accent4 6 4 2 3" xfId="18146" xr:uid="{00000000-0005-0000-0000-0000A7190000}"/>
    <cellStyle name="20% - Accent4 6 4 3" xfId="2924" xr:uid="{00000000-0005-0000-0000-0000A8190000}"/>
    <cellStyle name="20% - Accent4 6 4 3 2" xfId="14196" xr:uid="{00000000-0005-0000-0000-0000A9190000}"/>
    <cellStyle name="20% - Accent4 6 4 3 3" xfId="18147" xr:uid="{00000000-0005-0000-0000-0000AA190000}"/>
    <cellStyle name="20% - Accent4 6 4 4" xfId="14194" xr:uid="{00000000-0005-0000-0000-0000AB190000}"/>
    <cellStyle name="20% - Accent4 6 4 5" xfId="18145" xr:uid="{00000000-0005-0000-0000-0000AC190000}"/>
    <cellStyle name="20% - Accent4 6 5" xfId="2925" xr:uid="{00000000-0005-0000-0000-0000AD190000}"/>
    <cellStyle name="20% - Accent4 6 5 2" xfId="2926" xr:uid="{00000000-0005-0000-0000-0000AE190000}"/>
    <cellStyle name="20% - Accent4 6 5 2 2" xfId="14198" xr:uid="{00000000-0005-0000-0000-0000AF190000}"/>
    <cellStyle name="20% - Accent4 6 5 2 3" xfId="18149" xr:uid="{00000000-0005-0000-0000-0000B0190000}"/>
    <cellStyle name="20% - Accent4 6 5 3" xfId="2927" xr:uid="{00000000-0005-0000-0000-0000B1190000}"/>
    <cellStyle name="20% - Accent4 6 5 3 2" xfId="14199" xr:uid="{00000000-0005-0000-0000-0000B2190000}"/>
    <cellStyle name="20% - Accent4 6 5 3 3" xfId="18150" xr:uid="{00000000-0005-0000-0000-0000B3190000}"/>
    <cellStyle name="20% - Accent4 6 5 4" xfId="14197" xr:uid="{00000000-0005-0000-0000-0000B4190000}"/>
    <cellStyle name="20% - Accent4 6 5 5" xfId="18148" xr:uid="{00000000-0005-0000-0000-0000B5190000}"/>
    <cellStyle name="20% - Accent4 6 6" xfId="2928" xr:uid="{00000000-0005-0000-0000-0000B6190000}"/>
    <cellStyle name="20% - Accent4 6 6 2" xfId="2929" xr:uid="{00000000-0005-0000-0000-0000B7190000}"/>
    <cellStyle name="20% - Accent4 6 6 2 2" xfId="14201" xr:uid="{00000000-0005-0000-0000-0000B8190000}"/>
    <cellStyle name="20% - Accent4 6 6 2 3" xfId="18152" xr:uid="{00000000-0005-0000-0000-0000B9190000}"/>
    <cellStyle name="20% - Accent4 6 6 3" xfId="2930" xr:uid="{00000000-0005-0000-0000-0000BA190000}"/>
    <cellStyle name="20% - Accent4 6 6 3 2" xfId="14202" xr:uid="{00000000-0005-0000-0000-0000BB190000}"/>
    <cellStyle name="20% - Accent4 6 6 3 3" xfId="18153" xr:uid="{00000000-0005-0000-0000-0000BC190000}"/>
    <cellStyle name="20% - Accent4 6 6 4" xfId="14200" xr:uid="{00000000-0005-0000-0000-0000BD190000}"/>
    <cellStyle name="20% - Accent4 6 6 5" xfId="18151" xr:uid="{00000000-0005-0000-0000-0000BE190000}"/>
    <cellStyle name="20% - Accent4 6 7" xfId="2931" xr:uid="{00000000-0005-0000-0000-0000BF190000}"/>
    <cellStyle name="20% - Accent4 6 7 2" xfId="14203" xr:uid="{00000000-0005-0000-0000-0000C0190000}"/>
    <cellStyle name="20% - Accent4 6 7 3" xfId="18154" xr:uid="{00000000-0005-0000-0000-0000C1190000}"/>
    <cellStyle name="20% - Accent4 6 8" xfId="2932" xr:uid="{00000000-0005-0000-0000-0000C2190000}"/>
    <cellStyle name="20% - Accent4 6 8 2" xfId="14204" xr:uid="{00000000-0005-0000-0000-0000C3190000}"/>
    <cellStyle name="20% - Accent4 6 8 3" xfId="18155" xr:uid="{00000000-0005-0000-0000-0000C4190000}"/>
    <cellStyle name="20% - Accent4 6 9" xfId="14172" xr:uid="{00000000-0005-0000-0000-0000C5190000}"/>
    <cellStyle name="20% - Accent4 6_Volatility" xfId="2933" xr:uid="{00000000-0005-0000-0000-0000C6190000}"/>
    <cellStyle name="20% - Accent4 7" xfId="2934" xr:uid="{00000000-0005-0000-0000-0000C7190000}"/>
    <cellStyle name="20% - Accent4 7 10" xfId="18156" xr:uid="{00000000-0005-0000-0000-0000C8190000}"/>
    <cellStyle name="20% - Accent4 7 2" xfId="2935" xr:uid="{00000000-0005-0000-0000-0000C9190000}"/>
    <cellStyle name="20% - Accent4 7 2 2" xfId="2936" xr:uid="{00000000-0005-0000-0000-0000CA190000}"/>
    <cellStyle name="20% - Accent4 7 2 2 2" xfId="2937" xr:uid="{00000000-0005-0000-0000-0000CB190000}"/>
    <cellStyle name="20% - Accent4 7 2 2 2 2" xfId="14208" xr:uid="{00000000-0005-0000-0000-0000CC190000}"/>
    <cellStyle name="20% - Accent4 7 2 2 2 3" xfId="18159" xr:uid="{00000000-0005-0000-0000-0000CD190000}"/>
    <cellStyle name="20% - Accent4 7 2 2 3" xfId="2938" xr:uid="{00000000-0005-0000-0000-0000CE190000}"/>
    <cellStyle name="20% - Accent4 7 2 2 3 2" xfId="14209" xr:uid="{00000000-0005-0000-0000-0000CF190000}"/>
    <cellStyle name="20% - Accent4 7 2 2 3 3" xfId="18160" xr:uid="{00000000-0005-0000-0000-0000D0190000}"/>
    <cellStyle name="20% - Accent4 7 2 2 4" xfId="14207" xr:uid="{00000000-0005-0000-0000-0000D1190000}"/>
    <cellStyle name="20% - Accent4 7 2 2 5" xfId="18158" xr:uid="{00000000-0005-0000-0000-0000D2190000}"/>
    <cellStyle name="20% - Accent4 7 2 3" xfId="2939" xr:uid="{00000000-0005-0000-0000-0000D3190000}"/>
    <cellStyle name="20% - Accent4 7 2 3 2" xfId="2940" xr:uid="{00000000-0005-0000-0000-0000D4190000}"/>
    <cellStyle name="20% - Accent4 7 2 3 2 2" xfId="14211" xr:uid="{00000000-0005-0000-0000-0000D5190000}"/>
    <cellStyle name="20% - Accent4 7 2 3 2 3" xfId="18162" xr:uid="{00000000-0005-0000-0000-0000D6190000}"/>
    <cellStyle name="20% - Accent4 7 2 3 3" xfId="2941" xr:uid="{00000000-0005-0000-0000-0000D7190000}"/>
    <cellStyle name="20% - Accent4 7 2 3 3 2" xfId="14212" xr:uid="{00000000-0005-0000-0000-0000D8190000}"/>
    <cellStyle name="20% - Accent4 7 2 3 3 3" xfId="18163" xr:uid="{00000000-0005-0000-0000-0000D9190000}"/>
    <cellStyle name="20% - Accent4 7 2 3 4" xfId="14210" xr:uid="{00000000-0005-0000-0000-0000DA190000}"/>
    <cellStyle name="20% - Accent4 7 2 3 5" xfId="18161" xr:uid="{00000000-0005-0000-0000-0000DB190000}"/>
    <cellStyle name="20% - Accent4 7 2 4" xfId="2942" xr:uid="{00000000-0005-0000-0000-0000DC190000}"/>
    <cellStyle name="20% - Accent4 7 2 4 2" xfId="2943" xr:uid="{00000000-0005-0000-0000-0000DD190000}"/>
    <cellStyle name="20% - Accent4 7 2 4 2 2" xfId="14214" xr:uid="{00000000-0005-0000-0000-0000DE190000}"/>
    <cellStyle name="20% - Accent4 7 2 4 2 3" xfId="18165" xr:uid="{00000000-0005-0000-0000-0000DF190000}"/>
    <cellStyle name="20% - Accent4 7 2 4 3" xfId="2944" xr:uid="{00000000-0005-0000-0000-0000E0190000}"/>
    <cellStyle name="20% - Accent4 7 2 4 3 2" xfId="14215" xr:uid="{00000000-0005-0000-0000-0000E1190000}"/>
    <cellStyle name="20% - Accent4 7 2 4 3 3" xfId="18166" xr:uid="{00000000-0005-0000-0000-0000E2190000}"/>
    <cellStyle name="20% - Accent4 7 2 4 4" xfId="14213" xr:uid="{00000000-0005-0000-0000-0000E3190000}"/>
    <cellStyle name="20% - Accent4 7 2 4 5" xfId="18164" xr:uid="{00000000-0005-0000-0000-0000E4190000}"/>
    <cellStyle name="20% - Accent4 7 2 5" xfId="2945" xr:uid="{00000000-0005-0000-0000-0000E5190000}"/>
    <cellStyle name="20% - Accent4 7 2 5 2" xfId="14216" xr:uid="{00000000-0005-0000-0000-0000E6190000}"/>
    <cellStyle name="20% - Accent4 7 2 5 3" xfId="18167" xr:uid="{00000000-0005-0000-0000-0000E7190000}"/>
    <cellStyle name="20% - Accent4 7 2 6" xfId="2946" xr:uid="{00000000-0005-0000-0000-0000E8190000}"/>
    <cellStyle name="20% - Accent4 7 2 6 2" xfId="14217" xr:uid="{00000000-0005-0000-0000-0000E9190000}"/>
    <cellStyle name="20% - Accent4 7 2 6 3" xfId="18168" xr:uid="{00000000-0005-0000-0000-0000EA190000}"/>
    <cellStyle name="20% - Accent4 7 2 7" xfId="14206" xr:uid="{00000000-0005-0000-0000-0000EB190000}"/>
    <cellStyle name="20% - Accent4 7 2 8" xfId="18157" xr:uid="{00000000-0005-0000-0000-0000EC190000}"/>
    <cellStyle name="20% - Accent4 7 2_Volatility" xfId="2947" xr:uid="{00000000-0005-0000-0000-0000ED190000}"/>
    <cellStyle name="20% - Accent4 7 3" xfId="2948" xr:uid="{00000000-0005-0000-0000-0000EE190000}"/>
    <cellStyle name="20% - Accent4 7 3 2" xfId="2949" xr:uid="{00000000-0005-0000-0000-0000EF190000}"/>
    <cellStyle name="20% - Accent4 7 3 2 2" xfId="2950" xr:uid="{00000000-0005-0000-0000-0000F0190000}"/>
    <cellStyle name="20% - Accent4 7 3 2 2 2" xfId="14220" xr:uid="{00000000-0005-0000-0000-0000F1190000}"/>
    <cellStyle name="20% - Accent4 7 3 2 2 3" xfId="18171" xr:uid="{00000000-0005-0000-0000-0000F2190000}"/>
    <cellStyle name="20% - Accent4 7 3 2 3" xfId="2951" xr:uid="{00000000-0005-0000-0000-0000F3190000}"/>
    <cellStyle name="20% - Accent4 7 3 2 3 2" xfId="14221" xr:uid="{00000000-0005-0000-0000-0000F4190000}"/>
    <cellStyle name="20% - Accent4 7 3 2 3 3" xfId="18172" xr:uid="{00000000-0005-0000-0000-0000F5190000}"/>
    <cellStyle name="20% - Accent4 7 3 2 4" xfId="14219" xr:uid="{00000000-0005-0000-0000-0000F6190000}"/>
    <cellStyle name="20% - Accent4 7 3 2 5" xfId="18170" xr:uid="{00000000-0005-0000-0000-0000F7190000}"/>
    <cellStyle name="20% - Accent4 7 3 3" xfId="2952" xr:uid="{00000000-0005-0000-0000-0000F8190000}"/>
    <cellStyle name="20% - Accent4 7 3 3 2" xfId="2953" xr:uid="{00000000-0005-0000-0000-0000F9190000}"/>
    <cellStyle name="20% - Accent4 7 3 3 2 2" xfId="14223" xr:uid="{00000000-0005-0000-0000-0000FA190000}"/>
    <cellStyle name="20% - Accent4 7 3 3 2 3" xfId="18174" xr:uid="{00000000-0005-0000-0000-0000FB190000}"/>
    <cellStyle name="20% - Accent4 7 3 3 3" xfId="2954" xr:uid="{00000000-0005-0000-0000-0000FC190000}"/>
    <cellStyle name="20% - Accent4 7 3 3 3 2" xfId="14224" xr:uid="{00000000-0005-0000-0000-0000FD190000}"/>
    <cellStyle name="20% - Accent4 7 3 3 3 3" xfId="18175" xr:uid="{00000000-0005-0000-0000-0000FE190000}"/>
    <cellStyle name="20% - Accent4 7 3 3 4" xfId="14222" xr:uid="{00000000-0005-0000-0000-0000FF190000}"/>
    <cellStyle name="20% - Accent4 7 3 3 5" xfId="18173" xr:uid="{00000000-0005-0000-0000-0000001A0000}"/>
    <cellStyle name="20% - Accent4 7 3 4" xfId="2955" xr:uid="{00000000-0005-0000-0000-0000011A0000}"/>
    <cellStyle name="20% - Accent4 7 3 4 2" xfId="14225" xr:uid="{00000000-0005-0000-0000-0000021A0000}"/>
    <cellStyle name="20% - Accent4 7 3 4 3" xfId="18176" xr:uid="{00000000-0005-0000-0000-0000031A0000}"/>
    <cellStyle name="20% - Accent4 7 3 5" xfId="2956" xr:uid="{00000000-0005-0000-0000-0000041A0000}"/>
    <cellStyle name="20% - Accent4 7 3 5 2" xfId="14226" xr:uid="{00000000-0005-0000-0000-0000051A0000}"/>
    <cellStyle name="20% - Accent4 7 3 5 3" xfId="18177" xr:uid="{00000000-0005-0000-0000-0000061A0000}"/>
    <cellStyle name="20% - Accent4 7 3 6" xfId="14218" xr:uid="{00000000-0005-0000-0000-0000071A0000}"/>
    <cellStyle name="20% - Accent4 7 3 7" xfId="18169" xr:uid="{00000000-0005-0000-0000-0000081A0000}"/>
    <cellStyle name="20% - Accent4 7 3_Volatility" xfId="2957" xr:uid="{00000000-0005-0000-0000-0000091A0000}"/>
    <cellStyle name="20% - Accent4 7 4" xfId="2958" xr:uid="{00000000-0005-0000-0000-00000A1A0000}"/>
    <cellStyle name="20% - Accent4 7 4 2" xfId="2959" xr:uid="{00000000-0005-0000-0000-00000B1A0000}"/>
    <cellStyle name="20% - Accent4 7 4 2 2" xfId="14228" xr:uid="{00000000-0005-0000-0000-00000C1A0000}"/>
    <cellStyle name="20% - Accent4 7 4 2 3" xfId="18179" xr:uid="{00000000-0005-0000-0000-00000D1A0000}"/>
    <cellStyle name="20% - Accent4 7 4 3" xfId="2960" xr:uid="{00000000-0005-0000-0000-00000E1A0000}"/>
    <cellStyle name="20% - Accent4 7 4 3 2" xfId="14229" xr:uid="{00000000-0005-0000-0000-00000F1A0000}"/>
    <cellStyle name="20% - Accent4 7 4 3 3" xfId="18180" xr:uid="{00000000-0005-0000-0000-0000101A0000}"/>
    <cellStyle name="20% - Accent4 7 4 4" xfId="14227" xr:uid="{00000000-0005-0000-0000-0000111A0000}"/>
    <cellStyle name="20% - Accent4 7 4 5" xfId="18178" xr:uid="{00000000-0005-0000-0000-0000121A0000}"/>
    <cellStyle name="20% - Accent4 7 5" xfId="2961" xr:uid="{00000000-0005-0000-0000-0000131A0000}"/>
    <cellStyle name="20% - Accent4 7 5 2" xfId="2962" xr:uid="{00000000-0005-0000-0000-0000141A0000}"/>
    <cellStyle name="20% - Accent4 7 5 2 2" xfId="14231" xr:uid="{00000000-0005-0000-0000-0000151A0000}"/>
    <cellStyle name="20% - Accent4 7 5 2 3" xfId="18182" xr:uid="{00000000-0005-0000-0000-0000161A0000}"/>
    <cellStyle name="20% - Accent4 7 5 3" xfId="2963" xr:uid="{00000000-0005-0000-0000-0000171A0000}"/>
    <cellStyle name="20% - Accent4 7 5 3 2" xfId="14232" xr:uid="{00000000-0005-0000-0000-0000181A0000}"/>
    <cellStyle name="20% - Accent4 7 5 3 3" xfId="18183" xr:uid="{00000000-0005-0000-0000-0000191A0000}"/>
    <cellStyle name="20% - Accent4 7 5 4" xfId="14230" xr:uid="{00000000-0005-0000-0000-00001A1A0000}"/>
    <cellStyle name="20% - Accent4 7 5 5" xfId="18181" xr:uid="{00000000-0005-0000-0000-00001B1A0000}"/>
    <cellStyle name="20% - Accent4 7 6" xfId="2964" xr:uid="{00000000-0005-0000-0000-00001C1A0000}"/>
    <cellStyle name="20% - Accent4 7 6 2" xfId="2965" xr:uid="{00000000-0005-0000-0000-00001D1A0000}"/>
    <cellStyle name="20% - Accent4 7 6 2 2" xfId="14234" xr:uid="{00000000-0005-0000-0000-00001E1A0000}"/>
    <cellStyle name="20% - Accent4 7 6 2 3" xfId="18185" xr:uid="{00000000-0005-0000-0000-00001F1A0000}"/>
    <cellStyle name="20% - Accent4 7 6 3" xfId="2966" xr:uid="{00000000-0005-0000-0000-0000201A0000}"/>
    <cellStyle name="20% - Accent4 7 6 3 2" xfId="14235" xr:uid="{00000000-0005-0000-0000-0000211A0000}"/>
    <cellStyle name="20% - Accent4 7 6 3 3" xfId="18186" xr:uid="{00000000-0005-0000-0000-0000221A0000}"/>
    <cellStyle name="20% - Accent4 7 6 4" xfId="14233" xr:uid="{00000000-0005-0000-0000-0000231A0000}"/>
    <cellStyle name="20% - Accent4 7 6 5" xfId="18184" xr:uid="{00000000-0005-0000-0000-0000241A0000}"/>
    <cellStyle name="20% - Accent4 7 7" xfId="2967" xr:uid="{00000000-0005-0000-0000-0000251A0000}"/>
    <cellStyle name="20% - Accent4 7 7 2" xfId="14236" xr:uid="{00000000-0005-0000-0000-0000261A0000}"/>
    <cellStyle name="20% - Accent4 7 7 3" xfId="18187" xr:uid="{00000000-0005-0000-0000-0000271A0000}"/>
    <cellStyle name="20% - Accent4 7 8" xfId="2968" xr:uid="{00000000-0005-0000-0000-0000281A0000}"/>
    <cellStyle name="20% - Accent4 7 8 2" xfId="14237" xr:uid="{00000000-0005-0000-0000-0000291A0000}"/>
    <cellStyle name="20% - Accent4 7 8 3" xfId="18188" xr:uid="{00000000-0005-0000-0000-00002A1A0000}"/>
    <cellStyle name="20% - Accent4 7 9" xfId="14205" xr:uid="{00000000-0005-0000-0000-00002B1A0000}"/>
    <cellStyle name="20% - Accent4 7_Volatility" xfId="2969" xr:uid="{00000000-0005-0000-0000-00002C1A0000}"/>
    <cellStyle name="20% - Accent4 8" xfId="2970" xr:uid="{00000000-0005-0000-0000-00002D1A0000}"/>
    <cellStyle name="20% - Accent4 8 10" xfId="18189" xr:uid="{00000000-0005-0000-0000-00002E1A0000}"/>
    <cellStyle name="20% - Accent4 8 2" xfId="2971" xr:uid="{00000000-0005-0000-0000-00002F1A0000}"/>
    <cellStyle name="20% - Accent4 8 2 2" xfId="2972" xr:uid="{00000000-0005-0000-0000-0000301A0000}"/>
    <cellStyle name="20% - Accent4 8 2 2 2" xfId="2973" xr:uid="{00000000-0005-0000-0000-0000311A0000}"/>
    <cellStyle name="20% - Accent4 8 2 2 2 2" xfId="14241" xr:uid="{00000000-0005-0000-0000-0000321A0000}"/>
    <cellStyle name="20% - Accent4 8 2 2 2 3" xfId="18192" xr:uid="{00000000-0005-0000-0000-0000331A0000}"/>
    <cellStyle name="20% - Accent4 8 2 2 3" xfId="2974" xr:uid="{00000000-0005-0000-0000-0000341A0000}"/>
    <cellStyle name="20% - Accent4 8 2 2 3 2" xfId="14242" xr:uid="{00000000-0005-0000-0000-0000351A0000}"/>
    <cellStyle name="20% - Accent4 8 2 2 3 3" xfId="18193" xr:uid="{00000000-0005-0000-0000-0000361A0000}"/>
    <cellStyle name="20% - Accent4 8 2 2 4" xfId="14240" xr:uid="{00000000-0005-0000-0000-0000371A0000}"/>
    <cellStyle name="20% - Accent4 8 2 2 5" xfId="18191" xr:uid="{00000000-0005-0000-0000-0000381A0000}"/>
    <cellStyle name="20% - Accent4 8 2 3" xfId="2975" xr:uid="{00000000-0005-0000-0000-0000391A0000}"/>
    <cellStyle name="20% - Accent4 8 2 3 2" xfId="2976" xr:uid="{00000000-0005-0000-0000-00003A1A0000}"/>
    <cellStyle name="20% - Accent4 8 2 3 2 2" xfId="14244" xr:uid="{00000000-0005-0000-0000-00003B1A0000}"/>
    <cellStyle name="20% - Accent4 8 2 3 2 3" xfId="18195" xr:uid="{00000000-0005-0000-0000-00003C1A0000}"/>
    <cellStyle name="20% - Accent4 8 2 3 3" xfId="2977" xr:uid="{00000000-0005-0000-0000-00003D1A0000}"/>
    <cellStyle name="20% - Accent4 8 2 3 3 2" xfId="14245" xr:uid="{00000000-0005-0000-0000-00003E1A0000}"/>
    <cellStyle name="20% - Accent4 8 2 3 3 3" xfId="18196" xr:uid="{00000000-0005-0000-0000-00003F1A0000}"/>
    <cellStyle name="20% - Accent4 8 2 3 4" xfId="14243" xr:uid="{00000000-0005-0000-0000-0000401A0000}"/>
    <cellStyle name="20% - Accent4 8 2 3 5" xfId="18194" xr:uid="{00000000-0005-0000-0000-0000411A0000}"/>
    <cellStyle name="20% - Accent4 8 2 4" xfId="2978" xr:uid="{00000000-0005-0000-0000-0000421A0000}"/>
    <cellStyle name="20% - Accent4 8 2 4 2" xfId="2979" xr:uid="{00000000-0005-0000-0000-0000431A0000}"/>
    <cellStyle name="20% - Accent4 8 2 4 2 2" xfId="14247" xr:uid="{00000000-0005-0000-0000-0000441A0000}"/>
    <cellStyle name="20% - Accent4 8 2 4 2 3" xfId="18198" xr:uid="{00000000-0005-0000-0000-0000451A0000}"/>
    <cellStyle name="20% - Accent4 8 2 4 3" xfId="2980" xr:uid="{00000000-0005-0000-0000-0000461A0000}"/>
    <cellStyle name="20% - Accent4 8 2 4 3 2" xfId="14248" xr:uid="{00000000-0005-0000-0000-0000471A0000}"/>
    <cellStyle name="20% - Accent4 8 2 4 3 3" xfId="18199" xr:uid="{00000000-0005-0000-0000-0000481A0000}"/>
    <cellStyle name="20% - Accent4 8 2 4 4" xfId="14246" xr:uid="{00000000-0005-0000-0000-0000491A0000}"/>
    <cellStyle name="20% - Accent4 8 2 4 5" xfId="18197" xr:uid="{00000000-0005-0000-0000-00004A1A0000}"/>
    <cellStyle name="20% - Accent4 8 2 5" xfId="2981" xr:uid="{00000000-0005-0000-0000-00004B1A0000}"/>
    <cellStyle name="20% - Accent4 8 2 5 2" xfId="14249" xr:uid="{00000000-0005-0000-0000-00004C1A0000}"/>
    <cellStyle name="20% - Accent4 8 2 5 3" xfId="18200" xr:uid="{00000000-0005-0000-0000-00004D1A0000}"/>
    <cellStyle name="20% - Accent4 8 2 6" xfId="2982" xr:uid="{00000000-0005-0000-0000-00004E1A0000}"/>
    <cellStyle name="20% - Accent4 8 2 6 2" xfId="14250" xr:uid="{00000000-0005-0000-0000-00004F1A0000}"/>
    <cellStyle name="20% - Accent4 8 2 6 3" xfId="18201" xr:uid="{00000000-0005-0000-0000-0000501A0000}"/>
    <cellStyle name="20% - Accent4 8 2 7" xfId="14239" xr:uid="{00000000-0005-0000-0000-0000511A0000}"/>
    <cellStyle name="20% - Accent4 8 2 8" xfId="18190" xr:uid="{00000000-0005-0000-0000-0000521A0000}"/>
    <cellStyle name="20% - Accent4 8 2_Volatility" xfId="2983" xr:uid="{00000000-0005-0000-0000-0000531A0000}"/>
    <cellStyle name="20% - Accent4 8 3" xfId="2984" xr:uid="{00000000-0005-0000-0000-0000541A0000}"/>
    <cellStyle name="20% - Accent4 8 3 2" xfId="2985" xr:uid="{00000000-0005-0000-0000-0000551A0000}"/>
    <cellStyle name="20% - Accent4 8 3 2 2" xfId="2986" xr:uid="{00000000-0005-0000-0000-0000561A0000}"/>
    <cellStyle name="20% - Accent4 8 3 2 2 2" xfId="14253" xr:uid="{00000000-0005-0000-0000-0000571A0000}"/>
    <cellStyle name="20% - Accent4 8 3 2 2 3" xfId="18204" xr:uid="{00000000-0005-0000-0000-0000581A0000}"/>
    <cellStyle name="20% - Accent4 8 3 2 3" xfId="2987" xr:uid="{00000000-0005-0000-0000-0000591A0000}"/>
    <cellStyle name="20% - Accent4 8 3 2 3 2" xfId="14254" xr:uid="{00000000-0005-0000-0000-00005A1A0000}"/>
    <cellStyle name="20% - Accent4 8 3 2 3 3" xfId="18205" xr:uid="{00000000-0005-0000-0000-00005B1A0000}"/>
    <cellStyle name="20% - Accent4 8 3 2 4" xfId="14252" xr:uid="{00000000-0005-0000-0000-00005C1A0000}"/>
    <cellStyle name="20% - Accent4 8 3 2 5" xfId="18203" xr:uid="{00000000-0005-0000-0000-00005D1A0000}"/>
    <cellStyle name="20% - Accent4 8 3 3" xfId="2988" xr:uid="{00000000-0005-0000-0000-00005E1A0000}"/>
    <cellStyle name="20% - Accent4 8 3 3 2" xfId="2989" xr:uid="{00000000-0005-0000-0000-00005F1A0000}"/>
    <cellStyle name="20% - Accent4 8 3 3 2 2" xfId="14256" xr:uid="{00000000-0005-0000-0000-0000601A0000}"/>
    <cellStyle name="20% - Accent4 8 3 3 2 3" xfId="18207" xr:uid="{00000000-0005-0000-0000-0000611A0000}"/>
    <cellStyle name="20% - Accent4 8 3 3 3" xfId="2990" xr:uid="{00000000-0005-0000-0000-0000621A0000}"/>
    <cellStyle name="20% - Accent4 8 3 3 3 2" xfId="14257" xr:uid="{00000000-0005-0000-0000-0000631A0000}"/>
    <cellStyle name="20% - Accent4 8 3 3 3 3" xfId="18208" xr:uid="{00000000-0005-0000-0000-0000641A0000}"/>
    <cellStyle name="20% - Accent4 8 3 3 4" xfId="14255" xr:uid="{00000000-0005-0000-0000-0000651A0000}"/>
    <cellStyle name="20% - Accent4 8 3 3 5" xfId="18206" xr:uid="{00000000-0005-0000-0000-0000661A0000}"/>
    <cellStyle name="20% - Accent4 8 3 4" xfId="2991" xr:uid="{00000000-0005-0000-0000-0000671A0000}"/>
    <cellStyle name="20% - Accent4 8 3 4 2" xfId="14258" xr:uid="{00000000-0005-0000-0000-0000681A0000}"/>
    <cellStyle name="20% - Accent4 8 3 4 3" xfId="18209" xr:uid="{00000000-0005-0000-0000-0000691A0000}"/>
    <cellStyle name="20% - Accent4 8 3 5" xfId="2992" xr:uid="{00000000-0005-0000-0000-00006A1A0000}"/>
    <cellStyle name="20% - Accent4 8 3 5 2" xfId="14259" xr:uid="{00000000-0005-0000-0000-00006B1A0000}"/>
    <cellStyle name="20% - Accent4 8 3 5 3" xfId="18210" xr:uid="{00000000-0005-0000-0000-00006C1A0000}"/>
    <cellStyle name="20% - Accent4 8 3 6" xfId="14251" xr:uid="{00000000-0005-0000-0000-00006D1A0000}"/>
    <cellStyle name="20% - Accent4 8 3 7" xfId="18202" xr:uid="{00000000-0005-0000-0000-00006E1A0000}"/>
    <cellStyle name="20% - Accent4 8 3_Volatility" xfId="2993" xr:uid="{00000000-0005-0000-0000-00006F1A0000}"/>
    <cellStyle name="20% - Accent4 8 4" xfId="2994" xr:uid="{00000000-0005-0000-0000-0000701A0000}"/>
    <cellStyle name="20% - Accent4 8 4 2" xfId="2995" xr:uid="{00000000-0005-0000-0000-0000711A0000}"/>
    <cellStyle name="20% - Accent4 8 4 2 2" xfId="14261" xr:uid="{00000000-0005-0000-0000-0000721A0000}"/>
    <cellStyle name="20% - Accent4 8 4 2 3" xfId="18212" xr:uid="{00000000-0005-0000-0000-0000731A0000}"/>
    <cellStyle name="20% - Accent4 8 4 3" xfId="2996" xr:uid="{00000000-0005-0000-0000-0000741A0000}"/>
    <cellStyle name="20% - Accent4 8 4 3 2" xfId="14262" xr:uid="{00000000-0005-0000-0000-0000751A0000}"/>
    <cellStyle name="20% - Accent4 8 4 3 3" xfId="18213" xr:uid="{00000000-0005-0000-0000-0000761A0000}"/>
    <cellStyle name="20% - Accent4 8 4 4" xfId="14260" xr:uid="{00000000-0005-0000-0000-0000771A0000}"/>
    <cellStyle name="20% - Accent4 8 4 5" xfId="18211" xr:uid="{00000000-0005-0000-0000-0000781A0000}"/>
    <cellStyle name="20% - Accent4 8 5" xfId="2997" xr:uid="{00000000-0005-0000-0000-0000791A0000}"/>
    <cellStyle name="20% - Accent4 8 5 2" xfId="2998" xr:uid="{00000000-0005-0000-0000-00007A1A0000}"/>
    <cellStyle name="20% - Accent4 8 5 2 2" xfId="14264" xr:uid="{00000000-0005-0000-0000-00007B1A0000}"/>
    <cellStyle name="20% - Accent4 8 5 2 3" xfId="18215" xr:uid="{00000000-0005-0000-0000-00007C1A0000}"/>
    <cellStyle name="20% - Accent4 8 5 3" xfId="2999" xr:uid="{00000000-0005-0000-0000-00007D1A0000}"/>
    <cellStyle name="20% - Accent4 8 5 3 2" xfId="14265" xr:uid="{00000000-0005-0000-0000-00007E1A0000}"/>
    <cellStyle name="20% - Accent4 8 5 3 3" xfId="18216" xr:uid="{00000000-0005-0000-0000-00007F1A0000}"/>
    <cellStyle name="20% - Accent4 8 5 4" xfId="14263" xr:uid="{00000000-0005-0000-0000-0000801A0000}"/>
    <cellStyle name="20% - Accent4 8 5 5" xfId="18214" xr:uid="{00000000-0005-0000-0000-0000811A0000}"/>
    <cellStyle name="20% - Accent4 8 6" xfId="3000" xr:uid="{00000000-0005-0000-0000-0000821A0000}"/>
    <cellStyle name="20% - Accent4 8 6 2" xfId="3001" xr:uid="{00000000-0005-0000-0000-0000831A0000}"/>
    <cellStyle name="20% - Accent4 8 6 2 2" xfId="14267" xr:uid="{00000000-0005-0000-0000-0000841A0000}"/>
    <cellStyle name="20% - Accent4 8 6 2 3" xfId="18218" xr:uid="{00000000-0005-0000-0000-0000851A0000}"/>
    <cellStyle name="20% - Accent4 8 6 3" xfId="3002" xr:uid="{00000000-0005-0000-0000-0000861A0000}"/>
    <cellStyle name="20% - Accent4 8 6 3 2" xfId="14268" xr:uid="{00000000-0005-0000-0000-0000871A0000}"/>
    <cellStyle name="20% - Accent4 8 6 3 3" xfId="18219" xr:uid="{00000000-0005-0000-0000-0000881A0000}"/>
    <cellStyle name="20% - Accent4 8 6 4" xfId="14266" xr:uid="{00000000-0005-0000-0000-0000891A0000}"/>
    <cellStyle name="20% - Accent4 8 6 5" xfId="18217" xr:uid="{00000000-0005-0000-0000-00008A1A0000}"/>
    <cellStyle name="20% - Accent4 8 7" xfId="3003" xr:uid="{00000000-0005-0000-0000-00008B1A0000}"/>
    <cellStyle name="20% - Accent4 8 7 2" xfId="14269" xr:uid="{00000000-0005-0000-0000-00008C1A0000}"/>
    <cellStyle name="20% - Accent4 8 7 3" xfId="18220" xr:uid="{00000000-0005-0000-0000-00008D1A0000}"/>
    <cellStyle name="20% - Accent4 8 8" xfId="3004" xr:uid="{00000000-0005-0000-0000-00008E1A0000}"/>
    <cellStyle name="20% - Accent4 8 8 2" xfId="14270" xr:uid="{00000000-0005-0000-0000-00008F1A0000}"/>
    <cellStyle name="20% - Accent4 8 8 3" xfId="18221" xr:uid="{00000000-0005-0000-0000-0000901A0000}"/>
    <cellStyle name="20% - Accent4 8 9" xfId="14238" xr:uid="{00000000-0005-0000-0000-0000911A0000}"/>
    <cellStyle name="20% - Accent4 8_Volatility" xfId="3005" xr:uid="{00000000-0005-0000-0000-0000921A0000}"/>
    <cellStyle name="20% - Accent4 9" xfId="3006" xr:uid="{00000000-0005-0000-0000-0000931A0000}"/>
    <cellStyle name="20% - Accent4 9 10" xfId="18222" xr:uid="{00000000-0005-0000-0000-0000941A0000}"/>
    <cellStyle name="20% - Accent4 9 2" xfId="3007" xr:uid="{00000000-0005-0000-0000-0000951A0000}"/>
    <cellStyle name="20% - Accent4 9 2 2" xfId="3008" xr:uid="{00000000-0005-0000-0000-0000961A0000}"/>
    <cellStyle name="20% - Accent4 9 2 2 2" xfId="3009" xr:uid="{00000000-0005-0000-0000-0000971A0000}"/>
    <cellStyle name="20% - Accent4 9 2 2 2 2" xfId="14274" xr:uid="{00000000-0005-0000-0000-0000981A0000}"/>
    <cellStyle name="20% - Accent4 9 2 2 2 3" xfId="18225" xr:uid="{00000000-0005-0000-0000-0000991A0000}"/>
    <cellStyle name="20% - Accent4 9 2 2 3" xfId="3010" xr:uid="{00000000-0005-0000-0000-00009A1A0000}"/>
    <cellStyle name="20% - Accent4 9 2 2 3 2" xfId="14275" xr:uid="{00000000-0005-0000-0000-00009B1A0000}"/>
    <cellStyle name="20% - Accent4 9 2 2 3 3" xfId="18226" xr:uid="{00000000-0005-0000-0000-00009C1A0000}"/>
    <cellStyle name="20% - Accent4 9 2 2 4" xfId="14273" xr:uid="{00000000-0005-0000-0000-00009D1A0000}"/>
    <cellStyle name="20% - Accent4 9 2 2 5" xfId="18224" xr:uid="{00000000-0005-0000-0000-00009E1A0000}"/>
    <cellStyle name="20% - Accent4 9 2 3" xfId="3011" xr:uid="{00000000-0005-0000-0000-00009F1A0000}"/>
    <cellStyle name="20% - Accent4 9 2 3 2" xfId="3012" xr:uid="{00000000-0005-0000-0000-0000A01A0000}"/>
    <cellStyle name="20% - Accent4 9 2 3 2 2" xfId="14277" xr:uid="{00000000-0005-0000-0000-0000A11A0000}"/>
    <cellStyle name="20% - Accent4 9 2 3 2 3" xfId="18228" xr:uid="{00000000-0005-0000-0000-0000A21A0000}"/>
    <cellStyle name="20% - Accent4 9 2 3 3" xfId="3013" xr:uid="{00000000-0005-0000-0000-0000A31A0000}"/>
    <cellStyle name="20% - Accent4 9 2 3 3 2" xfId="14278" xr:uid="{00000000-0005-0000-0000-0000A41A0000}"/>
    <cellStyle name="20% - Accent4 9 2 3 3 3" xfId="18229" xr:uid="{00000000-0005-0000-0000-0000A51A0000}"/>
    <cellStyle name="20% - Accent4 9 2 3 4" xfId="14276" xr:uid="{00000000-0005-0000-0000-0000A61A0000}"/>
    <cellStyle name="20% - Accent4 9 2 3 5" xfId="18227" xr:uid="{00000000-0005-0000-0000-0000A71A0000}"/>
    <cellStyle name="20% - Accent4 9 2 4" xfId="3014" xr:uid="{00000000-0005-0000-0000-0000A81A0000}"/>
    <cellStyle name="20% - Accent4 9 2 4 2" xfId="3015" xr:uid="{00000000-0005-0000-0000-0000A91A0000}"/>
    <cellStyle name="20% - Accent4 9 2 4 2 2" xfId="14280" xr:uid="{00000000-0005-0000-0000-0000AA1A0000}"/>
    <cellStyle name="20% - Accent4 9 2 4 2 3" xfId="18231" xr:uid="{00000000-0005-0000-0000-0000AB1A0000}"/>
    <cellStyle name="20% - Accent4 9 2 4 3" xfId="3016" xr:uid="{00000000-0005-0000-0000-0000AC1A0000}"/>
    <cellStyle name="20% - Accent4 9 2 4 3 2" xfId="14281" xr:uid="{00000000-0005-0000-0000-0000AD1A0000}"/>
    <cellStyle name="20% - Accent4 9 2 4 3 3" xfId="18232" xr:uid="{00000000-0005-0000-0000-0000AE1A0000}"/>
    <cellStyle name="20% - Accent4 9 2 4 4" xfId="14279" xr:uid="{00000000-0005-0000-0000-0000AF1A0000}"/>
    <cellStyle name="20% - Accent4 9 2 4 5" xfId="18230" xr:uid="{00000000-0005-0000-0000-0000B01A0000}"/>
    <cellStyle name="20% - Accent4 9 2 5" xfId="3017" xr:uid="{00000000-0005-0000-0000-0000B11A0000}"/>
    <cellStyle name="20% - Accent4 9 2 5 2" xfId="14282" xr:uid="{00000000-0005-0000-0000-0000B21A0000}"/>
    <cellStyle name="20% - Accent4 9 2 5 3" xfId="18233" xr:uid="{00000000-0005-0000-0000-0000B31A0000}"/>
    <cellStyle name="20% - Accent4 9 2 6" xfId="3018" xr:uid="{00000000-0005-0000-0000-0000B41A0000}"/>
    <cellStyle name="20% - Accent4 9 2 6 2" xfId="14283" xr:uid="{00000000-0005-0000-0000-0000B51A0000}"/>
    <cellStyle name="20% - Accent4 9 2 6 3" xfId="18234" xr:uid="{00000000-0005-0000-0000-0000B61A0000}"/>
    <cellStyle name="20% - Accent4 9 2 7" xfId="14272" xr:uid="{00000000-0005-0000-0000-0000B71A0000}"/>
    <cellStyle name="20% - Accent4 9 2 8" xfId="18223" xr:uid="{00000000-0005-0000-0000-0000B81A0000}"/>
    <cellStyle name="20% - Accent4 9 2_Volatility" xfId="3019" xr:uid="{00000000-0005-0000-0000-0000B91A0000}"/>
    <cellStyle name="20% - Accent4 9 3" xfId="3020" xr:uid="{00000000-0005-0000-0000-0000BA1A0000}"/>
    <cellStyle name="20% - Accent4 9 3 2" xfId="3021" xr:uid="{00000000-0005-0000-0000-0000BB1A0000}"/>
    <cellStyle name="20% - Accent4 9 3 2 2" xfId="3022" xr:uid="{00000000-0005-0000-0000-0000BC1A0000}"/>
    <cellStyle name="20% - Accent4 9 3 2 2 2" xfId="14286" xr:uid="{00000000-0005-0000-0000-0000BD1A0000}"/>
    <cellStyle name="20% - Accent4 9 3 2 2 3" xfId="18237" xr:uid="{00000000-0005-0000-0000-0000BE1A0000}"/>
    <cellStyle name="20% - Accent4 9 3 2 3" xfId="3023" xr:uid="{00000000-0005-0000-0000-0000BF1A0000}"/>
    <cellStyle name="20% - Accent4 9 3 2 3 2" xfId="14287" xr:uid="{00000000-0005-0000-0000-0000C01A0000}"/>
    <cellStyle name="20% - Accent4 9 3 2 3 3" xfId="18238" xr:uid="{00000000-0005-0000-0000-0000C11A0000}"/>
    <cellStyle name="20% - Accent4 9 3 2 4" xfId="14285" xr:uid="{00000000-0005-0000-0000-0000C21A0000}"/>
    <cellStyle name="20% - Accent4 9 3 2 5" xfId="18236" xr:uid="{00000000-0005-0000-0000-0000C31A0000}"/>
    <cellStyle name="20% - Accent4 9 3 3" xfId="3024" xr:uid="{00000000-0005-0000-0000-0000C41A0000}"/>
    <cellStyle name="20% - Accent4 9 3 3 2" xfId="3025" xr:uid="{00000000-0005-0000-0000-0000C51A0000}"/>
    <cellStyle name="20% - Accent4 9 3 3 2 2" xfId="14289" xr:uid="{00000000-0005-0000-0000-0000C61A0000}"/>
    <cellStyle name="20% - Accent4 9 3 3 2 3" xfId="18240" xr:uid="{00000000-0005-0000-0000-0000C71A0000}"/>
    <cellStyle name="20% - Accent4 9 3 3 3" xfId="3026" xr:uid="{00000000-0005-0000-0000-0000C81A0000}"/>
    <cellStyle name="20% - Accent4 9 3 3 3 2" xfId="14290" xr:uid="{00000000-0005-0000-0000-0000C91A0000}"/>
    <cellStyle name="20% - Accent4 9 3 3 3 3" xfId="18241" xr:uid="{00000000-0005-0000-0000-0000CA1A0000}"/>
    <cellStyle name="20% - Accent4 9 3 3 4" xfId="14288" xr:uid="{00000000-0005-0000-0000-0000CB1A0000}"/>
    <cellStyle name="20% - Accent4 9 3 3 5" xfId="18239" xr:uid="{00000000-0005-0000-0000-0000CC1A0000}"/>
    <cellStyle name="20% - Accent4 9 3 4" xfId="3027" xr:uid="{00000000-0005-0000-0000-0000CD1A0000}"/>
    <cellStyle name="20% - Accent4 9 3 4 2" xfId="14291" xr:uid="{00000000-0005-0000-0000-0000CE1A0000}"/>
    <cellStyle name="20% - Accent4 9 3 4 3" xfId="18242" xr:uid="{00000000-0005-0000-0000-0000CF1A0000}"/>
    <cellStyle name="20% - Accent4 9 3 5" xfId="3028" xr:uid="{00000000-0005-0000-0000-0000D01A0000}"/>
    <cellStyle name="20% - Accent4 9 3 5 2" xfId="14292" xr:uid="{00000000-0005-0000-0000-0000D11A0000}"/>
    <cellStyle name="20% - Accent4 9 3 5 3" xfId="18243" xr:uid="{00000000-0005-0000-0000-0000D21A0000}"/>
    <cellStyle name="20% - Accent4 9 3 6" xfId="14284" xr:uid="{00000000-0005-0000-0000-0000D31A0000}"/>
    <cellStyle name="20% - Accent4 9 3 7" xfId="18235" xr:uid="{00000000-0005-0000-0000-0000D41A0000}"/>
    <cellStyle name="20% - Accent4 9 3_Volatility" xfId="3029" xr:uid="{00000000-0005-0000-0000-0000D51A0000}"/>
    <cellStyle name="20% - Accent4 9 4" xfId="3030" xr:uid="{00000000-0005-0000-0000-0000D61A0000}"/>
    <cellStyle name="20% - Accent4 9 4 2" xfId="3031" xr:uid="{00000000-0005-0000-0000-0000D71A0000}"/>
    <cellStyle name="20% - Accent4 9 4 2 2" xfId="14294" xr:uid="{00000000-0005-0000-0000-0000D81A0000}"/>
    <cellStyle name="20% - Accent4 9 4 2 3" xfId="18245" xr:uid="{00000000-0005-0000-0000-0000D91A0000}"/>
    <cellStyle name="20% - Accent4 9 4 3" xfId="3032" xr:uid="{00000000-0005-0000-0000-0000DA1A0000}"/>
    <cellStyle name="20% - Accent4 9 4 3 2" xfId="14295" xr:uid="{00000000-0005-0000-0000-0000DB1A0000}"/>
    <cellStyle name="20% - Accent4 9 4 3 3" xfId="18246" xr:uid="{00000000-0005-0000-0000-0000DC1A0000}"/>
    <cellStyle name="20% - Accent4 9 4 4" xfId="14293" xr:uid="{00000000-0005-0000-0000-0000DD1A0000}"/>
    <cellStyle name="20% - Accent4 9 4 5" xfId="18244" xr:uid="{00000000-0005-0000-0000-0000DE1A0000}"/>
    <cellStyle name="20% - Accent4 9 5" xfId="3033" xr:uid="{00000000-0005-0000-0000-0000DF1A0000}"/>
    <cellStyle name="20% - Accent4 9 5 2" xfId="3034" xr:uid="{00000000-0005-0000-0000-0000E01A0000}"/>
    <cellStyle name="20% - Accent4 9 5 2 2" xfId="14297" xr:uid="{00000000-0005-0000-0000-0000E11A0000}"/>
    <cellStyle name="20% - Accent4 9 5 2 3" xfId="18248" xr:uid="{00000000-0005-0000-0000-0000E21A0000}"/>
    <cellStyle name="20% - Accent4 9 5 3" xfId="3035" xr:uid="{00000000-0005-0000-0000-0000E31A0000}"/>
    <cellStyle name="20% - Accent4 9 5 3 2" xfId="14298" xr:uid="{00000000-0005-0000-0000-0000E41A0000}"/>
    <cellStyle name="20% - Accent4 9 5 3 3" xfId="18249" xr:uid="{00000000-0005-0000-0000-0000E51A0000}"/>
    <cellStyle name="20% - Accent4 9 5 4" xfId="14296" xr:uid="{00000000-0005-0000-0000-0000E61A0000}"/>
    <cellStyle name="20% - Accent4 9 5 5" xfId="18247" xr:uid="{00000000-0005-0000-0000-0000E71A0000}"/>
    <cellStyle name="20% - Accent4 9 6" xfId="3036" xr:uid="{00000000-0005-0000-0000-0000E81A0000}"/>
    <cellStyle name="20% - Accent4 9 6 2" xfId="3037" xr:uid="{00000000-0005-0000-0000-0000E91A0000}"/>
    <cellStyle name="20% - Accent4 9 6 2 2" xfId="14300" xr:uid="{00000000-0005-0000-0000-0000EA1A0000}"/>
    <cellStyle name="20% - Accent4 9 6 2 3" xfId="18251" xr:uid="{00000000-0005-0000-0000-0000EB1A0000}"/>
    <cellStyle name="20% - Accent4 9 6 3" xfId="3038" xr:uid="{00000000-0005-0000-0000-0000EC1A0000}"/>
    <cellStyle name="20% - Accent4 9 6 3 2" xfId="14301" xr:uid="{00000000-0005-0000-0000-0000ED1A0000}"/>
    <cellStyle name="20% - Accent4 9 6 3 3" xfId="18252" xr:uid="{00000000-0005-0000-0000-0000EE1A0000}"/>
    <cellStyle name="20% - Accent4 9 6 4" xfId="14299" xr:uid="{00000000-0005-0000-0000-0000EF1A0000}"/>
    <cellStyle name="20% - Accent4 9 6 5" xfId="18250" xr:uid="{00000000-0005-0000-0000-0000F01A0000}"/>
    <cellStyle name="20% - Accent4 9 7" xfId="3039" xr:uid="{00000000-0005-0000-0000-0000F11A0000}"/>
    <cellStyle name="20% - Accent4 9 7 2" xfId="14302" xr:uid="{00000000-0005-0000-0000-0000F21A0000}"/>
    <cellStyle name="20% - Accent4 9 7 3" xfId="18253" xr:uid="{00000000-0005-0000-0000-0000F31A0000}"/>
    <cellStyle name="20% - Accent4 9 8" xfId="3040" xr:uid="{00000000-0005-0000-0000-0000F41A0000}"/>
    <cellStyle name="20% - Accent4 9 8 2" xfId="14303" xr:uid="{00000000-0005-0000-0000-0000F51A0000}"/>
    <cellStyle name="20% - Accent4 9 8 3" xfId="18254" xr:uid="{00000000-0005-0000-0000-0000F61A0000}"/>
    <cellStyle name="20% - Accent4 9 9" xfId="14271" xr:uid="{00000000-0005-0000-0000-0000F71A0000}"/>
    <cellStyle name="20% - Accent4 9_Volatility" xfId="3041" xr:uid="{00000000-0005-0000-0000-0000F81A0000}"/>
    <cellStyle name="20% - Accent5 10" xfId="3042" xr:uid="{00000000-0005-0000-0000-0000F91A0000}"/>
    <cellStyle name="20% - Accent5 10 10" xfId="18255" xr:uid="{00000000-0005-0000-0000-0000FA1A0000}"/>
    <cellStyle name="20% - Accent5 10 2" xfId="3043" xr:uid="{00000000-0005-0000-0000-0000FB1A0000}"/>
    <cellStyle name="20% - Accent5 10 2 2" xfId="3044" xr:uid="{00000000-0005-0000-0000-0000FC1A0000}"/>
    <cellStyle name="20% - Accent5 10 2 2 2" xfId="3045" xr:uid="{00000000-0005-0000-0000-0000FD1A0000}"/>
    <cellStyle name="20% - Accent5 10 2 2 2 2" xfId="14307" xr:uid="{00000000-0005-0000-0000-0000FE1A0000}"/>
    <cellStyle name="20% - Accent5 10 2 2 2 3" xfId="18258" xr:uid="{00000000-0005-0000-0000-0000FF1A0000}"/>
    <cellStyle name="20% - Accent5 10 2 2 3" xfId="3046" xr:uid="{00000000-0005-0000-0000-0000001B0000}"/>
    <cellStyle name="20% - Accent5 10 2 2 3 2" xfId="14308" xr:uid="{00000000-0005-0000-0000-0000011B0000}"/>
    <cellStyle name="20% - Accent5 10 2 2 3 3" xfId="18259" xr:uid="{00000000-0005-0000-0000-0000021B0000}"/>
    <cellStyle name="20% - Accent5 10 2 2 4" xfId="14306" xr:uid="{00000000-0005-0000-0000-0000031B0000}"/>
    <cellStyle name="20% - Accent5 10 2 2 5" xfId="18257" xr:uid="{00000000-0005-0000-0000-0000041B0000}"/>
    <cellStyle name="20% - Accent5 10 2 3" xfId="3047" xr:uid="{00000000-0005-0000-0000-0000051B0000}"/>
    <cellStyle name="20% - Accent5 10 2 3 2" xfId="3048" xr:uid="{00000000-0005-0000-0000-0000061B0000}"/>
    <cellStyle name="20% - Accent5 10 2 3 2 2" xfId="14310" xr:uid="{00000000-0005-0000-0000-0000071B0000}"/>
    <cellStyle name="20% - Accent5 10 2 3 2 3" xfId="18261" xr:uid="{00000000-0005-0000-0000-0000081B0000}"/>
    <cellStyle name="20% - Accent5 10 2 3 3" xfId="3049" xr:uid="{00000000-0005-0000-0000-0000091B0000}"/>
    <cellStyle name="20% - Accent5 10 2 3 3 2" xfId="14311" xr:uid="{00000000-0005-0000-0000-00000A1B0000}"/>
    <cellStyle name="20% - Accent5 10 2 3 3 3" xfId="18262" xr:uid="{00000000-0005-0000-0000-00000B1B0000}"/>
    <cellStyle name="20% - Accent5 10 2 3 4" xfId="14309" xr:uid="{00000000-0005-0000-0000-00000C1B0000}"/>
    <cellStyle name="20% - Accent5 10 2 3 5" xfId="18260" xr:uid="{00000000-0005-0000-0000-00000D1B0000}"/>
    <cellStyle name="20% - Accent5 10 2 4" xfId="3050" xr:uid="{00000000-0005-0000-0000-00000E1B0000}"/>
    <cellStyle name="20% - Accent5 10 2 4 2" xfId="3051" xr:uid="{00000000-0005-0000-0000-00000F1B0000}"/>
    <cellStyle name="20% - Accent5 10 2 4 2 2" xfId="14313" xr:uid="{00000000-0005-0000-0000-0000101B0000}"/>
    <cellStyle name="20% - Accent5 10 2 4 2 3" xfId="18264" xr:uid="{00000000-0005-0000-0000-0000111B0000}"/>
    <cellStyle name="20% - Accent5 10 2 4 3" xfId="3052" xr:uid="{00000000-0005-0000-0000-0000121B0000}"/>
    <cellStyle name="20% - Accent5 10 2 4 3 2" xfId="14314" xr:uid="{00000000-0005-0000-0000-0000131B0000}"/>
    <cellStyle name="20% - Accent5 10 2 4 3 3" xfId="18265" xr:uid="{00000000-0005-0000-0000-0000141B0000}"/>
    <cellStyle name="20% - Accent5 10 2 4 4" xfId="14312" xr:uid="{00000000-0005-0000-0000-0000151B0000}"/>
    <cellStyle name="20% - Accent5 10 2 4 5" xfId="18263" xr:uid="{00000000-0005-0000-0000-0000161B0000}"/>
    <cellStyle name="20% - Accent5 10 2 5" xfId="3053" xr:uid="{00000000-0005-0000-0000-0000171B0000}"/>
    <cellStyle name="20% - Accent5 10 2 5 2" xfId="14315" xr:uid="{00000000-0005-0000-0000-0000181B0000}"/>
    <cellStyle name="20% - Accent5 10 2 5 3" xfId="18266" xr:uid="{00000000-0005-0000-0000-0000191B0000}"/>
    <cellStyle name="20% - Accent5 10 2 6" xfId="3054" xr:uid="{00000000-0005-0000-0000-00001A1B0000}"/>
    <cellStyle name="20% - Accent5 10 2 6 2" xfId="14316" xr:uid="{00000000-0005-0000-0000-00001B1B0000}"/>
    <cellStyle name="20% - Accent5 10 2 6 3" xfId="18267" xr:uid="{00000000-0005-0000-0000-00001C1B0000}"/>
    <cellStyle name="20% - Accent5 10 2 7" xfId="14305" xr:uid="{00000000-0005-0000-0000-00001D1B0000}"/>
    <cellStyle name="20% - Accent5 10 2 8" xfId="18256" xr:uid="{00000000-0005-0000-0000-00001E1B0000}"/>
    <cellStyle name="20% - Accent5 10 2_Volatility" xfId="3055" xr:uid="{00000000-0005-0000-0000-00001F1B0000}"/>
    <cellStyle name="20% - Accent5 10 3" xfId="3056" xr:uid="{00000000-0005-0000-0000-0000201B0000}"/>
    <cellStyle name="20% - Accent5 10 3 2" xfId="3057" xr:uid="{00000000-0005-0000-0000-0000211B0000}"/>
    <cellStyle name="20% - Accent5 10 3 2 2" xfId="3058" xr:uid="{00000000-0005-0000-0000-0000221B0000}"/>
    <cellStyle name="20% - Accent5 10 3 2 2 2" xfId="14319" xr:uid="{00000000-0005-0000-0000-0000231B0000}"/>
    <cellStyle name="20% - Accent5 10 3 2 2 3" xfId="18270" xr:uid="{00000000-0005-0000-0000-0000241B0000}"/>
    <cellStyle name="20% - Accent5 10 3 2 3" xfId="3059" xr:uid="{00000000-0005-0000-0000-0000251B0000}"/>
    <cellStyle name="20% - Accent5 10 3 2 3 2" xfId="14320" xr:uid="{00000000-0005-0000-0000-0000261B0000}"/>
    <cellStyle name="20% - Accent5 10 3 2 3 3" xfId="18271" xr:uid="{00000000-0005-0000-0000-0000271B0000}"/>
    <cellStyle name="20% - Accent5 10 3 2 4" xfId="14318" xr:uid="{00000000-0005-0000-0000-0000281B0000}"/>
    <cellStyle name="20% - Accent5 10 3 2 5" xfId="18269" xr:uid="{00000000-0005-0000-0000-0000291B0000}"/>
    <cellStyle name="20% - Accent5 10 3 3" xfId="3060" xr:uid="{00000000-0005-0000-0000-00002A1B0000}"/>
    <cellStyle name="20% - Accent5 10 3 3 2" xfId="3061" xr:uid="{00000000-0005-0000-0000-00002B1B0000}"/>
    <cellStyle name="20% - Accent5 10 3 3 2 2" xfId="14322" xr:uid="{00000000-0005-0000-0000-00002C1B0000}"/>
    <cellStyle name="20% - Accent5 10 3 3 2 3" xfId="18273" xr:uid="{00000000-0005-0000-0000-00002D1B0000}"/>
    <cellStyle name="20% - Accent5 10 3 3 3" xfId="3062" xr:uid="{00000000-0005-0000-0000-00002E1B0000}"/>
    <cellStyle name="20% - Accent5 10 3 3 3 2" xfId="14323" xr:uid="{00000000-0005-0000-0000-00002F1B0000}"/>
    <cellStyle name="20% - Accent5 10 3 3 3 3" xfId="18274" xr:uid="{00000000-0005-0000-0000-0000301B0000}"/>
    <cellStyle name="20% - Accent5 10 3 3 4" xfId="14321" xr:uid="{00000000-0005-0000-0000-0000311B0000}"/>
    <cellStyle name="20% - Accent5 10 3 3 5" xfId="18272" xr:uid="{00000000-0005-0000-0000-0000321B0000}"/>
    <cellStyle name="20% - Accent5 10 3 4" xfId="3063" xr:uid="{00000000-0005-0000-0000-0000331B0000}"/>
    <cellStyle name="20% - Accent5 10 3 4 2" xfId="14324" xr:uid="{00000000-0005-0000-0000-0000341B0000}"/>
    <cellStyle name="20% - Accent5 10 3 4 3" xfId="18275" xr:uid="{00000000-0005-0000-0000-0000351B0000}"/>
    <cellStyle name="20% - Accent5 10 3 5" xfId="3064" xr:uid="{00000000-0005-0000-0000-0000361B0000}"/>
    <cellStyle name="20% - Accent5 10 3 5 2" xfId="14325" xr:uid="{00000000-0005-0000-0000-0000371B0000}"/>
    <cellStyle name="20% - Accent5 10 3 5 3" xfId="18276" xr:uid="{00000000-0005-0000-0000-0000381B0000}"/>
    <cellStyle name="20% - Accent5 10 3 6" xfId="14317" xr:uid="{00000000-0005-0000-0000-0000391B0000}"/>
    <cellStyle name="20% - Accent5 10 3 7" xfId="18268" xr:uid="{00000000-0005-0000-0000-00003A1B0000}"/>
    <cellStyle name="20% - Accent5 10 3_Volatility" xfId="3065" xr:uid="{00000000-0005-0000-0000-00003B1B0000}"/>
    <cellStyle name="20% - Accent5 10 4" xfId="3066" xr:uid="{00000000-0005-0000-0000-00003C1B0000}"/>
    <cellStyle name="20% - Accent5 10 4 2" xfId="3067" xr:uid="{00000000-0005-0000-0000-00003D1B0000}"/>
    <cellStyle name="20% - Accent5 10 4 2 2" xfId="14327" xr:uid="{00000000-0005-0000-0000-00003E1B0000}"/>
    <cellStyle name="20% - Accent5 10 4 2 3" xfId="18278" xr:uid="{00000000-0005-0000-0000-00003F1B0000}"/>
    <cellStyle name="20% - Accent5 10 4 3" xfId="3068" xr:uid="{00000000-0005-0000-0000-0000401B0000}"/>
    <cellStyle name="20% - Accent5 10 4 3 2" xfId="14328" xr:uid="{00000000-0005-0000-0000-0000411B0000}"/>
    <cellStyle name="20% - Accent5 10 4 3 3" xfId="18279" xr:uid="{00000000-0005-0000-0000-0000421B0000}"/>
    <cellStyle name="20% - Accent5 10 4 4" xfId="14326" xr:uid="{00000000-0005-0000-0000-0000431B0000}"/>
    <cellStyle name="20% - Accent5 10 4 5" xfId="18277" xr:uid="{00000000-0005-0000-0000-0000441B0000}"/>
    <cellStyle name="20% - Accent5 10 5" xfId="3069" xr:uid="{00000000-0005-0000-0000-0000451B0000}"/>
    <cellStyle name="20% - Accent5 10 5 2" xfId="3070" xr:uid="{00000000-0005-0000-0000-0000461B0000}"/>
    <cellStyle name="20% - Accent5 10 5 2 2" xfId="14330" xr:uid="{00000000-0005-0000-0000-0000471B0000}"/>
    <cellStyle name="20% - Accent5 10 5 2 3" xfId="18281" xr:uid="{00000000-0005-0000-0000-0000481B0000}"/>
    <cellStyle name="20% - Accent5 10 5 3" xfId="3071" xr:uid="{00000000-0005-0000-0000-0000491B0000}"/>
    <cellStyle name="20% - Accent5 10 5 3 2" xfId="14331" xr:uid="{00000000-0005-0000-0000-00004A1B0000}"/>
    <cellStyle name="20% - Accent5 10 5 3 3" xfId="18282" xr:uid="{00000000-0005-0000-0000-00004B1B0000}"/>
    <cellStyle name="20% - Accent5 10 5 4" xfId="14329" xr:uid="{00000000-0005-0000-0000-00004C1B0000}"/>
    <cellStyle name="20% - Accent5 10 5 5" xfId="18280" xr:uid="{00000000-0005-0000-0000-00004D1B0000}"/>
    <cellStyle name="20% - Accent5 10 6" xfId="3072" xr:uid="{00000000-0005-0000-0000-00004E1B0000}"/>
    <cellStyle name="20% - Accent5 10 6 2" xfId="3073" xr:uid="{00000000-0005-0000-0000-00004F1B0000}"/>
    <cellStyle name="20% - Accent5 10 6 2 2" xfId="14333" xr:uid="{00000000-0005-0000-0000-0000501B0000}"/>
    <cellStyle name="20% - Accent5 10 6 2 3" xfId="18284" xr:uid="{00000000-0005-0000-0000-0000511B0000}"/>
    <cellStyle name="20% - Accent5 10 6 3" xfId="3074" xr:uid="{00000000-0005-0000-0000-0000521B0000}"/>
    <cellStyle name="20% - Accent5 10 6 3 2" xfId="14334" xr:uid="{00000000-0005-0000-0000-0000531B0000}"/>
    <cellStyle name="20% - Accent5 10 6 3 3" xfId="18285" xr:uid="{00000000-0005-0000-0000-0000541B0000}"/>
    <cellStyle name="20% - Accent5 10 6 4" xfId="14332" xr:uid="{00000000-0005-0000-0000-0000551B0000}"/>
    <cellStyle name="20% - Accent5 10 6 5" xfId="18283" xr:uid="{00000000-0005-0000-0000-0000561B0000}"/>
    <cellStyle name="20% - Accent5 10 7" xfId="3075" xr:uid="{00000000-0005-0000-0000-0000571B0000}"/>
    <cellStyle name="20% - Accent5 10 7 2" xfId="14335" xr:uid="{00000000-0005-0000-0000-0000581B0000}"/>
    <cellStyle name="20% - Accent5 10 7 3" xfId="18286" xr:uid="{00000000-0005-0000-0000-0000591B0000}"/>
    <cellStyle name="20% - Accent5 10 8" xfId="3076" xr:uid="{00000000-0005-0000-0000-00005A1B0000}"/>
    <cellStyle name="20% - Accent5 10 8 2" xfId="14336" xr:uid="{00000000-0005-0000-0000-00005B1B0000}"/>
    <cellStyle name="20% - Accent5 10 8 3" xfId="18287" xr:uid="{00000000-0005-0000-0000-00005C1B0000}"/>
    <cellStyle name="20% - Accent5 10 9" xfId="14304" xr:uid="{00000000-0005-0000-0000-00005D1B0000}"/>
    <cellStyle name="20% - Accent5 10_Volatility" xfId="3077" xr:uid="{00000000-0005-0000-0000-00005E1B0000}"/>
    <cellStyle name="20% - Accent5 11" xfId="3078" xr:uid="{00000000-0005-0000-0000-00005F1B0000}"/>
    <cellStyle name="20% - Accent5 11 10" xfId="18288" xr:uid="{00000000-0005-0000-0000-0000601B0000}"/>
    <cellStyle name="20% - Accent5 11 2" xfId="3079" xr:uid="{00000000-0005-0000-0000-0000611B0000}"/>
    <cellStyle name="20% - Accent5 11 2 2" xfId="3080" xr:uid="{00000000-0005-0000-0000-0000621B0000}"/>
    <cellStyle name="20% - Accent5 11 2 2 2" xfId="3081" xr:uid="{00000000-0005-0000-0000-0000631B0000}"/>
    <cellStyle name="20% - Accent5 11 2 2 2 2" xfId="14340" xr:uid="{00000000-0005-0000-0000-0000641B0000}"/>
    <cellStyle name="20% - Accent5 11 2 2 2 3" xfId="18291" xr:uid="{00000000-0005-0000-0000-0000651B0000}"/>
    <cellStyle name="20% - Accent5 11 2 2 3" xfId="3082" xr:uid="{00000000-0005-0000-0000-0000661B0000}"/>
    <cellStyle name="20% - Accent5 11 2 2 3 2" xfId="14341" xr:uid="{00000000-0005-0000-0000-0000671B0000}"/>
    <cellStyle name="20% - Accent5 11 2 2 3 3" xfId="18292" xr:uid="{00000000-0005-0000-0000-0000681B0000}"/>
    <cellStyle name="20% - Accent5 11 2 2 4" xfId="14339" xr:uid="{00000000-0005-0000-0000-0000691B0000}"/>
    <cellStyle name="20% - Accent5 11 2 2 5" xfId="18290" xr:uid="{00000000-0005-0000-0000-00006A1B0000}"/>
    <cellStyle name="20% - Accent5 11 2 3" xfId="3083" xr:uid="{00000000-0005-0000-0000-00006B1B0000}"/>
    <cellStyle name="20% - Accent5 11 2 3 2" xfId="3084" xr:uid="{00000000-0005-0000-0000-00006C1B0000}"/>
    <cellStyle name="20% - Accent5 11 2 3 2 2" xfId="14343" xr:uid="{00000000-0005-0000-0000-00006D1B0000}"/>
    <cellStyle name="20% - Accent5 11 2 3 2 3" xfId="18294" xr:uid="{00000000-0005-0000-0000-00006E1B0000}"/>
    <cellStyle name="20% - Accent5 11 2 3 3" xfId="3085" xr:uid="{00000000-0005-0000-0000-00006F1B0000}"/>
    <cellStyle name="20% - Accent5 11 2 3 3 2" xfId="14344" xr:uid="{00000000-0005-0000-0000-0000701B0000}"/>
    <cellStyle name="20% - Accent5 11 2 3 3 3" xfId="18295" xr:uid="{00000000-0005-0000-0000-0000711B0000}"/>
    <cellStyle name="20% - Accent5 11 2 3 4" xfId="14342" xr:uid="{00000000-0005-0000-0000-0000721B0000}"/>
    <cellStyle name="20% - Accent5 11 2 3 5" xfId="18293" xr:uid="{00000000-0005-0000-0000-0000731B0000}"/>
    <cellStyle name="20% - Accent5 11 2 4" xfId="3086" xr:uid="{00000000-0005-0000-0000-0000741B0000}"/>
    <cellStyle name="20% - Accent5 11 2 4 2" xfId="3087" xr:uid="{00000000-0005-0000-0000-0000751B0000}"/>
    <cellStyle name="20% - Accent5 11 2 4 2 2" xfId="14346" xr:uid="{00000000-0005-0000-0000-0000761B0000}"/>
    <cellStyle name="20% - Accent5 11 2 4 2 3" xfId="18297" xr:uid="{00000000-0005-0000-0000-0000771B0000}"/>
    <cellStyle name="20% - Accent5 11 2 4 3" xfId="3088" xr:uid="{00000000-0005-0000-0000-0000781B0000}"/>
    <cellStyle name="20% - Accent5 11 2 4 3 2" xfId="14347" xr:uid="{00000000-0005-0000-0000-0000791B0000}"/>
    <cellStyle name="20% - Accent5 11 2 4 3 3" xfId="18298" xr:uid="{00000000-0005-0000-0000-00007A1B0000}"/>
    <cellStyle name="20% - Accent5 11 2 4 4" xfId="14345" xr:uid="{00000000-0005-0000-0000-00007B1B0000}"/>
    <cellStyle name="20% - Accent5 11 2 4 5" xfId="18296" xr:uid="{00000000-0005-0000-0000-00007C1B0000}"/>
    <cellStyle name="20% - Accent5 11 2 5" xfId="3089" xr:uid="{00000000-0005-0000-0000-00007D1B0000}"/>
    <cellStyle name="20% - Accent5 11 2 5 2" xfId="14348" xr:uid="{00000000-0005-0000-0000-00007E1B0000}"/>
    <cellStyle name="20% - Accent5 11 2 5 3" xfId="18299" xr:uid="{00000000-0005-0000-0000-00007F1B0000}"/>
    <cellStyle name="20% - Accent5 11 2 6" xfId="3090" xr:uid="{00000000-0005-0000-0000-0000801B0000}"/>
    <cellStyle name="20% - Accent5 11 2 6 2" xfId="14349" xr:uid="{00000000-0005-0000-0000-0000811B0000}"/>
    <cellStyle name="20% - Accent5 11 2 6 3" xfId="18300" xr:uid="{00000000-0005-0000-0000-0000821B0000}"/>
    <cellStyle name="20% - Accent5 11 2 7" xfId="14338" xr:uid="{00000000-0005-0000-0000-0000831B0000}"/>
    <cellStyle name="20% - Accent5 11 2 8" xfId="18289" xr:uid="{00000000-0005-0000-0000-0000841B0000}"/>
    <cellStyle name="20% - Accent5 11 2_Volatility" xfId="3091" xr:uid="{00000000-0005-0000-0000-0000851B0000}"/>
    <cellStyle name="20% - Accent5 11 3" xfId="3092" xr:uid="{00000000-0005-0000-0000-0000861B0000}"/>
    <cellStyle name="20% - Accent5 11 3 2" xfId="3093" xr:uid="{00000000-0005-0000-0000-0000871B0000}"/>
    <cellStyle name="20% - Accent5 11 3 2 2" xfId="3094" xr:uid="{00000000-0005-0000-0000-0000881B0000}"/>
    <cellStyle name="20% - Accent5 11 3 2 2 2" xfId="14352" xr:uid="{00000000-0005-0000-0000-0000891B0000}"/>
    <cellStyle name="20% - Accent5 11 3 2 2 3" xfId="18303" xr:uid="{00000000-0005-0000-0000-00008A1B0000}"/>
    <cellStyle name="20% - Accent5 11 3 2 3" xfId="3095" xr:uid="{00000000-0005-0000-0000-00008B1B0000}"/>
    <cellStyle name="20% - Accent5 11 3 2 3 2" xfId="14353" xr:uid="{00000000-0005-0000-0000-00008C1B0000}"/>
    <cellStyle name="20% - Accent5 11 3 2 3 3" xfId="18304" xr:uid="{00000000-0005-0000-0000-00008D1B0000}"/>
    <cellStyle name="20% - Accent5 11 3 2 4" xfId="14351" xr:uid="{00000000-0005-0000-0000-00008E1B0000}"/>
    <cellStyle name="20% - Accent5 11 3 2 5" xfId="18302" xr:uid="{00000000-0005-0000-0000-00008F1B0000}"/>
    <cellStyle name="20% - Accent5 11 3 3" xfId="3096" xr:uid="{00000000-0005-0000-0000-0000901B0000}"/>
    <cellStyle name="20% - Accent5 11 3 3 2" xfId="3097" xr:uid="{00000000-0005-0000-0000-0000911B0000}"/>
    <cellStyle name="20% - Accent5 11 3 3 2 2" xfId="14355" xr:uid="{00000000-0005-0000-0000-0000921B0000}"/>
    <cellStyle name="20% - Accent5 11 3 3 2 3" xfId="18306" xr:uid="{00000000-0005-0000-0000-0000931B0000}"/>
    <cellStyle name="20% - Accent5 11 3 3 3" xfId="3098" xr:uid="{00000000-0005-0000-0000-0000941B0000}"/>
    <cellStyle name="20% - Accent5 11 3 3 3 2" xfId="14356" xr:uid="{00000000-0005-0000-0000-0000951B0000}"/>
    <cellStyle name="20% - Accent5 11 3 3 3 3" xfId="18307" xr:uid="{00000000-0005-0000-0000-0000961B0000}"/>
    <cellStyle name="20% - Accent5 11 3 3 4" xfId="14354" xr:uid="{00000000-0005-0000-0000-0000971B0000}"/>
    <cellStyle name="20% - Accent5 11 3 3 5" xfId="18305" xr:uid="{00000000-0005-0000-0000-0000981B0000}"/>
    <cellStyle name="20% - Accent5 11 3 4" xfId="3099" xr:uid="{00000000-0005-0000-0000-0000991B0000}"/>
    <cellStyle name="20% - Accent5 11 3 4 2" xfId="14357" xr:uid="{00000000-0005-0000-0000-00009A1B0000}"/>
    <cellStyle name="20% - Accent5 11 3 4 3" xfId="18308" xr:uid="{00000000-0005-0000-0000-00009B1B0000}"/>
    <cellStyle name="20% - Accent5 11 3 5" xfId="3100" xr:uid="{00000000-0005-0000-0000-00009C1B0000}"/>
    <cellStyle name="20% - Accent5 11 3 5 2" xfId="14358" xr:uid="{00000000-0005-0000-0000-00009D1B0000}"/>
    <cellStyle name="20% - Accent5 11 3 5 3" xfId="18309" xr:uid="{00000000-0005-0000-0000-00009E1B0000}"/>
    <cellStyle name="20% - Accent5 11 3 6" xfId="14350" xr:uid="{00000000-0005-0000-0000-00009F1B0000}"/>
    <cellStyle name="20% - Accent5 11 3 7" xfId="18301" xr:uid="{00000000-0005-0000-0000-0000A01B0000}"/>
    <cellStyle name="20% - Accent5 11 3_Volatility" xfId="3101" xr:uid="{00000000-0005-0000-0000-0000A11B0000}"/>
    <cellStyle name="20% - Accent5 11 4" xfId="3102" xr:uid="{00000000-0005-0000-0000-0000A21B0000}"/>
    <cellStyle name="20% - Accent5 11 4 2" xfId="3103" xr:uid="{00000000-0005-0000-0000-0000A31B0000}"/>
    <cellStyle name="20% - Accent5 11 4 2 2" xfId="14360" xr:uid="{00000000-0005-0000-0000-0000A41B0000}"/>
    <cellStyle name="20% - Accent5 11 4 2 3" xfId="18311" xr:uid="{00000000-0005-0000-0000-0000A51B0000}"/>
    <cellStyle name="20% - Accent5 11 4 3" xfId="3104" xr:uid="{00000000-0005-0000-0000-0000A61B0000}"/>
    <cellStyle name="20% - Accent5 11 4 3 2" xfId="14361" xr:uid="{00000000-0005-0000-0000-0000A71B0000}"/>
    <cellStyle name="20% - Accent5 11 4 3 3" xfId="18312" xr:uid="{00000000-0005-0000-0000-0000A81B0000}"/>
    <cellStyle name="20% - Accent5 11 4 4" xfId="14359" xr:uid="{00000000-0005-0000-0000-0000A91B0000}"/>
    <cellStyle name="20% - Accent5 11 4 5" xfId="18310" xr:uid="{00000000-0005-0000-0000-0000AA1B0000}"/>
    <cellStyle name="20% - Accent5 11 5" xfId="3105" xr:uid="{00000000-0005-0000-0000-0000AB1B0000}"/>
    <cellStyle name="20% - Accent5 11 5 2" xfId="3106" xr:uid="{00000000-0005-0000-0000-0000AC1B0000}"/>
    <cellStyle name="20% - Accent5 11 5 2 2" xfId="14363" xr:uid="{00000000-0005-0000-0000-0000AD1B0000}"/>
    <cellStyle name="20% - Accent5 11 5 2 3" xfId="18314" xr:uid="{00000000-0005-0000-0000-0000AE1B0000}"/>
    <cellStyle name="20% - Accent5 11 5 3" xfId="3107" xr:uid="{00000000-0005-0000-0000-0000AF1B0000}"/>
    <cellStyle name="20% - Accent5 11 5 3 2" xfId="14364" xr:uid="{00000000-0005-0000-0000-0000B01B0000}"/>
    <cellStyle name="20% - Accent5 11 5 3 3" xfId="18315" xr:uid="{00000000-0005-0000-0000-0000B11B0000}"/>
    <cellStyle name="20% - Accent5 11 5 4" xfId="14362" xr:uid="{00000000-0005-0000-0000-0000B21B0000}"/>
    <cellStyle name="20% - Accent5 11 5 5" xfId="18313" xr:uid="{00000000-0005-0000-0000-0000B31B0000}"/>
    <cellStyle name="20% - Accent5 11 6" xfId="3108" xr:uid="{00000000-0005-0000-0000-0000B41B0000}"/>
    <cellStyle name="20% - Accent5 11 6 2" xfId="3109" xr:uid="{00000000-0005-0000-0000-0000B51B0000}"/>
    <cellStyle name="20% - Accent5 11 6 2 2" xfId="14366" xr:uid="{00000000-0005-0000-0000-0000B61B0000}"/>
    <cellStyle name="20% - Accent5 11 6 2 3" xfId="18317" xr:uid="{00000000-0005-0000-0000-0000B71B0000}"/>
    <cellStyle name="20% - Accent5 11 6 3" xfId="3110" xr:uid="{00000000-0005-0000-0000-0000B81B0000}"/>
    <cellStyle name="20% - Accent5 11 6 3 2" xfId="14367" xr:uid="{00000000-0005-0000-0000-0000B91B0000}"/>
    <cellStyle name="20% - Accent5 11 6 3 3" xfId="18318" xr:uid="{00000000-0005-0000-0000-0000BA1B0000}"/>
    <cellStyle name="20% - Accent5 11 6 4" xfId="14365" xr:uid="{00000000-0005-0000-0000-0000BB1B0000}"/>
    <cellStyle name="20% - Accent5 11 6 5" xfId="18316" xr:uid="{00000000-0005-0000-0000-0000BC1B0000}"/>
    <cellStyle name="20% - Accent5 11 7" xfId="3111" xr:uid="{00000000-0005-0000-0000-0000BD1B0000}"/>
    <cellStyle name="20% - Accent5 11 7 2" xfId="14368" xr:uid="{00000000-0005-0000-0000-0000BE1B0000}"/>
    <cellStyle name="20% - Accent5 11 7 3" xfId="18319" xr:uid="{00000000-0005-0000-0000-0000BF1B0000}"/>
    <cellStyle name="20% - Accent5 11 8" xfId="3112" xr:uid="{00000000-0005-0000-0000-0000C01B0000}"/>
    <cellStyle name="20% - Accent5 11 8 2" xfId="14369" xr:uid="{00000000-0005-0000-0000-0000C11B0000}"/>
    <cellStyle name="20% - Accent5 11 8 3" xfId="18320" xr:uid="{00000000-0005-0000-0000-0000C21B0000}"/>
    <cellStyle name="20% - Accent5 11 9" xfId="14337" xr:uid="{00000000-0005-0000-0000-0000C31B0000}"/>
    <cellStyle name="20% - Accent5 11_Volatility" xfId="3113" xr:uid="{00000000-0005-0000-0000-0000C41B0000}"/>
    <cellStyle name="20% - Accent5 12" xfId="3114" xr:uid="{00000000-0005-0000-0000-0000C51B0000}"/>
    <cellStyle name="20% - Accent5 12 10" xfId="18321" xr:uid="{00000000-0005-0000-0000-0000C61B0000}"/>
    <cellStyle name="20% - Accent5 12 2" xfId="3115" xr:uid="{00000000-0005-0000-0000-0000C71B0000}"/>
    <cellStyle name="20% - Accent5 12 2 2" xfId="3116" xr:uid="{00000000-0005-0000-0000-0000C81B0000}"/>
    <cellStyle name="20% - Accent5 12 2 2 2" xfId="3117" xr:uid="{00000000-0005-0000-0000-0000C91B0000}"/>
    <cellStyle name="20% - Accent5 12 2 2 2 2" xfId="14373" xr:uid="{00000000-0005-0000-0000-0000CA1B0000}"/>
    <cellStyle name="20% - Accent5 12 2 2 2 3" xfId="18324" xr:uid="{00000000-0005-0000-0000-0000CB1B0000}"/>
    <cellStyle name="20% - Accent5 12 2 2 3" xfId="3118" xr:uid="{00000000-0005-0000-0000-0000CC1B0000}"/>
    <cellStyle name="20% - Accent5 12 2 2 3 2" xfId="14374" xr:uid="{00000000-0005-0000-0000-0000CD1B0000}"/>
    <cellStyle name="20% - Accent5 12 2 2 3 3" xfId="18325" xr:uid="{00000000-0005-0000-0000-0000CE1B0000}"/>
    <cellStyle name="20% - Accent5 12 2 2 4" xfId="14372" xr:uid="{00000000-0005-0000-0000-0000CF1B0000}"/>
    <cellStyle name="20% - Accent5 12 2 2 5" xfId="18323" xr:uid="{00000000-0005-0000-0000-0000D01B0000}"/>
    <cellStyle name="20% - Accent5 12 2 3" xfId="3119" xr:uid="{00000000-0005-0000-0000-0000D11B0000}"/>
    <cellStyle name="20% - Accent5 12 2 3 2" xfId="3120" xr:uid="{00000000-0005-0000-0000-0000D21B0000}"/>
    <cellStyle name="20% - Accent5 12 2 3 2 2" xfId="14376" xr:uid="{00000000-0005-0000-0000-0000D31B0000}"/>
    <cellStyle name="20% - Accent5 12 2 3 2 3" xfId="18327" xr:uid="{00000000-0005-0000-0000-0000D41B0000}"/>
    <cellStyle name="20% - Accent5 12 2 3 3" xfId="3121" xr:uid="{00000000-0005-0000-0000-0000D51B0000}"/>
    <cellStyle name="20% - Accent5 12 2 3 3 2" xfId="14377" xr:uid="{00000000-0005-0000-0000-0000D61B0000}"/>
    <cellStyle name="20% - Accent5 12 2 3 3 3" xfId="18328" xr:uid="{00000000-0005-0000-0000-0000D71B0000}"/>
    <cellStyle name="20% - Accent5 12 2 3 4" xfId="14375" xr:uid="{00000000-0005-0000-0000-0000D81B0000}"/>
    <cellStyle name="20% - Accent5 12 2 3 5" xfId="18326" xr:uid="{00000000-0005-0000-0000-0000D91B0000}"/>
    <cellStyle name="20% - Accent5 12 2 4" xfId="3122" xr:uid="{00000000-0005-0000-0000-0000DA1B0000}"/>
    <cellStyle name="20% - Accent5 12 2 4 2" xfId="3123" xr:uid="{00000000-0005-0000-0000-0000DB1B0000}"/>
    <cellStyle name="20% - Accent5 12 2 4 2 2" xfId="14379" xr:uid="{00000000-0005-0000-0000-0000DC1B0000}"/>
    <cellStyle name="20% - Accent5 12 2 4 2 3" xfId="18330" xr:uid="{00000000-0005-0000-0000-0000DD1B0000}"/>
    <cellStyle name="20% - Accent5 12 2 4 3" xfId="3124" xr:uid="{00000000-0005-0000-0000-0000DE1B0000}"/>
    <cellStyle name="20% - Accent5 12 2 4 3 2" xfId="14380" xr:uid="{00000000-0005-0000-0000-0000DF1B0000}"/>
    <cellStyle name="20% - Accent5 12 2 4 3 3" xfId="18331" xr:uid="{00000000-0005-0000-0000-0000E01B0000}"/>
    <cellStyle name="20% - Accent5 12 2 4 4" xfId="14378" xr:uid="{00000000-0005-0000-0000-0000E11B0000}"/>
    <cellStyle name="20% - Accent5 12 2 4 5" xfId="18329" xr:uid="{00000000-0005-0000-0000-0000E21B0000}"/>
    <cellStyle name="20% - Accent5 12 2 5" xfId="3125" xr:uid="{00000000-0005-0000-0000-0000E31B0000}"/>
    <cellStyle name="20% - Accent5 12 2 5 2" xfId="14381" xr:uid="{00000000-0005-0000-0000-0000E41B0000}"/>
    <cellStyle name="20% - Accent5 12 2 5 3" xfId="18332" xr:uid="{00000000-0005-0000-0000-0000E51B0000}"/>
    <cellStyle name="20% - Accent5 12 2 6" xfId="3126" xr:uid="{00000000-0005-0000-0000-0000E61B0000}"/>
    <cellStyle name="20% - Accent5 12 2 6 2" xfId="14382" xr:uid="{00000000-0005-0000-0000-0000E71B0000}"/>
    <cellStyle name="20% - Accent5 12 2 6 3" xfId="18333" xr:uid="{00000000-0005-0000-0000-0000E81B0000}"/>
    <cellStyle name="20% - Accent5 12 2 7" xfId="14371" xr:uid="{00000000-0005-0000-0000-0000E91B0000}"/>
    <cellStyle name="20% - Accent5 12 2 8" xfId="18322" xr:uid="{00000000-0005-0000-0000-0000EA1B0000}"/>
    <cellStyle name="20% - Accent5 12 2_Volatility" xfId="3127" xr:uid="{00000000-0005-0000-0000-0000EB1B0000}"/>
    <cellStyle name="20% - Accent5 12 3" xfId="3128" xr:uid="{00000000-0005-0000-0000-0000EC1B0000}"/>
    <cellStyle name="20% - Accent5 12 3 2" xfId="3129" xr:uid="{00000000-0005-0000-0000-0000ED1B0000}"/>
    <cellStyle name="20% - Accent5 12 3 2 2" xfId="3130" xr:uid="{00000000-0005-0000-0000-0000EE1B0000}"/>
    <cellStyle name="20% - Accent5 12 3 2 2 2" xfId="14385" xr:uid="{00000000-0005-0000-0000-0000EF1B0000}"/>
    <cellStyle name="20% - Accent5 12 3 2 2 3" xfId="18336" xr:uid="{00000000-0005-0000-0000-0000F01B0000}"/>
    <cellStyle name="20% - Accent5 12 3 2 3" xfId="3131" xr:uid="{00000000-0005-0000-0000-0000F11B0000}"/>
    <cellStyle name="20% - Accent5 12 3 2 3 2" xfId="14386" xr:uid="{00000000-0005-0000-0000-0000F21B0000}"/>
    <cellStyle name="20% - Accent5 12 3 2 3 3" xfId="18337" xr:uid="{00000000-0005-0000-0000-0000F31B0000}"/>
    <cellStyle name="20% - Accent5 12 3 2 4" xfId="14384" xr:uid="{00000000-0005-0000-0000-0000F41B0000}"/>
    <cellStyle name="20% - Accent5 12 3 2 5" xfId="18335" xr:uid="{00000000-0005-0000-0000-0000F51B0000}"/>
    <cellStyle name="20% - Accent5 12 3 3" xfId="3132" xr:uid="{00000000-0005-0000-0000-0000F61B0000}"/>
    <cellStyle name="20% - Accent5 12 3 3 2" xfId="3133" xr:uid="{00000000-0005-0000-0000-0000F71B0000}"/>
    <cellStyle name="20% - Accent5 12 3 3 2 2" xfId="14388" xr:uid="{00000000-0005-0000-0000-0000F81B0000}"/>
    <cellStyle name="20% - Accent5 12 3 3 2 3" xfId="18339" xr:uid="{00000000-0005-0000-0000-0000F91B0000}"/>
    <cellStyle name="20% - Accent5 12 3 3 3" xfId="3134" xr:uid="{00000000-0005-0000-0000-0000FA1B0000}"/>
    <cellStyle name="20% - Accent5 12 3 3 3 2" xfId="14389" xr:uid="{00000000-0005-0000-0000-0000FB1B0000}"/>
    <cellStyle name="20% - Accent5 12 3 3 3 3" xfId="18340" xr:uid="{00000000-0005-0000-0000-0000FC1B0000}"/>
    <cellStyle name="20% - Accent5 12 3 3 4" xfId="14387" xr:uid="{00000000-0005-0000-0000-0000FD1B0000}"/>
    <cellStyle name="20% - Accent5 12 3 3 5" xfId="18338" xr:uid="{00000000-0005-0000-0000-0000FE1B0000}"/>
    <cellStyle name="20% - Accent5 12 3 4" xfId="3135" xr:uid="{00000000-0005-0000-0000-0000FF1B0000}"/>
    <cellStyle name="20% - Accent5 12 3 4 2" xfId="14390" xr:uid="{00000000-0005-0000-0000-0000001C0000}"/>
    <cellStyle name="20% - Accent5 12 3 4 3" xfId="18341" xr:uid="{00000000-0005-0000-0000-0000011C0000}"/>
    <cellStyle name="20% - Accent5 12 3 5" xfId="3136" xr:uid="{00000000-0005-0000-0000-0000021C0000}"/>
    <cellStyle name="20% - Accent5 12 3 5 2" xfId="14391" xr:uid="{00000000-0005-0000-0000-0000031C0000}"/>
    <cellStyle name="20% - Accent5 12 3 5 3" xfId="18342" xr:uid="{00000000-0005-0000-0000-0000041C0000}"/>
    <cellStyle name="20% - Accent5 12 3 6" xfId="14383" xr:uid="{00000000-0005-0000-0000-0000051C0000}"/>
    <cellStyle name="20% - Accent5 12 3 7" xfId="18334" xr:uid="{00000000-0005-0000-0000-0000061C0000}"/>
    <cellStyle name="20% - Accent5 12 3_Volatility" xfId="3137" xr:uid="{00000000-0005-0000-0000-0000071C0000}"/>
    <cellStyle name="20% - Accent5 12 4" xfId="3138" xr:uid="{00000000-0005-0000-0000-0000081C0000}"/>
    <cellStyle name="20% - Accent5 12 4 2" xfId="3139" xr:uid="{00000000-0005-0000-0000-0000091C0000}"/>
    <cellStyle name="20% - Accent5 12 4 2 2" xfId="14393" xr:uid="{00000000-0005-0000-0000-00000A1C0000}"/>
    <cellStyle name="20% - Accent5 12 4 2 3" xfId="18344" xr:uid="{00000000-0005-0000-0000-00000B1C0000}"/>
    <cellStyle name="20% - Accent5 12 4 3" xfId="3140" xr:uid="{00000000-0005-0000-0000-00000C1C0000}"/>
    <cellStyle name="20% - Accent5 12 4 3 2" xfId="14394" xr:uid="{00000000-0005-0000-0000-00000D1C0000}"/>
    <cellStyle name="20% - Accent5 12 4 3 3" xfId="18345" xr:uid="{00000000-0005-0000-0000-00000E1C0000}"/>
    <cellStyle name="20% - Accent5 12 4 4" xfId="14392" xr:uid="{00000000-0005-0000-0000-00000F1C0000}"/>
    <cellStyle name="20% - Accent5 12 4 5" xfId="18343" xr:uid="{00000000-0005-0000-0000-0000101C0000}"/>
    <cellStyle name="20% - Accent5 12 5" xfId="3141" xr:uid="{00000000-0005-0000-0000-0000111C0000}"/>
    <cellStyle name="20% - Accent5 12 5 2" xfId="3142" xr:uid="{00000000-0005-0000-0000-0000121C0000}"/>
    <cellStyle name="20% - Accent5 12 5 2 2" xfId="14396" xr:uid="{00000000-0005-0000-0000-0000131C0000}"/>
    <cellStyle name="20% - Accent5 12 5 2 3" xfId="18347" xr:uid="{00000000-0005-0000-0000-0000141C0000}"/>
    <cellStyle name="20% - Accent5 12 5 3" xfId="3143" xr:uid="{00000000-0005-0000-0000-0000151C0000}"/>
    <cellStyle name="20% - Accent5 12 5 3 2" xfId="14397" xr:uid="{00000000-0005-0000-0000-0000161C0000}"/>
    <cellStyle name="20% - Accent5 12 5 3 3" xfId="18348" xr:uid="{00000000-0005-0000-0000-0000171C0000}"/>
    <cellStyle name="20% - Accent5 12 5 4" xfId="14395" xr:uid="{00000000-0005-0000-0000-0000181C0000}"/>
    <cellStyle name="20% - Accent5 12 5 5" xfId="18346" xr:uid="{00000000-0005-0000-0000-0000191C0000}"/>
    <cellStyle name="20% - Accent5 12 6" xfId="3144" xr:uid="{00000000-0005-0000-0000-00001A1C0000}"/>
    <cellStyle name="20% - Accent5 12 6 2" xfId="3145" xr:uid="{00000000-0005-0000-0000-00001B1C0000}"/>
    <cellStyle name="20% - Accent5 12 6 2 2" xfId="14399" xr:uid="{00000000-0005-0000-0000-00001C1C0000}"/>
    <cellStyle name="20% - Accent5 12 6 2 3" xfId="18350" xr:uid="{00000000-0005-0000-0000-00001D1C0000}"/>
    <cellStyle name="20% - Accent5 12 6 3" xfId="3146" xr:uid="{00000000-0005-0000-0000-00001E1C0000}"/>
    <cellStyle name="20% - Accent5 12 6 3 2" xfId="14400" xr:uid="{00000000-0005-0000-0000-00001F1C0000}"/>
    <cellStyle name="20% - Accent5 12 6 3 3" xfId="18351" xr:uid="{00000000-0005-0000-0000-0000201C0000}"/>
    <cellStyle name="20% - Accent5 12 6 4" xfId="14398" xr:uid="{00000000-0005-0000-0000-0000211C0000}"/>
    <cellStyle name="20% - Accent5 12 6 5" xfId="18349" xr:uid="{00000000-0005-0000-0000-0000221C0000}"/>
    <cellStyle name="20% - Accent5 12 7" xfId="3147" xr:uid="{00000000-0005-0000-0000-0000231C0000}"/>
    <cellStyle name="20% - Accent5 12 7 2" xfId="14401" xr:uid="{00000000-0005-0000-0000-0000241C0000}"/>
    <cellStyle name="20% - Accent5 12 7 3" xfId="18352" xr:uid="{00000000-0005-0000-0000-0000251C0000}"/>
    <cellStyle name="20% - Accent5 12 8" xfId="3148" xr:uid="{00000000-0005-0000-0000-0000261C0000}"/>
    <cellStyle name="20% - Accent5 12 8 2" xfId="14402" xr:uid="{00000000-0005-0000-0000-0000271C0000}"/>
    <cellStyle name="20% - Accent5 12 8 3" xfId="18353" xr:uid="{00000000-0005-0000-0000-0000281C0000}"/>
    <cellStyle name="20% - Accent5 12 9" xfId="14370" xr:uid="{00000000-0005-0000-0000-0000291C0000}"/>
    <cellStyle name="20% - Accent5 12_Volatility" xfId="3149" xr:uid="{00000000-0005-0000-0000-00002A1C0000}"/>
    <cellStyle name="20% - Accent5 13" xfId="3150" xr:uid="{00000000-0005-0000-0000-00002B1C0000}"/>
    <cellStyle name="20% - Accent5 13 10" xfId="18354" xr:uid="{00000000-0005-0000-0000-00002C1C0000}"/>
    <cellStyle name="20% - Accent5 13 2" xfId="3151" xr:uid="{00000000-0005-0000-0000-00002D1C0000}"/>
    <cellStyle name="20% - Accent5 13 2 2" xfId="3152" xr:uid="{00000000-0005-0000-0000-00002E1C0000}"/>
    <cellStyle name="20% - Accent5 13 2 2 2" xfId="3153" xr:uid="{00000000-0005-0000-0000-00002F1C0000}"/>
    <cellStyle name="20% - Accent5 13 2 2 2 2" xfId="14406" xr:uid="{00000000-0005-0000-0000-0000301C0000}"/>
    <cellStyle name="20% - Accent5 13 2 2 2 3" xfId="18357" xr:uid="{00000000-0005-0000-0000-0000311C0000}"/>
    <cellStyle name="20% - Accent5 13 2 2 3" xfId="3154" xr:uid="{00000000-0005-0000-0000-0000321C0000}"/>
    <cellStyle name="20% - Accent5 13 2 2 3 2" xfId="14407" xr:uid="{00000000-0005-0000-0000-0000331C0000}"/>
    <cellStyle name="20% - Accent5 13 2 2 3 3" xfId="18358" xr:uid="{00000000-0005-0000-0000-0000341C0000}"/>
    <cellStyle name="20% - Accent5 13 2 2 4" xfId="14405" xr:uid="{00000000-0005-0000-0000-0000351C0000}"/>
    <cellStyle name="20% - Accent5 13 2 2 5" xfId="18356" xr:uid="{00000000-0005-0000-0000-0000361C0000}"/>
    <cellStyle name="20% - Accent5 13 2 3" xfId="3155" xr:uid="{00000000-0005-0000-0000-0000371C0000}"/>
    <cellStyle name="20% - Accent5 13 2 3 2" xfId="3156" xr:uid="{00000000-0005-0000-0000-0000381C0000}"/>
    <cellStyle name="20% - Accent5 13 2 3 2 2" xfId="14409" xr:uid="{00000000-0005-0000-0000-0000391C0000}"/>
    <cellStyle name="20% - Accent5 13 2 3 2 3" xfId="18360" xr:uid="{00000000-0005-0000-0000-00003A1C0000}"/>
    <cellStyle name="20% - Accent5 13 2 3 3" xfId="3157" xr:uid="{00000000-0005-0000-0000-00003B1C0000}"/>
    <cellStyle name="20% - Accent5 13 2 3 3 2" xfId="14410" xr:uid="{00000000-0005-0000-0000-00003C1C0000}"/>
    <cellStyle name="20% - Accent5 13 2 3 3 3" xfId="18361" xr:uid="{00000000-0005-0000-0000-00003D1C0000}"/>
    <cellStyle name="20% - Accent5 13 2 3 4" xfId="14408" xr:uid="{00000000-0005-0000-0000-00003E1C0000}"/>
    <cellStyle name="20% - Accent5 13 2 3 5" xfId="18359" xr:uid="{00000000-0005-0000-0000-00003F1C0000}"/>
    <cellStyle name="20% - Accent5 13 2 4" xfId="3158" xr:uid="{00000000-0005-0000-0000-0000401C0000}"/>
    <cellStyle name="20% - Accent5 13 2 4 2" xfId="3159" xr:uid="{00000000-0005-0000-0000-0000411C0000}"/>
    <cellStyle name="20% - Accent5 13 2 4 2 2" xfId="14412" xr:uid="{00000000-0005-0000-0000-0000421C0000}"/>
    <cellStyle name="20% - Accent5 13 2 4 2 3" xfId="18363" xr:uid="{00000000-0005-0000-0000-0000431C0000}"/>
    <cellStyle name="20% - Accent5 13 2 4 3" xfId="3160" xr:uid="{00000000-0005-0000-0000-0000441C0000}"/>
    <cellStyle name="20% - Accent5 13 2 4 3 2" xfId="14413" xr:uid="{00000000-0005-0000-0000-0000451C0000}"/>
    <cellStyle name="20% - Accent5 13 2 4 3 3" xfId="18364" xr:uid="{00000000-0005-0000-0000-0000461C0000}"/>
    <cellStyle name="20% - Accent5 13 2 4 4" xfId="14411" xr:uid="{00000000-0005-0000-0000-0000471C0000}"/>
    <cellStyle name="20% - Accent5 13 2 4 5" xfId="18362" xr:uid="{00000000-0005-0000-0000-0000481C0000}"/>
    <cellStyle name="20% - Accent5 13 2 5" xfId="3161" xr:uid="{00000000-0005-0000-0000-0000491C0000}"/>
    <cellStyle name="20% - Accent5 13 2 5 2" xfId="14414" xr:uid="{00000000-0005-0000-0000-00004A1C0000}"/>
    <cellStyle name="20% - Accent5 13 2 5 3" xfId="18365" xr:uid="{00000000-0005-0000-0000-00004B1C0000}"/>
    <cellStyle name="20% - Accent5 13 2 6" xfId="3162" xr:uid="{00000000-0005-0000-0000-00004C1C0000}"/>
    <cellStyle name="20% - Accent5 13 2 6 2" xfId="14415" xr:uid="{00000000-0005-0000-0000-00004D1C0000}"/>
    <cellStyle name="20% - Accent5 13 2 6 3" xfId="18366" xr:uid="{00000000-0005-0000-0000-00004E1C0000}"/>
    <cellStyle name="20% - Accent5 13 2 7" xfId="14404" xr:uid="{00000000-0005-0000-0000-00004F1C0000}"/>
    <cellStyle name="20% - Accent5 13 2 8" xfId="18355" xr:uid="{00000000-0005-0000-0000-0000501C0000}"/>
    <cellStyle name="20% - Accent5 13 2_Volatility" xfId="3163" xr:uid="{00000000-0005-0000-0000-0000511C0000}"/>
    <cellStyle name="20% - Accent5 13 3" xfId="3164" xr:uid="{00000000-0005-0000-0000-0000521C0000}"/>
    <cellStyle name="20% - Accent5 13 3 2" xfId="3165" xr:uid="{00000000-0005-0000-0000-0000531C0000}"/>
    <cellStyle name="20% - Accent5 13 3 2 2" xfId="3166" xr:uid="{00000000-0005-0000-0000-0000541C0000}"/>
    <cellStyle name="20% - Accent5 13 3 2 2 2" xfId="14418" xr:uid="{00000000-0005-0000-0000-0000551C0000}"/>
    <cellStyle name="20% - Accent5 13 3 2 2 3" xfId="18369" xr:uid="{00000000-0005-0000-0000-0000561C0000}"/>
    <cellStyle name="20% - Accent5 13 3 2 3" xfId="3167" xr:uid="{00000000-0005-0000-0000-0000571C0000}"/>
    <cellStyle name="20% - Accent5 13 3 2 3 2" xfId="14419" xr:uid="{00000000-0005-0000-0000-0000581C0000}"/>
    <cellStyle name="20% - Accent5 13 3 2 3 3" xfId="18370" xr:uid="{00000000-0005-0000-0000-0000591C0000}"/>
    <cellStyle name="20% - Accent5 13 3 2 4" xfId="14417" xr:uid="{00000000-0005-0000-0000-00005A1C0000}"/>
    <cellStyle name="20% - Accent5 13 3 2 5" xfId="18368" xr:uid="{00000000-0005-0000-0000-00005B1C0000}"/>
    <cellStyle name="20% - Accent5 13 3 3" xfId="3168" xr:uid="{00000000-0005-0000-0000-00005C1C0000}"/>
    <cellStyle name="20% - Accent5 13 3 3 2" xfId="3169" xr:uid="{00000000-0005-0000-0000-00005D1C0000}"/>
    <cellStyle name="20% - Accent5 13 3 3 2 2" xfId="14421" xr:uid="{00000000-0005-0000-0000-00005E1C0000}"/>
    <cellStyle name="20% - Accent5 13 3 3 2 3" xfId="18372" xr:uid="{00000000-0005-0000-0000-00005F1C0000}"/>
    <cellStyle name="20% - Accent5 13 3 3 3" xfId="3170" xr:uid="{00000000-0005-0000-0000-0000601C0000}"/>
    <cellStyle name="20% - Accent5 13 3 3 3 2" xfId="14422" xr:uid="{00000000-0005-0000-0000-0000611C0000}"/>
    <cellStyle name="20% - Accent5 13 3 3 3 3" xfId="18373" xr:uid="{00000000-0005-0000-0000-0000621C0000}"/>
    <cellStyle name="20% - Accent5 13 3 3 4" xfId="14420" xr:uid="{00000000-0005-0000-0000-0000631C0000}"/>
    <cellStyle name="20% - Accent5 13 3 3 5" xfId="18371" xr:uid="{00000000-0005-0000-0000-0000641C0000}"/>
    <cellStyle name="20% - Accent5 13 3 4" xfId="3171" xr:uid="{00000000-0005-0000-0000-0000651C0000}"/>
    <cellStyle name="20% - Accent5 13 3 4 2" xfId="14423" xr:uid="{00000000-0005-0000-0000-0000661C0000}"/>
    <cellStyle name="20% - Accent5 13 3 4 3" xfId="18374" xr:uid="{00000000-0005-0000-0000-0000671C0000}"/>
    <cellStyle name="20% - Accent5 13 3 5" xfId="3172" xr:uid="{00000000-0005-0000-0000-0000681C0000}"/>
    <cellStyle name="20% - Accent5 13 3 5 2" xfId="14424" xr:uid="{00000000-0005-0000-0000-0000691C0000}"/>
    <cellStyle name="20% - Accent5 13 3 5 3" xfId="18375" xr:uid="{00000000-0005-0000-0000-00006A1C0000}"/>
    <cellStyle name="20% - Accent5 13 3 6" xfId="14416" xr:uid="{00000000-0005-0000-0000-00006B1C0000}"/>
    <cellStyle name="20% - Accent5 13 3 7" xfId="18367" xr:uid="{00000000-0005-0000-0000-00006C1C0000}"/>
    <cellStyle name="20% - Accent5 13 3_Volatility" xfId="3173" xr:uid="{00000000-0005-0000-0000-00006D1C0000}"/>
    <cellStyle name="20% - Accent5 13 4" xfId="3174" xr:uid="{00000000-0005-0000-0000-00006E1C0000}"/>
    <cellStyle name="20% - Accent5 13 4 2" xfId="3175" xr:uid="{00000000-0005-0000-0000-00006F1C0000}"/>
    <cellStyle name="20% - Accent5 13 4 2 2" xfId="14426" xr:uid="{00000000-0005-0000-0000-0000701C0000}"/>
    <cellStyle name="20% - Accent5 13 4 2 3" xfId="18377" xr:uid="{00000000-0005-0000-0000-0000711C0000}"/>
    <cellStyle name="20% - Accent5 13 4 3" xfId="3176" xr:uid="{00000000-0005-0000-0000-0000721C0000}"/>
    <cellStyle name="20% - Accent5 13 4 3 2" xfId="14427" xr:uid="{00000000-0005-0000-0000-0000731C0000}"/>
    <cellStyle name="20% - Accent5 13 4 3 3" xfId="18378" xr:uid="{00000000-0005-0000-0000-0000741C0000}"/>
    <cellStyle name="20% - Accent5 13 4 4" xfId="14425" xr:uid="{00000000-0005-0000-0000-0000751C0000}"/>
    <cellStyle name="20% - Accent5 13 4 5" xfId="18376" xr:uid="{00000000-0005-0000-0000-0000761C0000}"/>
    <cellStyle name="20% - Accent5 13 5" xfId="3177" xr:uid="{00000000-0005-0000-0000-0000771C0000}"/>
    <cellStyle name="20% - Accent5 13 5 2" xfId="3178" xr:uid="{00000000-0005-0000-0000-0000781C0000}"/>
    <cellStyle name="20% - Accent5 13 5 2 2" xfId="14429" xr:uid="{00000000-0005-0000-0000-0000791C0000}"/>
    <cellStyle name="20% - Accent5 13 5 2 3" xfId="18380" xr:uid="{00000000-0005-0000-0000-00007A1C0000}"/>
    <cellStyle name="20% - Accent5 13 5 3" xfId="3179" xr:uid="{00000000-0005-0000-0000-00007B1C0000}"/>
    <cellStyle name="20% - Accent5 13 5 3 2" xfId="14430" xr:uid="{00000000-0005-0000-0000-00007C1C0000}"/>
    <cellStyle name="20% - Accent5 13 5 3 3" xfId="18381" xr:uid="{00000000-0005-0000-0000-00007D1C0000}"/>
    <cellStyle name="20% - Accent5 13 5 4" xfId="14428" xr:uid="{00000000-0005-0000-0000-00007E1C0000}"/>
    <cellStyle name="20% - Accent5 13 5 5" xfId="18379" xr:uid="{00000000-0005-0000-0000-00007F1C0000}"/>
    <cellStyle name="20% - Accent5 13 6" xfId="3180" xr:uid="{00000000-0005-0000-0000-0000801C0000}"/>
    <cellStyle name="20% - Accent5 13 6 2" xfId="3181" xr:uid="{00000000-0005-0000-0000-0000811C0000}"/>
    <cellStyle name="20% - Accent5 13 6 2 2" xfId="14432" xr:uid="{00000000-0005-0000-0000-0000821C0000}"/>
    <cellStyle name="20% - Accent5 13 6 2 3" xfId="18383" xr:uid="{00000000-0005-0000-0000-0000831C0000}"/>
    <cellStyle name="20% - Accent5 13 6 3" xfId="3182" xr:uid="{00000000-0005-0000-0000-0000841C0000}"/>
    <cellStyle name="20% - Accent5 13 6 3 2" xfId="14433" xr:uid="{00000000-0005-0000-0000-0000851C0000}"/>
    <cellStyle name="20% - Accent5 13 6 3 3" xfId="18384" xr:uid="{00000000-0005-0000-0000-0000861C0000}"/>
    <cellStyle name="20% - Accent5 13 6 4" xfId="14431" xr:uid="{00000000-0005-0000-0000-0000871C0000}"/>
    <cellStyle name="20% - Accent5 13 6 5" xfId="18382" xr:uid="{00000000-0005-0000-0000-0000881C0000}"/>
    <cellStyle name="20% - Accent5 13 7" xfId="3183" xr:uid="{00000000-0005-0000-0000-0000891C0000}"/>
    <cellStyle name="20% - Accent5 13 7 2" xfId="14434" xr:uid="{00000000-0005-0000-0000-00008A1C0000}"/>
    <cellStyle name="20% - Accent5 13 7 3" xfId="18385" xr:uid="{00000000-0005-0000-0000-00008B1C0000}"/>
    <cellStyle name="20% - Accent5 13 8" xfId="3184" xr:uid="{00000000-0005-0000-0000-00008C1C0000}"/>
    <cellStyle name="20% - Accent5 13 8 2" xfId="14435" xr:uid="{00000000-0005-0000-0000-00008D1C0000}"/>
    <cellStyle name="20% - Accent5 13 8 3" xfId="18386" xr:uid="{00000000-0005-0000-0000-00008E1C0000}"/>
    <cellStyle name="20% - Accent5 13 9" xfId="14403" xr:uid="{00000000-0005-0000-0000-00008F1C0000}"/>
    <cellStyle name="20% - Accent5 13_Volatility" xfId="3185" xr:uid="{00000000-0005-0000-0000-0000901C0000}"/>
    <cellStyle name="20% - Accent5 14" xfId="3186" xr:uid="{00000000-0005-0000-0000-0000911C0000}"/>
    <cellStyle name="20% - Accent5 14 10" xfId="18387" xr:uid="{00000000-0005-0000-0000-0000921C0000}"/>
    <cellStyle name="20% - Accent5 14 2" xfId="3187" xr:uid="{00000000-0005-0000-0000-0000931C0000}"/>
    <cellStyle name="20% - Accent5 14 2 2" xfId="3188" xr:uid="{00000000-0005-0000-0000-0000941C0000}"/>
    <cellStyle name="20% - Accent5 14 2 2 2" xfId="3189" xr:uid="{00000000-0005-0000-0000-0000951C0000}"/>
    <cellStyle name="20% - Accent5 14 2 2 2 2" xfId="14439" xr:uid="{00000000-0005-0000-0000-0000961C0000}"/>
    <cellStyle name="20% - Accent5 14 2 2 2 3" xfId="18390" xr:uid="{00000000-0005-0000-0000-0000971C0000}"/>
    <cellStyle name="20% - Accent5 14 2 2 3" xfId="3190" xr:uid="{00000000-0005-0000-0000-0000981C0000}"/>
    <cellStyle name="20% - Accent5 14 2 2 3 2" xfId="14440" xr:uid="{00000000-0005-0000-0000-0000991C0000}"/>
    <cellStyle name="20% - Accent5 14 2 2 3 3" xfId="18391" xr:uid="{00000000-0005-0000-0000-00009A1C0000}"/>
    <cellStyle name="20% - Accent5 14 2 2 4" xfId="14438" xr:uid="{00000000-0005-0000-0000-00009B1C0000}"/>
    <cellStyle name="20% - Accent5 14 2 2 5" xfId="18389" xr:uid="{00000000-0005-0000-0000-00009C1C0000}"/>
    <cellStyle name="20% - Accent5 14 2 3" xfId="3191" xr:uid="{00000000-0005-0000-0000-00009D1C0000}"/>
    <cellStyle name="20% - Accent5 14 2 3 2" xfId="3192" xr:uid="{00000000-0005-0000-0000-00009E1C0000}"/>
    <cellStyle name="20% - Accent5 14 2 3 2 2" xfId="14442" xr:uid="{00000000-0005-0000-0000-00009F1C0000}"/>
    <cellStyle name="20% - Accent5 14 2 3 2 3" xfId="18393" xr:uid="{00000000-0005-0000-0000-0000A01C0000}"/>
    <cellStyle name="20% - Accent5 14 2 3 3" xfId="3193" xr:uid="{00000000-0005-0000-0000-0000A11C0000}"/>
    <cellStyle name="20% - Accent5 14 2 3 3 2" xfId="14443" xr:uid="{00000000-0005-0000-0000-0000A21C0000}"/>
    <cellStyle name="20% - Accent5 14 2 3 3 3" xfId="18394" xr:uid="{00000000-0005-0000-0000-0000A31C0000}"/>
    <cellStyle name="20% - Accent5 14 2 3 4" xfId="14441" xr:uid="{00000000-0005-0000-0000-0000A41C0000}"/>
    <cellStyle name="20% - Accent5 14 2 3 5" xfId="18392" xr:uid="{00000000-0005-0000-0000-0000A51C0000}"/>
    <cellStyle name="20% - Accent5 14 2 4" xfId="3194" xr:uid="{00000000-0005-0000-0000-0000A61C0000}"/>
    <cellStyle name="20% - Accent5 14 2 4 2" xfId="3195" xr:uid="{00000000-0005-0000-0000-0000A71C0000}"/>
    <cellStyle name="20% - Accent5 14 2 4 2 2" xfId="14445" xr:uid="{00000000-0005-0000-0000-0000A81C0000}"/>
    <cellStyle name="20% - Accent5 14 2 4 2 3" xfId="18396" xr:uid="{00000000-0005-0000-0000-0000A91C0000}"/>
    <cellStyle name="20% - Accent5 14 2 4 3" xfId="3196" xr:uid="{00000000-0005-0000-0000-0000AA1C0000}"/>
    <cellStyle name="20% - Accent5 14 2 4 3 2" xfId="14446" xr:uid="{00000000-0005-0000-0000-0000AB1C0000}"/>
    <cellStyle name="20% - Accent5 14 2 4 3 3" xfId="18397" xr:uid="{00000000-0005-0000-0000-0000AC1C0000}"/>
    <cellStyle name="20% - Accent5 14 2 4 4" xfId="14444" xr:uid="{00000000-0005-0000-0000-0000AD1C0000}"/>
    <cellStyle name="20% - Accent5 14 2 4 5" xfId="18395" xr:uid="{00000000-0005-0000-0000-0000AE1C0000}"/>
    <cellStyle name="20% - Accent5 14 2 5" xfId="3197" xr:uid="{00000000-0005-0000-0000-0000AF1C0000}"/>
    <cellStyle name="20% - Accent5 14 2 5 2" xfId="14447" xr:uid="{00000000-0005-0000-0000-0000B01C0000}"/>
    <cellStyle name="20% - Accent5 14 2 5 3" xfId="18398" xr:uid="{00000000-0005-0000-0000-0000B11C0000}"/>
    <cellStyle name="20% - Accent5 14 2 6" xfId="3198" xr:uid="{00000000-0005-0000-0000-0000B21C0000}"/>
    <cellStyle name="20% - Accent5 14 2 6 2" xfId="14448" xr:uid="{00000000-0005-0000-0000-0000B31C0000}"/>
    <cellStyle name="20% - Accent5 14 2 6 3" xfId="18399" xr:uid="{00000000-0005-0000-0000-0000B41C0000}"/>
    <cellStyle name="20% - Accent5 14 2 7" xfId="14437" xr:uid="{00000000-0005-0000-0000-0000B51C0000}"/>
    <cellStyle name="20% - Accent5 14 2 8" xfId="18388" xr:uid="{00000000-0005-0000-0000-0000B61C0000}"/>
    <cellStyle name="20% - Accent5 14 2_Volatility" xfId="3199" xr:uid="{00000000-0005-0000-0000-0000B71C0000}"/>
    <cellStyle name="20% - Accent5 14 3" xfId="3200" xr:uid="{00000000-0005-0000-0000-0000B81C0000}"/>
    <cellStyle name="20% - Accent5 14 3 2" xfId="3201" xr:uid="{00000000-0005-0000-0000-0000B91C0000}"/>
    <cellStyle name="20% - Accent5 14 3 2 2" xfId="3202" xr:uid="{00000000-0005-0000-0000-0000BA1C0000}"/>
    <cellStyle name="20% - Accent5 14 3 2 2 2" xfId="14451" xr:uid="{00000000-0005-0000-0000-0000BB1C0000}"/>
    <cellStyle name="20% - Accent5 14 3 2 2 3" xfId="18402" xr:uid="{00000000-0005-0000-0000-0000BC1C0000}"/>
    <cellStyle name="20% - Accent5 14 3 2 3" xfId="3203" xr:uid="{00000000-0005-0000-0000-0000BD1C0000}"/>
    <cellStyle name="20% - Accent5 14 3 2 3 2" xfId="14452" xr:uid="{00000000-0005-0000-0000-0000BE1C0000}"/>
    <cellStyle name="20% - Accent5 14 3 2 3 3" xfId="18403" xr:uid="{00000000-0005-0000-0000-0000BF1C0000}"/>
    <cellStyle name="20% - Accent5 14 3 2 4" xfId="14450" xr:uid="{00000000-0005-0000-0000-0000C01C0000}"/>
    <cellStyle name="20% - Accent5 14 3 2 5" xfId="18401" xr:uid="{00000000-0005-0000-0000-0000C11C0000}"/>
    <cellStyle name="20% - Accent5 14 3 3" xfId="3204" xr:uid="{00000000-0005-0000-0000-0000C21C0000}"/>
    <cellStyle name="20% - Accent5 14 3 3 2" xfId="3205" xr:uid="{00000000-0005-0000-0000-0000C31C0000}"/>
    <cellStyle name="20% - Accent5 14 3 3 2 2" xfId="14454" xr:uid="{00000000-0005-0000-0000-0000C41C0000}"/>
    <cellStyle name="20% - Accent5 14 3 3 2 3" xfId="18405" xr:uid="{00000000-0005-0000-0000-0000C51C0000}"/>
    <cellStyle name="20% - Accent5 14 3 3 3" xfId="3206" xr:uid="{00000000-0005-0000-0000-0000C61C0000}"/>
    <cellStyle name="20% - Accent5 14 3 3 3 2" xfId="14455" xr:uid="{00000000-0005-0000-0000-0000C71C0000}"/>
    <cellStyle name="20% - Accent5 14 3 3 3 3" xfId="18406" xr:uid="{00000000-0005-0000-0000-0000C81C0000}"/>
    <cellStyle name="20% - Accent5 14 3 3 4" xfId="14453" xr:uid="{00000000-0005-0000-0000-0000C91C0000}"/>
    <cellStyle name="20% - Accent5 14 3 3 5" xfId="18404" xr:uid="{00000000-0005-0000-0000-0000CA1C0000}"/>
    <cellStyle name="20% - Accent5 14 3 4" xfId="3207" xr:uid="{00000000-0005-0000-0000-0000CB1C0000}"/>
    <cellStyle name="20% - Accent5 14 3 4 2" xfId="14456" xr:uid="{00000000-0005-0000-0000-0000CC1C0000}"/>
    <cellStyle name="20% - Accent5 14 3 4 3" xfId="18407" xr:uid="{00000000-0005-0000-0000-0000CD1C0000}"/>
    <cellStyle name="20% - Accent5 14 3 5" xfId="3208" xr:uid="{00000000-0005-0000-0000-0000CE1C0000}"/>
    <cellStyle name="20% - Accent5 14 3 5 2" xfId="14457" xr:uid="{00000000-0005-0000-0000-0000CF1C0000}"/>
    <cellStyle name="20% - Accent5 14 3 5 3" xfId="18408" xr:uid="{00000000-0005-0000-0000-0000D01C0000}"/>
    <cellStyle name="20% - Accent5 14 3 6" xfId="14449" xr:uid="{00000000-0005-0000-0000-0000D11C0000}"/>
    <cellStyle name="20% - Accent5 14 3 7" xfId="18400" xr:uid="{00000000-0005-0000-0000-0000D21C0000}"/>
    <cellStyle name="20% - Accent5 14 3_Volatility" xfId="3209" xr:uid="{00000000-0005-0000-0000-0000D31C0000}"/>
    <cellStyle name="20% - Accent5 14 4" xfId="3210" xr:uid="{00000000-0005-0000-0000-0000D41C0000}"/>
    <cellStyle name="20% - Accent5 14 4 2" xfId="3211" xr:uid="{00000000-0005-0000-0000-0000D51C0000}"/>
    <cellStyle name="20% - Accent5 14 4 2 2" xfId="14459" xr:uid="{00000000-0005-0000-0000-0000D61C0000}"/>
    <cellStyle name="20% - Accent5 14 4 2 3" xfId="18410" xr:uid="{00000000-0005-0000-0000-0000D71C0000}"/>
    <cellStyle name="20% - Accent5 14 4 3" xfId="3212" xr:uid="{00000000-0005-0000-0000-0000D81C0000}"/>
    <cellStyle name="20% - Accent5 14 4 3 2" xfId="14460" xr:uid="{00000000-0005-0000-0000-0000D91C0000}"/>
    <cellStyle name="20% - Accent5 14 4 3 3" xfId="18411" xr:uid="{00000000-0005-0000-0000-0000DA1C0000}"/>
    <cellStyle name="20% - Accent5 14 4 4" xfId="14458" xr:uid="{00000000-0005-0000-0000-0000DB1C0000}"/>
    <cellStyle name="20% - Accent5 14 4 5" xfId="18409" xr:uid="{00000000-0005-0000-0000-0000DC1C0000}"/>
    <cellStyle name="20% - Accent5 14 5" xfId="3213" xr:uid="{00000000-0005-0000-0000-0000DD1C0000}"/>
    <cellStyle name="20% - Accent5 14 5 2" xfId="3214" xr:uid="{00000000-0005-0000-0000-0000DE1C0000}"/>
    <cellStyle name="20% - Accent5 14 5 2 2" xfId="14462" xr:uid="{00000000-0005-0000-0000-0000DF1C0000}"/>
    <cellStyle name="20% - Accent5 14 5 2 3" xfId="18413" xr:uid="{00000000-0005-0000-0000-0000E01C0000}"/>
    <cellStyle name="20% - Accent5 14 5 3" xfId="3215" xr:uid="{00000000-0005-0000-0000-0000E11C0000}"/>
    <cellStyle name="20% - Accent5 14 5 3 2" xfId="14463" xr:uid="{00000000-0005-0000-0000-0000E21C0000}"/>
    <cellStyle name="20% - Accent5 14 5 3 3" xfId="18414" xr:uid="{00000000-0005-0000-0000-0000E31C0000}"/>
    <cellStyle name="20% - Accent5 14 5 4" xfId="14461" xr:uid="{00000000-0005-0000-0000-0000E41C0000}"/>
    <cellStyle name="20% - Accent5 14 5 5" xfId="18412" xr:uid="{00000000-0005-0000-0000-0000E51C0000}"/>
    <cellStyle name="20% - Accent5 14 6" xfId="3216" xr:uid="{00000000-0005-0000-0000-0000E61C0000}"/>
    <cellStyle name="20% - Accent5 14 6 2" xfId="3217" xr:uid="{00000000-0005-0000-0000-0000E71C0000}"/>
    <cellStyle name="20% - Accent5 14 6 2 2" xfId="14465" xr:uid="{00000000-0005-0000-0000-0000E81C0000}"/>
    <cellStyle name="20% - Accent5 14 6 2 3" xfId="18416" xr:uid="{00000000-0005-0000-0000-0000E91C0000}"/>
    <cellStyle name="20% - Accent5 14 6 3" xfId="3218" xr:uid="{00000000-0005-0000-0000-0000EA1C0000}"/>
    <cellStyle name="20% - Accent5 14 6 3 2" xfId="14466" xr:uid="{00000000-0005-0000-0000-0000EB1C0000}"/>
    <cellStyle name="20% - Accent5 14 6 3 3" xfId="18417" xr:uid="{00000000-0005-0000-0000-0000EC1C0000}"/>
    <cellStyle name="20% - Accent5 14 6 4" xfId="14464" xr:uid="{00000000-0005-0000-0000-0000ED1C0000}"/>
    <cellStyle name="20% - Accent5 14 6 5" xfId="18415" xr:uid="{00000000-0005-0000-0000-0000EE1C0000}"/>
    <cellStyle name="20% - Accent5 14 7" xfId="3219" xr:uid="{00000000-0005-0000-0000-0000EF1C0000}"/>
    <cellStyle name="20% - Accent5 14 7 2" xfId="14467" xr:uid="{00000000-0005-0000-0000-0000F01C0000}"/>
    <cellStyle name="20% - Accent5 14 7 3" xfId="18418" xr:uid="{00000000-0005-0000-0000-0000F11C0000}"/>
    <cellStyle name="20% - Accent5 14 8" xfId="3220" xr:uid="{00000000-0005-0000-0000-0000F21C0000}"/>
    <cellStyle name="20% - Accent5 14 8 2" xfId="14468" xr:uid="{00000000-0005-0000-0000-0000F31C0000}"/>
    <cellStyle name="20% - Accent5 14 8 3" xfId="18419" xr:uid="{00000000-0005-0000-0000-0000F41C0000}"/>
    <cellStyle name="20% - Accent5 14 9" xfId="14436" xr:uid="{00000000-0005-0000-0000-0000F51C0000}"/>
    <cellStyle name="20% - Accent5 14_Volatility" xfId="3221" xr:uid="{00000000-0005-0000-0000-0000F61C0000}"/>
    <cellStyle name="20% - Accent5 15" xfId="3222" xr:uid="{00000000-0005-0000-0000-0000F71C0000}"/>
    <cellStyle name="20% - Accent5 15 10" xfId="18420" xr:uid="{00000000-0005-0000-0000-0000F81C0000}"/>
    <cellStyle name="20% - Accent5 15 2" xfId="3223" xr:uid="{00000000-0005-0000-0000-0000F91C0000}"/>
    <cellStyle name="20% - Accent5 15 2 2" xfId="3224" xr:uid="{00000000-0005-0000-0000-0000FA1C0000}"/>
    <cellStyle name="20% - Accent5 15 2 2 2" xfId="3225" xr:uid="{00000000-0005-0000-0000-0000FB1C0000}"/>
    <cellStyle name="20% - Accent5 15 2 2 2 2" xfId="14472" xr:uid="{00000000-0005-0000-0000-0000FC1C0000}"/>
    <cellStyle name="20% - Accent5 15 2 2 2 3" xfId="18423" xr:uid="{00000000-0005-0000-0000-0000FD1C0000}"/>
    <cellStyle name="20% - Accent5 15 2 2 3" xfId="3226" xr:uid="{00000000-0005-0000-0000-0000FE1C0000}"/>
    <cellStyle name="20% - Accent5 15 2 2 3 2" xfId="14473" xr:uid="{00000000-0005-0000-0000-0000FF1C0000}"/>
    <cellStyle name="20% - Accent5 15 2 2 3 3" xfId="18424" xr:uid="{00000000-0005-0000-0000-0000001D0000}"/>
    <cellStyle name="20% - Accent5 15 2 2 4" xfId="14471" xr:uid="{00000000-0005-0000-0000-0000011D0000}"/>
    <cellStyle name="20% - Accent5 15 2 2 5" xfId="18422" xr:uid="{00000000-0005-0000-0000-0000021D0000}"/>
    <cellStyle name="20% - Accent5 15 2 3" xfId="3227" xr:uid="{00000000-0005-0000-0000-0000031D0000}"/>
    <cellStyle name="20% - Accent5 15 2 3 2" xfId="3228" xr:uid="{00000000-0005-0000-0000-0000041D0000}"/>
    <cellStyle name="20% - Accent5 15 2 3 2 2" xfId="14475" xr:uid="{00000000-0005-0000-0000-0000051D0000}"/>
    <cellStyle name="20% - Accent5 15 2 3 2 3" xfId="18426" xr:uid="{00000000-0005-0000-0000-0000061D0000}"/>
    <cellStyle name="20% - Accent5 15 2 3 3" xfId="3229" xr:uid="{00000000-0005-0000-0000-0000071D0000}"/>
    <cellStyle name="20% - Accent5 15 2 3 3 2" xfId="14476" xr:uid="{00000000-0005-0000-0000-0000081D0000}"/>
    <cellStyle name="20% - Accent5 15 2 3 3 3" xfId="18427" xr:uid="{00000000-0005-0000-0000-0000091D0000}"/>
    <cellStyle name="20% - Accent5 15 2 3 4" xfId="14474" xr:uid="{00000000-0005-0000-0000-00000A1D0000}"/>
    <cellStyle name="20% - Accent5 15 2 3 5" xfId="18425" xr:uid="{00000000-0005-0000-0000-00000B1D0000}"/>
    <cellStyle name="20% - Accent5 15 2 4" xfId="3230" xr:uid="{00000000-0005-0000-0000-00000C1D0000}"/>
    <cellStyle name="20% - Accent5 15 2 4 2" xfId="3231" xr:uid="{00000000-0005-0000-0000-00000D1D0000}"/>
    <cellStyle name="20% - Accent5 15 2 4 2 2" xfId="14478" xr:uid="{00000000-0005-0000-0000-00000E1D0000}"/>
    <cellStyle name="20% - Accent5 15 2 4 2 3" xfId="18429" xr:uid="{00000000-0005-0000-0000-00000F1D0000}"/>
    <cellStyle name="20% - Accent5 15 2 4 3" xfId="3232" xr:uid="{00000000-0005-0000-0000-0000101D0000}"/>
    <cellStyle name="20% - Accent5 15 2 4 3 2" xfId="14479" xr:uid="{00000000-0005-0000-0000-0000111D0000}"/>
    <cellStyle name="20% - Accent5 15 2 4 3 3" xfId="18430" xr:uid="{00000000-0005-0000-0000-0000121D0000}"/>
    <cellStyle name="20% - Accent5 15 2 4 4" xfId="14477" xr:uid="{00000000-0005-0000-0000-0000131D0000}"/>
    <cellStyle name="20% - Accent5 15 2 4 5" xfId="18428" xr:uid="{00000000-0005-0000-0000-0000141D0000}"/>
    <cellStyle name="20% - Accent5 15 2 5" xfId="3233" xr:uid="{00000000-0005-0000-0000-0000151D0000}"/>
    <cellStyle name="20% - Accent5 15 2 5 2" xfId="14480" xr:uid="{00000000-0005-0000-0000-0000161D0000}"/>
    <cellStyle name="20% - Accent5 15 2 5 3" xfId="18431" xr:uid="{00000000-0005-0000-0000-0000171D0000}"/>
    <cellStyle name="20% - Accent5 15 2 6" xfId="3234" xr:uid="{00000000-0005-0000-0000-0000181D0000}"/>
    <cellStyle name="20% - Accent5 15 2 6 2" xfId="14481" xr:uid="{00000000-0005-0000-0000-0000191D0000}"/>
    <cellStyle name="20% - Accent5 15 2 6 3" xfId="18432" xr:uid="{00000000-0005-0000-0000-00001A1D0000}"/>
    <cellStyle name="20% - Accent5 15 2 7" xfId="14470" xr:uid="{00000000-0005-0000-0000-00001B1D0000}"/>
    <cellStyle name="20% - Accent5 15 2 8" xfId="18421" xr:uid="{00000000-0005-0000-0000-00001C1D0000}"/>
    <cellStyle name="20% - Accent5 15 2_Volatility" xfId="3235" xr:uid="{00000000-0005-0000-0000-00001D1D0000}"/>
    <cellStyle name="20% - Accent5 15 3" xfId="3236" xr:uid="{00000000-0005-0000-0000-00001E1D0000}"/>
    <cellStyle name="20% - Accent5 15 3 2" xfId="3237" xr:uid="{00000000-0005-0000-0000-00001F1D0000}"/>
    <cellStyle name="20% - Accent5 15 3 2 2" xfId="3238" xr:uid="{00000000-0005-0000-0000-0000201D0000}"/>
    <cellStyle name="20% - Accent5 15 3 2 2 2" xfId="14484" xr:uid="{00000000-0005-0000-0000-0000211D0000}"/>
    <cellStyle name="20% - Accent5 15 3 2 2 3" xfId="18435" xr:uid="{00000000-0005-0000-0000-0000221D0000}"/>
    <cellStyle name="20% - Accent5 15 3 2 3" xfId="3239" xr:uid="{00000000-0005-0000-0000-0000231D0000}"/>
    <cellStyle name="20% - Accent5 15 3 2 3 2" xfId="14485" xr:uid="{00000000-0005-0000-0000-0000241D0000}"/>
    <cellStyle name="20% - Accent5 15 3 2 3 3" xfId="18436" xr:uid="{00000000-0005-0000-0000-0000251D0000}"/>
    <cellStyle name="20% - Accent5 15 3 2 4" xfId="14483" xr:uid="{00000000-0005-0000-0000-0000261D0000}"/>
    <cellStyle name="20% - Accent5 15 3 2 5" xfId="18434" xr:uid="{00000000-0005-0000-0000-0000271D0000}"/>
    <cellStyle name="20% - Accent5 15 3 3" xfId="3240" xr:uid="{00000000-0005-0000-0000-0000281D0000}"/>
    <cellStyle name="20% - Accent5 15 3 3 2" xfId="3241" xr:uid="{00000000-0005-0000-0000-0000291D0000}"/>
    <cellStyle name="20% - Accent5 15 3 3 2 2" xfId="14487" xr:uid="{00000000-0005-0000-0000-00002A1D0000}"/>
    <cellStyle name="20% - Accent5 15 3 3 2 3" xfId="18438" xr:uid="{00000000-0005-0000-0000-00002B1D0000}"/>
    <cellStyle name="20% - Accent5 15 3 3 3" xfId="3242" xr:uid="{00000000-0005-0000-0000-00002C1D0000}"/>
    <cellStyle name="20% - Accent5 15 3 3 3 2" xfId="14488" xr:uid="{00000000-0005-0000-0000-00002D1D0000}"/>
    <cellStyle name="20% - Accent5 15 3 3 3 3" xfId="18439" xr:uid="{00000000-0005-0000-0000-00002E1D0000}"/>
    <cellStyle name="20% - Accent5 15 3 3 4" xfId="14486" xr:uid="{00000000-0005-0000-0000-00002F1D0000}"/>
    <cellStyle name="20% - Accent5 15 3 3 5" xfId="18437" xr:uid="{00000000-0005-0000-0000-0000301D0000}"/>
    <cellStyle name="20% - Accent5 15 3 4" xfId="3243" xr:uid="{00000000-0005-0000-0000-0000311D0000}"/>
    <cellStyle name="20% - Accent5 15 3 4 2" xfId="14489" xr:uid="{00000000-0005-0000-0000-0000321D0000}"/>
    <cellStyle name="20% - Accent5 15 3 4 3" xfId="18440" xr:uid="{00000000-0005-0000-0000-0000331D0000}"/>
    <cellStyle name="20% - Accent5 15 3 5" xfId="3244" xr:uid="{00000000-0005-0000-0000-0000341D0000}"/>
    <cellStyle name="20% - Accent5 15 3 5 2" xfId="14490" xr:uid="{00000000-0005-0000-0000-0000351D0000}"/>
    <cellStyle name="20% - Accent5 15 3 5 3" xfId="18441" xr:uid="{00000000-0005-0000-0000-0000361D0000}"/>
    <cellStyle name="20% - Accent5 15 3 6" xfId="14482" xr:uid="{00000000-0005-0000-0000-0000371D0000}"/>
    <cellStyle name="20% - Accent5 15 3 7" xfId="18433" xr:uid="{00000000-0005-0000-0000-0000381D0000}"/>
    <cellStyle name="20% - Accent5 15 3_Volatility" xfId="3245" xr:uid="{00000000-0005-0000-0000-0000391D0000}"/>
    <cellStyle name="20% - Accent5 15 4" xfId="3246" xr:uid="{00000000-0005-0000-0000-00003A1D0000}"/>
    <cellStyle name="20% - Accent5 15 4 2" xfId="3247" xr:uid="{00000000-0005-0000-0000-00003B1D0000}"/>
    <cellStyle name="20% - Accent5 15 4 2 2" xfId="14492" xr:uid="{00000000-0005-0000-0000-00003C1D0000}"/>
    <cellStyle name="20% - Accent5 15 4 2 3" xfId="18443" xr:uid="{00000000-0005-0000-0000-00003D1D0000}"/>
    <cellStyle name="20% - Accent5 15 4 3" xfId="3248" xr:uid="{00000000-0005-0000-0000-00003E1D0000}"/>
    <cellStyle name="20% - Accent5 15 4 3 2" xfId="14493" xr:uid="{00000000-0005-0000-0000-00003F1D0000}"/>
    <cellStyle name="20% - Accent5 15 4 3 3" xfId="18444" xr:uid="{00000000-0005-0000-0000-0000401D0000}"/>
    <cellStyle name="20% - Accent5 15 4 4" xfId="14491" xr:uid="{00000000-0005-0000-0000-0000411D0000}"/>
    <cellStyle name="20% - Accent5 15 4 5" xfId="18442" xr:uid="{00000000-0005-0000-0000-0000421D0000}"/>
    <cellStyle name="20% - Accent5 15 5" xfId="3249" xr:uid="{00000000-0005-0000-0000-0000431D0000}"/>
    <cellStyle name="20% - Accent5 15 5 2" xfId="3250" xr:uid="{00000000-0005-0000-0000-0000441D0000}"/>
    <cellStyle name="20% - Accent5 15 5 2 2" xfId="14495" xr:uid="{00000000-0005-0000-0000-0000451D0000}"/>
    <cellStyle name="20% - Accent5 15 5 2 3" xfId="18446" xr:uid="{00000000-0005-0000-0000-0000461D0000}"/>
    <cellStyle name="20% - Accent5 15 5 3" xfId="3251" xr:uid="{00000000-0005-0000-0000-0000471D0000}"/>
    <cellStyle name="20% - Accent5 15 5 3 2" xfId="14496" xr:uid="{00000000-0005-0000-0000-0000481D0000}"/>
    <cellStyle name="20% - Accent5 15 5 3 3" xfId="18447" xr:uid="{00000000-0005-0000-0000-0000491D0000}"/>
    <cellStyle name="20% - Accent5 15 5 4" xfId="14494" xr:uid="{00000000-0005-0000-0000-00004A1D0000}"/>
    <cellStyle name="20% - Accent5 15 5 5" xfId="18445" xr:uid="{00000000-0005-0000-0000-00004B1D0000}"/>
    <cellStyle name="20% - Accent5 15 6" xfId="3252" xr:uid="{00000000-0005-0000-0000-00004C1D0000}"/>
    <cellStyle name="20% - Accent5 15 6 2" xfId="3253" xr:uid="{00000000-0005-0000-0000-00004D1D0000}"/>
    <cellStyle name="20% - Accent5 15 6 2 2" xfId="14498" xr:uid="{00000000-0005-0000-0000-00004E1D0000}"/>
    <cellStyle name="20% - Accent5 15 6 2 3" xfId="18449" xr:uid="{00000000-0005-0000-0000-00004F1D0000}"/>
    <cellStyle name="20% - Accent5 15 6 3" xfId="3254" xr:uid="{00000000-0005-0000-0000-0000501D0000}"/>
    <cellStyle name="20% - Accent5 15 6 3 2" xfId="14499" xr:uid="{00000000-0005-0000-0000-0000511D0000}"/>
    <cellStyle name="20% - Accent5 15 6 3 3" xfId="18450" xr:uid="{00000000-0005-0000-0000-0000521D0000}"/>
    <cellStyle name="20% - Accent5 15 6 4" xfId="14497" xr:uid="{00000000-0005-0000-0000-0000531D0000}"/>
    <cellStyle name="20% - Accent5 15 6 5" xfId="18448" xr:uid="{00000000-0005-0000-0000-0000541D0000}"/>
    <cellStyle name="20% - Accent5 15 7" xfId="3255" xr:uid="{00000000-0005-0000-0000-0000551D0000}"/>
    <cellStyle name="20% - Accent5 15 7 2" xfId="14500" xr:uid="{00000000-0005-0000-0000-0000561D0000}"/>
    <cellStyle name="20% - Accent5 15 7 3" xfId="18451" xr:uid="{00000000-0005-0000-0000-0000571D0000}"/>
    <cellStyle name="20% - Accent5 15 8" xfId="3256" xr:uid="{00000000-0005-0000-0000-0000581D0000}"/>
    <cellStyle name="20% - Accent5 15 8 2" xfId="14501" xr:uid="{00000000-0005-0000-0000-0000591D0000}"/>
    <cellStyle name="20% - Accent5 15 8 3" xfId="18452" xr:uid="{00000000-0005-0000-0000-00005A1D0000}"/>
    <cellStyle name="20% - Accent5 15 9" xfId="14469" xr:uid="{00000000-0005-0000-0000-00005B1D0000}"/>
    <cellStyle name="20% - Accent5 15_Volatility" xfId="3257" xr:uid="{00000000-0005-0000-0000-00005C1D0000}"/>
    <cellStyle name="20% - Accent5 16" xfId="3258" xr:uid="{00000000-0005-0000-0000-00005D1D0000}"/>
    <cellStyle name="20% - Accent5 16 2" xfId="14502" xr:uid="{00000000-0005-0000-0000-00005E1D0000}"/>
    <cellStyle name="20% - Accent5 16 3" xfId="18453" xr:uid="{00000000-0005-0000-0000-00005F1D0000}"/>
    <cellStyle name="20% - Accent5 17" xfId="3259" xr:uid="{00000000-0005-0000-0000-0000601D0000}"/>
    <cellStyle name="20% - Accent5 17 2" xfId="14503" xr:uid="{00000000-0005-0000-0000-0000611D0000}"/>
    <cellStyle name="20% - Accent5 17 3" xfId="18454" xr:uid="{00000000-0005-0000-0000-0000621D0000}"/>
    <cellStyle name="20% - Accent5 18" xfId="3260" xr:uid="{00000000-0005-0000-0000-0000631D0000}"/>
    <cellStyle name="20% - Accent5 18 2" xfId="14504" xr:uid="{00000000-0005-0000-0000-0000641D0000}"/>
    <cellStyle name="20% - Accent5 18 3" xfId="18455" xr:uid="{00000000-0005-0000-0000-0000651D0000}"/>
    <cellStyle name="20% - Accent5 19" xfId="3261" xr:uid="{00000000-0005-0000-0000-0000661D0000}"/>
    <cellStyle name="20% - Accent5 19 2" xfId="14505" xr:uid="{00000000-0005-0000-0000-0000671D0000}"/>
    <cellStyle name="20% - Accent5 19 3" xfId="18456" xr:uid="{00000000-0005-0000-0000-0000681D0000}"/>
    <cellStyle name="20% - Accent5 2" xfId="3262" xr:uid="{00000000-0005-0000-0000-0000691D0000}"/>
    <cellStyle name="20% - Accent5 2 10" xfId="18457" xr:uid="{00000000-0005-0000-0000-00006A1D0000}"/>
    <cellStyle name="20% - Accent5 2 2" xfId="3263" xr:uid="{00000000-0005-0000-0000-00006B1D0000}"/>
    <cellStyle name="20% - Accent5 2 2 2" xfId="3264" xr:uid="{00000000-0005-0000-0000-00006C1D0000}"/>
    <cellStyle name="20% - Accent5 2 2 2 2" xfId="3265" xr:uid="{00000000-0005-0000-0000-00006D1D0000}"/>
    <cellStyle name="20% - Accent5 2 2 2 2 2" xfId="14509" xr:uid="{00000000-0005-0000-0000-00006E1D0000}"/>
    <cellStyle name="20% - Accent5 2 2 2 2 3" xfId="18460" xr:uid="{00000000-0005-0000-0000-00006F1D0000}"/>
    <cellStyle name="20% - Accent5 2 2 2 3" xfId="3266" xr:uid="{00000000-0005-0000-0000-0000701D0000}"/>
    <cellStyle name="20% - Accent5 2 2 2 3 2" xfId="14510" xr:uid="{00000000-0005-0000-0000-0000711D0000}"/>
    <cellStyle name="20% - Accent5 2 2 2 3 3" xfId="18461" xr:uid="{00000000-0005-0000-0000-0000721D0000}"/>
    <cellStyle name="20% - Accent5 2 2 2 4" xfId="14508" xr:uid="{00000000-0005-0000-0000-0000731D0000}"/>
    <cellStyle name="20% - Accent5 2 2 2 5" xfId="18459" xr:uid="{00000000-0005-0000-0000-0000741D0000}"/>
    <cellStyle name="20% - Accent5 2 2 3" xfId="3267" xr:uid="{00000000-0005-0000-0000-0000751D0000}"/>
    <cellStyle name="20% - Accent5 2 2 3 2" xfId="3268" xr:uid="{00000000-0005-0000-0000-0000761D0000}"/>
    <cellStyle name="20% - Accent5 2 2 3 2 2" xfId="14512" xr:uid="{00000000-0005-0000-0000-0000771D0000}"/>
    <cellStyle name="20% - Accent5 2 2 3 2 3" xfId="18463" xr:uid="{00000000-0005-0000-0000-0000781D0000}"/>
    <cellStyle name="20% - Accent5 2 2 3 3" xfId="3269" xr:uid="{00000000-0005-0000-0000-0000791D0000}"/>
    <cellStyle name="20% - Accent5 2 2 3 3 2" xfId="14513" xr:uid="{00000000-0005-0000-0000-00007A1D0000}"/>
    <cellStyle name="20% - Accent5 2 2 3 3 3" xfId="18464" xr:uid="{00000000-0005-0000-0000-00007B1D0000}"/>
    <cellStyle name="20% - Accent5 2 2 3 4" xfId="14511" xr:uid="{00000000-0005-0000-0000-00007C1D0000}"/>
    <cellStyle name="20% - Accent5 2 2 3 5" xfId="18462" xr:uid="{00000000-0005-0000-0000-00007D1D0000}"/>
    <cellStyle name="20% - Accent5 2 2 4" xfId="3270" xr:uid="{00000000-0005-0000-0000-00007E1D0000}"/>
    <cellStyle name="20% - Accent5 2 2 4 2" xfId="3271" xr:uid="{00000000-0005-0000-0000-00007F1D0000}"/>
    <cellStyle name="20% - Accent5 2 2 4 2 2" xfId="14515" xr:uid="{00000000-0005-0000-0000-0000801D0000}"/>
    <cellStyle name="20% - Accent5 2 2 4 2 3" xfId="18466" xr:uid="{00000000-0005-0000-0000-0000811D0000}"/>
    <cellStyle name="20% - Accent5 2 2 4 3" xfId="3272" xr:uid="{00000000-0005-0000-0000-0000821D0000}"/>
    <cellStyle name="20% - Accent5 2 2 4 3 2" xfId="14516" xr:uid="{00000000-0005-0000-0000-0000831D0000}"/>
    <cellStyle name="20% - Accent5 2 2 4 3 3" xfId="18467" xr:uid="{00000000-0005-0000-0000-0000841D0000}"/>
    <cellStyle name="20% - Accent5 2 2 4 4" xfId="14514" xr:uid="{00000000-0005-0000-0000-0000851D0000}"/>
    <cellStyle name="20% - Accent5 2 2 4 5" xfId="18465" xr:uid="{00000000-0005-0000-0000-0000861D0000}"/>
    <cellStyle name="20% - Accent5 2 2 5" xfId="3273" xr:uid="{00000000-0005-0000-0000-0000871D0000}"/>
    <cellStyle name="20% - Accent5 2 2 5 2" xfId="14517" xr:uid="{00000000-0005-0000-0000-0000881D0000}"/>
    <cellStyle name="20% - Accent5 2 2 5 3" xfId="18468" xr:uid="{00000000-0005-0000-0000-0000891D0000}"/>
    <cellStyle name="20% - Accent5 2 2 6" xfId="3274" xr:uid="{00000000-0005-0000-0000-00008A1D0000}"/>
    <cellStyle name="20% - Accent5 2 2 6 2" xfId="14518" xr:uid="{00000000-0005-0000-0000-00008B1D0000}"/>
    <cellStyle name="20% - Accent5 2 2 6 3" xfId="18469" xr:uid="{00000000-0005-0000-0000-00008C1D0000}"/>
    <cellStyle name="20% - Accent5 2 2 7" xfId="14507" xr:uid="{00000000-0005-0000-0000-00008D1D0000}"/>
    <cellStyle name="20% - Accent5 2 2 8" xfId="18458" xr:uid="{00000000-0005-0000-0000-00008E1D0000}"/>
    <cellStyle name="20% - Accent5 2 2_Volatility" xfId="3275" xr:uid="{00000000-0005-0000-0000-00008F1D0000}"/>
    <cellStyle name="20% - Accent5 2 3" xfId="3276" xr:uid="{00000000-0005-0000-0000-0000901D0000}"/>
    <cellStyle name="20% - Accent5 2 3 2" xfId="3277" xr:uid="{00000000-0005-0000-0000-0000911D0000}"/>
    <cellStyle name="20% - Accent5 2 3 2 2" xfId="3278" xr:uid="{00000000-0005-0000-0000-0000921D0000}"/>
    <cellStyle name="20% - Accent5 2 3 2 2 2" xfId="14521" xr:uid="{00000000-0005-0000-0000-0000931D0000}"/>
    <cellStyle name="20% - Accent5 2 3 2 2 3" xfId="18472" xr:uid="{00000000-0005-0000-0000-0000941D0000}"/>
    <cellStyle name="20% - Accent5 2 3 2 3" xfId="3279" xr:uid="{00000000-0005-0000-0000-0000951D0000}"/>
    <cellStyle name="20% - Accent5 2 3 2 3 2" xfId="14522" xr:uid="{00000000-0005-0000-0000-0000961D0000}"/>
    <cellStyle name="20% - Accent5 2 3 2 3 3" xfId="18473" xr:uid="{00000000-0005-0000-0000-0000971D0000}"/>
    <cellStyle name="20% - Accent5 2 3 2 4" xfId="14520" xr:uid="{00000000-0005-0000-0000-0000981D0000}"/>
    <cellStyle name="20% - Accent5 2 3 2 5" xfId="18471" xr:uid="{00000000-0005-0000-0000-0000991D0000}"/>
    <cellStyle name="20% - Accent5 2 3 3" xfId="3280" xr:uid="{00000000-0005-0000-0000-00009A1D0000}"/>
    <cellStyle name="20% - Accent5 2 3 3 2" xfId="3281" xr:uid="{00000000-0005-0000-0000-00009B1D0000}"/>
    <cellStyle name="20% - Accent5 2 3 3 2 2" xfId="14524" xr:uid="{00000000-0005-0000-0000-00009C1D0000}"/>
    <cellStyle name="20% - Accent5 2 3 3 2 3" xfId="18475" xr:uid="{00000000-0005-0000-0000-00009D1D0000}"/>
    <cellStyle name="20% - Accent5 2 3 3 3" xfId="3282" xr:uid="{00000000-0005-0000-0000-00009E1D0000}"/>
    <cellStyle name="20% - Accent5 2 3 3 3 2" xfId="14525" xr:uid="{00000000-0005-0000-0000-00009F1D0000}"/>
    <cellStyle name="20% - Accent5 2 3 3 3 3" xfId="18476" xr:uid="{00000000-0005-0000-0000-0000A01D0000}"/>
    <cellStyle name="20% - Accent5 2 3 3 4" xfId="14523" xr:uid="{00000000-0005-0000-0000-0000A11D0000}"/>
    <cellStyle name="20% - Accent5 2 3 3 5" xfId="18474" xr:uid="{00000000-0005-0000-0000-0000A21D0000}"/>
    <cellStyle name="20% - Accent5 2 3 4" xfId="3283" xr:uid="{00000000-0005-0000-0000-0000A31D0000}"/>
    <cellStyle name="20% - Accent5 2 3 4 2" xfId="14526" xr:uid="{00000000-0005-0000-0000-0000A41D0000}"/>
    <cellStyle name="20% - Accent5 2 3 4 3" xfId="18477" xr:uid="{00000000-0005-0000-0000-0000A51D0000}"/>
    <cellStyle name="20% - Accent5 2 3 5" xfId="3284" xr:uid="{00000000-0005-0000-0000-0000A61D0000}"/>
    <cellStyle name="20% - Accent5 2 3 5 2" xfId="14527" xr:uid="{00000000-0005-0000-0000-0000A71D0000}"/>
    <cellStyle name="20% - Accent5 2 3 5 3" xfId="18478" xr:uid="{00000000-0005-0000-0000-0000A81D0000}"/>
    <cellStyle name="20% - Accent5 2 3 6" xfId="14519" xr:uid="{00000000-0005-0000-0000-0000A91D0000}"/>
    <cellStyle name="20% - Accent5 2 3 7" xfId="18470" xr:uid="{00000000-0005-0000-0000-0000AA1D0000}"/>
    <cellStyle name="20% - Accent5 2 3_Volatility" xfId="3285" xr:uid="{00000000-0005-0000-0000-0000AB1D0000}"/>
    <cellStyle name="20% - Accent5 2 4" xfId="3286" xr:uid="{00000000-0005-0000-0000-0000AC1D0000}"/>
    <cellStyle name="20% - Accent5 2 4 2" xfId="3287" xr:uid="{00000000-0005-0000-0000-0000AD1D0000}"/>
    <cellStyle name="20% - Accent5 2 4 2 2" xfId="14529" xr:uid="{00000000-0005-0000-0000-0000AE1D0000}"/>
    <cellStyle name="20% - Accent5 2 4 2 3" xfId="18480" xr:uid="{00000000-0005-0000-0000-0000AF1D0000}"/>
    <cellStyle name="20% - Accent5 2 4 3" xfId="3288" xr:uid="{00000000-0005-0000-0000-0000B01D0000}"/>
    <cellStyle name="20% - Accent5 2 4 3 2" xfId="14530" xr:uid="{00000000-0005-0000-0000-0000B11D0000}"/>
    <cellStyle name="20% - Accent5 2 4 3 3" xfId="18481" xr:uid="{00000000-0005-0000-0000-0000B21D0000}"/>
    <cellStyle name="20% - Accent5 2 4 4" xfId="14528" xr:uid="{00000000-0005-0000-0000-0000B31D0000}"/>
    <cellStyle name="20% - Accent5 2 4 5" xfId="18479" xr:uid="{00000000-0005-0000-0000-0000B41D0000}"/>
    <cellStyle name="20% - Accent5 2 5" xfId="3289" xr:uid="{00000000-0005-0000-0000-0000B51D0000}"/>
    <cellStyle name="20% - Accent5 2 5 2" xfId="3290" xr:uid="{00000000-0005-0000-0000-0000B61D0000}"/>
    <cellStyle name="20% - Accent5 2 5 2 2" xfId="14532" xr:uid="{00000000-0005-0000-0000-0000B71D0000}"/>
    <cellStyle name="20% - Accent5 2 5 2 3" xfId="18483" xr:uid="{00000000-0005-0000-0000-0000B81D0000}"/>
    <cellStyle name="20% - Accent5 2 5 3" xfId="3291" xr:uid="{00000000-0005-0000-0000-0000B91D0000}"/>
    <cellStyle name="20% - Accent5 2 5 3 2" xfId="14533" xr:uid="{00000000-0005-0000-0000-0000BA1D0000}"/>
    <cellStyle name="20% - Accent5 2 5 3 3" xfId="18484" xr:uid="{00000000-0005-0000-0000-0000BB1D0000}"/>
    <cellStyle name="20% - Accent5 2 5 4" xfId="14531" xr:uid="{00000000-0005-0000-0000-0000BC1D0000}"/>
    <cellStyle name="20% - Accent5 2 5 5" xfId="18482" xr:uid="{00000000-0005-0000-0000-0000BD1D0000}"/>
    <cellStyle name="20% - Accent5 2 6" xfId="3292" xr:uid="{00000000-0005-0000-0000-0000BE1D0000}"/>
    <cellStyle name="20% - Accent5 2 6 2" xfId="3293" xr:uid="{00000000-0005-0000-0000-0000BF1D0000}"/>
    <cellStyle name="20% - Accent5 2 6 2 2" xfId="14535" xr:uid="{00000000-0005-0000-0000-0000C01D0000}"/>
    <cellStyle name="20% - Accent5 2 6 2 3" xfId="18486" xr:uid="{00000000-0005-0000-0000-0000C11D0000}"/>
    <cellStyle name="20% - Accent5 2 6 3" xfId="3294" xr:uid="{00000000-0005-0000-0000-0000C21D0000}"/>
    <cellStyle name="20% - Accent5 2 6 3 2" xfId="14536" xr:uid="{00000000-0005-0000-0000-0000C31D0000}"/>
    <cellStyle name="20% - Accent5 2 6 3 3" xfId="18487" xr:uid="{00000000-0005-0000-0000-0000C41D0000}"/>
    <cellStyle name="20% - Accent5 2 6 4" xfId="14534" xr:uid="{00000000-0005-0000-0000-0000C51D0000}"/>
    <cellStyle name="20% - Accent5 2 6 5" xfId="18485" xr:uid="{00000000-0005-0000-0000-0000C61D0000}"/>
    <cellStyle name="20% - Accent5 2 7" xfId="3295" xr:uid="{00000000-0005-0000-0000-0000C71D0000}"/>
    <cellStyle name="20% - Accent5 2 7 2" xfId="14537" xr:uid="{00000000-0005-0000-0000-0000C81D0000}"/>
    <cellStyle name="20% - Accent5 2 7 3" xfId="18488" xr:uid="{00000000-0005-0000-0000-0000C91D0000}"/>
    <cellStyle name="20% - Accent5 2 8" xfId="3296" xr:uid="{00000000-0005-0000-0000-0000CA1D0000}"/>
    <cellStyle name="20% - Accent5 2 8 2" xfId="14538" xr:uid="{00000000-0005-0000-0000-0000CB1D0000}"/>
    <cellStyle name="20% - Accent5 2 8 3" xfId="18489" xr:uid="{00000000-0005-0000-0000-0000CC1D0000}"/>
    <cellStyle name="20% - Accent5 2 9" xfId="14506" xr:uid="{00000000-0005-0000-0000-0000CD1D0000}"/>
    <cellStyle name="20% - Accent5 2_Volatility" xfId="3297" xr:uid="{00000000-0005-0000-0000-0000CE1D0000}"/>
    <cellStyle name="20% - Accent5 3" xfId="3298" xr:uid="{00000000-0005-0000-0000-0000CF1D0000}"/>
    <cellStyle name="20% - Accent5 3 10" xfId="18490" xr:uid="{00000000-0005-0000-0000-0000D01D0000}"/>
    <cellStyle name="20% - Accent5 3 2" xfId="3299" xr:uid="{00000000-0005-0000-0000-0000D11D0000}"/>
    <cellStyle name="20% - Accent5 3 2 2" xfId="3300" xr:uid="{00000000-0005-0000-0000-0000D21D0000}"/>
    <cellStyle name="20% - Accent5 3 2 2 2" xfId="3301" xr:uid="{00000000-0005-0000-0000-0000D31D0000}"/>
    <cellStyle name="20% - Accent5 3 2 2 2 2" xfId="14542" xr:uid="{00000000-0005-0000-0000-0000D41D0000}"/>
    <cellStyle name="20% - Accent5 3 2 2 2 3" xfId="18493" xr:uid="{00000000-0005-0000-0000-0000D51D0000}"/>
    <cellStyle name="20% - Accent5 3 2 2 3" xfId="3302" xr:uid="{00000000-0005-0000-0000-0000D61D0000}"/>
    <cellStyle name="20% - Accent5 3 2 2 3 2" xfId="14543" xr:uid="{00000000-0005-0000-0000-0000D71D0000}"/>
    <cellStyle name="20% - Accent5 3 2 2 3 3" xfId="18494" xr:uid="{00000000-0005-0000-0000-0000D81D0000}"/>
    <cellStyle name="20% - Accent5 3 2 2 4" xfId="14541" xr:uid="{00000000-0005-0000-0000-0000D91D0000}"/>
    <cellStyle name="20% - Accent5 3 2 2 5" xfId="18492" xr:uid="{00000000-0005-0000-0000-0000DA1D0000}"/>
    <cellStyle name="20% - Accent5 3 2 3" xfId="3303" xr:uid="{00000000-0005-0000-0000-0000DB1D0000}"/>
    <cellStyle name="20% - Accent5 3 2 3 2" xfId="3304" xr:uid="{00000000-0005-0000-0000-0000DC1D0000}"/>
    <cellStyle name="20% - Accent5 3 2 3 2 2" xfId="14545" xr:uid="{00000000-0005-0000-0000-0000DD1D0000}"/>
    <cellStyle name="20% - Accent5 3 2 3 2 3" xfId="18496" xr:uid="{00000000-0005-0000-0000-0000DE1D0000}"/>
    <cellStyle name="20% - Accent5 3 2 3 3" xfId="3305" xr:uid="{00000000-0005-0000-0000-0000DF1D0000}"/>
    <cellStyle name="20% - Accent5 3 2 3 3 2" xfId="14546" xr:uid="{00000000-0005-0000-0000-0000E01D0000}"/>
    <cellStyle name="20% - Accent5 3 2 3 3 3" xfId="18497" xr:uid="{00000000-0005-0000-0000-0000E11D0000}"/>
    <cellStyle name="20% - Accent5 3 2 3 4" xfId="14544" xr:uid="{00000000-0005-0000-0000-0000E21D0000}"/>
    <cellStyle name="20% - Accent5 3 2 3 5" xfId="18495" xr:uid="{00000000-0005-0000-0000-0000E31D0000}"/>
    <cellStyle name="20% - Accent5 3 2 4" xfId="3306" xr:uid="{00000000-0005-0000-0000-0000E41D0000}"/>
    <cellStyle name="20% - Accent5 3 2 4 2" xfId="3307" xr:uid="{00000000-0005-0000-0000-0000E51D0000}"/>
    <cellStyle name="20% - Accent5 3 2 4 2 2" xfId="14548" xr:uid="{00000000-0005-0000-0000-0000E61D0000}"/>
    <cellStyle name="20% - Accent5 3 2 4 2 3" xfId="18499" xr:uid="{00000000-0005-0000-0000-0000E71D0000}"/>
    <cellStyle name="20% - Accent5 3 2 4 3" xfId="3308" xr:uid="{00000000-0005-0000-0000-0000E81D0000}"/>
    <cellStyle name="20% - Accent5 3 2 4 3 2" xfId="14549" xr:uid="{00000000-0005-0000-0000-0000E91D0000}"/>
    <cellStyle name="20% - Accent5 3 2 4 3 3" xfId="18500" xr:uid="{00000000-0005-0000-0000-0000EA1D0000}"/>
    <cellStyle name="20% - Accent5 3 2 4 4" xfId="14547" xr:uid="{00000000-0005-0000-0000-0000EB1D0000}"/>
    <cellStyle name="20% - Accent5 3 2 4 5" xfId="18498" xr:uid="{00000000-0005-0000-0000-0000EC1D0000}"/>
    <cellStyle name="20% - Accent5 3 2 5" xfId="3309" xr:uid="{00000000-0005-0000-0000-0000ED1D0000}"/>
    <cellStyle name="20% - Accent5 3 2 5 2" xfId="14550" xr:uid="{00000000-0005-0000-0000-0000EE1D0000}"/>
    <cellStyle name="20% - Accent5 3 2 5 3" xfId="18501" xr:uid="{00000000-0005-0000-0000-0000EF1D0000}"/>
    <cellStyle name="20% - Accent5 3 2 6" xfId="3310" xr:uid="{00000000-0005-0000-0000-0000F01D0000}"/>
    <cellStyle name="20% - Accent5 3 2 6 2" xfId="14551" xr:uid="{00000000-0005-0000-0000-0000F11D0000}"/>
    <cellStyle name="20% - Accent5 3 2 6 3" xfId="18502" xr:uid="{00000000-0005-0000-0000-0000F21D0000}"/>
    <cellStyle name="20% - Accent5 3 2 7" xfId="14540" xr:uid="{00000000-0005-0000-0000-0000F31D0000}"/>
    <cellStyle name="20% - Accent5 3 2 8" xfId="18491" xr:uid="{00000000-0005-0000-0000-0000F41D0000}"/>
    <cellStyle name="20% - Accent5 3 2_Volatility" xfId="3311" xr:uid="{00000000-0005-0000-0000-0000F51D0000}"/>
    <cellStyle name="20% - Accent5 3 3" xfId="3312" xr:uid="{00000000-0005-0000-0000-0000F61D0000}"/>
    <cellStyle name="20% - Accent5 3 3 2" xfId="3313" xr:uid="{00000000-0005-0000-0000-0000F71D0000}"/>
    <cellStyle name="20% - Accent5 3 3 2 2" xfId="3314" xr:uid="{00000000-0005-0000-0000-0000F81D0000}"/>
    <cellStyle name="20% - Accent5 3 3 2 2 2" xfId="14554" xr:uid="{00000000-0005-0000-0000-0000F91D0000}"/>
    <cellStyle name="20% - Accent5 3 3 2 2 3" xfId="18505" xr:uid="{00000000-0005-0000-0000-0000FA1D0000}"/>
    <cellStyle name="20% - Accent5 3 3 2 3" xfId="3315" xr:uid="{00000000-0005-0000-0000-0000FB1D0000}"/>
    <cellStyle name="20% - Accent5 3 3 2 3 2" xfId="14555" xr:uid="{00000000-0005-0000-0000-0000FC1D0000}"/>
    <cellStyle name="20% - Accent5 3 3 2 3 3" xfId="18506" xr:uid="{00000000-0005-0000-0000-0000FD1D0000}"/>
    <cellStyle name="20% - Accent5 3 3 2 4" xfId="14553" xr:uid="{00000000-0005-0000-0000-0000FE1D0000}"/>
    <cellStyle name="20% - Accent5 3 3 2 5" xfId="18504" xr:uid="{00000000-0005-0000-0000-0000FF1D0000}"/>
    <cellStyle name="20% - Accent5 3 3 3" xfId="3316" xr:uid="{00000000-0005-0000-0000-0000001E0000}"/>
    <cellStyle name="20% - Accent5 3 3 3 2" xfId="3317" xr:uid="{00000000-0005-0000-0000-0000011E0000}"/>
    <cellStyle name="20% - Accent5 3 3 3 2 2" xfId="14557" xr:uid="{00000000-0005-0000-0000-0000021E0000}"/>
    <cellStyle name="20% - Accent5 3 3 3 2 3" xfId="18508" xr:uid="{00000000-0005-0000-0000-0000031E0000}"/>
    <cellStyle name="20% - Accent5 3 3 3 3" xfId="3318" xr:uid="{00000000-0005-0000-0000-0000041E0000}"/>
    <cellStyle name="20% - Accent5 3 3 3 3 2" xfId="14558" xr:uid="{00000000-0005-0000-0000-0000051E0000}"/>
    <cellStyle name="20% - Accent5 3 3 3 3 3" xfId="18509" xr:uid="{00000000-0005-0000-0000-0000061E0000}"/>
    <cellStyle name="20% - Accent5 3 3 3 4" xfId="14556" xr:uid="{00000000-0005-0000-0000-0000071E0000}"/>
    <cellStyle name="20% - Accent5 3 3 3 5" xfId="18507" xr:uid="{00000000-0005-0000-0000-0000081E0000}"/>
    <cellStyle name="20% - Accent5 3 3 4" xfId="3319" xr:uid="{00000000-0005-0000-0000-0000091E0000}"/>
    <cellStyle name="20% - Accent5 3 3 4 2" xfId="14559" xr:uid="{00000000-0005-0000-0000-00000A1E0000}"/>
    <cellStyle name="20% - Accent5 3 3 4 3" xfId="18510" xr:uid="{00000000-0005-0000-0000-00000B1E0000}"/>
    <cellStyle name="20% - Accent5 3 3 5" xfId="3320" xr:uid="{00000000-0005-0000-0000-00000C1E0000}"/>
    <cellStyle name="20% - Accent5 3 3 5 2" xfId="14560" xr:uid="{00000000-0005-0000-0000-00000D1E0000}"/>
    <cellStyle name="20% - Accent5 3 3 5 3" xfId="18511" xr:uid="{00000000-0005-0000-0000-00000E1E0000}"/>
    <cellStyle name="20% - Accent5 3 3 6" xfId="14552" xr:uid="{00000000-0005-0000-0000-00000F1E0000}"/>
    <cellStyle name="20% - Accent5 3 3 7" xfId="18503" xr:uid="{00000000-0005-0000-0000-0000101E0000}"/>
    <cellStyle name="20% - Accent5 3 3_Volatility" xfId="3321" xr:uid="{00000000-0005-0000-0000-0000111E0000}"/>
    <cellStyle name="20% - Accent5 3 4" xfId="3322" xr:uid="{00000000-0005-0000-0000-0000121E0000}"/>
    <cellStyle name="20% - Accent5 3 4 2" xfId="3323" xr:uid="{00000000-0005-0000-0000-0000131E0000}"/>
    <cellStyle name="20% - Accent5 3 4 2 2" xfId="14562" xr:uid="{00000000-0005-0000-0000-0000141E0000}"/>
    <cellStyle name="20% - Accent5 3 4 2 3" xfId="18513" xr:uid="{00000000-0005-0000-0000-0000151E0000}"/>
    <cellStyle name="20% - Accent5 3 4 3" xfId="3324" xr:uid="{00000000-0005-0000-0000-0000161E0000}"/>
    <cellStyle name="20% - Accent5 3 4 3 2" xfId="14563" xr:uid="{00000000-0005-0000-0000-0000171E0000}"/>
    <cellStyle name="20% - Accent5 3 4 3 3" xfId="18514" xr:uid="{00000000-0005-0000-0000-0000181E0000}"/>
    <cellStyle name="20% - Accent5 3 4 4" xfId="14561" xr:uid="{00000000-0005-0000-0000-0000191E0000}"/>
    <cellStyle name="20% - Accent5 3 4 5" xfId="18512" xr:uid="{00000000-0005-0000-0000-00001A1E0000}"/>
    <cellStyle name="20% - Accent5 3 5" xfId="3325" xr:uid="{00000000-0005-0000-0000-00001B1E0000}"/>
    <cellStyle name="20% - Accent5 3 5 2" xfId="3326" xr:uid="{00000000-0005-0000-0000-00001C1E0000}"/>
    <cellStyle name="20% - Accent5 3 5 2 2" xfId="14565" xr:uid="{00000000-0005-0000-0000-00001D1E0000}"/>
    <cellStyle name="20% - Accent5 3 5 2 3" xfId="18516" xr:uid="{00000000-0005-0000-0000-00001E1E0000}"/>
    <cellStyle name="20% - Accent5 3 5 3" xfId="3327" xr:uid="{00000000-0005-0000-0000-00001F1E0000}"/>
    <cellStyle name="20% - Accent5 3 5 3 2" xfId="14566" xr:uid="{00000000-0005-0000-0000-0000201E0000}"/>
    <cellStyle name="20% - Accent5 3 5 3 3" xfId="18517" xr:uid="{00000000-0005-0000-0000-0000211E0000}"/>
    <cellStyle name="20% - Accent5 3 5 4" xfId="14564" xr:uid="{00000000-0005-0000-0000-0000221E0000}"/>
    <cellStyle name="20% - Accent5 3 5 5" xfId="18515" xr:uid="{00000000-0005-0000-0000-0000231E0000}"/>
    <cellStyle name="20% - Accent5 3 6" xfId="3328" xr:uid="{00000000-0005-0000-0000-0000241E0000}"/>
    <cellStyle name="20% - Accent5 3 6 2" xfId="3329" xr:uid="{00000000-0005-0000-0000-0000251E0000}"/>
    <cellStyle name="20% - Accent5 3 6 2 2" xfId="14568" xr:uid="{00000000-0005-0000-0000-0000261E0000}"/>
    <cellStyle name="20% - Accent5 3 6 2 3" xfId="18519" xr:uid="{00000000-0005-0000-0000-0000271E0000}"/>
    <cellStyle name="20% - Accent5 3 6 3" xfId="3330" xr:uid="{00000000-0005-0000-0000-0000281E0000}"/>
    <cellStyle name="20% - Accent5 3 6 3 2" xfId="14569" xr:uid="{00000000-0005-0000-0000-0000291E0000}"/>
    <cellStyle name="20% - Accent5 3 6 3 3" xfId="18520" xr:uid="{00000000-0005-0000-0000-00002A1E0000}"/>
    <cellStyle name="20% - Accent5 3 6 4" xfId="14567" xr:uid="{00000000-0005-0000-0000-00002B1E0000}"/>
    <cellStyle name="20% - Accent5 3 6 5" xfId="18518" xr:uid="{00000000-0005-0000-0000-00002C1E0000}"/>
    <cellStyle name="20% - Accent5 3 7" xfId="3331" xr:uid="{00000000-0005-0000-0000-00002D1E0000}"/>
    <cellStyle name="20% - Accent5 3 7 2" xfId="14570" xr:uid="{00000000-0005-0000-0000-00002E1E0000}"/>
    <cellStyle name="20% - Accent5 3 7 3" xfId="18521" xr:uid="{00000000-0005-0000-0000-00002F1E0000}"/>
    <cellStyle name="20% - Accent5 3 8" xfId="3332" xr:uid="{00000000-0005-0000-0000-0000301E0000}"/>
    <cellStyle name="20% - Accent5 3 8 2" xfId="14571" xr:uid="{00000000-0005-0000-0000-0000311E0000}"/>
    <cellStyle name="20% - Accent5 3 8 3" xfId="18522" xr:uid="{00000000-0005-0000-0000-0000321E0000}"/>
    <cellStyle name="20% - Accent5 3 9" xfId="14539" xr:uid="{00000000-0005-0000-0000-0000331E0000}"/>
    <cellStyle name="20% - Accent5 3_Volatility" xfId="3333" xr:uid="{00000000-0005-0000-0000-0000341E0000}"/>
    <cellStyle name="20% - Accent5 4" xfId="3334" xr:uid="{00000000-0005-0000-0000-0000351E0000}"/>
    <cellStyle name="20% - Accent5 4 10" xfId="18523" xr:uid="{00000000-0005-0000-0000-0000361E0000}"/>
    <cellStyle name="20% - Accent5 4 2" xfId="3335" xr:uid="{00000000-0005-0000-0000-0000371E0000}"/>
    <cellStyle name="20% - Accent5 4 2 2" xfId="3336" xr:uid="{00000000-0005-0000-0000-0000381E0000}"/>
    <cellStyle name="20% - Accent5 4 2 2 2" xfId="3337" xr:uid="{00000000-0005-0000-0000-0000391E0000}"/>
    <cellStyle name="20% - Accent5 4 2 2 2 2" xfId="14575" xr:uid="{00000000-0005-0000-0000-00003A1E0000}"/>
    <cellStyle name="20% - Accent5 4 2 2 2 3" xfId="18526" xr:uid="{00000000-0005-0000-0000-00003B1E0000}"/>
    <cellStyle name="20% - Accent5 4 2 2 3" xfId="3338" xr:uid="{00000000-0005-0000-0000-00003C1E0000}"/>
    <cellStyle name="20% - Accent5 4 2 2 3 2" xfId="14576" xr:uid="{00000000-0005-0000-0000-00003D1E0000}"/>
    <cellStyle name="20% - Accent5 4 2 2 3 3" xfId="18527" xr:uid="{00000000-0005-0000-0000-00003E1E0000}"/>
    <cellStyle name="20% - Accent5 4 2 2 4" xfId="14574" xr:uid="{00000000-0005-0000-0000-00003F1E0000}"/>
    <cellStyle name="20% - Accent5 4 2 2 5" xfId="18525" xr:uid="{00000000-0005-0000-0000-0000401E0000}"/>
    <cellStyle name="20% - Accent5 4 2 3" xfId="3339" xr:uid="{00000000-0005-0000-0000-0000411E0000}"/>
    <cellStyle name="20% - Accent5 4 2 3 2" xfId="3340" xr:uid="{00000000-0005-0000-0000-0000421E0000}"/>
    <cellStyle name="20% - Accent5 4 2 3 2 2" xfId="14578" xr:uid="{00000000-0005-0000-0000-0000431E0000}"/>
    <cellStyle name="20% - Accent5 4 2 3 2 3" xfId="18529" xr:uid="{00000000-0005-0000-0000-0000441E0000}"/>
    <cellStyle name="20% - Accent5 4 2 3 3" xfId="3341" xr:uid="{00000000-0005-0000-0000-0000451E0000}"/>
    <cellStyle name="20% - Accent5 4 2 3 3 2" xfId="14579" xr:uid="{00000000-0005-0000-0000-0000461E0000}"/>
    <cellStyle name="20% - Accent5 4 2 3 3 3" xfId="18530" xr:uid="{00000000-0005-0000-0000-0000471E0000}"/>
    <cellStyle name="20% - Accent5 4 2 3 4" xfId="14577" xr:uid="{00000000-0005-0000-0000-0000481E0000}"/>
    <cellStyle name="20% - Accent5 4 2 3 5" xfId="18528" xr:uid="{00000000-0005-0000-0000-0000491E0000}"/>
    <cellStyle name="20% - Accent5 4 2 4" xfId="3342" xr:uid="{00000000-0005-0000-0000-00004A1E0000}"/>
    <cellStyle name="20% - Accent5 4 2 4 2" xfId="3343" xr:uid="{00000000-0005-0000-0000-00004B1E0000}"/>
    <cellStyle name="20% - Accent5 4 2 4 2 2" xfId="14581" xr:uid="{00000000-0005-0000-0000-00004C1E0000}"/>
    <cellStyle name="20% - Accent5 4 2 4 2 3" xfId="18532" xr:uid="{00000000-0005-0000-0000-00004D1E0000}"/>
    <cellStyle name="20% - Accent5 4 2 4 3" xfId="3344" xr:uid="{00000000-0005-0000-0000-00004E1E0000}"/>
    <cellStyle name="20% - Accent5 4 2 4 3 2" xfId="14582" xr:uid="{00000000-0005-0000-0000-00004F1E0000}"/>
    <cellStyle name="20% - Accent5 4 2 4 3 3" xfId="18533" xr:uid="{00000000-0005-0000-0000-0000501E0000}"/>
    <cellStyle name="20% - Accent5 4 2 4 4" xfId="14580" xr:uid="{00000000-0005-0000-0000-0000511E0000}"/>
    <cellStyle name="20% - Accent5 4 2 4 5" xfId="18531" xr:uid="{00000000-0005-0000-0000-0000521E0000}"/>
    <cellStyle name="20% - Accent5 4 2 5" xfId="3345" xr:uid="{00000000-0005-0000-0000-0000531E0000}"/>
    <cellStyle name="20% - Accent5 4 2 5 2" xfId="14583" xr:uid="{00000000-0005-0000-0000-0000541E0000}"/>
    <cellStyle name="20% - Accent5 4 2 5 3" xfId="18534" xr:uid="{00000000-0005-0000-0000-0000551E0000}"/>
    <cellStyle name="20% - Accent5 4 2 6" xfId="3346" xr:uid="{00000000-0005-0000-0000-0000561E0000}"/>
    <cellStyle name="20% - Accent5 4 2 6 2" xfId="14584" xr:uid="{00000000-0005-0000-0000-0000571E0000}"/>
    <cellStyle name="20% - Accent5 4 2 6 3" xfId="18535" xr:uid="{00000000-0005-0000-0000-0000581E0000}"/>
    <cellStyle name="20% - Accent5 4 2 7" xfId="14573" xr:uid="{00000000-0005-0000-0000-0000591E0000}"/>
    <cellStyle name="20% - Accent5 4 2 8" xfId="18524" xr:uid="{00000000-0005-0000-0000-00005A1E0000}"/>
    <cellStyle name="20% - Accent5 4 2_Volatility" xfId="3347" xr:uid="{00000000-0005-0000-0000-00005B1E0000}"/>
    <cellStyle name="20% - Accent5 4 3" xfId="3348" xr:uid="{00000000-0005-0000-0000-00005C1E0000}"/>
    <cellStyle name="20% - Accent5 4 3 2" xfId="3349" xr:uid="{00000000-0005-0000-0000-00005D1E0000}"/>
    <cellStyle name="20% - Accent5 4 3 2 2" xfId="3350" xr:uid="{00000000-0005-0000-0000-00005E1E0000}"/>
    <cellStyle name="20% - Accent5 4 3 2 2 2" xfId="14587" xr:uid="{00000000-0005-0000-0000-00005F1E0000}"/>
    <cellStyle name="20% - Accent5 4 3 2 2 3" xfId="18538" xr:uid="{00000000-0005-0000-0000-0000601E0000}"/>
    <cellStyle name="20% - Accent5 4 3 2 3" xfId="3351" xr:uid="{00000000-0005-0000-0000-0000611E0000}"/>
    <cellStyle name="20% - Accent5 4 3 2 3 2" xfId="14588" xr:uid="{00000000-0005-0000-0000-0000621E0000}"/>
    <cellStyle name="20% - Accent5 4 3 2 3 3" xfId="18539" xr:uid="{00000000-0005-0000-0000-0000631E0000}"/>
    <cellStyle name="20% - Accent5 4 3 2 4" xfId="14586" xr:uid="{00000000-0005-0000-0000-0000641E0000}"/>
    <cellStyle name="20% - Accent5 4 3 2 5" xfId="18537" xr:uid="{00000000-0005-0000-0000-0000651E0000}"/>
    <cellStyle name="20% - Accent5 4 3 3" xfId="3352" xr:uid="{00000000-0005-0000-0000-0000661E0000}"/>
    <cellStyle name="20% - Accent5 4 3 3 2" xfId="3353" xr:uid="{00000000-0005-0000-0000-0000671E0000}"/>
    <cellStyle name="20% - Accent5 4 3 3 2 2" xfId="14590" xr:uid="{00000000-0005-0000-0000-0000681E0000}"/>
    <cellStyle name="20% - Accent5 4 3 3 2 3" xfId="18541" xr:uid="{00000000-0005-0000-0000-0000691E0000}"/>
    <cellStyle name="20% - Accent5 4 3 3 3" xfId="3354" xr:uid="{00000000-0005-0000-0000-00006A1E0000}"/>
    <cellStyle name="20% - Accent5 4 3 3 3 2" xfId="14591" xr:uid="{00000000-0005-0000-0000-00006B1E0000}"/>
    <cellStyle name="20% - Accent5 4 3 3 3 3" xfId="18542" xr:uid="{00000000-0005-0000-0000-00006C1E0000}"/>
    <cellStyle name="20% - Accent5 4 3 3 4" xfId="14589" xr:uid="{00000000-0005-0000-0000-00006D1E0000}"/>
    <cellStyle name="20% - Accent5 4 3 3 5" xfId="18540" xr:uid="{00000000-0005-0000-0000-00006E1E0000}"/>
    <cellStyle name="20% - Accent5 4 3 4" xfId="3355" xr:uid="{00000000-0005-0000-0000-00006F1E0000}"/>
    <cellStyle name="20% - Accent5 4 3 4 2" xfId="14592" xr:uid="{00000000-0005-0000-0000-0000701E0000}"/>
    <cellStyle name="20% - Accent5 4 3 4 3" xfId="18543" xr:uid="{00000000-0005-0000-0000-0000711E0000}"/>
    <cellStyle name="20% - Accent5 4 3 5" xfId="3356" xr:uid="{00000000-0005-0000-0000-0000721E0000}"/>
    <cellStyle name="20% - Accent5 4 3 5 2" xfId="14593" xr:uid="{00000000-0005-0000-0000-0000731E0000}"/>
    <cellStyle name="20% - Accent5 4 3 5 3" xfId="18544" xr:uid="{00000000-0005-0000-0000-0000741E0000}"/>
    <cellStyle name="20% - Accent5 4 3 6" xfId="14585" xr:uid="{00000000-0005-0000-0000-0000751E0000}"/>
    <cellStyle name="20% - Accent5 4 3 7" xfId="18536" xr:uid="{00000000-0005-0000-0000-0000761E0000}"/>
    <cellStyle name="20% - Accent5 4 3_Volatility" xfId="3357" xr:uid="{00000000-0005-0000-0000-0000771E0000}"/>
    <cellStyle name="20% - Accent5 4 4" xfId="3358" xr:uid="{00000000-0005-0000-0000-0000781E0000}"/>
    <cellStyle name="20% - Accent5 4 4 2" xfId="3359" xr:uid="{00000000-0005-0000-0000-0000791E0000}"/>
    <cellStyle name="20% - Accent5 4 4 2 2" xfId="14595" xr:uid="{00000000-0005-0000-0000-00007A1E0000}"/>
    <cellStyle name="20% - Accent5 4 4 2 3" xfId="18546" xr:uid="{00000000-0005-0000-0000-00007B1E0000}"/>
    <cellStyle name="20% - Accent5 4 4 3" xfId="3360" xr:uid="{00000000-0005-0000-0000-00007C1E0000}"/>
    <cellStyle name="20% - Accent5 4 4 3 2" xfId="14596" xr:uid="{00000000-0005-0000-0000-00007D1E0000}"/>
    <cellStyle name="20% - Accent5 4 4 3 3" xfId="18547" xr:uid="{00000000-0005-0000-0000-00007E1E0000}"/>
    <cellStyle name="20% - Accent5 4 4 4" xfId="14594" xr:uid="{00000000-0005-0000-0000-00007F1E0000}"/>
    <cellStyle name="20% - Accent5 4 4 5" xfId="18545" xr:uid="{00000000-0005-0000-0000-0000801E0000}"/>
    <cellStyle name="20% - Accent5 4 5" xfId="3361" xr:uid="{00000000-0005-0000-0000-0000811E0000}"/>
    <cellStyle name="20% - Accent5 4 5 2" xfId="3362" xr:uid="{00000000-0005-0000-0000-0000821E0000}"/>
    <cellStyle name="20% - Accent5 4 5 2 2" xfId="14598" xr:uid="{00000000-0005-0000-0000-0000831E0000}"/>
    <cellStyle name="20% - Accent5 4 5 2 3" xfId="18549" xr:uid="{00000000-0005-0000-0000-0000841E0000}"/>
    <cellStyle name="20% - Accent5 4 5 3" xfId="3363" xr:uid="{00000000-0005-0000-0000-0000851E0000}"/>
    <cellStyle name="20% - Accent5 4 5 3 2" xfId="14599" xr:uid="{00000000-0005-0000-0000-0000861E0000}"/>
    <cellStyle name="20% - Accent5 4 5 3 3" xfId="18550" xr:uid="{00000000-0005-0000-0000-0000871E0000}"/>
    <cellStyle name="20% - Accent5 4 5 4" xfId="14597" xr:uid="{00000000-0005-0000-0000-0000881E0000}"/>
    <cellStyle name="20% - Accent5 4 5 5" xfId="18548" xr:uid="{00000000-0005-0000-0000-0000891E0000}"/>
    <cellStyle name="20% - Accent5 4 6" xfId="3364" xr:uid="{00000000-0005-0000-0000-00008A1E0000}"/>
    <cellStyle name="20% - Accent5 4 6 2" xfId="3365" xr:uid="{00000000-0005-0000-0000-00008B1E0000}"/>
    <cellStyle name="20% - Accent5 4 6 2 2" xfId="14601" xr:uid="{00000000-0005-0000-0000-00008C1E0000}"/>
    <cellStyle name="20% - Accent5 4 6 2 3" xfId="18552" xr:uid="{00000000-0005-0000-0000-00008D1E0000}"/>
    <cellStyle name="20% - Accent5 4 6 3" xfId="3366" xr:uid="{00000000-0005-0000-0000-00008E1E0000}"/>
    <cellStyle name="20% - Accent5 4 6 3 2" xfId="14602" xr:uid="{00000000-0005-0000-0000-00008F1E0000}"/>
    <cellStyle name="20% - Accent5 4 6 3 3" xfId="18553" xr:uid="{00000000-0005-0000-0000-0000901E0000}"/>
    <cellStyle name="20% - Accent5 4 6 4" xfId="14600" xr:uid="{00000000-0005-0000-0000-0000911E0000}"/>
    <cellStyle name="20% - Accent5 4 6 5" xfId="18551" xr:uid="{00000000-0005-0000-0000-0000921E0000}"/>
    <cellStyle name="20% - Accent5 4 7" xfId="3367" xr:uid="{00000000-0005-0000-0000-0000931E0000}"/>
    <cellStyle name="20% - Accent5 4 7 2" xfId="14603" xr:uid="{00000000-0005-0000-0000-0000941E0000}"/>
    <cellStyle name="20% - Accent5 4 7 3" xfId="18554" xr:uid="{00000000-0005-0000-0000-0000951E0000}"/>
    <cellStyle name="20% - Accent5 4 8" xfId="3368" xr:uid="{00000000-0005-0000-0000-0000961E0000}"/>
    <cellStyle name="20% - Accent5 4 8 2" xfId="14604" xr:uid="{00000000-0005-0000-0000-0000971E0000}"/>
    <cellStyle name="20% - Accent5 4 8 3" xfId="18555" xr:uid="{00000000-0005-0000-0000-0000981E0000}"/>
    <cellStyle name="20% - Accent5 4 9" xfId="14572" xr:uid="{00000000-0005-0000-0000-0000991E0000}"/>
    <cellStyle name="20% - Accent5 4_Volatility" xfId="3369" xr:uid="{00000000-0005-0000-0000-00009A1E0000}"/>
    <cellStyle name="20% - Accent5 5" xfId="3370" xr:uid="{00000000-0005-0000-0000-00009B1E0000}"/>
    <cellStyle name="20% - Accent5 5 10" xfId="18556" xr:uid="{00000000-0005-0000-0000-00009C1E0000}"/>
    <cellStyle name="20% - Accent5 5 2" xfId="3371" xr:uid="{00000000-0005-0000-0000-00009D1E0000}"/>
    <cellStyle name="20% - Accent5 5 2 2" xfId="3372" xr:uid="{00000000-0005-0000-0000-00009E1E0000}"/>
    <cellStyle name="20% - Accent5 5 2 2 2" xfId="3373" xr:uid="{00000000-0005-0000-0000-00009F1E0000}"/>
    <cellStyle name="20% - Accent5 5 2 2 2 2" xfId="14608" xr:uid="{00000000-0005-0000-0000-0000A01E0000}"/>
    <cellStyle name="20% - Accent5 5 2 2 2 3" xfId="18559" xr:uid="{00000000-0005-0000-0000-0000A11E0000}"/>
    <cellStyle name="20% - Accent5 5 2 2 3" xfId="3374" xr:uid="{00000000-0005-0000-0000-0000A21E0000}"/>
    <cellStyle name="20% - Accent5 5 2 2 3 2" xfId="14609" xr:uid="{00000000-0005-0000-0000-0000A31E0000}"/>
    <cellStyle name="20% - Accent5 5 2 2 3 3" xfId="18560" xr:uid="{00000000-0005-0000-0000-0000A41E0000}"/>
    <cellStyle name="20% - Accent5 5 2 2 4" xfId="14607" xr:uid="{00000000-0005-0000-0000-0000A51E0000}"/>
    <cellStyle name="20% - Accent5 5 2 2 5" xfId="18558" xr:uid="{00000000-0005-0000-0000-0000A61E0000}"/>
    <cellStyle name="20% - Accent5 5 2 3" xfId="3375" xr:uid="{00000000-0005-0000-0000-0000A71E0000}"/>
    <cellStyle name="20% - Accent5 5 2 3 2" xfId="3376" xr:uid="{00000000-0005-0000-0000-0000A81E0000}"/>
    <cellStyle name="20% - Accent5 5 2 3 2 2" xfId="14611" xr:uid="{00000000-0005-0000-0000-0000A91E0000}"/>
    <cellStyle name="20% - Accent5 5 2 3 2 3" xfId="18562" xr:uid="{00000000-0005-0000-0000-0000AA1E0000}"/>
    <cellStyle name="20% - Accent5 5 2 3 3" xfId="3377" xr:uid="{00000000-0005-0000-0000-0000AB1E0000}"/>
    <cellStyle name="20% - Accent5 5 2 3 3 2" xfId="14612" xr:uid="{00000000-0005-0000-0000-0000AC1E0000}"/>
    <cellStyle name="20% - Accent5 5 2 3 3 3" xfId="18563" xr:uid="{00000000-0005-0000-0000-0000AD1E0000}"/>
    <cellStyle name="20% - Accent5 5 2 3 4" xfId="14610" xr:uid="{00000000-0005-0000-0000-0000AE1E0000}"/>
    <cellStyle name="20% - Accent5 5 2 3 5" xfId="18561" xr:uid="{00000000-0005-0000-0000-0000AF1E0000}"/>
    <cellStyle name="20% - Accent5 5 2 4" xfId="3378" xr:uid="{00000000-0005-0000-0000-0000B01E0000}"/>
    <cellStyle name="20% - Accent5 5 2 4 2" xfId="3379" xr:uid="{00000000-0005-0000-0000-0000B11E0000}"/>
    <cellStyle name="20% - Accent5 5 2 4 2 2" xfId="14614" xr:uid="{00000000-0005-0000-0000-0000B21E0000}"/>
    <cellStyle name="20% - Accent5 5 2 4 2 3" xfId="18565" xr:uid="{00000000-0005-0000-0000-0000B31E0000}"/>
    <cellStyle name="20% - Accent5 5 2 4 3" xfId="3380" xr:uid="{00000000-0005-0000-0000-0000B41E0000}"/>
    <cellStyle name="20% - Accent5 5 2 4 3 2" xfId="14615" xr:uid="{00000000-0005-0000-0000-0000B51E0000}"/>
    <cellStyle name="20% - Accent5 5 2 4 3 3" xfId="18566" xr:uid="{00000000-0005-0000-0000-0000B61E0000}"/>
    <cellStyle name="20% - Accent5 5 2 4 4" xfId="14613" xr:uid="{00000000-0005-0000-0000-0000B71E0000}"/>
    <cellStyle name="20% - Accent5 5 2 4 5" xfId="18564" xr:uid="{00000000-0005-0000-0000-0000B81E0000}"/>
    <cellStyle name="20% - Accent5 5 2 5" xfId="3381" xr:uid="{00000000-0005-0000-0000-0000B91E0000}"/>
    <cellStyle name="20% - Accent5 5 2 5 2" xfId="14616" xr:uid="{00000000-0005-0000-0000-0000BA1E0000}"/>
    <cellStyle name="20% - Accent5 5 2 5 3" xfId="18567" xr:uid="{00000000-0005-0000-0000-0000BB1E0000}"/>
    <cellStyle name="20% - Accent5 5 2 6" xfId="3382" xr:uid="{00000000-0005-0000-0000-0000BC1E0000}"/>
    <cellStyle name="20% - Accent5 5 2 6 2" xfId="14617" xr:uid="{00000000-0005-0000-0000-0000BD1E0000}"/>
    <cellStyle name="20% - Accent5 5 2 6 3" xfId="18568" xr:uid="{00000000-0005-0000-0000-0000BE1E0000}"/>
    <cellStyle name="20% - Accent5 5 2 7" xfId="14606" xr:uid="{00000000-0005-0000-0000-0000BF1E0000}"/>
    <cellStyle name="20% - Accent5 5 2 8" xfId="18557" xr:uid="{00000000-0005-0000-0000-0000C01E0000}"/>
    <cellStyle name="20% - Accent5 5 2_Volatility" xfId="3383" xr:uid="{00000000-0005-0000-0000-0000C11E0000}"/>
    <cellStyle name="20% - Accent5 5 3" xfId="3384" xr:uid="{00000000-0005-0000-0000-0000C21E0000}"/>
    <cellStyle name="20% - Accent5 5 3 2" xfId="3385" xr:uid="{00000000-0005-0000-0000-0000C31E0000}"/>
    <cellStyle name="20% - Accent5 5 3 2 2" xfId="3386" xr:uid="{00000000-0005-0000-0000-0000C41E0000}"/>
    <cellStyle name="20% - Accent5 5 3 2 2 2" xfId="14620" xr:uid="{00000000-0005-0000-0000-0000C51E0000}"/>
    <cellStyle name="20% - Accent5 5 3 2 2 3" xfId="18571" xr:uid="{00000000-0005-0000-0000-0000C61E0000}"/>
    <cellStyle name="20% - Accent5 5 3 2 3" xfId="3387" xr:uid="{00000000-0005-0000-0000-0000C71E0000}"/>
    <cellStyle name="20% - Accent5 5 3 2 3 2" xfId="14621" xr:uid="{00000000-0005-0000-0000-0000C81E0000}"/>
    <cellStyle name="20% - Accent5 5 3 2 3 3" xfId="18572" xr:uid="{00000000-0005-0000-0000-0000C91E0000}"/>
    <cellStyle name="20% - Accent5 5 3 2 4" xfId="14619" xr:uid="{00000000-0005-0000-0000-0000CA1E0000}"/>
    <cellStyle name="20% - Accent5 5 3 2 5" xfId="18570" xr:uid="{00000000-0005-0000-0000-0000CB1E0000}"/>
    <cellStyle name="20% - Accent5 5 3 3" xfId="3388" xr:uid="{00000000-0005-0000-0000-0000CC1E0000}"/>
    <cellStyle name="20% - Accent5 5 3 3 2" xfId="3389" xr:uid="{00000000-0005-0000-0000-0000CD1E0000}"/>
    <cellStyle name="20% - Accent5 5 3 3 2 2" xfId="14623" xr:uid="{00000000-0005-0000-0000-0000CE1E0000}"/>
    <cellStyle name="20% - Accent5 5 3 3 2 3" xfId="18574" xr:uid="{00000000-0005-0000-0000-0000CF1E0000}"/>
    <cellStyle name="20% - Accent5 5 3 3 3" xfId="3390" xr:uid="{00000000-0005-0000-0000-0000D01E0000}"/>
    <cellStyle name="20% - Accent5 5 3 3 3 2" xfId="14624" xr:uid="{00000000-0005-0000-0000-0000D11E0000}"/>
    <cellStyle name="20% - Accent5 5 3 3 3 3" xfId="18575" xr:uid="{00000000-0005-0000-0000-0000D21E0000}"/>
    <cellStyle name="20% - Accent5 5 3 3 4" xfId="14622" xr:uid="{00000000-0005-0000-0000-0000D31E0000}"/>
    <cellStyle name="20% - Accent5 5 3 3 5" xfId="18573" xr:uid="{00000000-0005-0000-0000-0000D41E0000}"/>
    <cellStyle name="20% - Accent5 5 3 4" xfId="3391" xr:uid="{00000000-0005-0000-0000-0000D51E0000}"/>
    <cellStyle name="20% - Accent5 5 3 4 2" xfId="14625" xr:uid="{00000000-0005-0000-0000-0000D61E0000}"/>
    <cellStyle name="20% - Accent5 5 3 4 3" xfId="18576" xr:uid="{00000000-0005-0000-0000-0000D71E0000}"/>
    <cellStyle name="20% - Accent5 5 3 5" xfId="3392" xr:uid="{00000000-0005-0000-0000-0000D81E0000}"/>
    <cellStyle name="20% - Accent5 5 3 5 2" xfId="14626" xr:uid="{00000000-0005-0000-0000-0000D91E0000}"/>
    <cellStyle name="20% - Accent5 5 3 5 3" xfId="18577" xr:uid="{00000000-0005-0000-0000-0000DA1E0000}"/>
    <cellStyle name="20% - Accent5 5 3 6" xfId="14618" xr:uid="{00000000-0005-0000-0000-0000DB1E0000}"/>
    <cellStyle name="20% - Accent5 5 3 7" xfId="18569" xr:uid="{00000000-0005-0000-0000-0000DC1E0000}"/>
    <cellStyle name="20% - Accent5 5 3_Volatility" xfId="3393" xr:uid="{00000000-0005-0000-0000-0000DD1E0000}"/>
    <cellStyle name="20% - Accent5 5 4" xfId="3394" xr:uid="{00000000-0005-0000-0000-0000DE1E0000}"/>
    <cellStyle name="20% - Accent5 5 4 2" xfId="3395" xr:uid="{00000000-0005-0000-0000-0000DF1E0000}"/>
    <cellStyle name="20% - Accent5 5 4 2 2" xfId="14628" xr:uid="{00000000-0005-0000-0000-0000E01E0000}"/>
    <cellStyle name="20% - Accent5 5 4 2 3" xfId="18579" xr:uid="{00000000-0005-0000-0000-0000E11E0000}"/>
    <cellStyle name="20% - Accent5 5 4 3" xfId="3396" xr:uid="{00000000-0005-0000-0000-0000E21E0000}"/>
    <cellStyle name="20% - Accent5 5 4 3 2" xfId="14629" xr:uid="{00000000-0005-0000-0000-0000E31E0000}"/>
    <cellStyle name="20% - Accent5 5 4 3 3" xfId="18580" xr:uid="{00000000-0005-0000-0000-0000E41E0000}"/>
    <cellStyle name="20% - Accent5 5 4 4" xfId="14627" xr:uid="{00000000-0005-0000-0000-0000E51E0000}"/>
    <cellStyle name="20% - Accent5 5 4 5" xfId="18578" xr:uid="{00000000-0005-0000-0000-0000E61E0000}"/>
    <cellStyle name="20% - Accent5 5 5" xfId="3397" xr:uid="{00000000-0005-0000-0000-0000E71E0000}"/>
    <cellStyle name="20% - Accent5 5 5 2" xfId="3398" xr:uid="{00000000-0005-0000-0000-0000E81E0000}"/>
    <cellStyle name="20% - Accent5 5 5 2 2" xfId="14631" xr:uid="{00000000-0005-0000-0000-0000E91E0000}"/>
    <cellStyle name="20% - Accent5 5 5 2 3" xfId="18582" xr:uid="{00000000-0005-0000-0000-0000EA1E0000}"/>
    <cellStyle name="20% - Accent5 5 5 3" xfId="3399" xr:uid="{00000000-0005-0000-0000-0000EB1E0000}"/>
    <cellStyle name="20% - Accent5 5 5 3 2" xfId="14632" xr:uid="{00000000-0005-0000-0000-0000EC1E0000}"/>
    <cellStyle name="20% - Accent5 5 5 3 3" xfId="18583" xr:uid="{00000000-0005-0000-0000-0000ED1E0000}"/>
    <cellStyle name="20% - Accent5 5 5 4" xfId="14630" xr:uid="{00000000-0005-0000-0000-0000EE1E0000}"/>
    <cellStyle name="20% - Accent5 5 5 5" xfId="18581" xr:uid="{00000000-0005-0000-0000-0000EF1E0000}"/>
    <cellStyle name="20% - Accent5 5 6" xfId="3400" xr:uid="{00000000-0005-0000-0000-0000F01E0000}"/>
    <cellStyle name="20% - Accent5 5 6 2" xfId="3401" xr:uid="{00000000-0005-0000-0000-0000F11E0000}"/>
    <cellStyle name="20% - Accent5 5 6 2 2" xfId="14634" xr:uid="{00000000-0005-0000-0000-0000F21E0000}"/>
    <cellStyle name="20% - Accent5 5 6 2 3" xfId="18585" xr:uid="{00000000-0005-0000-0000-0000F31E0000}"/>
    <cellStyle name="20% - Accent5 5 6 3" xfId="3402" xr:uid="{00000000-0005-0000-0000-0000F41E0000}"/>
    <cellStyle name="20% - Accent5 5 6 3 2" xfId="14635" xr:uid="{00000000-0005-0000-0000-0000F51E0000}"/>
    <cellStyle name="20% - Accent5 5 6 3 3" xfId="18586" xr:uid="{00000000-0005-0000-0000-0000F61E0000}"/>
    <cellStyle name="20% - Accent5 5 6 4" xfId="14633" xr:uid="{00000000-0005-0000-0000-0000F71E0000}"/>
    <cellStyle name="20% - Accent5 5 6 5" xfId="18584" xr:uid="{00000000-0005-0000-0000-0000F81E0000}"/>
    <cellStyle name="20% - Accent5 5 7" xfId="3403" xr:uid="{00000000-0005-0000-0000-0000F91E0000}"/>
    <cellStyle name="20% - Accent5 5 7 2" xfId="14636" xr:uid="{00000000-0005-0000-0000-0000FA1E0000}"/>
    <cellStyle name="20% - Accent5 5 7 3" xfId="18587" xr:uid="{00000000-0005-0000-0000-0000FB1E0000}"/>
    <cellStyle name="20% - Accent5 5 8" xfId="3404" xr:uid="{00000000-0005-0000-0000-0000FC1E0000}"/>
    <cellStyle name="20% - Accent5 5 8 2" xfId="14637" xr:uid="{00000000-0005-0000-0000-0000FD1E0000}"/>
    <cellStyle name="20% - Accent5 5 8 3" xfId="18588" xr:uid="{00000000-0005-0000-0000-0000FE1E0000}"/>
    <cellStyle name="20% - Accent5 5 9" xfId="14605" xr:uid="{00000000-0005-0000-0000-0000FF1E0000}"/>
    <cellStyle name="20% - Accent5 5_Volatility" xfId="3405" xr:uid="{00000000-0005-0000-0000-0000001F0000}"/>
    <cellStyle name="20% - Accent5 6" xfId="3406" xr:uid="{00000000-0005-0000-0000-0000011F0000}"/>
    <cellStyle name="20% - Accent5 6 10" xfId="18589" xr:uid="{00000000-0005-0000-0000-0000021F0000}"/>
    <cellStyle name="20% - Accent5 6 2" xfId="3407" xr:uid="{00000000-0005-0000-0000-0000031F0000}"/>
    <cellStyle name="20% - Accent5 6 2 2" xfId="3408" xr:uid="{00000000-0005-0000-0000-0000041F0000}"/>
    <cellStyle name="20% - Accent5 6 2 2 2" xfId="3409" xr:uid="{00000000-0005-0000-0000-0000051F0000}"/>
    <cellStyle name="20% - Accent5 6 2 2 2 2" xfId="14641" xr:uid="{00000000-0005-0000-0000-0000061F0000}"/>
    <cellStyle name="20% - Accent5 6 2 2 2 3" xfId="18592" xr:uid="{00000000-0005-0000-0000-0000071F0000}"/>
    <cellStyle name="20% - Accent5 6 2 2 3" xfId="3410" xr:uid="{00000000-0005-0000-0000-0000081F0000}"/>
    <cellStyle name="20% - Accent5 6 2 2 3 2" xfId="14642" xr:uid="{00000000-0005-0000-0000-0000091F0000}"/>
    <cellStyle name="20% - Accent5 6 2 2 3 3" xfId="18593" xr:uid="{00000000-0005-0000-0000-00000A1F0000}"/>
    <cellStyle name="20% - Accent5 6 2 2 4" xfId="14640" xr:uid="{00000000-0005-0000-0000-00000B1F0000}"/>
    <cellStyle name="20% - Accent5 6 2 2 5" xfId="18591" xr:uid="{00000000-0005-0000-0000-00000C1F0000}"/>
    <cellStyle name="20% - Accent5 6 2 3" xfId="3411" xr:uid="{00000000-0005-0000-0000-00000D1F0000}"/>
    <cellStyle name="20% - Accent5 6 2 3 2" xfId="3412" xr:uid="{00000000-0005-0000-0000-00000E1F0000}"/>
    <cellStyle name="20% - Accent5 6 2 3 2 2" xfId="14644" xr:uid="{00000000-0005-0000-0000-00000F1F0000}"/>
    <cellStyle name="20% - Accent5 6 2 3 2 3" xfId="18595" xr:uid="{00000000-0005-0000-0000-0000101F0000}"/>
    <cellStyle name="20% - Accent5 6 2 3 3" xfId="3413" xr:uid="{00000000-0005-0000-0000-0000111F0000}"/>
    <cellStyle name="20% - Accent5 6 2 3 3 2" xfId="14645" xr:uid="{00000000-0005-0000-0000-0000121F0000}"/>
    <cellStyle name="20% - Accent5 6 2 3 3 3" xfId="18596" xr:uid="{00000000-0005-0000-0000-0000131F0000}"/>
    <cellStyle name="20% - Accent5 6 2 3 4" xfId="14643" xr:uid="{00000000-0005-0000-0000-0000141F0000}"/>
    <cellStyle name="20% - Accent5 6 2 3 5" xfId="18594" xr:uid="{00000000-0005-0000-0000-0000151F0000}"/>
    <cellStyle name="20% - Accent5 6 2 4" xfId="3414" xr:uid="{00000000-0005-0000-0000-0000161F0000}"/>
    <cellStyle name="20% - Accent5 6 2 4 2" xfId="3415" xr:uid="{00000000-0005-0000-0000-0000171F0000}"/>
    <cellStyle name="20% - Accent5 6 2 4 2 2" xfId="14647" xr:uid="{00000000-0005-0000-0000-0000181F0000}"/>
    <cellStyle name="20% - Accent5 6 2 4 2 3" xfId="18598" xr:uid="{00000000-0005-0000-0000-0000191F0000}"/>
    <cellStyle name="20% - Accent5 6 2 4 3" xfId="3416" xr:uid="{00000000-0005-0000-0000-00001A1F0000}"/>
    <cellStyle name="20% - Accent5 6 2 4 3 2" xfId="14648" xr:uid="{00000000-0005-0000-0000-00001B1F0000}"/>
    <cellStyle name="20% - Accent5 6 2 4 3 3" xfId="18599" xr:uid="{00000000-0005-0000-0000-00001C1F0000}"/>
    <cellStyle name="20% - Accent5 6 2 4 4" xfId="14646" xr:uid="{00000000-0005-0000-0000-00001D1F0000}"/>
    <cellStyle name="20% - Accent5 6 2 4 5" xfId="18597" xr:uid="{00000000-0005-0000-0000-00001E1F0000}"/>
    <cellStyle name="20% - Accent5 6 2 5" xfId="3417" xr:uid="{00000000-0005-0000-0000-00001F1F0000}"/>
    <cellStyle name="20% - Accent5 6 2 5 2" xfId="14649" xr:uid="{00000000-0005-0000-0000-0000201F0000}"/>
    <cellStyle name="20% - Accent5 6 2 5 3" xfId="18600" xr:uid="{00000000-0005-0000-0000-0000211F0000}"/>
    <cellStyle name="20% - Accent5 6 2 6" xfId="3418" xr:uid="{00000000-0005-0000-0000-0000221F0000}"/>
    <cellStyle name="20% - Accent5 6 2 6 2" xfId="14650" xr:uid="{00000000-0005-0000-0000-0000231F0000}"/>
    <cellStyle name="20% - Accent5 6 2 6 3" xfId="18601" xr:uid="{00000000-0005-0000-0000-0000241F0000}"/>
    <cellStyle name="20% - Accent5 6 2 7" xfId="14639" xr:uid="{00000000-0005-0000-0000-0000251F0000}"/>
    <cellStyle name="20% - Accent5 6 2 8" xfId="18590" xr:uid="{00000000-0005-0000-0000-0000261F0000}"/>
    <cellStyle name="20% - Accent5 6 2_Volatility" xfId="3419" xr:uid="{00000000-0005-0000-0000-0000271F0000}"/>
    <cellStyle name="20% - Accent5 6 3" xfId="3420" xr:uid="{00000000-0005-0000-0000-0000281F0000}"/>
    <cellStyle name="20% - Accent5 6 3 2" xfId="3421" xr:uid="{00000000-0005-0000-0000-0000291F0000}"/>
    <cellStyle name="20% - Accent5 6 3 2 2" xfId="3422" xr:uid="{00000000-0005-0000-0000-00002A1F0000}"/>
    <cellStyle name="20% - Accent5 6 3 2 2 2" xfId="14653" xr:uid="{00000000-0005-0000-0000-00002B1F0000}"/>
    <cellStyle name="20% - Accent5 6 3 2 2 3" xfId="18604" xr:uid="{00000000-0005-0000-0000-00002C1F0000}"/>
    <cellStyle name="20% - Accent5 6 3 2 3" xfId="3423" xr:uid="{00000000-0005-0000-0000-00002D1F0000}"/>
    <cellStyle name="20% - Accent5 6 3 2 3 2" xfId="14654" xr:uid="{00000000-0005-0000-0000-00002E1F0000}"/>
    <cellStyle name="20% - Accent5 6 3 2 3 3" xfId="18605" xr:uid="{00000000-0005-0000-0000-00002F1F0000}"/>
    <cellStyle name="20% - Accent5 6 3 2 4" xfId="14652" xr:uid="{00000000-0005-0000-0000-0000301F0000}"/>
    <cellStyle name="20% - Accent5 6 3 2 5" xfId="18603" xr:uid="{00000000-0005-0000-0000-0000311F0000}"/>
    <cellStyle name="20% - Accent5 6 3 3" xfId="3424" xr:uid="{00000000-0005-0000-0000-0000321F0000}"/>
    <cellStyle name="20% - Accent5 6 3 3 2" xfId="3425" xr:uid="{00000000-0005-0000-0000-0000331F0000}"/>
    <cellStyle name="20% - Accent5 6 3 3 2 2" xfId="14656" xr:uid="{00000000-0005-0000-0000-0000341F0000}"/>
    <cellStyle name="20% - Accent5 6 3 3 2 3" xfId="18607" xr:uid="{00000000-0005-0000-0000-0000351F0000}"/>
    <cellStyle name="20% - Accent5 6 3 3 3" xfId="3426" xr:uid="{00000000-0005-0000-0000-0000361F0000}"/>
    <cellStyle name="20% - Accent5 6 3 3 3 2" xfId="14657" xr:uid="{00000000-0005-0000-0000-0000371F0000}"/>
    <cellStyle name="20% - Accent5 6 3 3 3 3" xfId="18608" xr:uid="{00000000-0005-0000-0000-0000381F0000}"/>
    <cellStyle name="20% - Accent5 6 3 3 4" xfId="14655" xr:uid="{00000000-0005-0000-0000-0000391F0000}"/>
    <cellStyle name="20% - Accent5 6 3 3 5" xfId="18606" xr:uid="{00000000-0005-0000-0000-00003A1F0000}"/>
    <cellStyle name="20% - Accent5 6 3 4" xfId="3427" xr:uid="{00000000-0005-0000-0000-00003B1F0000}"/>
    <cellStyle name="20% - Accent5 6 3 4 2" xfId="14658" xr:uid="{00000000-0005-0000-0000-00003C1F0000}"/>
    <cellStyle name="20% - Accent5 6 3 4 3" xfId="18609" xr:uid="{00000000-0005-0000-0000-00003D1F0000}"/>
    <cellStyle name="20% - Accent5 6 3 5" xfId="3428" xr:uid="{00000000-0005-0000-0000-00003E1F0000}"/>
    <cellStyle name="20% - Accent5 6 3 5 2" xfId="14659" xr:uid="{00000000-0005-0000-0000-00003F1F0000}"/>
    <cellStyle name="20% - Accent5 6 3 5 3" xfId="18610" xr:uid="{00000000-0005-0000-0000-0000401F0000}"/>
    <cellStyle name="20% - Accent5 6 3 6" xfId="14651" xr:uid="{00000000-0005-0000-0000-0000411F0000}"/>
    <cellStyle name="20% - Accent5 6 3 7" xfId="18602" xr:uid="{00000000-0005-0000-0000-0000421F0000}"/>
    <cellStyle name="20% - Accent5 6 3_Volatility" xfId="3429" xr:uid="{00000000-0005-0000-0000-0000431F0000}"/>
    <cellStyle name="20% - Accent5 6 4" xfId="3430" xr:uid="{00000000-0005-0000-0000-0000441F0000}"/>
    <cellStyle name="20% - Accent5 6 4 2" xfId="3431" xr:uid="{00000000-0005-0000-0000-0000451F0000}"/>
    <cellStyle name="20% - Accent5 6 4 2 2" xfId="14661" xr:uid="{00000000-0005-0000-0000-0000461F0000}"/>
    <cellStyle name="20% - Accent5 6 4 2 3" xfId="18612" xr:uid="{00000000-0005-0000-0000-0000471F0000}"/>
    <cellStyle name="20% - Accent5 6 4 3" xfId="3432" xr:uid="{00000000-0005-0000-0000-0000481F0000}"/>
    <cellStyle name="20% - Accent5 6 4 3 2" xfId="14662" xr:uid="{00000000-0005-0000-0000-0000491F0000}"/>
    <cellStyle name="20% - Accent5 6 4 3 3" xfId="18613" xr:uid="{00000000-0005-0000-0000-00004A1F0000}"/>
    <cellStyle name="20% - Accent5 6 4 4" xfId="14660" xr:uid="{00000000-0005-0000-0000-00004B1F0000}"/>
    <cellStyle name="20% - Accent5 6 4 5" xfId="18611" xr:uid="{00000000-0005-0000-0000-00004C1F0000}"/>
    <cellStyle name="20% - Accent5 6 5" xfId="3433" xr:uid="{00000000-0005-0000-0000-00004D1F0000}"/>
    <cellStyle name="20% - Accent5 6 5 2" xfId="3434" xr:uid="{00000000-0005-0000-0000-00004E1F0000}"/>
    <cellStyle name="20% - Accent5 6 5 2 2" xfId="14664" xr:uid="{00000000-0005-0000-0000-00004F1F0000}"/>
    <cellStyle name="20% - Accent5 6 5 2 3" xfId="18615" xr:uid="{00000000-0005-0000-0000-0000501F0000}"/>
    <cellStyle name="20% - Accent5 6 5 3" xfId="3435" xr:uid="{00000000-0005-0000-0000-0000511F0000}"/>
    <cellStyle name="20% - Accent5 6 5 3 2" xfId="14665" xr:uid="{00000000-0005-0000-0000-0000521F0000}"/>
    <cellStyle name="20% - Accent5 6 5 3 3" xfId="18616" xr:uid="{00000000-0005-0000-0000-0000531F0000}"/>
    <cellStyle name="20% - Accent5 6 5 4" xfId="14663" xr:uid="{00000000-0005-0000-0000-0000541F0000}"/>
    <cellStyle name="20% - Accent5 6 5 5" xfId="18614" xr:uid="{00000000-0005-0000-0000-0000551F0000}"/>
    <cellStyle name="20% - Accent5 6 6" xfId="3436" xr:uid="{00000000-0005-0000-0000-0000561F0000}"/>
    <cellStyle name="20% - Accent5 6 6 2" xfId="3437" xr:uid="{00000000-0005-0000-0000-0000571F0000}"/>
    <cellStyle name="20% - Accent5 6 6 2 2" xfId="14667" xr:uid="{00000000-0005-0000-0000-0000581F0000}"/>
    <cellStyle name="20% - Accent5 6 6 2 3" xfId="18618" xr:uid="{00000000-0005-0000-0000-0000591F0000}"/>
    <cellStyle name="20% - Accent5 6 6 3" xfId="3438" xr:uid="{00000000-0005-0000-0000-00005A1F0000}"/>
    <cellStyle name="20% - Accent5 6 6 3 2" xfId="14668" xr:uid="{00000000-0005-0000-0000-00005B1F0000}"/>
    <cellStyle name="20% - Accent5 6 6 3 3" xfId="18619" xr:uid="{00000000-0005-0000-0000-00005C1F0000}"/>
    <cellStyle name="20% - Accent5 6 6 4" xfId="14666" xr:uid="{00000000-0005-0000-0000-00005D1F0000}"/>
    <cellStyle name="20% - Accent5 6 6 5" xfId="18617" xr:uid="{00000000-0005-0000-0000-00005E1F0000}"/>
    <cellStyle name="20% - Accent5 6 7" xfId="3439" xr:uid="{00000000-0005-0000-0000-00005F1F0000}"/>
    <cellStyle name="20% - Accent5 6 7 2" xfId="14669" xr:uid="{00000000-0005-0000-0000-0000601F0000}"/>
    <cellStyle name="20% - Accent5 6 7 3" xfId="18620" xr:uid="{00000000-0005-0000-0000-0000611F0000}"/>
    <cellStyle name="20% - Accent5 6 8" xfId="3440" xr:uid="{00000000-0005-0000-0000-0000621F0000}"/>
    <cellStyle name="20% - Accent5 6 8 2" xfId="14670" xr:uid="{00000000-0005-0000-0000-0000631F0000}"/>
    <cellStyle name="20% - Accent5 6 8 3" xfId="18621" xr:uid="{00000000-0005-0000-0000-0000641F0000}"/>
    <cellStyle name="20% - Accent5 6 9" xfId="14638" xr:uid="{00000000-0005-0000-0000-0000651F0000}"/>
    <cellStyle name="20% - Accent5 6_Volatility" xfId="3441" xr:uid="{00000000-0005-0000-0000-0000661F0000}"/>
    <cellStyle name="20% - Accent5 7" xfId="3442" xr:uid="{00000000-0005-0000-0000-0000671F0000}"/>
    <cellStyle name="20% - Accent5 7 10" xfId="18622" xr:uid="{00000000-0005-0000-0000-0000681F0000}"/>
    <cellStyle name="20% - Accent5 7 2" xfId="3443" xr:uid="{00000000-0005-0000-0000-0000691F0000}"/>
    <cellStyle name="20% - Accent5 7 2 2" xfId="3444" xr:uid="{00000000-0005-0000-0000-00006A1F0000}"/>
    <cellStyle name="20% - Accent5 7 2 2 2" xfId="3445" xr:uid="{00000000-0005-0000-0000-00006B1F0000}"/>
    <cellStyle name="20% - Accent5 7 2 2 2 2" xfId="14674" xr:uid="{00000000-0005-0000-0000-00006C1F0000}"/>
    <cellStyle name="20% - Accent5 7 2 2 2 3" xfId="18625" xr:uid="{00000000-0005-0000-0000-00006D1F0000}"/>
    <cellStyle name="20% - Accent5 7 2 2 3" xfId="3446" xr:uid="{00000000-0005-0000-0000-00006E1F0000}"/>
    <cellStyle name="20% - Accent5 7 2 2 3 2" xfId="14675" xr:uid="{00000000-0005-0000-0000-00006F1F0000}"/>
    <cellStyle name="20% - Accent5 7 2 2 3 3" xfId="18626" xr:uid="{00000000-0005-0000-0000-0000701F0000}"/>
    <cellStyle name="20% - Accent5 7 2 2 4" xfId="14673" xr:uid="{00000000-0005-0000-0000-0000711F0000}"/>
    <cellStyle name="20% - Accent5 7 2 2 5" xfId="18624" xr:uid="{00000000-0005-0000-0000-0000721F0000}"/>
    <cellStyle name="20% - Accent5 7 2 3" xfId="3447" xr:uid="{00000000-0005-0000-0000-0000731F0000}"/>
    <cellStyle name="20% - Accent5 7 2 3 2" xfId="3448" xr:uid="{00000000-0005-0000-0000-0000741F0000}"/>
    <cellStyle name="20% - Accent5 7 2 3 2 2" xfId="14677" xr:uid="{00000000-0005-0000-0000-0000751F0000}"/>
    <cellStyle name="20% - Accent5 7 2 3 2 3" xfId="18628" xr:uid="{00000000-0005-0000-0000-0000761F0000}"/>
    <cellStyle name="20% - Accent5 7 2 3 3" xfId="3449" xr:uid="{00000000-0005-0000-0000-0000771F0000}"/>
    <cellStyle name="20% - Accent5 7 2 3 3 2" xfId="14678" xr:uid="{00000000-0005-0000-0000-0000781F0000}"/>
    <cellStyle name="20% - Accent5 7 2 3 3 3" xfId="18629" xr:uid="{00000000-0005-0000-0000-0000791F0000}"/>
    <cellStyle name="20% - Accent5 7 2 3 4" xfId="14676" xr:uid="{00000000-0005-0000-0000-00007A1F0000}"/>
    <cellStyle name="20% - Accent5 7 2 3 5" xfId="18627" xr:uid="{00000000-0005-0000-0000-00007B1F0000}"/>
    <cellStyle name="20% - Accent5 7 2 4" xfId="3450" xr:uid="{00000000-0005-0000-0000-00007C1F0000}"/>
    <cellStyle name="20% - Accent5 7 2 4 2" xfId="3451" xr:uid="{00000000-0005-0000-0000-00007D1F0000}"/>
    <cellStyle name="20% - Accent5 7 2 4 2 2" xfId="14680" xr:uid="{00000000-0005-0000-0000-00007E1F0000}"/>
    <cellStyle name="20% - Accent5 7 2 4 2 3" xfId="18631" xr:uid="{00000000-0005-0000-0000-00007F1F0000}"/>
    <cellStyle name="20% - Accent5 7 2 4 3" xfId="3452" xr:uid="{00000000-0005-0000-0000-0000801F0000}"/>
    <cellStyle name="20% - Accent5 7 2 4 3 2" xfId="14681" xr:uid="{00000000-0005-0000-0000-0000811F0000}"/>
    <cellStyle name="20% - Accent5 7 2 4 3 3" xfId="18632" xr:uid="{00000000-0005-0000-0000-0000821F0000}"/>
    <cellStyle name="20% - Accent5 7 2 4 4" xfId="14679" xr:uid="{00000000-0005-0000-0000-0000831F0000}"/>
    <cellStyle name="20% - Accent5 7 2 4 5" xfId="18630" xr:uid="{00000000-0005-0000-0000-0000841F0000}"/>
    <cellStyle name="20% - Accent5 7 2 5" xfId="3453" xr:uid="{00000000-0005-0000-0000-0000851F0000}"/>
    <cellStyle name="20% - Accent5 7 2 5 2" xfId="14682" xr:uid="{00000000-0005-0000-0000-0000861F0000}"/>
    <cellStyle name="20% - Accent5 7 2 5 3" xfId="18633" xr:uid="{00000000-0005-0000-0000-0000871F0000}"/>
    <cellStyle name="20% - Accent5 7 2 6" xfId="3454" xr:uid="{00000000-0005-0000-0000-0000881F0000}"/>
    <cellStyle name="20% - Accent5 7 2 6 2" xfId="14683" xr:uid="{00000000-0005-0000-0000-0000891F0000}"/>
    <cellStyle name="20% - Accent5 7 2 6 3" xfId="18634" xr:uid="{00000000-0005-0000-0000-00008A1F0000}"/>
    <cellStyle name="20% - Accent5 7 2 7" xfId="14672" xr:uid="{00000000-0005-0000-0000-00008B1F0000}"/>
    <cellStyle name="20% - Accent5 7 2 8" xfId="18623" xr:uid="{00000000-0005-0000-0000-00008C1F0000}"/>
    <cellStyle name="20% - Accent5 7 2_Volatility" xfId="3455" xr:uid="{00000000-0005-0000-0000-00008D1F0000}"/>
    <cellStyle name="20% - Accent5 7 3" xfId="3456" xr:uid="{00000000-0005-0000-0000-00008E1F0000}"/>
    <cellStyle name="20% - Accent5 7 3 2" xfId="3457" xr:uid="{00000000-0005-0000-0000-00008F1F0000}"/>
    <cellStyle name="20% - Accent5 7 3 2 2" xfId="3458" xr:uid="{00000000-0005-0000-0000-0000901F0000}"/>
    <cellStyle name="20% - Accent5 7 3 2 2 2" xfId="14686" xr:uid="{00000000-0005-0000-0000-0000911F0000}"/>
    <cellStyle name="20% - Accent5 7 3 2 2 3" xfId="18637" xr:uid="{00000000-0005-0000-0000-0000921F0000}"/>
    <cellStyle name="20% - Accent5 7 3 2 3" xfId="3459" xr:uid="{00000000-0005-0000-0000-0000931F0000}"/>
    <cellStyle name="20% - Accent5 7 3 2 3 2" xfId="14687" xr:uid="{00000000-0005-0000-0000-0000941F0000}"/>
    <cellStyle name="20% - Accent5 7 3 2 3 3" xfId="18638" xr:uid="{00000000-0005-0000-0000-0000951F0000}"/>
    <cellStyle name="20% - Accent5 7 3 2 4" xfId="14685" xr:uid="{00000000-0005-0000-0000-0000961F0000}"/>
    <cellStyle name="20% - Accent5 7 3 2 5" xfId="18636" xr:uid="{00000000-0005-0000-0000-0000971F0000}"/>
    <cellStyle name="20% - Accent5 7 3 3" xfId="3460" xr:uid="{00000000-0005-0000-0000-0000981F0000}"/>
    <cellStyle name="20% - Accent5 7 3 3 2" xfId="3461" xr:uid="{00000000-0005-0000-0000-0000991F0000}"/>
    <cellStyle name="20% - Accent5 7 3 3 2 2" xfId="14689" xr:uid="{00000000-0005-0000-0000-00009A1F0000}"/>
    <cellStyle name="20% - Accent5 7 3 3 2 3" xfId="18640" xr:uid="{00000000-0005-0000-0000-00009B1F0000}"/>
    <cellStyle name="20% - Accent5 7 3 3 3" xfId="3462" xr:uid="{00000000-0005-0000-0000-00009C1F0000}"/>
    <cellStyle name="20% - Accent5 7 3 3 3 2" xfId="14690" xr:uid="{00000000-0005-0000-0000-00009D1F0000}"/>
    <cellStyle name="20% - Accent5 7 3 3 3 3" xfId="18641" xr:uid="{00000000-0005-0000-0000-00009E1F0000}"/>
    <cellStyle name="20% - Accent5 7 3 3 4" xfId="14688" xr:uid="{00000000-0005-0000-0000-00009F1F0000}"/>
    <cellStyle name="20% - Accent5 7 3 3 5" xfId="18639" xr:uid="{00000000-0005-0000-0000-0000A01F0000}"/>
    <cellStyle name="20% - Accent5 7 3 4" xfId="3463" xr:uid="{00000000-0005-0000-0000-0000A11F0000}"/>
    <cellStyle name="20% - Accent5 7 3 4 2" xfId="14691" xr:uid="{00000000-0005-0000-0000-0000A21F0000}"/>
    <cellStyle name="20% - Accent5 7 3 4 3" xfId="18642" xr:uid="{00000000-0005-0000-0000-0000A31F0000}"/>
    <cellStyle name="20% - Accent5 7 3 5" xfId="3464" xr:uid="{00000000-0005-0000-0000-0000A41F0000}"/>
    <cellStyle name="20% - Accent5 7 3 5 2" xfId="14692" xr:uid="{00000000-0005-0000-0000-0000A51F0000}"/>
    <cellStyle name="20% - Accent5 7 3 5 3" xfId="18643" xr:uid="{00000000-0005-0000-0000-0000A61F0000}"/>
    <cellStyle name="20% - Accent5 7 3 6" xfId="14684" xr:uid="{00000000-0005-0000-0000-0000A71F0000}"/>
    <cellStyle name="20% - Accent5 7 3 7" xfId="18635" xr:uid="{00000000-0005-0000-0000-0000A81F0000}"/>
    <cellStyle name="20% - Accent5 7 3_Volatility" xfId="3465" xr:uid="{00000000-0005-0000-0000-0000A91F0000}"/>
    <cellStyle name="20% - Accent5 7 4" xfId="3466" xr:uid="{00000000-0005-0000-0000-0000AA1F0000}"/>
    <cellStyle name="20% - Accent5 7 4 2" xfId="3467" xr:uid="{00000000-0005-0000-0000-0000AB1F0000}"/>
    <cellStyle name="20% - Accent5 7 4 2 2" xfId="14694" xr:uid="{00000000-0005-0000-0000-0000AC1F0000}"/>
    <cellStyle name="20% - Accent5 7 4 2 3" xfId="18645" xr:uid="{00000000-0005-0000-0000-0000AD1F0000}"/>
    <cellStyle name="20% - Accent5 7 4 3" xfId="3468" xr:uid="{00000000-0005-0000-0000-0000AE1F0000}"/>
    <cellStyle name="20% - Accent5 7 4 3 2" xfId="14695" xr:uid="{00000000-0005-0000-0000-0000AF1F0000}"/>
    <cellStyle name="20% - Accent5 7 4 3 3" xfId="18646" xr:uid="{00000000-0005-0000-0000-0000B01F0000}"/>
    <cellStyle name="20% - Accent5 7 4 4" xfId="14693" xr:uid="{00000000-0005-0000-0000-0000B11F0000}"/>
    <cellStyle name="20% - Accent5 7 4 5" xfId="18644" xr:uid="{00000000-0005-0000-0000-0000B21F0000}"/>
    <cellStyle name="20% - Accent5 7 5" xfId="3469" xr:uid="{00000000-0005-0000-0000-0000B31F0000}"/>
    <cellStyle name="20% - Accent5 7 5 2" xfId="3470" xr:uid="{00000000-0005-0000-0000-0000B41F0000}"/>
    <cellStyle name="20% - Accent5 7 5 2 2" xfId="14697" xr:uid="{00000000-0005-0000-0000-0000B51F0000}"/>
    <cellStyle name="20% - Accent5 7 5 2 3" xfId="18648" xr:uid="{00000000-0005-0000-0000-0000B61F0000}"/>
    <cellStyle name="20% - Accent5 7 5 3" xfId="3471" xr:uid="{00000000-0005-0000-0000-0000B71F0000}"/>
    <cellStyle name="20% - Accent5 7 5 3 2" xfId="14698" xr:uid="{00000000-0005-0000-0000-0000B81F0000}"/>
    <cellStyle name="20% - Accent5 7 5 3 3" xfId="18649" xr:uid="{00000000-0005-0000-0000-0000B91F0000}"/>
    <cellStyle name="20% - Accent5 7 5 4" xfId="14696" xr:uid="{00000000-0005-0000-0000-0000BA1F0000}"/>
    <cellStyle name="20% - Accent5 7 5 5" xfId="18647" xr:uid="{00000000-0005-0000-0000-0000BB1F0000}"/>
    <cellStyle name="20% - Accent5 7 6" xfId="3472" xr:uid="{00000000-0005-0000-0000-0000BC1F0000}"/>
    <cellStyle name="20% - Accent5 7 6 2" xfId="3473" xr:uid="{00000000-0005-0000-0000-0000BD1F0000}"/>
    <cellStyle name="20% - Accent5 7 6 2 2" xfId="14700" xr:uid="{00000000-0005-0000-0000-0000BE1F0000}"/>
    <cellStyle name="20% - Accent5 7 6 2 3" xfId="18651" xr:uid="{00000000-0005-0000-0000-0000BF1F0000}"/>
    <cellStyle name="20% - Accent5 7 6 3" xfId="3474" xr:uid="{00000000-0005-0000-0000-0000C01F0000}"/>
    <cellStyle name="20% - Accent5 7 6 3 2" xfId="14701" xr:uid="{00000000-0005-0000-0000-0000C11F0000}"/>
    <cellStyle name="20% - Accent5 7 6 3 3" xfId="18652" xr:uid="{00000000-0005-0000-0000-0000C21F0000}"/>
    <cellStyle name="20% - Accent5 7 6 4" xfId="14699" xr:uid="{00000000-0005-0000-0000-0000C31F0000}"/>
    <cellStyle name="20% - Accent5 7 6 5" xfId="18650" xr:uid="{00000000-0005-0000-0000-0000C41F0000}"/>
    <cellStyle name="20% - Accent5 7 7" xfId="3475" xr:uid="{00000000-0005-0000-0000-0000C51F0000}"/>
    <cellStyle name="20% - Accent5 7 7 2" xfId="14702" xr:uid="{00000000-0005-0000-0000-0000C61F0000}"/>
    <cellStyle name="20% - Accent5 7 7 3" xfId="18653" xr:uid="{00000000-0005-0000-0000-0000C71F0000}"/>
    <cellStyle name="20% - Accent5 7 8" xfId="3476" xr:uid="{00000000-0005-0000-0000-0000C81F0000}"/>
    <cellStyle name="20% - Accent5 7 8 2" xfId="14703" xr:uid="{00000000-0005-0000-0000-0000C91F0000}"/>
    <cellStyle name="20% - Accent5 7 8 3" xfId="18654" xr:uid="{00000000-0005-0000-0000-0000CA1F0000}"/>
    <cellStyle name="20% - Accent5 7 9" xfId="14671" xr:uid="{00000000-0005-0000-0000-0000CB1F0000}"/>
    <cellStyle name="20% - Accent5 7_Volatility" xfId="3477" xr:uid="{00000000-0005-0000-0000-0000CC1F0000}"/>
    <cellStyle name="20% - Accent5 8" xfId="3478" xr:uid="{00000000-0005-0000-0000-0000CD1F0000}"/>
    <cellStyle name="20% - Accent5 8 10" xfId="18655" xr:uid="{00000000-0005-0000-0000-0000CE1F0000}"/>
    <cellStyle name="20% - Accent5 8 2" xfId="3479" xr:uid="{00000000-0005-0000-0000-0000CF1F0000}"/>
    <cellStyle name="20% - Accent5 8 2 2" xfId="3480" xr:uid="{00000000-0005-0000-0000-0000D01F0000}"/>
    <cellStyle name="20% - Accent5 8 2 2 2" xfId="3481" xr:uid="{00000000-0005-0000-0000-0000D11F0000}"/>
    <cellStyle name="20% - Accent5 8 2 2 2 2" xfId="14707" xr:uid="{00000000-0005-0000-0000-0000D21F0000}"/>
    <cellStyle name="20% - Accent5 8 2 2 2 3" xfId="18658" xr:uid="{00000000-0005-0000-0000-0000D31F0000}"/>
    <cellStyle name="20% - Accent5 8 2 2 3" xfId="3482" xr:uid="{00000000-0005-0000-0000-0000D41F0000}"/>
    <cellStyle name="20% - Accent5 8 2 2 3 2" xfId="14708" xr:uid="{00000000-0005-0000-0000-0000D51F0000}"/>
    <cellStyle name="20% - Accent5 8 2 2 3 3" xfId="18659" xr:uid="{00000000-0005-0000-0000-0000D61F0000}"/>
    <cellStyle name="20% - Accent5 8 2 2 4" xfId="14706" xr:uid="{00000000-0005-0000-0000-0000D71F0000}"/>
    <cellStyle name="20% - Accent5 8 2 2 5" xfId="18657" xr:uid="{00000000-0005-0000-0000-0000D81F0000}"/>
    <cellStyle name="20% - Accent5 8 2 3" xfId="3483" xr:uid="{00000000-0005-0000-0000-0000D91F0000}"/>
    <cellStyle name="20% - Accent5 8 2 3 2" xfId="3484" xr:uid="{00000000-0005-0000-0000-0000DA1F0000}"/>
    <cellStyle name="20% - Accent5 8 2 3 2 2" xfId="14710" xr:uid="{00000000-0005-0000-0000-0000DB1F0000}"/>
    <cellStyle name="20% - Accent5 8 2 3 2 3" xfId="18661" xr:uid="{00000000-0005-0000-0000-0000DC1F0000}"/>
    <cellStyle name="20% - Accent5 8 2 3 3" xfId="3485" xr:uid="{00000000-0005-0000-0000-0000DD1F0000}"/>
    <cellStyle name="20% - Accent5 8 2 3 3 2" xfId="14711" xr:uid="{00000000-0005-0000-0000-0000DE1F0000}"/>
    <cellStyle name="20% - Accent5 8 2 3 3 3" xfId="18662" xr:uid="{00000000-0005-0000-0000-0000DF1F0000}"/>
    <cellStyle name="20% - Accent5 8 2 3 4" xfId="14709" xr:uid="{00000000-0005-0000-0000-0000E01F0000}"/>
    <cellStyle name="20% - Accent5 8 2 3 5" xfId="18660" xr:uid="{00000000-0005-0000-0000-0000E11F0000}"/>
    <cellStyle name="20% - Accent5 8 2 4" xfId="3486" xr:uid="{00000000-0005-0000-0000-0000E21F0000}"/>
    <cellStyle name="20% - Accent5 8 2 4 2" xfId="3487" xr:uid="{00000000-0005-0000-0000-0000E31F0000}"/>
    <cellStyle name="20% - Accent5 8 2 4 2 2" xfId="14713" xr:uid="{00000000-0005-0000-0000-0000E41F0000}"/>
    <cellStyle name="20% - Accent5 8 2 4 2 3" xfId="18664" xr:uid="{00000000-0005-0000-0000-0000E51F0000}"/>
    <cellStyle name="20% - Accent5 8 2 4 3" xfId="3488" xr:uid="{00000000-0005-0000-0000-0000E61F0000}"/>
    <cellStyle name="20% - Accent5 8 2 4 3 2" xfId="14714" xr:uid="{00000000-0005-0000-0000-0000E71F0000}"/>
    <cellStyle name="20% - Accent5 8 2 4 3 3" xfId="18665" xr:uid="{00000000-0005-0000-0000-0000E81F0000}"/>
    <cellStyle name="20% - Accent5 8 2 4 4" xfId="14712" xr:uid="{00000000-0005-0000-0000-0000E91F0000}"/>
    <cellStyle name="20% - Accent5 8 2 4 5" xfId="18663" xr:uid="{00000000-0005-0000-0000-0000EA1F0000}"/>
    <cellStyle name="20% - Accent5 8 2 5" xfId="3489" xr:uid="{00000000-0005-0000-0000-0000EB1F0000}"/>
    <cellStyle name="20% - Accent5 8 2 5 2" xfId="14715" xr:uid="{00000000-0005-0000-0000-0000EC1F0000}"/>
    <cellStyle name="20% - Accent5 8 2 5 3" xfId="18666" xr:uid="{00000000-0005-0000-0000-0000ED1F0000}"/>
    <cellStyle name="20% - Accent5 8 2 6" xfId="3490" xr:uid="{00000000-0005-0000-0000-0000EE1F0000}"/>
    <cellStyle name="20% - Accent5 8 2 6 2" xfId="14716" xr:uid="{00000000-0005-0000-0000-0000EF1F0000}"/>
    <cellStyle name="20% - Accent5 8 2 6 3" xfId="18667" xr:uid="{00000000-0005-0000-0000-0000F01F0000}"/>
    <cellStyle name="20% - Accent5 8 2 7" xfId="14705" xr:uid="{00000000-0005-0000-0000-0000F11F0000}"/>
    <cellStyle name="20% - Accent5 8 2 8" xfId="18656" xr:uid="{00000000-0005-0000-0000-0000F21F0000}"/>
    <cellStyle name="20% - Accent5 8 2_Volatility" xfId="3491" xr:uid="{00000000-0005-0000-0000-0000F31F0000}"/>
    <cellStyle name="20% - Accent5 8 3" xfId="3492" xr:uid="{00000000-0005-0000-0000-0000F41F0000}"/>
    <cellStyle name="20% - Accent5 8 3 2" xfId="3493" xr:uid="{00000000-0005-0000-0000-0000F51F0000}"/>
    <cellStyle name="20% - Accent5 8 3 2 2" xfId="3494" xr:uid="{00000000-0005-0000-0000-0000F61F0000}"/>
    <cellStyle name="20% - Accent5 8 3 2 2 2" xfId="14719" xr:uid="{00000000-0005-0000-0000-0000F71F0000}"/>
    <cellStyle name="20% - Accent5 8 3 2 2 3" xfId="18670" xr:uid="{00000000-0005-0000-0000-0000F81F0000}"/>
    <cellStyle name="20% - Accent5 8 3 2 3" xfId="3495" xr:uid="{00000000-0005-0000-0000-0000F91F0000}"/>
    <cellStyle name="20% - Accent5 8 3 2 3 2" xfId="14720" xr:uid="{00000000-0005-0000-0000-0000FA1F0000}"/>
    <cellStyle name="20% - Accent5 8 3 2 3 3" xfId="18671" xr:uid="{00000000-0005-0000-0000-0000FB1F0000}"/>
    <cellStyle name="20% - Accent5 8 3 2 4" xfId="14718" xr:uid="{00000000-0005-0000-0000-0000FC1F0000}"/>
    <cellStyle name="20% - Accent5 8 3 2 5" xfId="18669" xr:uid="{00000000-0005-0000-0000-0000FD1F0000}"/>
    <cellStyle name="20% - Accent5 8 3 3" xfId="3496" xr:uid="{00000000-0005-0000-0000-0000FE1F0000}"/>
    <cellStyle name="20% - Accent5 8 3 3 2" xfId="3497" xr:uid="{00000000-0005-0000-0000-0000FF1F0000}"/>
    <cellStyle name="20% - Accent5 8 3 3 2 2" xfId="14722" xr:uid="{00000000-0005-0000-0000-000000200000}"/>
    <cellStyle name="20% - Accent5 8 3 3 2 3" xfId="18673" xr:uid="{00000000-0005-0000-0000-000001200000}"/>
    <cellStyle name="20% - Accent5 8 3 3 3" xfId="3498" xr:uid="{00000000-0005-0000-0000-000002200000}"/>
    <cellStyle name="20% - Accent5 8 3 3 3 2" xfId="14723" xr:uid="{00000000-0005-0000-0000-000003200000}"/>
    <cellStyle name="20% - Accent5 8 3 3 3 3" xfId="18674" xr:uid="{00000000-0005-0000-0000-000004200000}"/>
    <cellStyle name="20% - Accent5 8 3 3 4" xfId="14721" xr:uid="{00000000-0005-0000-0000-000005200000}"/>
    <cellStyle name="20% - Accent5 8 3 3 5" xfId="18672" xr:uid="{00000000-0005-0000-0000-000006200000}"/>
    <cellStyle name="20% - Accent5 8 3 4" xfId="3499" xr:uid="{00000000-0005-0000-0000-000007200000}"/>
    <cellStyle name="20% - Accent5 8 3 4 2" xfId="14724" xr:uid="{00000000-0005-0000-0000-000008200000}"/>
    <cellStyle name="20% - Accent5 8 3 4 3" xfId="18675" xr:uid="{00000000-0005-0000-0000-000009200000}"/>
    <cellStyle name="20% - Accent5 8 3 5" xfId="3500" xr:uid="{00000000-0005-0000-0000-00000A200000}"/>
    <cellStyle name="20% - Accent5 8 3 5 2" xfId="14725" xr:uid="{00000000-0005-0000-0000-00000B200000}"/>
    <cellStyle name="20% - Accent5 8 3 5 3" xfId="18676" xr:uid="{00000000-0005-0000-0000-00000C200000}"/>
    <cellStyle name="20% - Accent5 8 3 6" xfId="14717" xr:uid="{00000000-0005-0000-0000-00000D200000}"/>
    <cellStyle name="20% - Accent5 8 3 7" xfId="18668" xr:uid="{00000000-0005-0000-0000-00000E200000}"/>
    <cellStyle name="20% - Accent5 8 3_Volatility" xfId="3501" xr:uid="{00000000-0005-0000-0000-00000F200000}"/>
    <cellStyle name="20% - Accent5 8 4" xfId="3502" xr:uid="{00000000-0005-0000-0000-000010200000}"/>
    <cellStyle name="20% - Accent5 8 4 2" xfId="3503" xr:uid="{00000000-0005-0000-0000-000011200000}"/>
    <cellStyle name="20% - Accent5 8 4 2 2" xfId="14727" xr:uid="{00000000-0005-0000-0000-000012200000}"/>
    <cellStyle name="20% - Accent5 8 4 2 3" xfId="18678" xr:uid="{00000000-0005-0000-0000-000013200000}"/>
    <cellStyle name="20% - Accent5 8 4 3" xfId="3504" xr:uid="{00000000-0005-0000-0000-000014200000}"/>
    <cellStyle name="20% - Accent5 8 4 3 2" xfId="14728" xr:uid="{00000000-0005-0000-0000-000015200000}"/>
    <cellStyle name="20% - Accent5 8 4 3 3" xfId="18679" xr:uid="{00000000-0005-0000-0000-000016200000}"/>
    <cellStyle name="20% - Accent5 8 4 4" xfId="14726" xr:uid="{00000000-0005-0000-0000-000017200000}"/>
    <cellStyle name="20% - Accent5 8 4 5" xfId="18677" xr:uid="{00000000-0005-0000-0000-000018200000}"/>
    <cellStyle name="20% - Accent5 8 5" xfId="3505" xr:uid="{00000000-0005-0000-0000-000019200000}"/>
    <cellStyle name="20% - Accent5 8 5 2" xfId="3506" xr:uid="{00000000-0005-0000-0000-00001A200000}"/>
    <cellStyle name="20% - Accent5 8 5 2 2" xfId="14730" xr:uid="{00000000-0005-0000-0000-00001B200000}"/>
    <cellStyle name="20% - Accent5 8 5 2 3" xfId="18681" xr:uid="{00000000-0005-0000-0000-00001C200000}"/>
    <cellStyle name="20% - Accent5 8 5 3" xfId="3507" xr:uid="{00000000-0005-0000-0000-00001D200000}"/>
    <cellStyle name="20% - Accent5 8 5 3 2" xfId="14731" xr:uid="{00000000-0005-0000-0000-00001E200000}"/>
    <cellStyle name="20% - Accent5 8 5 3 3" xfId="18682" xr:uid="{00000000-0005-0000-0000-00001F200000}"/>
    <cellStyle name="20% - Accent5 8 5 4" xfId="14729" xr:uid="{00000000-0005-0000-0000-000020200000}"/>
    <cellStyle name="20% - Accent5 8 5 5" xfId="18680" xr:uid="{00000000-0005-0000-0000-000021200000}"/>
    <cellStyle name="20% - Accent5 8 6" xfId="3508" xr:uid="{00000000-0005-0000-0000-000022200000}"/>
    <cellStyle name="20% - Accent5 8 6 2" xfId="3509" xr:uid="{00000000-0005-0000-0000-000023200000}"/>
    <cellStyle name="20% - Accent5 8 6 2 2" xfId="14733" xr:uid="{00000000-0005-0000-0000-000024200000}"/>
    <cellStyle name="20% - Accent5 8 6 2 3" xfId="18684" xr:uid="{00000000-0005-0000-0000-000025200000}"/>
    <cellStyle name="20% - Accent5 8 6 3" xfId="3510" xr:uid="{00000000-0005-0000-0000-000026200000}"/>
    <cellStyle name="20% - Accent5 8 6 3 2" xfId="14734" xr:uid="{00000000-0005-0000-0000-000027200000}"/>
    <cellStyle name="20% - Accent5 8 6 3 3" xfId="18685" xr:uid="{00000000-0005-0000-0000-000028200000}"/>
    <cellStyle name="20% - Accent5 8 6 4" xfId="14732" xr:uid="{00000000-0005-0000-0000-000029200000}"/>
    <cellStyle name="20% - Accent5 8 6 5" xfId="18683" xr:uid="{00000000-0005-0000-0000-00002A200000}"/>
    <cellStyle name="20% - Accent5 8 7" xfId="3511" xr:uid="{00000000-0005-0000-0000-00002B200000}"/>
    <cellStyle name="20% - Accent5 8 7 2" xfId="14735" xr:uid="{00000000-0005-0000-0000-00002C200000}"/>
    <cellStyle name="20% - Accent5 8 7 3" xfId="18686" xr:uid="{00000000-0005-0000-0000-00002D200000}"/>
    <cellStyle name="20% - Accent5 8 8" xfId="3512" xr:uid="{00000000-0005-0000-0000-00002E200000}"/>
    <cellStyle name="20% - Accent5 8 8 2" xfId="14736" xr:uid="{00000000-0005-0000-0000-00002F200000}"/>
    <cellStyle name="20% - Accent5 8 8 3" xfId="18687" xr:uid="{00000000-0005-0000-0000-000030200000}"/>
    <cellStyle name="20% - Accent5 8 9" xfId="14704" xr:uid="{00000000-0005-0000-0000-000031200000}"/>
    <cellStyle name="20% - Accent5 8_Volatility" xfId="3513" xr:uid="{00000000-0005-0000-0000-000032200000}"/>
    <cellStyle name="20% - Accent5 9" xfId="3514" xr:uid="{00000000-0005-0000-0000-000033200000}"/>
    <cellStyle name="20% - Accent5 9 10" xfId="18688" xr:uid="{00000000-0005-0000-0000-000034200000}"/>
    <cellStyle name="20% - Accent5 9 2" xfId="3515" xr:uid="{00000000-0005-0000-0000-000035200000}"/>
    <cellStyle name="20% - Accent5 9 2 2" xfId="3516" xr:uid="{00000000-0005-0000-0000-000036200000}"/>
    <cellStyle name="20% - Accent5 9 2 2 2" xfId="3517" xr:uid="{00000000-0005-0000-0000-000037200000}"/>
    <cellStyle name="20% - Accent5 9 2 2 2 2" xfId="14740" xr:uid="{00000000-0005-0000-0000-000038200000}"/>
    <cellStyle name="20% - Accent5 9 2 2 2 3" xfId="18691" xr:uid="{00000000-0005-0000-0000-000039200000}"/>
    <cellStyle name="20% - Accent5 9 2 2 3" xfId="3518" xr:uid="{00000000-0005-0000-0000-00003A200000}"/>
    <cellStyle name="20% - Accent5 9 2 2 3 2" xfId="14741" xr:uid="{00000000-0005-0000-0000-00003B200000}"/>
    <cellStyle name="20% - Accent5 9 2 2 3 3" xfId="18692" xr:uid="{00000000-0005-0000-0000-00003C200000}"/>
    <cellStyle name="20% - Accent5 9 2 2 4" xfId="14739" xr:uid="{00000000-0005-0000-0000-00003D200000}"/>
    <cellStyle name="20% - Accent5 9 2 2 5" xfId="18690" xr:uid="{00000000-0005-0000-0000-00003E200000}"/>
    <cellStyle name="20% - Accent5 9 2 3" xfId="3519" xr:uid="{00000000-0005-0000-0000-00003F200000}"/>
    <cellStyle name="20% - Accent5 9 2 3 2" xfId="3520" xr:uid="{00000000-0005-0000-0000-000040200000}"/>
    <cellStyle name="20% - Accent5 9 2 3 2 2" xfId="14743" xr:uid="{00000000-0005-0000-0000-000041200000}"/>
    <cellStyle name="20% - Accent5 9 2 3 2 3" xfId="18694" xr:uid="{00000000-0005-0000-0000-000042200000}"/>
    <cellStyle name="20% - Accent5 9 2 3 3" xfId="3521" xr:uid="{00000000-0005-0000-0000-000043200000}"/>
    <cellStyle name="20% - Accent5 9 2 3 3 2" xfId="14744" xr:uid="{00000000-0005-0000-0000-000044200000}"/>
    <cellStyle name="20% - Accent5 9 2 3 3 3" xfId="18695" xr:uid="{00000000-0005-0000-0000-000045200000}"/>
    <cellStyle name="20% - Accent5 9 2 3 4" xfId="14742" xr:uid="{00000000-0005-0000-0000-000046200000}"/>
    <cellStyle name="20% - Accent5 9 2 3 5" xfId="18693" xr:uid="{00000000-0005-0000-0000-000047200000}"/>
    <cellStyle name="20% - Accent5 9 2 4" xfId="3522" xr:uid="{00000000-0005-0000-0000-000048200000}"/>
    <cellStyle name="20% - Accent5 9 2 4 2" xfId="3523" xr:uid="{00000000-0005-0000-0000-000049200000}"/>
    <cellStyle name="20% - Accent5 9 2 4 2 2" xfId="14746" xr:uid="{00000000-0005-0000-0000-00004A200000}"/>
    <cellStyle name="20% - Accent5 9 2 4 2 3" xfId="18697" xr:uid="{00000000-0005-0000-0000-00004B200000}"/>
    <cellStyle name="20% - Accent5 9 2 4 3" xfId="3524" xr:uid="{00000000-0005-0000-0000-00004C200000}"/>
    <cellStyle name="20% - Accent5 9 2 4 3 2" xfId="14747" xr:uid="{00000000-0005-0000-0000-00004D200000}"/>
    <cellStyle name="20% - Accent5 9 2 4 3 3" xfId="18698" xr:uid="{00000000-0005-0000-0000-00004E200000}"/>
    <cellStyle name="20% - Accent5 9 2 4 4" xfId="14745" xr:uid="{00000000-0005-0000-0000-00004F200000}"/>
    <cellStyle name="20% - Accent5 9 2 4 5" xfId="18696" xr:uid="{00000000-0005-0000-0000-000050200000}"/>
    <cellStyle name="20% - Accent5 9 2 5" xfId="3525" xr:uid="{00000000-0005-0000-0000-000051200000}"/>
    <cellStyle name="20% - Accent5 9 2 5 2" xfId="14748" xr:uid="{00000000-0005-0000-0000-000052200000}"/>
    <cellStyle name="20% - Accent5 9 2 5 3" xfId="18699" xr:uid="{00000000-0005-0000-0000-000053200000}"/>
    <cellStyle name="20% - Accent5 9 2 6" xfId="3526" xr:uid="{00000000-0005-0000-0000-000054200000}"/>
    <cellStyle name="20% - Accent5 9 2 6 2" xfId="14749" xr:uid="{00000000-0005-0000-0000-000055200000}"/>
    <cellStyle name="20% - Accent5 9 2 6 3" xfId="18700" xr:uid="{00000000-0005-0000-0000-000056200000}"/>
    <cellStyle name="20% - Accent5 9 2 7" xfId="14738" xr:uid="{00000000-0005-0000-0000-000057200000}"/>
    <cellStyle name="20% - Accent5 9 2 8" xfId="18689" xr:uid="{00000000-0005-0000-0000-000058200000}"/>
    <cellStyle name="20% - Accent5 9 2_Volatility" xfId="3527" xr:uid="{00000000-0005-0000-0000-000059200000}"/>
    <cellStyle name="20% - Accent5 9 3" xfId="3528" xr:uid="{00000000-0005-0000-0000-00005A200000}"/>
    <cellStyle name="20% - Accent5 9 3 2" xfId="3529" xr:uid="{00000000-0005-0000-0000-00005B200000}"/>
    <cellStyle name="20% - Accent5 9 3 2 2" xfId="3530" xr:uid="{00000000-0005-0000-0000-00005C200000}"/>
    <cellStyle name="20% - Accent5 9 3 2 2 2" xfId="14752" xr:uid="{00000000-0005-0000-0000-00005D200000}"/>
    <cellStyle name="20% - Accent5 9 3 2 2 3" xfId="18703" xr:uid="{00000000-0005-0000-0000-00005E200000}"/>
    <cellStyle name="20% - Accent5 9 3 2 3" xfId="3531" xr:uid="{00000000-0005-0000-0000-00005F200000}"/>
    <cellStyle name="20% - Accent5 9 3 2 3 2" xfId="14753" xr:uid="{00000000-0005-0000-0000-000060200000}"/>
    <cellStyle name="20% - Accent5 9 3 2 3 3" xfId="18704" xr:uid="{00000000-0005-0000-0000-000061200000}"/>
    <cellStyle name="20% - Accent5 9 3 2 4" xfId="14751" xr:uid="{00000000-0005-0000-0000-000062200000}"/>
    <cellStyle name="20% - Accent5 9 3 2 5" xfId="18702" xr:uid="{00000000-0005-0000-0000-000063200000}"/>
    <cellStyle name="20% - Accent5 9 3 3" xfId="3532" xr:uid="{00000000-0005-0000-0000-000064200000}"/>
    <cellStyle name="20% - Accent5 9 3 3 2" xfId="3533" xr:uid="{00000000-0005-0000-0000-000065200000}"/>
    <cellStyle name="20% - Accent5 9 3 3 2 2" xfId="14755" xr:uid="{00000000-0005-0000-0000-000066200000}"/>
    <cellStyle name="20% - Accent5 9 3 3 2 3" xfId="18706" xr:uid="{00000000-0005-0000-0000-000067200000}"/>
    <cellStyle name="20% - Accent5 9 3 3 3" xfId="3534" xr:uid="{00000000-0005-0000-0000-000068200000}"/>
    <cellStyle name="20% - Accent5 9 3 3 3 2" xfId="14756" xr:uid="{00000000-0005-0000-0000-000069200000}"/>
    <cellStyle name="20% - Accent5 9 3 3 3 3" xfId="18707" xr:uid="{00000000-0005-0000-0000-00006A200000}"/>
    <cellStyle name="20% - Accent5 9 3 3 4" xfId="14754" xr:uid="{00000000-0005-0000-0000-00006B200000}"/>
    <cellStyle name="20% - Accent5 9 3 3 5" xfId="18705" xr:uid="{00000000-0005-0000-0000-00006C200000}"/>
    <cellStyle name="20% - Accent5 9 3 4" xfId="3535" xr:uid="{00000000-0005-0000-0000-00006D200000}"/>
    <cellStyle name="20% - Accent5 9 3 4 2" xfId="14757" xr:uid="{00000000-0005-0000-0000-00006E200000}"/>
    <cellStyle name="20% - Accent5 9 3 4 3" xfId="18708" xr:uid="{00000000-0005-0000-0000-00006F200000}"/>
    <cellStyle name="20% - Accent5 9 3 5" xfId="3536" xr:uid="{00000000-0005-0000-0000-000070200000}"/>
    <cellStyle name="20% - Accent5 9 3 5 2" xfId="14758" xr:uid="{00000000-0005-0000-0000-000071200000}"/>
    <cellStyle name="20% - Accent5 9 3 5 3" xfId="18709" xr:uid="{00000000-0005-0000-0000-000072200000}"/>
    <cellStyle name="20% - Accent5 9 3 6" xfId="14750" xr:uid="{00000000-0005-0000-0000-000073200000}"/>
    <cellStyle name="20% - Accent5 9 3 7" xfId="18701" xr:uid="{00000000-0005-0000-0000-000074200000}"/>
    <cellStyle name="20% - Accent5 9 3_Volatility" xfId="3537" xr:uid="{00000000-0005-0000-0000-000075200000}"/>
    <cellStyle name="20% - Accent5 9 4" xfId="3538" xr:uid="{00000000-0005-0000-0000-000076200000}"/>
    <cellStyle name="20% - Accent5 9 4 2" xfId="3539" xr:uid="{00000000-0005-0000-0000-000077200000}"/>
    <cellStyle name="20% - Accent5 9 4 2 2" xfId="14760" xr:uid="{00000000-0005-0000-0000-000078200000}"/>
    <cellStyle name="20% - Accent5 9 4 2 3" xfId="18711" xr:uid="{00000000-0005-0000-0000-000079200000}"/>
    <cellStyle name="20% - Accent5 9 4 3" xfId="3540" xr:uid="{00000000-0005-0000-0000-00007A200000}"/>
    <cellStyle name="20% - Accent5 9 4 3 2" xfId="14761" xr:uid="{00000000-0005-0000-0000-00007B200000}"/>
    <cellStyle name="20% - Accent5 9 4 3 3" xfId="18712" xr:uid="{00000000-0005-0000-0000-00007C200000}"/>
    <cellStyle name="20% - Accent5 9 4 4" xfId="14759" xr:uid="{00000000-0005-0000-0000-00007D200000}"/>
    <cellStyle name="20% - Accent5 9 4 5" xfId="18710" xr:uid="{00000000-0005-0000-0000-00007E200000}"/>
    <cellStyle name="20% - Accent5 9 5" xfId="3541" xr:uid="{00000000-0005-0000-0000-00007F200000}"/>
    <cellStyle name="20% - Accent5 9 5 2" xfId="3542" xr:uid="{00000000-0005-0000-0000-000080200000}"/>
    <cellStyle name="20% - Accent5 9 5 2 2" xfId="14763" xr:uid="{00000000-0005-0000-0000-000081200000}"/>
    <cellStyle name="20% - Accent5 9 5 2 3" xfId="18714" xr:uid="{00000000-0005-0000-0000-000082200000}"/>
    <cellStyle name="20% - Accent5 9 5 3" xfId="3543" xr:uid="{00000000-0005-0000-0000-000083200000}"/>
    <cellStyle name="20% - Accent5 9 5 3 2" xfId="14764" xr:uid="{00000000-0005-0000-0000-000084200000}"/>
    <cellStyle name="20% - Accent5 9 5 3 3" xfId="18715" xr:uid="{00000000-0005-0000-0000-000085200000}"/>
    <cellStyle name="20% - Accent5 9 5 4" xfId="14762" xr:uid="{00000000-0005-0000-0000-000086200000}"/>
    <cellStyle name="20% - Accent5 9 5 5" xfId="18713" xr:uid="{00000000-0005-0000-0000-000087200000}"/>
    <cellStyle name="20% - Accent5 9 6" xfId="3544" xr:uid="{00000000-0005-0000-0000-000088200000}"/>
    <cellStyle name="20% - Accent5 9 6 2" xfId="3545" xr:uid="{00000000-0005-0000-0000-000089200000}"/>
    <cellStyle name="20% - Accent5 9 6 2 2" xfId="14766" xr:uid="{00000000-0005-0000-0000-00008A200000}"/>
    <cellStyle name="20% - Accent5 9 6 2 3" xfId="18717" xr:uid="{00000000-0005-0000-0000-00008B200000}"/>
    <cellStyle name="20% - Accent5 9 6 3" xfId="3546" xr:uid="{00000000-0005-0000-0000-00008C200000}"/>
    <cellStyle name="20% - Accent5 9 6 3 2" xfId="14767" xr:uid="{00000000-0005-0000-0000-00008D200000}"/>
    <cellStyle name="20% - Accent5 9 6 3 3" xfId="18718" xr:uid="{00000000-0005-0000-0000-00008E200000}"/>
    <cellStyle name="20% - Accent5 9 6 4" xfId="14765" xr:uid="{00000000-0005-0000-0000-00008F200000}"/>
    <cellStyle name="20% - Accent5 9 6 5" xfId="18716" xr:uid="{00000000-0005-0000-0000-000090200000}"/>
    <cellStyle name="20% - Accent5 9 7" xfId="3547" xr:uid="{00000000-0005-0000-0000-000091200000}"/>
    <cellStyle name="20% - Accent5 9 7 2" xfId="14768" xr:uid="{00000000-0005-0000-0000-000092200000}"/>
    <cellStyle name="20% - Accent5 9 7 3" xfId="18719" xr:uid="{00000000-0005-0000-0000-000093200000}"/>
    <cellStyle name="20% - Accent5 9 8" xfId="3548" xr:uid="{00000000-0005-0000-0000-000094200000}"/>
    <cellStyle name="20% - Accent5 9 8 2" xfId="14769" xr:uid="{00000000-0005-0000-0000-000095200000}"/>
    <cellStyle name="20% - Accent5 9 8 3" xfId="18720" xr:uid="{00000000-0005-0000-0000-000096200000}"/>
    <cellStyle name="20% - Accent5 9 9" xfId="14737" xr:uid="{00000000-0005-0000-0000-000097200000}"/>
    <cellStyle name="20% - Accent5 9_Volatility" xfId="3549" xr:uid="{00000000-0005-0000-0000-000098200000}"/>
    <cellStyle name="20% - Accent6 10" xfId="3550" xr:uid="{00000000-0005-0000-0000-000099200000}"/>
    <cellStyle name="20% - Accent6 10 10" xfId="18721" xr:uid="{00000000-0005-0000-0000-00009A200000}"/>
    <cellStyle name="20% - Accent6 10 2" xfId="3551" xr:uid="{00000000-0005-0000-0000-00009B200000}"/>
    <cellStyle name="20% - Accent6 10 2 2" xfId="3552" xr:uid="{00000000-0005-0000-0000-00009C200000}"/>
    <cellStyle name="20% - Accent6 10 2 2 2" xfId="3553" xr:uid="{00000000-0005-0000-0000-00009D200000}"/>
    <cellStyle name="20% - Accent6 10 2 2 2 2" xfId="14773" xr:uid="{00000000-0005-0000-0000-00009E200000}"/>
    <cellStyle name="20% - Accent6 10 2 2 2 3" xfId="18724" xr:uid="{00000000-0005-0000-0000-00009F200000}"/>
    <cellStyle name="20% - Accent6 10 2 2 3" xfId="3554" xr:uid="{00000000-0005-0000-0000-0000A0200000}"/>
    <cellStyle name="20% - Accent6 10 2 2 3 2" xfId="14774" xr:uid="{00000000-0005-0000-0000-0000A1200000}"/>
    <cellStyle name="20% - Accent6 10 2 2 3 3" xfId="18725" xr:uid="{00000000-0005-0000-0000-0000A2200000}"/>
    <cellStyle name="20% - Accent6 10 2 2 4" xfId="14772" xr:uid="{00000000-0005-0000-0000-0000A3200000}"/>
    <cellStyle name="20% - Accent6 10 2 2 5" xfId="18723" xr:uid="{00000000-0005-0000-0000-0000A4200000}"/>
    <cellStyle name="20% - Accent6 10 2 3" xfId="3555" xr:uid="{00000000-0005-0000-0000-0000A5200000}"/>
    <cellStyle name="20% - Accent6 10 2 3 2" xfId="3556" xr:uid="{00000000-0005-0000-0000-0000A6200000}"/>
    <cellStyle name="20% - Accent6 10 2 3 2 2" xfId="14776" xr:uid="{00000000-0005-0000-0000-0000A7200000}"/>
    <cellStyle name="20% - Accent6 10 2 3 2 3" xfId="18727" xr:uid="{00000000-0005-0000-0000-0000A8200000}"/>
    <cellStyle name="20% - Accent6 10 2 3 3" xfId="3557" xr:uid="{00000000-0005-0000-0000-0000A9200000}"/>
    <cellStyle name="20% - Accent6 10 2 3 3 2" xfId="14777" xr:uid="{00000000-0005-0000-0000-0000AA200000}"/>
    <cellStyle name="20% - Accent6 10 2 3 3 3" xfId="18728" xr:uid="{00000000-0005-0000-0000-0000AB200000}"/>
    <cellStyle name="20% - Accent6 10 2 3 4" xfId="14775" xr:uid="{00000000-0005-0000-0000-0000AC200000}"/>
    <cellStyle name="20% - Accent6 10 2 3 5" xfId="18726" xr:uid="{00000000-0005-0000-0000-0000AD200000}"/>
    <cellStyle name="20% - Accent6 10 2 4" xfId="3558" xr:uid="{00000000-0005-0000-0000-0000AE200000}"/>
    <cellStyle name="20% - Accent6 10 2 4 2" xfId="3559" xr:uid="{00000000-0005-0000-0000-0000AF200000}"/>
    <cellStyle name="20% - Accent6 10 2 4 2 2" xfId="14779" xr:uid="{00000000-0005-0000-0000-0000B0200000}"/>
    <cellStyle name="20% - Accent6 10 2 4 2 3" xfId="18730" xr:uid="{00000000-0005-0000-0000-0000B1200000}"/>
    <cellStyle name="20% - Accent6 10 2 4 3" xfId="3560" xr:uid="{00000000-0005-0000-0000-0000B2200000}"/>
    <cellStyle name="20% - Accent6 10 2 4 3 2" xfId="14780" xr:uid="{00000000-0005-0000-0000-0000B3200000}"/>
    <cellStyle name="20% - Accent6 10 2 4 3 3" xfId="18731" xr:uid="{00000000-0005-0000-0000-0000B4200000}"/>
    <cellStyle name="20% - Accent6 10 2 4 4" xfId="14778" xr:uid="{00000000-0005-0000-0000-0000B5200000}"/>
    <cellStyle name="20% - Accent6 10 2 4 5" xfId="18729" xr:uid="{00000000-0005-0000-0000-0000B6200000}"/>
    <cellStyle name="20% - Accent6 10 2 5" xfId="3561" xr:uid="{00000000-0005-0000-0000-0000B7200000}"/>
    <cellStyle name="20% - Accent6 10 2 5 2" xfId="14781" xr:uid="{00000000-0005-0000-0000-0000B8200000}"/>
    <cellStyle name="20% - Accent6 10 2 5 3" xfId="18732" xr:uid="{00000000-0005-0000-0000-0000B9200000}"/>
    <cellStyle name="20% - Accent6 10 2 6" xfId="3562" xr:uid="{00000000-0005-0000-0000-0000BA200000}"/>
    <cellStyle name="20% - Accent6 10 2 6 2" xfId="14782" xr:uid="{00000000-0005-0000-0000-0000BB200000}"/>
    <cellStyle name="20% - Accent6 10 2 6 3" xfId="18733" xr:uid="{00000000-0005-0000-0000-0000BC200000}"/>
    <cellStyle name="20% - Accent6 10 2 7" xfId="14771" xr:uid="{00000000-0005-0000-0000-0000BD200000}"/>
    <cellStyle name="20% - Accent6 10 2 8" xfId="18722" xr:uid="{00000000-0005-0000-0000-0000BE200000}"/>
    <cellStyle name="20% - Accent6 10 2_Volatility" xfId="3563" xr:uid="{00000000-0005-0000-0000-0000BF200000}"/>
    <cellStyle name="20% - Accent6 10 3" xfId="3564" xr:uid="{00000000-0005-0000-0000-0000C0200000}"/>
    <cellStyle name="20% - Accent6 10 3 2" xfId="3565" xr:uid="{00000000-0005-0000-0000-0000C1200000}"/>
    <cellStyle name="20% - Accent6 10 3 2 2" xfId="3566" xr:uid="{00000000-0005-0000-0000-0000C2200000}"/>
    <cellStyle name="20% - Accent6 10 3 2 2 2" xfId="14785" xr:uid="{00000000-0005-0000-0000-0000C3200000}"/>
    <cellStyle name="20% - Accent6 10 3 2 2 3" xfId="18736" xr:uid="{00000000-0005-0000-0000-0000C4200000}"/>
    <cellStyle name="20% - Accent6 10 3 2 3" xfId="3567" xr:uid="{00000000-0005-0000-0000-0000C5200000}"/>
    <cellStyle name="20% - Accent6 10 3 2 3 2" xfId="14786" xr:uid="{00000000-0005-0000-0000-0000C6200000}"/>
    <cellStyle name="20% - Accent6 10 3 2 3 3" xfId="18737" xr:uid="{00000000-0005-0000-0000-0000C7200000}"/>
    <cellStyle name="20% - Accent6 10 3 2 4" xfId="14784" xr:uid="{00000000-0005-0000-0000-0000C8200000}"/>
    <cellStyle name="20% - Accent6 10 3 2 5" xfId="18735" xr:uid="{00000000-0005-0000-0000-0000C9200000}"/>
    <cellStyle name="20% - Accent6 10 3 3" xfId="3568" xr:uid="{00000000-0005-0000-0000-0000CA200000}"/>
    <cellStyle name="20% - Accent6 10 3 3 2" xfId="3569" xr:uid="{00000000-0005-0000-0000-0000CB200000}"/>
    <cellStyle name="20% - Accent6 10 3 3 2 2" xfId="14788" xr:uid="{00000000-0005-0000-0000-0000CC200000}"/>
    <cellStyle name="20% - Accent6 10 3 3 2 3" xfId="18739" xr:uid="{00000000-0005-0000-0000-0000CD200000}"/>
    <cellStyle name="20% - Accent6 10 3 3 3" xfId="3570" xr:uid="{00000000-0005-0000-0000-0000CE200000}"/>
    <cellStyle name="20% - Accent6 10 3 3 3 2" xfId="14789" xr:uid="{00000000-0005-0000-0000-0000CF200000}"/>
    <cellStyle name="20% - Accent6 10 3 3 3 3" xfId="18740" xr:uid="{00000000-0005-0000-0000-0000D0200000}"/>
    <cellStyle name="20% - Accent6 10 3 3 4" xfId="14787" xr:uid="{00000000-0005-0000-0000-0000D1200000}"/>
    <cellStyle name="20% - Accent6 10 3 3 5" xfId="18738" xr:uid="{00000000-0005-0000-0000-0000D2200000}"/>
    <cellStyle name="20% - Accent6 10 3 4" xfId="3571" xr:uid="{00000000-0005-0000-0000-0000D3200000}"/>
    <cellStyle name="20% - Accent6 10 3 4 2" xfId="14790" xr:uid="{00000000-0005-0000-0000-0000D4200000}"/>
    <cellStyle name="20% - Accent6 10 3 4 3" xfId="18741" xr:uid="{00000000-0005-0000-0000-0000D5200000}"/>
    <cellStyle name="20% - Accent6 10 3 5" xfId="3572" xr:uid="{00000000-0005-0000-0000-0000D6200000}"/>
    <cellStyle name="20% - Accent6 10 3 5 2" xfId="14791" xr:uid="{00000000-0005-0000-0000-0000D7200000}"/>
    <cellStyle name="20% - Accent6 10 3 5 3" xfId="18742" xr:uid="{00000000-0005-0000-0000-0000D8200000}"/>
    <cellStyle name="20% - Accent6 10 3 6" xfId="14783" xr:uid="{00000000-0005-0000-0000-0000D9200000}"/>
    <cellStyle name="20% - Accent6 10 3 7" xfId="18734" xr:uid="{00000000-0005-0000-0000-0000DA200000}"/>
    <cellStyle name="20% - Accent6 10 3_Volatility" xfId="3573" xr:uid="{00000000-0005-0000-0000-0000DB200000}"/>
    <cellStyle name="20% - Accent6 10 4" xfId="3574" xr:uid="{00000000-0005-0000-0000-0000DC200000}"/>
    <cellStyle name="20% - Accent6 10 4 2" xfId="3575" xr:uid="{00000000-0005-0000-0000-0000DD200000}"/>
    <cellStyle name="20% - Accent6 10 4 2 2" xfId="14793" xr:uid="{00000000-0005-0000-0000-0000DE200000}"/>
    <cellStyle name="20% - Accent6 10 4 2 3" xfId="18744" xr:uid="{00000000-0005-0000-0000-0000DF200000}"/>
    <cellStyle name="20% - Accent6 10 4 3" xfId="3576" xr:uid="{00000000-0005-0000-0000-0000E0200000}"/>
    <cellStyle name="20% - Accent6 10 4 3 2" xfId="14794" xr:uid="{00000000-0005-0000-0000-0000E1200000}"/>
    <cellStyle name="20% - Accent6 10 4 3 3" xfId="18745" xr:uid="{00000000-0005-0000-0000-0000E2200000}"/>
    <cellStyle name="20% - Accent6 10 4 4" xfId="14792" xr:uid="{00000000-0005-0000-0000-0000E3200000}"/>
    <cellStyle name="20% - Accent6 10 4 5" xfId="18743" xr:uid="{00000000-0005-0000-0000-0000E4200000}"/>
    <cellStyle name="20% - Accent6 10 5" xfId="3577" xr:uid="{00000000-0005-0000-0000-0000E5200000}"/>
    <cellStyle name="20% - Accent6 10 5 2" xfId="3578" xr:uid="{00000000-0005-0000-0000-0000E6200000}"/>
    <cellStyle name="20% - Accent6 10 5 2 2" xfId="14796" xr:uid="{00000000-0005-0000-0000-0000E7200000}"/>
    <cellStyle name="20% - Accent6 10 5 2 3" xfId="18747" xr:uid="{00000000-0005-0000-0000-0000E8200000}"/>
    <cellStyle name="20% - Accent6 10 5 3" xfId="3579" xr:uid="{00000000-0005-0000-0000-0000E9200000}"/>
    <cellStyle name="20% - Accent6 10 5 3 2" xfId="14797" xr:uid="{00000000-0005-0000-0000-0000EA200000}"/>
    <cellStyle name="20% - Accent6 10 5 3 3" xfId="18748" xr:uid="{00000000-0005-0000-0000-0000EB200000}"/>
    <cellStyle name="20% - Accent6 10 5 4" xfId="14795" xr:uid="{00000000-0005-0000-0000-0000EC200000}"/>
    <cellStyle name="20% - Accent6 10 5 5" xfId="18746" xr:uid="{00000000-0005-0000-0000-0000ED200000}"/>
    <cellStyle name="20% - Accent6 10 6" xfId="3580" xr:uid="{00000000-0005-0000-0000-0000EE200000}"/>
    <cellStyle name="20% - Accent6 10 6 2" xfId="3581" xr:uid="{00000000-0005-0000-0000-0000EF200000}"/>
    <cellStyle name="20% - Accent6 10 6 2 2" xfId="14799" xr:uid="{00000000-0005-0000-0000-0000F0200000}"/>
    <cellStyle name="20% - Accent6 10 6 2 3" xfId="18750" xr:uid="{00000000-0005-0000-0000-0000F1200000}"/>
    <cellStyle name="20% - Accent6 10 6 3" xfId="3582" xr:uid="{00000000-0005-0000-0000-0000F2200000}"/>
    <cellStyle name="20% - Accent6 10 6 3 2" xfId="14800" xr:uid="{00000000-0005-0000-0000-0000F3200000}"/>
    <cellStyle name="20% - Accent6 10 6 3 3" xfId="18751" xr:uid="{00000000-0005-0000-0000-0000F4200000}"/>
    <cellStyle name="20% - Accent6 10 6 4" xfId="14798" xr:uid="{00000000-0005-0000-0000-0000F5200000}"/>
    <cellStyle name="20% - Accent6 10 6 5" xfId="18749" xr:uid="{00000000-0005-0000-0000-0000F6200000}"/>
    <cellStyle name="20% - Accent6 10 7" xfId="3583" xr:uid="{00000000-0005-0000-0000-0000F7200000}"/>
    <cellStyle name="20% - Accent6 10 7 2" xfId="14801" xr:uid="{00000000-0005-0000-0000-0000F8200000}"/>
    <cellStyle name="20% - Accent6 10 7 3" xfId="18752" xr:uid="{00000000-0005-0000-0000-0000F9200000}"/>
    <cellStyle name="20% - Accent6 10 8" xfId="3584" xr:uid="{00000000-0005-0000-0000-0000FA200000}"/>
    <cellStyle name="20% - Accent6 10 8 2" xfId="14802" xr:uid="{00000000-0005-0000-0000-0000FB200000}"/>
    <cellStyle name="20% - Accent6 10 8 3" xfId="18753" xr:uid="{00000000-0005-0000-0000-0000FC200000}"/>
    <cellStyle name="20% - Accent6 10 9" xfId="14770" xr:uid="{00000000-0005-0000-0000-0000FD200000}"/>
    <cellStyle name="20% - Accent6 10_Volatility" xfId="3585" xr:uid="{00000000-0005-0000-0000-0000FE200000}"/>
    <cellStyle name="20% - Accent6 11" xfId="3586" xr:uid="{00000000-0005-0000-0000-0000FF200000}"/>
    <cellStyle name="20% - Accent6 11 10" xfId="18754" xr:uid="{00000000-0005-0000-0000-000000210000}"/>
    <cellStyle name="20% - Accent6 11 2" xfId="3587" xr:uid="{00000000-0005-0000-0000-000001210000}"/>
    <cellStyle name="20% - Accent6 11 2 2" xfId="3588" xr:uid="{00000000-0005-0000-0000-000002210000}"/>
    <cellStyle name="20% - Accent6 11 2 2 2" xfId="3589" xr:uid="{00000000-0005-0000-0000-000003210000}"/>
    <cellStyle name="20% - Accent6 11 2 2 2 2" xfId="14806" xr:uid="{00000000-0005-0000-0000-000004210000}"/>
    <cellStyle name="20% - Accent6 11 2 2 2 3" xfId="18757" xr:uid="{00000000-0005-0000-0000-000005210000}"/>
    <cellStyle name="20% - Accent6 11 2 2 3" xfId="3590" xr:uid="{00000000-0005-0000-0000-000006210000}"/>
    <cellStyle name="20% - Accent6 11 2 2 3 2" xfId="14807" xr:uid="{00000000-0005-0000-0000-000007210000}"/>
    <cellStyle name="20% - Accent6 11 2 2 3 3" xfId="18758" xr:uid="{00000000-0005-0000-0000-000008210000}"/>
    <cellStyle name="20% - Accent6 11 2 2 4" xfId="14805" xr:uid="{00000000-0005-0000-0000-000009210000}"/>
    <cellStyle name="20% - Accent6 11 2 2 5" xfId="18756" xr:uid="{00000000-0005-0000-0000-00000A210000}"/>
    <cellStyle name="20% - Accent6 11 2 3" xfId="3591" xr:uid="{00000000-0005-0000-0000-00000B210000}"/>
    <cellStyle name="20% - Accent6 11 2 3 2" xfId="3592" xr:uid="{00000000-0005-0000-0000-00000C210000}"/>
    <cellStyle name="20% - Accent6 11 2 3 2 2" xfId="14809" xr:uid="{00000000-0005-0000-0000-00000D210000}"/>
    <cellStyle name="20% - Accent6 11 2 3 2 3" xfId="18760" xr:uid="{00000000-0005-0000-0000-00000E210000}"/>
    <cellStyle name="20% - Accent6 11 2 3 3" xfId="3593" xr:uid="{00000000-0005-0000-0000-00000F210000}"/>
    <cellStyle name="20% - Accent6 11 2 3 3 2" xfId="14810" xr:uid="{00000000-0005-0000-0000-000010210000}"/>
    <cellStyle name="20% - Accent6 11 2 3 3 3" xfId="18761" xr:uid="{00000000-0005-0000-0000-000011210000}"/>
    <cellStyle name="20% - Accent6 11 2 3 4" xfId="14808" xr:uid="{00000000-0005-0000-0000-000012210000}"/>
    <cellStyle name="20% - Accent6 11 2 3 5" xfId="18759" xr:uid="{00000000-0005-0000-0000-000013210000}"/>
    <cellStyle name="20% - Accent6 11 2 4" xfId="3594" xr:uid="{00000000-0005-0000-0000-000014210000}"/>
    <cellStyle name="20% - Accent6 11 2 4 2" xfId="3595" xr:uid="{00000000-0005-0000-0000-000015210000}"/>
    <cellStyle name="20% - Accent6 11 2 4 2 2" xfId="14812" xr:uid="{00000000-0005-0000-0000-000016210000}"/>
    <cellStyle name="20% - Accent6 11 2 4 2 3" xfId="18763" xr:uid="{00000000-0005-0000-0000-000017210000}"/>
    <cellStyle name="20% - Accent6 11 2 4 3" xfId="3596" xr:uid="{00000000-0005-0000-0000-000018210000}"/>
    <cellStyle name="20% - Accent6 11 2 4 3 2" xfId="14813" xr:uid="{00000000-0005-0000-0000-000019210000}"/>
    <cellStyle name="20% - Accent6 11 2 4 3 3" xfId="18764" xr:uid="{00000000-0005-0000-0000-00001A210000}"/>
    <cellStyle name="20% - Accent6 11 2 4 4" xfId="14811" xr:uid="{00000000-0005-0000-0000-00001B210000}"/>
    <cellStyle name="20% - Accent6 11 2 4 5" xfId="18762" xr:uid="{00000000-0005-0000-0000-00001C210000}"/>
    <cellStyle name="20% - Accent6 11 2 5" xfId="3597" xr:uid="{00000000-0005-0000-0000-00001D210000}"/>
    <cellStyle name="20% - Accent6 11 2 5 2" xfId="14814" xr:uid="{00000000-0005-0000-0000-00001E210000}"/>
    <cellStyle name="20% - Accent6 11 2 5 3" xfId="18765" xr:uid="{00000000-0005-0000-0000-00001F210000}"/>
    <cellStyle name="20% - Accent6 11 2 6" xfId="3598" xr:uid="{00000000-0005-0000-0000-000020210000}"/>
    <cellStyle name="20% - Accent6 11 2 6 2" xfId="14815" xr:uid="{00000000-0005-0000-0000-000021210000}"/>
    <cellStyle name="20% - Accent6 11 2 6 3" xfId="18766" xr:uid="{00000000-0005-0000-0000-000022210000}"/>
    <cellStyle name="20% - Accent6 11 2 7" xfId="14804" xr:uid="{00000000-0005-0000-0000-000023210000}"/>
    <cellStyle name="20% - Accent6 11 2 8" xfId="18755" xr:uid="{00000000-0005-0000-0000-000024210000}"/>
    <cellStyle name="20% - Accent6 11 2_Volatility" xfId="3599" xr:uid="{00000000-0005-0000-0000-000025210000}"/>
    <cellStyle name="20% - Accent6 11 3" xfId="3600" xr:uid="{00000000-0005-0000-0000-000026210000}"/>
    <cellStyle name="20% - Accent6 11 3 2" xfId="3601" xr:uid="{00000000-0005-0000-0000-000027210000}"/>
    <cellStyle name="20% - Accent6 11 3 2 2" xfId="3602" xr:uid="{00000000-0005-0000-0000-000028210000}"/>
    <cellStyle name="20% - Accent6 11 3 2 2 2" xfId="14818" xr:uid="{00000000-0005-0000-0000-000029210000}"/>
    <cellStyle name="20% - Accent6 11 3 2 2 3" xfId="18769" xr:uid="{00000000-0005-0000-0000-00002A210000}"/>
    <cellStyle name="20% - Accent6 11 3 2 3" xfId="3603" xr:uid="{00000000-0005-0000-0000-00002B210000}"/>
    <cellStyle name="20% - Accent6 11 3 2 3 2" xfId="14819" xr:uid="{00000000-0005-0000-0000-00002C210000}"/>
    <cellStyle name="20% - Accent6 11 3 2 3 3" xfId="18770" xr:uid="{00000000-0005-0000-0000-00002D210000}"/>
    <cellStyle name="20% - Accent6 11 3 2 4" xfId="14817" xr:uid="{00000000-0005-0000-0000-00002E210000}"/>
    <cellStyle name="20% - Accent6 11 3 2 5" xfId="18768" xr:uid="{00000000-0005-0000-0000-00002F210000}"/>
    <cellStyle name="20% - Accent6 11 3 3" xfId="3604" xr:uid="{00000000-0005-0000-0000-000030210000}"/>
    <cellStyle name="20% - Accent6 11 3 3 2" xfId="3605" xr:uid="{00000000-0005-0000-0000-000031210000}"/>
    <cellStyle name="20% - Accent6 11 3 3 2 2" xfId="14821" xr:uid="{00000000-0005-0000-0000-000032210000}"/>
    <cellStyle name="20% - Accent6 11 3 3 2 3" xfId="18772" xr:uid="{00000000-0005-0000-0000-000033210000}"/>
    <cellStyle name="20% - Accent6 11 3 3 3" xfId="3606" xr:uid="{00000000-0005-0000-0000-000034210000}"/>
    <cellStyle name="20% - Accent6 11 3 3 3 2" xfId="14822" xr:uid="{00000000-0005-0000-0000-000035210000}"/>
    <cellStyle name="20% - Accent6 11 3 3 3 3" xfId="18773" xr:uid="{00000000-0005-0000-0000-000036210000}"/>
    <cellStyle name="20% - Accent6 11 3 3 4" xfId="14820" xr:uid="{00000000-0005-0000-0000-000037210000}"/>
    <cellStyle name="20% - Accent6 11 3 3 5" xfId="18771" xr:uid="{00000000-0005-0000-0000-000038210000}"/>
    <cellStyle name="20% - Accent6 11 3 4" xfId="3607" xr:uid="{00000000-0005-0000-0000-000039210000}"/>
    <cellStyle name="20% - Accent6 11 3 4 2" xfId="14823" xr:uid="{00000000-0005-0000-0000-00003A210000}"/>
    <cellStyle name="20% - Accent6 11 3 4 3" xfId="18774" xr:uid="{00000000-0005-0000-0000-00003B210000}"/>
    <cellStyle name="20% - Accent6 11 3 5" xfId="3608" xr:uid="{00000000-0005-0000-0000-00003C210000}"/>
    <cellStyle name="20% - Accent6 11 3 5 2" xfId="14824" xr:uid="{00000000-0005-0000-0000-00003D210000}"/>
    <cellStyle name="20% - Accent6 11 3 5 3" xfId="18775" xr:uid="{00000000-0005-0000-0000-00003E210000}"/>
    <cellStyle name="20% - Accent6 11 3 6" xfId="14816" xr:uid="{00000000-0005-0000-0000-00003F210000}"/>
    <cellStyle name="20% - Accent6 11 3 7" xfId="18767" xr:uid="{00000000-0005-0000-0000-000040210000}"/>
    <cellStyle name="20% - Accent6 11 3_Volatility" xfId="3609" xr:uid="{00000000-0005-0000-0000-000041210000}"/>
    <cellStyle name="20% - Accent6 11 4" xfId="3610" xr:uid="{00000000-0005-0000-0000-000042210000}"/>
    <cellStyle name="20% - Accent6 11 4 2" xfId="3611" xr:uid="{00000000-0005-0000-0000-000043210000}"/>
    <cellStyle name="20% - Accent6 11 4 2 2" xfId="14826" xr:uid="{00000000-0005-0000-0000-000044210000}"/>
    <cellStyle name="20% - Accent6 11 4 2 3" xfId="18777" xr:uid="{00000000-0005-0000-0000-000045210000}"/>
    <cellStyle name="20% - Accent6 11 4 3" xfId="3612" xr:uid="{00000000-0005-0000-0000-000046210000}"/>
    <cellStyle name="20% - Accent6 11 4 3 2" xfId="14827" xr:uid="{00000000-0005-0000-0000-000047210000}"/>
    <cellStyle name="20% - Accent6 11 4 3 3" xfId="18778" xr:uid="{00000000-0005-0000-0000-000048210000}"/>
    <cellStyle name="20% - Accent6 11 4 4" xfId="14825" xr:uid="{00000000-0005-0000-0000-000049210000}"/>
    <cellStyle name="20% - Accent6 11 4 5" xfId="18776" xr:uid="{00000000-0005-0000-0000-00004A210000}"/>
    <cellStyle name="20% - Accent6 11 5" xfId="3613" xr:uid="{00000000-0005-0000-0000-00004B210000}"/>
    <cellStyle name="20% - Accent6 11 5 2" xfId="3614" xr:uid="{00000000-0005-0000-0000-00004C210000}"/>
    <cellStyle name="20% - Accent6 11 5 2 2" xfId="14829" xr:uid="{00000000-0005-0000-0000-00004D210000}"/>
    <cellStyle name="20% - Accent6 11 5 2 3" xfId="18780" xr:uid="{00000000-0005-0000-0000-00004E210000}"/>
    <cellStyle name="20% - Accent6 11 5 3" xfId="3615" xr:uid="{00000000-0005-0000-0000-00004F210000}"/>
    <cellStyle name="20% - Accent6 11 5 3 2" xfId="14830" xr:uid="{00000000-0005-0000-0000-000050210000}"/>
    <cellStyle name="20% - Accent6 11 5 3 3" xfId="18781" xr:uid="{00000000-0005-0000-0000-000051210000}"/>
    <cellStyle name="20% - Accent6 11 5 4" xfId="14828" xr:uid="{00000000-0005-0000-0000-000052210000}"/>
    <cellStyle name="20% - Accent6 11 5 5" xfId="18779" xr:uid="{00000000-0005-0000-0000-000053210000}"/>
    <cellStyle name="20% - Accent6 11 6" xfId="3616" xr:uid="{00000000-0005-0000-0000-000054210000}"/>
    <cellStyle name="20% - Accent6 11 6 2" xfId="3617" xr:uid="{00000000-0005-0000-0000-000055210000}"/>
    <cellStyle name="20% - Accent6 11 6 2 2" xfId="14832" xr:uid="{00000000-0005-0000-0000-000056210000}"/>
    <cellStyle name="20% - Accent6 11 6 2 3" xfId="18783" xr:uid="{00000000-0005-0000-0000-000057210000}"/>
    <cellStyle name="20% - Accent6 11 6 3" xfId="3618" xr:uid="{00000000-0005-0000-0000-000058210000}"/>
    <cellStyle name="20% - Accent6 11 6 3 2" xfId="14833" xr:uid="{00000000-0005-0000-0000-000059210000}"/>
    <cellStyle name="20% - Accent6 11 6 3 3" xfId="18784" xr:uid="{00000000-0005-0000-0000-00005A210000}"/>
    <cellStyle name="20% - Accent6 11 6 4" xfId="14831" xr:uid="{00000000-0005-0000-0000-00005B210000}"/>
    <cellStyle name="20% - Accent6 11 6 5" xfId="18782" xr:uid="{00000000-0005-0000-0000-00005C210000}"/>
    <cellStyle name="20% - Accent6 11 7" xfId="3619" xr:uid="{00000000-0005-0000-0000-00005D210000}"/>
    <cellStyle name="20% - Accent6 11 7 2" xfId="14834" xr:uid="{00000000-0005-0000-0000-00005E210000}"/>
    <cellStyle name="20% - Accent6 11 7 3" xfId="18785" xr:uid="{00000000-0005-0000-0000-00005F210000}"/>
    <cellStyle name="20% - Accent6 11 8" xfId="3620" xr:uid="{00000000-0005-0000-0000-000060210000}"/>
    <cellStyle name="20% - Accent6 11 8 2" xfId="14835" xr:uid="{00000000-0005-0000-0000-000061210000}"/>
    <cellStyle name="20% - Accent6 11 8 3" xfId="18786" xr:uid="{00000000-0005-0000-0000-000062210000}"/>
    <cellStyle name="20% - Accent6 11 9" xfId="14803" xr:uid="{00000000-0005-0000-0000-000063210000}"/>
    <cellStyle name="20% - Accent6 11_Volatility" xfId="3621" xr:uid="{00000000-0005-0000-0000-000064210000}"/>
    <cellStyle name="20% - Accent6 12" xfId="3622" xr:uid="{00000000-0005-0000-0000-000065210000}"/>
    <cellStyle name="20% - Accent6 12 10" xfId="18787" xr:uid="{00000000-0005-0000-0000-000066210000}"/>
    <cellStyle name="20% - Accent6 12 2" xfId="3623" xr:uid="{00000000-0005-0000-0000-000067210000}"/>
    <cellStyle name="20% - Accent6 12 2 2" xfId="3624" xr:uid="{00000000-0005-0000-0000-000068210000}"/>
    <cellStyle name="20% - Accent6 12 2 2 2" xfId="3625" xr:uid="{00000000-0005-0000-0000-000069210000}"/>
    <cellStyle name="20% - Accent6 12 2 2 2 2" xfId="14839" xr:uid="{00000000-0005-0000-0000-00006A210000}"/>
    <cellStyle name="20% - Accent6 12 2 2 2 3" xfId="18790" xr:uid="{00000000-0005-0000-0000-00006B210000}"/>
    <cellStyle name="20% - Accent6 12 2 2 3" xfId="3626" xr:uid="{00000000-0005-0000-0000-00006C210000}"/>
    <cellStyle name="20% - Accent6 12 2 2 3 2" xfId="14840" xr:uid="{00000000-0005-0000-0000-00006D210000}"/>
    <cellStyle name="20% - Accent6 12 2 2 3 3" xfId="18791" xr:uid="{00000000-0005-0000-0000-00006E210000}"/>
    <cellStyle name="20% - Accent6 12 2 2 4" xfId="14838" xr:uid="{00000000-0005-0000-0000-00006F210000}"/>
    <cellStyle name="20% - Accent6 12 2 2 5" xfId="18789" xr:uid="{00000000-0005-0000-0000-000070210000}"/>
    <cellStyle name="20% - Accent6 12 2 3" xfId="3627" xr:uid="{00000000-0005-0000-0000-000071210000}"/>
    <cellStyle name="20% - Accent6 12 2 3 2" xfId="3628" xr:uid="{00000000-0005-0000-0000-000072210000}"/>
    <cellStyle name="20% - Accent6 12 2 3 2 2" xfId="14842" xr:uid="{00000000-0005-0000-0000-000073210000}"/>
    <cellStyle name="20% - Accent6 12 2 3 2 3" xfId="18793" xr:uid="{00000000-0005-0000-0000-000074210000}"/>
    <cellStyle name="20% - Accent6 12 2 3 3" xfId="3629" xr:uid="{00000000-0005-0000-0000-000075210000}"/>
    <cellStyle name="20% - Accent6 12 2 3 3 2" xfId="14843" xr:uid="{00000000-0005-0000-0000-000076210000}"/>
    <cellStyle name="20% - Accent6 12 2 3 3 3" xfId="18794" xr:uid="{00000000-0005-0000-0000-000077210000}"/>
    <cellStyle name="20% - Accent6 12 2 3 4" xfId="14841" xr:uid="{00000000-0005-0000-0000-000078210000}"/>
    <cellStyle name="20% - Accent6 12 2 3 5" xfId="18792" xr:uid="{00000000-0005-0000-0000-000079210000}"/>
    <cellStyle name="20% - Accent6 12 2 4" xfId="3630" xr:uid="{00000000-0005-0000-0000-00007A210000}"/>
    <cellStyle name="20% - Accent6 12 2 4 2" xfId="3631" xr:uid="{00000000-0005-0000-0000-00007B210000}"/>
    <cellStyle name="20% - Accent6 12 2 4 2 2" xfId="14845" xr:uid="{00000000-0005-0000-0000-00007C210000}"/>
    <cellStyle name="20% - Accent6 12 2 4 2 3" xfId="18796" xr:uid="{00000000-0005-0000-0000-00007D210000}"/>
    <cellStyle name="20% - Accent6 12 2 4 3" xfId="3632" xr:uid="{00000000-0005-0000-0000-00007E210000}"/>
    <cellStyle name="20% - Accent6 12 2 4 3 2" xfId="14846" xr:uid="{00000000-0005-0000-0000-00007F210000}"/>
    <cellStyle name="20% - Accent6 12 2 4 3 3" xfId="18797" xr:uid="{00000000-0005-0000-0000-000080210000}"/>
    <cellStyle name="20% - Accent6 12 2 4 4" xfId="14844" xr:uid="{00000000-0005-0000-0000-000081210000}"/>
    <cellStyle name="20% - Accent6 12 2 4 5" xfId="18795" xr:uid="{00000000-0005-0000-0000-000082210000}"/>
    <cellStyle name="20% - Accent6 12 2 5" xfId="3633" xr:uid="{00000000-0005-0000-0000-000083210000}"/>
    <cellStyle name="20% - Accent6 12 2 5 2" xfId="14847" xr:uid="{00000000-0005-0000-0000-000084210000}"/>
    <cellStyle name="20% - Accent6 12 2 5 3" xfId="18798" xr:uid="{00000000-0005-0000-0000-000085210000}"/>
    <cellStyle name="20% - Accent6 12 2 6" xfId="3634" xr:uid="{00000000-0005-0000-0000-000086210000}"/>
    <cellStyle name="20% - Accent6 12 2 6 2" xfId="14848" xr:uid="{00000000-0005-0000-0000-000087210000}"/>
    <cellStyle name="20% - Accent6 12 2 6 3" xfId="18799" xr:uid="{00000000-0005-0000-0000-000088210000}"/>
    <cellStyle name="20% - Accent6 12 2 7" xfId="14837" xr:uid="{00000000-0005-0000-0000-000089210000}"/>
    <cellStyle name="20% - Accent6 12 2 8" xfId="18788" xr:uid="{00000000-0005-0000-0000-00008A210000}"/>
    <cellStyle name="20% - Accent6 12 2_Volatility" xfId="3635" xr:uid="{00000000-0005-0000-0000-00008B210000}"/>
    <cellStyle name="20% - Accent6 12 3" xfId="3636" xr:uid="{00000000-0005-0000-0000-00008C210000}"/>
    <cellStyle name="20% - Accent6 12 3 2" xfId="3637" xr:uid="{00000000-0005-0000-0000-00008D210000}"/>
    <cellStyle name="20% - Accent6 12 3 2 2" xfId="3638" xr:uid="{00000000-0005-0000-0000-00008E210000}"/>
    <cellStyle name="20% - Accent6 12 3 2 2 2" xfId="14851" xr:uid="{00000000-0005-0000-0000-00008F210000}"/>
    <cellStyle name="20% - Accent6 12 3 2 2 3" xfId="18802" xr:uid="{00000000-0005-0000-0000-000090210000}"/>
    <cellStyle name="20% - Accent6 12 3 2 3" xfId="3639" xr:uid="{00000000-0005-0000-0000-000091210000}"/>
    <cellStyle name="20% - Accent6 12 3 2 3 2" xfId="14852" xr:uid="{00000000-0005-0000-0000-000092210000}"/>
    <cellStyle name="20% - Accent6 12 3 2 3 3" xfId="18803" xr:uid="{00000000-0005-0000-0000-000093210000}"/>
    <cellStyle name="20% - Accent6 12 3 2 4" xfId="14850" xr:uid="{00000000-0005-0000-0000-000094210000}"/>
    <cellStyle name="20% - Accent6 12 3 2 5" xfId="18801" xr:uid="{00000000-0005-0000-0000-000095210000}"/>
    <cellStyle name="20% - Accent6 12 3 3" xfId="3640" xr:uid="{00000000-0005-0000-0000-000096210000}"/>
    <cellStyle name="20% - Accent6 12 3 3 2" xfId="3641" xr:uid="{00000000-0005-0000-0000-000097210000}"/>
    <cellStyle name="20% - Accent6 12 3 3 2 2" xfId="14854" xr:uid="{00000000-0005-0000-0000-000098210000}"/>
    <cellStyle name="20% - Accent6 12 3 3 2 3" xfId="18805" xr:uid="{00000000-0005-0000-0000-000099210000}"/>
    <cellStyle name="20% - Accent6 12 3 3 3" xfId="3642" xr:uid="{00000000-0005-0000-0000-00009A210000}"/>
    <cellStyle name="20% - Accent6 12 3 3 3 2" xfId="14855" xr:uid="{00000000-0005-0000-0000-00009B210000}"/>
    <cellStyle name="20% - Accent6 12 3 3 3 3" xfId="18806" xr:uid="{00000000-0005-0000-0000-00009C210000}"/>
    <cellStyle name="20% - Accent6 12 3 3 4" xfId="14853" xr:uid="{00000000-0005-0000-0000-00009D210000}"/>
    <cellStyle name="20% - Accent6 12 3 3 5" xfId="18804" xr:uid="{00000000-0005-0000-0000-00009E210000}"/>
    <cellStyle name="20% - Accent6 12 3 4" xfId="3643" xr:uid="{00000000-0005-0000-0000-00009F210000}"/>
    <cellStyle name="20% - Accent6 12 3 4 2" xfId="14856" xr:uid="{00000000-0005-0000-0000-0000A0210000}"/>
    <cellStyle name="20% - Accent6 12 3 4 3" xfId="18807" xr:uid="{00000000-0005-0000-0000-0000A1210000}"/>
    <cellStyle name="20% - Accent6 12 3 5" xfId="3644" xr:uid="{00000000-0005-0000-0000-0000A2210000}"/>
    <cellStyle name="20% - Accent6 12 3 5 2" xfId="14857" xr:uid="{00000000-0005-0000-0000-0000A3210000}"/>
    <cellStyle name="20% - Accent6 12 3 5 3" xfId="18808" xr:uid="{00000000-0005-0000-0000-0000A4210000}"/>
    <cellStyle name="20% - Accent6 12 3 6" xfId="14849" xr:uid="{00000000-0005-0000-0000-0000A5210000}"/>
    <cellStyle name="20% - Accent6 12 3 7" xfId="18800" xr:uid="{00000000-0005-0000-0000-0000A6210000}"/>
    <cellStyle name="20% - Accent6 12 3_Volatility" xfId="3645" xr:uid="{00000000-0005-0000-0000-0000A7210000}"/>
    <cellStyle name="20% - Accent6 12 4" xfId="3646" xr:uid="{00000000-0005-0000-0000-0000A8210000}"/>
    <cellStyle name="20% - Accent6 12 4 2" xfId="3647" xr:uid="{00000000-0005-0000-0000-0000A9210000}"/>
    <cellStyle name="20% - Accent6 12 4 2 2" xfId="14859" xr:uid="{00000000-0005-0000-0000-0000AA210000}"/>
    <cellStyle name="20% - Accent6 12 4 2 3" xfId="18810" xr:uid="{00000000-0005-0000-0000-0000AB210000}"/>
    <cellStyle name="20% - Accent6 12 4 3" xfId="3648" xr:uid="{00000000-0005-0000-0000-0000AC210000}"/>
    <cellStyle name="20% - Accent6 12 4 3 2" xfId="14860" xr:uid="{00000000-0005-0000-0000-0000AD210000}"/>
    <cellStyle name="20% - Accent6 12 4 3 3" xfId="18811" xr:uid="{00000000-0005-0000-0000-0000AE210000}"/>
    <cellStyle name="20% - Accent6 12 4 4" xfId="14858" xr:uid="{00000000-0005-0000-0000-0000AF210000}"/>
    <cellStyle name="20% - Accent6 12 4 5" xfId="18809" xr:uid="{00000000-0005-0000-0000-0000B0210000}"/>
    <cellStyle name="20% - Accent6 12 5" xfId="3649" xr:uid="{00000000-0005-0000-0000-0000B1210000}"/>
    <cellStyle name="20% - Accent6 12 5 2" xfId="3650" xr:uid="{00000000-0005-0000-0000-0000B2210000}"/>
    <cellStyle name="20% - Accent6 12 5 2 2" xfId="14862" xr:uid="{00000000-0005-0000-0000-0000B3210000}"/>
    <cellStyle name="20% - Accent6 12 5 2 3" xfId="18813" xr:uid="{00000000-0005-0000-0000-0000B4210000}"/>
    <cellStyle name="20% - Accent6 12 5 3" xfId="3651" xr:uid="{00000000-0005-0000-0000-0000B5210000}"/>
    <cellStyle name="20% - Accent6 12 5 3 2" xfId="14863" xr:uid="{00000000-0005-0000-0000-0000B6210000}"/>
    <cellStyle name="20% - Accent6 12 5 3 3" xfId="18814" xr:uid="{00000000-0005-0000-0000-0000B7210000}"/>
    <cellStyle name="20% - Accent6 12 5 4" xfId="14861" xr:uid="{00000000-0005-0000-0000-0000B8210000}"/>
    <cellStyle name="20% - Accent6 12 5 5" xfId="18812" xr:uid="{00000000-0005-0000-0000-0000B9210000}"/>
    <cellStyle name="20% - Accent6 12 6" xfId="3652" xr:uid="{00000000-0005-0000-0000-0000BA210000}"/>
    <cellStyle name="20% - Accent6 12 6 2" xfId="3653" xr:uid="{00000000-0005-0000-0000-0000BB210000}"/>
    <cellStyle name="20% - Accent6 12 6 2 2" xfId="14865" xr:uid="{00000000-0005-0000-0000-0000BC210000}"/>
    <cellStyle name="20% - Accent6 12 6 2 3" xfId="18816" xr:uid="{00000000-0005-0000-0000-0000BD210000}"/>
    <cellStyle name="20% - Accent6 12 6 3" xfId="3654" xr:uid="{00000000-0005-0000-0000-0000BE210000}"/>
    <cellStyle name="20% - Accent6 12 6 3 2" xfId="14866" xr:uid="{00000000-0005-0000-0000-0000BF210000}"/>
    <cellStyle name="20% - Accent6 12 6 3 3" xfId="18817" xr:uid="{00000000-0005-0000-0000-0000C0210000}"/>
    <cellStyle name="20% - Accent6 12 6 4" xfId="14864" xr:uid="{00000000-0005-0000-0000-0000C1210000}"/>
    <cellStyle name="20% - Accent6 12 6 5" xfId="18815" xr:uid="{00000000-0005-0000-0000-0000C2210000}"/>
    <cellStyle name="20% - Accent6 12 7" xfId="3655" xr:uid="{00000000-0005-0000-0000-0000C3210000}"/>
    <cellStyle name="20% - Accent6 12 7 2" xfId="14867" xr:uid="{00000000-0005-0000-0000-0000C4210000}"/>
    <cellStyle name="20% - Accent6 12 7 3" xfId="18818" xr:uid="{00000000-0005-0000-0000-0000C5210000}"/>
    <cellStyle name="20% - Accent6 12 8" xfId="3656" xr:uid="{00000000-0005-0000-0000-0000C6210000}"/>
    <cellStyle name="20% - Accent6 12 8 2" xfId="14868" xr:uid="{00000000-0005-0000-0000-0000C7210000}"/>
    <cellStyle name="20% - Accent6 12 8 3" xfId="18819" xr:uid="{00000000-0005-0000-0000-0000C8210000}"/>
    <cellStyle name="20% - Accent6 12 9" xfId="14836" xr:uid="{00000000-0005-0000-0000-0000C9210000}"/>
    <cellStyle name="20% - Accent6 12_Volatility" xfId="3657" xr:uid="{00000000-0005-0000-0000-0000CA210000}"/>
    <cellStyle name="20% - Accent6 13" xfId="3658" xr:uid="{00000000-0005-0000-0000-0000CB210000}"/>
    <cellStyle name="20% - Accent6 13 10" xfId="18820" xr:uid="{00000000-0005-0000-0000-0000CC210000}"/>
    <cellStyle name="20% - Accent6 13 2" xfId="3659" xr:uid="{00000000-0005-0000-0000-0000CD210000}"/>
    <cellStyle name="20% - Accent6 13 2 2" xfId="3660" xr:uid="{00000000-0005-0000-0000-0000CE210000}"/>
    <cellStyle name="20% - Accent6 13 2 2 2" xfId="3661" xr:uid="{00000000-0005-0000-0000-0000CF210000}"/>
    <cellStyle name="20% - Accent6 13 2 2 2 2" xfId="14872" xr:uid="{00000000-0005-0000-0000-0000D0210000}"/>
    <cellStyle name="20% - Accent6 13 2 2 2 3" xfId="18823" xr:uid="{00000000-0005-0000-0000-0000D1210000}"/>
    <cellStyle name="20% - Accent6 13 2 2 3" xfId="3662" xr:uid="{00000000-0005-0000-0000-0000D2210000}"/>
    <cellStyle name="20% - Accent6 13 2 2 3 2" xfId="14873" xr:uid="{00000000-0005-0000-0000-0000D3210000}"/>
    <cellStyle name="20% - Accent6 13 2 2 3 3" xfId="18824" xr:uid="{00000000-0005-0000-0000-0000D4210000}"/>
    <cellStyle name="20% - Accent6 13 2 2 4" xfId="14871" xr:uid="{00000000-0005-0000-0000-0000D5210000}"/>
    <cellStyle name="20% - Accent6 13 2 2 5" xfId="18822" xr:uid="{00000000-0005-0000-0000-0000D6210000}"/>
    <cellStyle name="20% - Accent6 13 2 3" xfId="3663" xr:uid="{00000000-0005-0000-0000-0000D7210000}"/>
    <cellStyle name="20% - Accent6 13 2 3 2" xfId="3664" xr:uid="{00000000-0005-0000-0000-0000D8210000}"/>
    <cellStyle name="20% - Accent6 13 2 3 2 2" xfId="14875" xr:uid="{00000000-0005-0000-0000-0000D9210000}"/>
    <cellStyle name="20% - Accent6 13 2 3 2 3" xfId="18826" xr:uid="{00000000-0005-0000-0000-0000DA210000}"/>
    <cellStyle name="20% - Accent6 13 2 3 3" xfId="3665" xr:uid="{00000000-0005-0000-0000-0000DB210000}"/>
    <cellStyle name="20% - Accent6 13 2 3 3 2" xfId="14876" xr:uid="{00000000-0005-0000-0000-0000DC210000}"/>
    <cellStyle name="20% - Accent6 13 2 3 3 3" xfId="18827" xr:uid="{00000000-0005-0000-0000-0000DD210000}"/>
    <cellStyle name="20% - Accent6 13 2 3 4" xfId="14874" xr:uid="{00000000-0005-0000-0000-0000DE210000}"/>
    <cellStyle name="20% - Accent6 13 2 3 5" xfId="18825" xr:uid="{00000000-0005-0000-0000-0000DF210000}"/>
    <cellStyle name="20% - Accent6 13 2 4" xfId="3666" xr:uid="{00000000-0005-0000-0000-0000E0210000}"/>
    <cellStyle name="20% - Accent6 13 2 4 2" xfId="3667" xr:uid="{00000000-0005-0000-0000-0000E1210000}"/>
    <cellStyle name="20% - Accent6 13 2 4 2 2" xfId="14878" xr:uid="{00000000-0005-0000-0000-0000E2210000}"/>
    <cellStyle name="20% - Accent6 13 2 4 2 3" xfId="18829" xr:uid="{00000000-0005-0000-0000-0000E3210000}"/>
    <cellStyle name="20% - Accent6 13 2 4 3" xfId="3668" xr:uid="{00000000-0005-0000-0000-0000E4210000}"/>
    <cellStyle name="20% - Accent6 13 2 4 3 2" xfId="14879" xr:uid="{00000000-0005-0000-0000-0000E5210000}"/>
    <cellStyle name="20% - Accent6 13 2 4 3 3" xfId="18830" xr:uid="{00000000-0005-0000-0000-0000E6210000}"/>
    <cellStyle name="20% - Accent6 13 2 4 4" xfId="14877" xr:uid="{00000000-0005-0000-0000-0000E7210000}"/>
    <cellStyle name="20% - Accent6 13 2 4 5" xfId="18828" xr:uid="{00000000-0005-0000-0000-0000E8210000}"/>
    <cellStyle name="20% - Accent6 13 2 5" xfId="3669" xr:uid="{00000000-0005-0000-0000-0000E9210000}"/>
    <cellStyle name="20% - Accent6 13 2 5 2" xfId="14880" xr:uid="{00000000-0005-0000-0000-0000EA210000}"/>
    <cellStyle name="20% - Accent6 13 2 5 3" xfId="18831" xr:uid="{00000000-0005-0000-0000-0000EB210000}"/>
    <cellStyle name="20% - Accent6 13 2 6" xfId="3670" xr:uid="{00000000-0005-0000-0000-0000EC210000}"/>
    <cellStyle name="20% - Accent6 13 2 6 2" xfId="14881" xr:uid="{00000000-0005-0000-0000-0000ED210000}"/>
    <cellStyle name="20% - Accent6 13 2 6 3" xfId="18832" xr:uid="{00000000-0005-0000-0000-0000EE210000}"/>
    <cellStyle name="20% - Accent6 13 2 7" xfId="14870" xr:uid="{00000000-0005-0000-0000-0000EF210000}"/>
    <cellStyle name="20% - Accent6 13 2 8" xfId="18821" xr:uid="{00000000-0005-0000-0000-0000F0210000}"/>
    <cellStyle name="20% - Accent6 13 2_Volatility" xfId="3671" xr:uid="{00000000-0005-0000-0000-0000F1210000}"/>
    <cellStyle name="20% - Accent6 13 3" xfId="3672" xr:uid="{00000000-0005-0000-0000-0000F2210000}"/>
    <cellStyle name="20% - Accent6 13 3 2" xfId="3673" xr:uid="{00000000-0005-0000-0000-0000F3210000}"/>
    <cellStyle name="20% - Accent6 13 3 2 2" xfId="3674" xr:uid="{00000000-0005-0000-0000-0000F4210000}"/>
    <cellStyle name="20% - Accent6 13 3 2 2 2" xfId="14884" xr:uid="{00000000-0005-0000-0000-0000F5210000}"/>
    <cellStyle name="20% - Accent6 13 3 2 2 3" xfId="18835" xr:uid="{00000000-0005-0000-0000-0000F6210000}"/>
    <cellStyle name="20% - Accent6 13 3 2 3" xfId="3675" xr:uid="{00000000-0005-0000-0000-0000F7210000}"/>
    <cellStyle name="20% - Accent6 13 3 2 3 2" xfId="14885" xr:uid="{00000000-0005-0000-0000-0000F8210000}"/>
    <cellStyle name="20% - Accent6 13 3 2 3 3" xfId="18836" xr:uid="{00000000-0005-0000-0000-0000F9210000}"/>
    <cellStyle name="20% - Accent6 13 3 2 4" xfId="14883" xr:uid="{00000000-0005-0000-0000-0000FA210000}"/>
    <cellStyle name="20% - Accent6 13 3 2 5" xfId="18834" xr:uid="{00000000-0005-0000-0000-0000FB210000}"/>
    <cellStyle name="20% - Accent6 13 3 3" xfId="3676" xr:uid="{00000000-0005-0000-0000-0000FC210000}"/>
    <cellStyle name="20% - Accent6 13 3 3 2" xfId="3677" xr:uid="{00000000-0005-0000-0000-0000FD210000}"/>
    <cellStyle name="20% - Accent6 13 3 3 2 2" xfId="14887" xr:uid="{00000000-0005-0000-0000-0000FE210000}"/>
    <cellStyle name="20% - Accent6 13 3 3 2 3" xfId="18838" xr:uid="{00000000-0005-0000-0000-0000FF210000}"/>
    <cellStyle name="20% - Accent6 13 3 3 3" xfId="3678" xr:uid="{00000000-0005-0000-0000-000000220000}"/>
    <cellStyle name="20% - Accent6 13 3 3 3 2" xfId="14888" xr:uid="{00000000-0005-0000-0000-000001220000}"/>
    <cellStyle name="20% - Accent6 13 3 3 3 3" xfId="18839" xr:uid="{00000000-0005-0000-0000-000002220000}"/>
    <cellStyle name="20% - Accent6 13 3 3 4" xfId="14886" xr:uid="{00000000-0005-0000-0000-000003220000}"/>
    <cellStyle name="20% - Accent6 13 3 3 5" xfId="18837" xr:uid="{00000000-0005-0000-0000-000004220000}"/>
    <cellStyle name="20% - Accent6 13 3 4" xfId="3679" xr:uid="{00000000-0005-0000-0000-000005220000}"/>
    <cellStyle name="20% - Accent6 13 3 4 2" xfId="14889" xr:uid="{00000000-0005-0000-0000-000006220000}"/>
    <cellStyle name="20% - Accent6 13 3 4 3" xfId="18840" xr:uid="{00000000-0005-0000-0000-000007220000}"/>
    <cellStyle name="20% - Accent6 13 3 5" xfId="3680" xr:uid="{00000000-0005-0000-0000-000008220000}"/>
    <cellStyle name="20% - Accent6 13 3 5 2" xfId="14890" xr:uid="{00000000-0005-0000-0000-000009220000}"/>
    <cellStyle name="20% - Accent6 13 3 5 3" xfId="18841" xr:uid="{00000000-0005-0000-0000-00000A220000}"/>
    <cellStyle name="20% - Accent6 13 3 6" xfId="14882" xr:uid="{00000000-0005-0000-0000-00000B220000}"/>
    <cellStyle name="20% - Accent6 13 3 7" xfId="18833" xr:uid="{00000000-0005-0000-0000-00000C220000}"/>
    <cellStyle name="20% - Accent6 13 3_Volatility" xfId="3681" xr:uid="{00000000-0005-0000-0000-00000D220000}"/>
    <cellStyle name="20% - Accent6 13 4" xfId="3682" xr:uid="{00000000-0005-0000-0000-00000E220000}"/>
    <cellStyle name="20% - Accent6 13 4 2" xfId="3683" xr:uid="{00000000-0005-0000-0000-00000F220000}"/>
    <cellStyle name="20% - Accent6 13 4 2 2" xfId="14892" xr:uid="{00000000-0005-0000-0000-000010220000}"/>
    <cellStyle name="20% - Accent6 13 4 2 3" xfId="18843" xr:uid="{00000000-0005-0000-0000-000011220000}"/>
    <cellStyle name="20% - Accent6 13 4 3" xfId="3684" xr:uid="{00000000-0005-0000-0000-000012220000}"/>
    <cellStyle name="20% - Accent6 13 4 3 2" xfId="14893" xr:uid="{00000000-0005-0000-0000-000013220000}"/>
    <cellStyle name="20% - Accent6 13 4 3 3" xfId="18844" xr:uid="{00000000-0005-0000-0000-000014220000}"/>
    <cellStyle name="20% - Accent6 13 4 4" xfId="14891" xr:uid="{00000000-0005-0000-0000-000015220000}"/>
    <cellStyle name="20% - Accent6 13 4 5" xfId="18842" xr:uid="{00000000-0005-0000-0000-000016220000}"/>
    <cellStyle name="20% - Accent6 13 5" xfId="3685" xr:uid="{00000000-0005-0000-0000-000017220000}"/>
    <cellStyle name="20% - Accent6 13 5 2" xfId="3686" xr:uid="{00000000-0005-0000-0000-000018220000}"/>
    <cellStyle name="20% - Accent6 13 5 2 2" xfId="14895" xr:uid="{00000000-0005-0000-0000-000019220000}"/>
    <cellStyle name="20% - Accent6 13 5 2 3" xfId="18846" xr:uid="{00000000-0005-0000-0000-00001A220000}"/>
    <cellStyle name="20% - Accent6 13 5 3" xfId="3687" xr:uid="{00000000-0005-0000-0000-00001B220000}"/>
    <cellStyle name="20% - Accent6 13 5 3 2" xfId="14896" xr:uid="{00000000-0005-0000-0000-00001C220000}"/>
    <cellStyle name="20% - Accent6 13 5 3 3" xfId="18847" xr:uid="{00000000-0005-0000-0000-00001D220000}"/>
    <cellStyle name="20% - Accent6 13 5 4" xfId="14894" xr:uid="{00000000-0005-0000-0000-00001E220000}"/>
    <cellStyle name="20% - Accent6 13 5 5" xfId="18845" xr:uid="{00000000-0005-0000-0000-00001F220000}"/>
    <cellStyle name="20% - Accent6 13 6" xfId="3688" xr:uid="{00000000-0005-0000-0000-000020220000}"/>
    <cellStyle name="20% - Accent6 13 6 2" xfId="3689" xr:uid="{00000000-0005-0000-0000-000021220000}"/>
    <cellStyle name="20% - Accent6 13 6 2 2" xfId="14898" xr:uid="{00000000-0005-0000-0000-000022220000}"/>
    <cellStyle name="20% - Accent6 13 6 2 3" xfId="18849" xr:uid="{00000000-0005-0000-0000-000023220000}"/>
    <cellStyle name="20% - Accent6 13 6 3" xfId="3690" xr:uid="{00000000-0005-0000-0000-000024220000}"/>
    <cellStyle name="20% - Accent6 13 6 3 2" xfId="14899" xr:uid="{00000000-0005-0000-0000-000025220000}"/>
    <cellStyle name="20% - Accent6 13 6 3 3" xfId="18850" xr:uid="{00000000-0005-0000-0000-000026220000}"/>
    <cellStyle name="20% - Accent6 13 6 4" xfId="14897" xr:uid="{00000000-0005-0000-0000-000027220000}"/>
    <cellStyle name="20% - Accent6 13 6 5" xfId="18848" xr:uid="{00000000-0005-0000-0000-000028220000}"/>
    <cellStyle name="20% - Accent6 13 7" xfId="3691" xr:uid="{00000000-0005-0000-0000-000029220000}"/>
    <cellStyle name="20% - Accent6 13 7 2" xfId="14900" xr:uid="{00000000-0005-0000-0000-00002A220000}"/>
    <cellStyle name="20% - Accent6 13 7 3" xfId="18851" xr:uid="{00000000-0005-0000-0000-00002B220000}"/>
    <cellStyle name="20% - Accent6 13 8" xfId="3692" xr:uid="{00000000-0005-0000-0000-00002C220000}"/>
    <cellStyle name="20% - Accent6 13 8 2" xfId="14901" xr:uid="{00000000-0005-0000-0000-00002D220000}"/>
    <cellStyle name="20% - Accent6 13 8 3" xfId="18852" xr:uid="{00000000-0005-0000-0000-00002E220000}"/>
    <cellStyle name="20% - Accent6 13 9" xfId="14869" xr:uid="{00000000-0005-0000-0000-00002F220000}"/>
    <cellStyle name="20% - Accent6 13_Volatility" xfId="3693" xr:uid="{00000000-0005-0000-0000-000030220000}"/>
    <cellStyle name="20% - Accent6 14" xfId="3694" xr:uid="{00000000-0005-0000-0000-000031220000}"/>
    <cellStyle name="20% - Accent6 14 10" xfId="18853" xr:uid="{00000000-0005-0000-0000-000032220000}"/>
    <cellStyle name="20% - Accent6 14 2" xfId="3695" xr:uid="{00000000-0005-0000-0000-000033220000}"/>
    <cellStyle name="20% - Accent6 14 2 2" xfId="3696" xr:uid="{00000000-0005-0000-0000-000034220000}"/>
    <cellStyle name="20% - Accent6 14 2 2 2" xfId="3697" xr:uid="{00000000-0005-0000-0000-000035220000}"/>
    <cellStyle name="20% - Accent6 14 2 2 2 2" xfId="14905" xr:uid="{00000000-0005-0000-0000-000036220000}"/>
    <cellStyle name="20% - Accent6 14 2 2 2 3" xfId="18856" xr:uid="{00000000-0005-0000-0000-000037220000}"/>
    <cellStyle name="20% - Accent6 14 2 2 3" xfId="3698" xr:uid="{00000000-0005-0000-0000-000038220000}"/>
    <cellStyle name="20% - Accent6 14 2 2 3 2" xfId="14906" xr:uid="{00000000-0005-0000-0000-000039220000}"/>
    <cellStyle name="20% - Accent6 14 2 2 3 3" xfId="18857" xr:uid="{00000000-0005-0000-0000-00003A220000}"/>
    <cellStyle name="20% - Accent6 14 2 2 4" xfId="14904" xr:uid="{00000000-0005-0000-0000-00003B220000}"/>
    <cellStyle name="20% - Accent6 14 2 2 5" xfId="18855" xr:uid="{00000000-0005-0000-0000-00003C220000}"/>
    <cellStyle name="20% - Accent6 14 2 3" xfId="3699" xr:uid="{00000000-0005-0000-0000-00003D220000}"/>
    <cellStyle name="20% - Accent6 14 2 3 2" xfId="3700" xr:uid="{00000000-0005-0000-0000-00003E220000}"/>
    <cellStyle name="20% - Accent6 14 2 3 2 2" xfId="14908" xr:uid="{00000000-0005-0000-0000-00003F220000}"/>
    <cellStyle name="20% - Accent6 14 2 3 2 3" xfId="18859" xr:uid="{00000000-0005-0000-0000-000040220000}"/>
    <cellStyle name="20% - Accent6 14 2 3 3" xfId="3701" xr:uid="{00000000-0005-0000-0000-000041220000}"/>
    <cellStyle name="20% - Accent6 14 2 3 3 2" xfId="14909" xr:uid="{00000000-0005-0000-0000-000042220000}"/>
    <cellStyle name="20% - Accent6 14 2 3 3 3" xfId="18860" xr:uid="{00000000-0005-0000-0000-000043220000}"/>
    <cellStyle name="20% - Accent6 14 2 3 4" xfId="14907" xr:uid="{00000000-0005-0000-0000-000044220000}"/>
    <cellStyle name="20% - Accent6 14 2 3 5" xfId="18858" xr:uid="{00000000-0005-0000-0000-000045220000}"/>
    <cellStyle name="20% - Accent6 14 2 4" xfId="3702" xr:uid="{00000000-0005-0000-0000-000046220000}"/>
    <cellStyle name="20% - Accent6 14 2 4 2" xfId="3703" xr:uid="{00000000-0005-0000-0000-000047220000}"/>
    <cellStyle name="20% - Accent6 14 2 4 2 2" xfId="14911" xr:uid="{00000000-0005-0000-0000-000048220000}"/>
    <cellStyle name="20% - Accent6 14 2 4 2 3" xfId="18862" xr:uid="{00000000-0005-0000-0000-000049220000}"/>
    <cellStyle name="20% - Accent6 14 2 4 3" xfId="3704" xr:uid="{00000000-0005-0000-0000-00004A220000}"/>
    <cellStyle name="20% - Accent6 14 2 4 3 2" xfId="14912" xr:uid="{00000000-0005-0000-0000-00004B220000}"/>
    <cellStyle name="20% - Accent6 14 2 4 3 3" xfId="18863" xr:uid="{00000000-0005-0000-0000-00004C220000}"/>
    <cellStyle name="20% - Accent6 14 2 4 4" xfId="14910" xr:uid="{00000000-0005-0000-0000-00004D220000}"/>
    <cellStyle name="20% - Accent6 14 2 4 5" xfId="18861" xr:uid="{00000000-0005-0000-0000-00004E220000}"/>
    <cellStyle name="20% - Accent6 14 2 5" xfId="3705" xr:uid="{00000000-0005-0000-0000-00004F220000}"/>
    <cellStyle name="20% - Accent6 14 2 5 2" xfId="14913" xr:uid="{00000000-0005-0000-0000-000050220000}"/>
    <cellStyle name="20% - Accent6 14 2 5 3" xfId="18864" xr:uid="{00000000-0005-0000-0000-000051220000}"/>
    <cellStyle name="20% - Accent6 14 2 6" xfId="3706" xr:uid="{00000000-0005-0000-0000-000052220000}"/>
    <cellStyle name="20% - Accent6 14 2 6 2" xfId="14914" xr:uid="{00000000-0005-0000-0000-000053220000}"/>
    <cellStyle name="20% - Accent6 14 2 6 3" xfId="18865" xr:uid="{00000000-0005-0000-0000-000054220000}"/>
    <cellStyle name="20% - Accent6 14 2 7" xfId="14903" xr:uid="{00000000-0005-0000-0000-000055220000}"/>
    <cellStyle name="20% - Accent6 14 2 8" xfId="18854" xr:uid="{00000000-0005-0000-0000-000056220000}"/>
    <cellStyle name="20% - Accent6 14 2_Volatility" xfId="3707" xr:uid="{00000000-0005-0000-0000-000057220000}"/>
    <cellStyle name="20% - Accent6 14 3" xfId="3708" xr:uid="{00000000-0005-0000-0000-000058220000}"/>
    <cellStyle name="20% - Accent6 14 3 2" xfId="3709" xr:uid="{00000000-0005-0000-0000-000059220000}"/>
    <cellStyle name="20% - Accent6 14 3 2 2" xfId="3710" xr:uid="{00000000-0005-0000-0000-00005A220000}"/>
    <cellStyle name="20% - Accent6 14 3 2 2 2" xfId="14917" xr:uid="{00000000-0005-0000-0000-00005B220000}"/>
    <cellStyle name="20% - Accent6 14 3 2 2 3" xfId="18868" xr:uid="{00000000-0005-0000-0000-00005C220000}"/>
    <cellStyle name="20% - Accent6 14 3 2 3" xfId="3711" xr:uid="{00000000-0005-0000-0000-00005D220000}"/>
    <cellStyle name="20% - Accent6 14 3 2 3 2" xfId="14918" xr:uid="{00000000-0005-0000-0000-00005E220000}"/>
    <cellStyle name="20% - Accent6 14 3 2 3 3" xfId="18869" xr:uid="{00000000-0005-0000-0000-00005F220000}"/>
    <cellStyle name="20% - Accent6 14 3 2 4" xfId="14916" xr:uid="{00000000-0005-0000-0000-000060220000}"/>
    <cellStyle name="20% - Accent6 14 3 2 5" xfId="18867" xr:uid="{00000000-0005-0000-0000-000061220000}"/>
    <cellStyle name="20% - Accent6 14 3 3" xfId="3712" xr:uid="{00000000-0005-0000-0000-000062220000}"/>
    <cellStyle name="20% - Accent6 14 3 3 2" xfId="3713" xr:uid="{00000000-0005-0000-0000-000063220000}"/>
    <cellStyle name="20% - Accent6 14 3 3 2 2" xfId="14920" xr:uid="{00000000-0005-0000-0000-000064220000}"/>
    <cellStyle name="20% - Accent6 14 3 3 2 3" xfId="18871" xr:uid="{00000000-0005-0000-0000-000065220000}"/>
    <cellStyle name="20% - Accent6 14 3 3 3" xfId="3714" xr:uid="{00000000-0005-0000-0000-000066220000}"/>
    <cellStyle name="20% - Accent6 14 3 3 3 2" xfId="14921" xr:uid="{00000000-0005-0000-0000-000067220000}"/>
    <cellStyle name="20% - Accent6 14 3 3 3 3" xfId="18872" xr:uid="{00000000-0005-0000-0000-000068220000}"/>
    <cellStyle name="20% - Accent6 14 3 3 4" xfId="14919" xr:uid="{00000000-0005-0000-0000-000069220000}"/>
    <cellStyle name="20% - Accent6 14 3 3 5" xfId="18870" xr:uid="{00000000-0005-0000-0000-00006A220000}"/>
    <cellStyle name="20% - Accent6 14 3 4" xfId="3715" xr:uid="{00000000-0005-0000-0000-00006B220000}"/>
    <cellStyle name="20% - Accent6 14 3 4 2" xfId="14922" xr:uid="{00000000-0005-0000-0000-00006C220000}"/>
    <cellStyle name="20% - Accent6 14 3 4 3" xfId="18873" xr:uid="{00000000-0005-0000-0000-00006D220000}"/>
    <cellStyle name="20% - Accent6 14 3 5" xfId="3716" xr:uid="{00000000-0005-0000-0000-00006E220000}"/>
    <cellStyle name="20% - Accent6 14 3 5 2" xfId="14923" xr:uid="{00000000-0005-0000-0000-00006F220000}"/>
    <cellStyle name="20% - Accent6 14 3 5 3" xfId="18874" xr:uid="{00000000-0005-0000-0000-000070220000}"/>
    <cellStyle name="20% - Accent6 14 3 6" xfId="14915" xr:uid="{00000000-0005-0000-0000-000071220000}"/>
    <cellStyle name="20% - Accent6 14 3 7" xfId="18866" xr:uid="{00000000-0005-0000-0000-000072220000}"/>
    <cellStyle name="20% - Accent6 14 3_Volatility" xfId="3717" xr:uid="{00000000-0005-0000-0000-000073220000}"/>
    <cellStyle name="20% - Accent6 14 4" xfId="3718" xr:uid="{00000000-0005-0000-0000-000074220000}"/>
    <cellStyle name="20% - Accent6 14 4 2" xfId="3719" xr:uid="{00000000-0005-0000-0000-000075220000}"/>
    <cellStyle name="20% - Accent6 14 4 2 2" xfId="14925" xr:uid="{00000000-0005-0000-0000-000076220000}"/>
    <cellStyle name="20% - Accent6 14 4 2 3" xfId="18876" xr:uid="{00000000-0005-0000-0000-000077220000}"/>
    <cellStyle name="20% - Accent6 14 4 3" xfId="3720" xr:uid="{00000000-0005-0000-0000-000078220000}"/>
    <cellStyle name="20% - Accent6 14 4 3 2" xfId="14926" xr:uid="{00000000-0005-0000-0000-000079220000}"/>
    <cellStyle name="20% - Accent6 14 4 3 3" xfId="18877" xr:uid="{00000000-0005-0000-0000-00007A220000}"/>
    <cellStyle name="20% - Accent6 14 4 4" xfId="14924" xr:uid="{00000000-0005-0000-0000-00007B220000}"/>
    <cellStyle name="20% - Accent6 14 4 5" xfId="18875" xr:uid="{00000000-0005-0000-0000-00007C220000}"/>
    <cellStyle name="20% - Accent6 14 5" xfId="3721" xr:uid="{00000000-0005-0000-0000-00007D220000}"/>
    <cellStyle name="20% - Accent6 14 5 2" xfId="3722" xr:uid="{00000000-0005-0000-0000-00007E220000}"/>
    <cellStyle name="20% - Accent6 14 5 2 2" xfId="14928" xr:uid="{00000000-0005-0000-0000-00007F220000}"/>
    <cellStyle name="20% - Accent6 14 5 2 3" xfId="18879" xr:uid="{00000000-0005-0000-0000-000080220000}"/>
    <cellStyle name="20% - Accent6 14 5 3" xfId="3723" xr:uid="{00000000-0005-0000-0000-000081220000}"/>
    <cellStyle name="20% - Accent6 14 5 3 2" xfId="14929" xr:uid="{00000000-0005-0000-0000-000082220000}"/>
    <cellStyle name="20% - Accent6 14 5 3 3" xfId="18880" xr:uid="{00000000-0005-0000-0000-000083220000}"/>
    <cellStyle name="20% - Accent6 14 5 4" xfId="14927" xr:uid="{00000000-0005-0000-0000-000084220000}"/>
    <cellStyle name="20% - Accent6 14 5 5" xfId="18878" xr:uid="{00000000-0005-0000-0000-000085220000}"/>
    <cellStyle name="20% - Accent6 14 6" xfId="3724" xr:uid="{00000000-0005-0000-0000-000086220000}"/>
    <cellStyle name="20% - Accent6 14 6 2" xfId="3725" xr:uid="{00000000-0005-0000-0000-000087220000}"/>
    <cellStyle name="20% - Accent6 14 6 2 2" xfId="14931" xr:uid="{00000000-0005-0000-0000-000088220000}"/>
    <cellStyle name="20% - Accent6 14 6 2 3" xfId="18882" xr:uid="{00000000-0005-0000-0000-000089220000}"/>
    <cellStyle name="20% - Accent6 14 6 3" xfId="3726" xr:uid="{00000000-0005-0000-0000-00008A220000}"/>
    <cellStyle name="20% - Accent6 14 6 3 2" xfId="14932" xr:uid="{00000000-0005-0000-0000-00008B220000}"/>
    <cellStyle name="20% - Accent6 14 6 3 3" xfId="18883" xr:uid="{00000000-0005-0000-0000-00008C220000}"/>
    <cellStyle name="20% - Accent6 14 6 4" xfId="14930" xr:uid="{00000000-0005-0000-0000-00008D220000}"/>
    <cellStyle name="20% - Accent6 14 6 5" xfId="18881" xr:uid="{00000000-0005-0000-0000-00008E220000}"/>
    <cellStyle name="20% - Accent6 14 7" xfId="3727" xr:uid="{00000000-0005-0000-0000-00008F220000}"/>
    <cellStyle name="20% - Accent6 14 7 2" xfId="14933" xr:uid="{00000000-0005-0000-0000-000090220000}"/>
    <cellStyle name="20% - Accent6 14 7 3" xfId="18884" xr:uid="{00000000-0005-0000-0000-000091220000}"/>
    <cellStyle name="20% - Accent6 14 8" xfId="3728" xr:uid="{00000000-0005-0000-0000-000092220000}"/>
    <cellStyle name="20% - Accent6 14 8 2" xfId="14934" xr:uid="{00000000-0005-0000-0000-000093220000}"/>
    <cellStyle name="20% - Accent6 14 8 3" xfId="18885" xr:uid="{00000000-0005-0000-0000-000094220000}"/>
    <cellStyle name="20% - Accent6 14 9" xfId="14902" xr:uid="{00000000-0005-0000-0000-000095220000}"/>
    <cellStyle name="20% - Accent6 14_Volatility" xfId="3729" xr:uid="{00000000-0005-0000-0000-000096220000}"/>
    <cellStyle name="20% - Accent6 15" xfId="3730" xr:uid="{00000000-0005-0000-0000-000097220000}"/>
    <cellStyle name="20% - Accent6 15 10" xfId="18886" xr:uid="{00000000-0005-0000-0000-000098220000}"/>
    <cellStyle name="20% - Accent6 15 2" xfId="3731" xr:uid="{00000000-0005-0000-0000-000099220000}"/>
    <cellStyle name="20% - Accent6 15 2 2" xfId="3732" xr:uid="{00000000-0005-0000-0000-00009A220000}"/>
    <cellStyle name="20% - Accent6 15 2 2 2" xfId="3733" xr:uid="{00000000-0005-0000-0000-00009B220000}"/>
    <cellStyle name="20% - Accent6 15 2 2 2 2" xfId="14938" xr:uid="{00000000-0005-0000-0000-00009C220000}"/>
    <cellStyle name="20% - Accent6 15 2 2 2 3" xfId="18889" xr:uid="{00000000-0005-0000-0000-00009D220000}"/>
    <cellStyle name="20% - Accent6 15 2 2 3" xfId="3734" xr:uid="{00000000-0005-0000-0000-00009E220000}"/>
    <cellStyle name="20% - Accent6 15 2 2 3 2" xfId="14939" xr:uid="{00000000-0005-0000-0000-00009F220000}"/>
    <cellStyle name="20% - Accent6 15 2 2 3 3" xfId="18890" xr:uid="{00000000-0005-0000-0000-0000A0220000}"/>
    <cellStyle name="20% - Accent6 15 2 2 4" xfId="14937" xr:uid="{00000000-0005-0000-0000-0000A1220000}"/>
    <cellStyle name="20% - Accent6 15 2 2 5" xfId="18888" xr:uid="{00000000-0005-0000-0000-0000A2220000}"/>
    <cellStyle name="20% - Accent6 15 2 3" xfId="3735" xr:uid="{00000000-0005-0000-0000-0000A3220000}"/>
    <cellStyle name="20% - Accent6 15 2 3 2" xfId="3736" xr:uid="{00000000-0005-0000-0000-0000A4220000}"/>
    <cellStyle name="20% - Accent6 15 2 3 2 2" xfId="14941" xr:uid="{00000000-0005-0000-0000-0000A5220000}"/>
    <cellStyle name="20% - Accent6 15 2 3 2 3" xfId="18892" xr:uid="{00000000-0005-0000-0000-0000A6220000}"/>
    <cellStyle name="20% - Accent6 15 2 3 3" xfId="3737" xr:uid="{00000000-0005-0000-0000-0000A7220000}"/>
    <cellStyle name="20% - Accent6 15 2 3 3 2" xfId="14942" xr:uid="{00000000-0005-0000-0000-0000A8220000}"/>
    <cellStyle name="20% - Accent6 15 2 3 3 3" xfId="18893" xr:uid="{00000000-0005-0000-0000-0000A9220000}"/>
    <cellStyle name="20% - Accent6 15 2 3 4" xfId="14940" xr:uid="{00000000-0005-0000-0000-0000AA220000}"/>
    <cellStyle name="20% - Accent6 15 2 3 5" xfId="18891" xr:uid="{00000000-0005-0000-0000-0000AB220000}"/>
    <cellStyle name="20% - Accent6 15 2 4" xfId="3738" xr:uid="{00000000-0005-0000-0000-0000AC220000}"/>
    <cellStyle name="20% - Accent6 15 2 4 2" xfId="3739" xr:uid="{00000000-0005-0000-0000-0000AD220000}"/>
    <cellStyle name="20% - Accent6 15 2 4 2 2" xfId="14944" xr:uid="{00000000-0005-0000-0000-0000AE220000}"/>
    <cellStyle name="20% - Accent6 15 2 4 2 3" xfId="18895" xr:uid="{00000000-0005-0000-0000-0000AF220000}"/>
    <cellStyle name="20% - Accent6 15 2 4 3" xfId="3740" xr:uid="{00000000-0005-0000-0000-0000B0220000}"/>
    <cellStyle name="20% - Accent6 15 2 4 3 2" xfId="14945" xr:uid="{00000000-0005-0000-0000-0000B1220000}"/>
    <cellStyle name="20% - Accent6 15 2 4 3 3" xfId="18896" xr:uid="{00000000-0005-0000-0000-0000B2220000}"/>
    <cellStyle name="20% - Accent6 15 2 4 4" xfId="14943" xr:uid="{00000000-0005-0000-0000-0000B3220000}"/>
    <cellStyle name="20% - Accent6 15 2 4 5" xfId="18894" xr:uid="{00000000-0005-0000-0000-0000B4220000}"/>
    <cellStyle name="20% - Accent6 15 2 5" xfId="3741" xr:uid="{00000000-0005-0000-0000-0000B5220000}"/>
    <cellStyle name="20% - Accent6 15 2 5 2" xfId="14946" xr:uid="{00000000-0005-0000-0000-0000B6220000}"/>
    <cellStyle name="20% - Accent6 15 2 5 3" xfId="18897" xr:uid="{00000000-0005-0000-0000-0000B7220000}"/>
    <cellStyle name="20% - Accent6 15 2 6" xfId="3742" xr:uid="{00000000-0005-0000-0000-0000B8220000}"/>
    <cellStyle name="20% - Accent6 15 2 6 2" xfId="14947" xr:uid="{00000000-0005-0000-0000-0000B9220000}"/>
    <cellStyle name="20% - Accent6 15 2 6 3" xfId="18898" xr:uid="{00000000-0005-0000-0000-0000BA220000}"/>
    <cellStyle name="20% - Accent6 15 2 7" xfId="14936" xr:uid="{00000000-0005-0000-0000-0000BB220000}"/>
    <cellStyle name="20% - Accent6 15 2 8" xfId="18887" xr:uid="{00000000-0005-0000-0000-0000BC220000}"/>
    <cellStyle name="20% - Accent6 15 2_Volatility" xfId="3743" xr:uid="{00000000-0005-0000-0000-0000BD220000}"/>
    <cellStyle name="20% - Accent6 15 3" xfId="3744" xr:uid="{00000000-0005-0000-0000-0000BE220000}"/>
    <cellStyle name="20% - Accent6 15 3 2" xfId="3745" xr:uid="{00000000-0005-0000-0000-0000BF220000}"/>
    <cellStyle name="20% - Accent6 15 3 2 2" xfId="3746" xr:uid="{00000000-0005-0000-0000-0000C0220000}"/>
    <cellStyle name="20% - Accent6 15 3 2 2 2" xfId="14950" xr:uid="{00000000-0005-0000-0000-0000C1220000}"/>
    <cellStyle name="20% - Accent6 15 3 2 2 3" xfId="18901" xr:uid="{00000000-0005-0000-0000-0000C2220000}"/>
    <cellStyle name="20% - Accent6 15 3 2 3" xfId="3747" xr:uid="{00000000-0005-0000-0000-0000C3220000}"/>
    <cellStyle name="20% - Accent6 15 3 2 3 2" xfId="14951" xr:uid="{00000000-0005-0000-0000-0000C4220000}"/>
    <cellStyle name="20% - Accent6 15 3 2 3 3" xfId="18902" xr:uid="{00000000-0005-0000-0000-0000C5220000}"/>
    <cellStyle name="20% - Accent6 15 3 2 4" xfId="14949" xr:uid="{00000000-0005-0000-0000-0000C6220000}"/>
    <cellStyle name="20% - Accent6 15 3 2 5" xfId="18900" xr:uid="{00000000-0005-0000-0000-0000C7220000}"/>
    <cellStyle name="20% - Accent6 15 3 3" xfId="3748" xr:uid="{00000000-0005-0000-0000-0000C8220000}"/>
    <cellStyle name="20% - Accent6 15 3 3 2" xfId="3749" xr:uid="{00000000-0005-0000-0000-0000C9220000}"/>
    <cellStyle name="20% - Accent6 15 3 3 2 2" xfId="14953" xr:uid="{00000000-0005-0000-0000-0000CA220000}"/>
    <cellStyle name="20% - Accent6 15 3 3 2 3" xfId="18904" xr:uid="{00000000-0005-0000-0000-0000CB220000}"/>
    <cellStyle name="20% - Accent6 15 3 3 3" xfId="3750" xr:uid="{00000000-0005-0000-0000-0000CC220000}"/>
    <cellStyle name="20% - Accent6 15 3 3 3 2" xfId="14954" xr:uid="{00000000-0005-0000-0000-0000CD220000}"/>
    <cellStyle name="20% - Accent6 15 3 3 3 3" xfId="18905" xr:uid="{00000000-0005-0000-0000-0000CE220000}"/>
    <cellStyle name="20% - Accent6 15 3 3 4" xfId="14952" xr:uid="{00000000-0005-0000-0000-0000CF220000}"/>
    <cellStyle name="20% - Accent6 15 3 3 5" xfId="18903" xr:uid="{00000000-0005-0000-0000-0000D0220000}"/>
    <cellStyle name="20% - Accent6 15 3 4" xfId="3751" xr:uid="{00000000-0005-0000-0000-0000D1220000}"/>
    <cellStyle name="20% - Accent6 15 3 4 2" xfId="14955" xr:uid="{00000000-0005-0000-0000-0000D2220000}"/>
    <cellStyle name="20% - Accent6 15 3 4 3" xfId="18906" xr:uid="{00000000-0005-0000-0000-0000D3220000}"/>
    <cellStyle name="20% - Accent6 15 3 5" xfId="3752" xr:uid="{00000000-0005-0000-0000-0000D4220000}"/>
    <cellStyle name="20% - Accent6 15 3 5 2" xfId="14956" xr:uid="{00000000-0005-0000-0000-0000D5220000}"/>
    <cellStyle name="20% - Accent6 15 3 5 3" xfId="18907" xr:uid="{00000000-0005-0000-0000-0000D6220000}"/>
    <cellStyle name="20% - Accent6 15 3 6" xfId="14948" xr:uid="{00000000-0005-0000-0000-0000D7220000}"/>
    <cellStyle name="20% - Accent6 15 3 7" xfId="18899" xr:uid="{00000000-0005-0000-0000-0000D8220000}"/>
    <cellStyle name="20% - Accent6 15 3_Volatility" xfId="3753" xr:uid="{00000000-0005-0000-0000-0000D9220000}"/>
    <cellStyle name="20% - Accent6 15 4" xfId="3754" xr:uid="{00000000-0005-0000-0000-0000DA220000}"/>
    <cellStyle name="20% - Accent6 15 4 2" xfId="3755" xr:uid="{00000000-0005-0000-0000-0000DB220000}"/>
    <cellStyle name="20% - Accent6 15 4 2 2" xfId="14958" xr:uid="{00000000-0005-0000-0000-0000DC220000}"/>
    <cellStyle name="20% - Accent6 15 4 2 3" xfId="18909" xr:uid="{00000000-0005-0000-0000-0000DD220000}"/>
    <cellStyle name="20% - Accent6 15 4 3" xfId="3756" xr:uid="{00000000-0005-0000-0000-0000DE220000}"/>
    <cellStyle name="20% - Accent6 15 4 3 2" xfId="14959" xr:uid="{00000000-0005-0000-0000-0000DF220000}"/>
    <cellStyle name="20% - Accent6 15 4 3 3" xfId="18910" xr:uid="{00000000-0005-0000-0000-0000E0220000}"/>
    <cellStyle name="20% - Accent6 15 4 4" xfId="14957" xr:uid="{00000000-0005-0000-0000-0000E1220000}"/>
    <cellStyle name="20% - Accent6 15 4 5" xfId="18908" xr:uid="{00000000-0005-0000-0000-0000E2220000}"/>
    <cellStyle name="20% - Accent6 15 5" xfId="3757" xr:uid="{00000000-0005-0000-0000-0000E3220000}"/>
    <cellStyle name="20% - Accent6 15 5 2" xfId="3758" xr:uid="{00000000-0005-0000-0000-0000E4220000}"/>
    <cellStyle name="20% - Accent6 15 5 2 2" xfId="14961" xr:uid="{00000000-0005-0000-0000-0000E5220000}"/>
    <cellStyle name="20% - Accent6 15 5 2 3" xfId="18912" xr:uid="{00000000-0005-0000-0000-0000E6220000}"/>
    <cellStyle name="20% - Accent6 15 5 3" xfId="3759" xr:uid="{00000000-0005-0000-0000-0000E7220000}"/>
    <cellStyle name="20% - Accent6 15 5 3 2" xfId="14962" xr:uid="{00000000-0005-0000-0000-0000E8220000}"/>
    <cellStyle name="20% - Accent6 15 5 3 3" xfId="18913" xr:uid="{00000000-0005-0000-0000-0000E9220000}"/>
    <cellStyle name="20% - Accent6 15 5 4" xfId="14960" xr:uid="{00000000-0005-0000-0000-0000EA220000}"/>
    <cellStyle name="20% - Accent6 15 5 5" xfId="18911" xr:uid="{00000000-0005-0000-0000-0000EB220000}"/>
    <cellStyle name="20% - Accent6 15 6" xfId="3760" xr:uid="{00000000-0005-0000-0000-0000EC220000}"/>
    <cellStyle name="20% - Accent6 15 6 2" xfId="3761" xr:uid="{00000000-0005-0000-0000-0000ED220000}"/>
    <cellStyle name="20% - Accent6 15 6 2 2" xfId="14964" xr:uid="{00000000-0005-0000-0000-0000EE220000}"/>
    <cellStyle name="20% - Accent6 15 6 2 3" xfId="18915" xr:uid="{00000000-0005-0000-0000-0000EF220000}"/>
    <cellStyle name="20% - Accent6 15 6 3" xfId="3762" xr:uid="{00000000-0005-0000-0000-0000F0220000}"/>
    <cellStyle name="20% - Accent6 15 6 3 2" xfId="14965" xr:uid="{00000000-0005-0000-0000-0000F1220000}"/>
    <cellStyle name="20% - Accent6 15 6 3 3" xfId="18916" xr:uid="{00000000-0005-0000-0000-0000F2220000}"/>
    <cellStyle name="20% - Accent6 15 6 4" xfId="14963" xr:uid="{00000000-0005-0000-0000-0000F3220000}"/>
    <cellStyle name="20% - Accent6 15 6 5" xfId="18914" xr:uid="{00000000-0005-0000-0000-0000F4220000}"/>
    <cellStyle name="20% - Accent6 15 7" xfId="3763" xr:uid="{00000000-0005-0000-0000-0000F5220000}"/>
    <cellStyle name="20% - Accent6 15 7 2" xfId="14966" xr:uid="{00000000-0005-0000-0000-0000F6220000}"/>
    <cellStyle name="20% - Accent6 15 7 3" xfId="18917" xr:uid="{00000000-0005-0000-0000-0000F7220000}"/>
    <cellStyle name="20% - Accent6 15 8" xfId="3764" xr:uid="{00000000-0005-0000-0000-0000F8220000}"/>
    <cellStyle name="20% - Accent6 15 8 2" xfId="14967" xr:uid="{00000000-0005-0000-0000-0000F9220000}"/>
    <cellStyle name="20% - Accent6 15 8 3" xfId="18918" xr:uid="{00000000-0005-0000-0000-0000FA220000}"/>
    <cellStyle name="20% - Accent6 15 9" xfId="14935" xr:uid="{00000000-0005-0000-0000-0000FB220000}"/>
    <cellStyle name="20% - Accent6 15_Volatility" xfId="3765" xr:uid="{00000000-0005-0000-0000-0000FC220000}"/>
    <cellStyle name="20% - Accent6 16" xfId="3766" xr:uid="{00000000-0005-0000-0000-0000FD220000}"/>
    <cellStyle name="20% - Accent6 16 2" xfId="14968" xr:uid="{00000000-0005-0000-0000-0000FE220000}"/>
    <cellStyle name="20% - Accent6 16 3" xfId="18919" xr:uid="{00000000-0005-0000-0000-0000FF220000}"/>
    <cellStyle name="20% - Accent6 17" xfId="3767" xr:uid="{00000000-0005-0000-0000-000000230000}"/>
    <cellStyle name="20% - Accent6 17 2" xfId="14969" xr:uid="{00000000-0005-0000-0000-000001230000}"/>
    <cellStyle name="20% - Accent6 17 3" xfId="18920" xr:uid="{00000000-0005-0000-0000-000002230000}"/>
    <cellStyle name="20% - Accent6 18" xfId="3768" xr:uid="{00000000-0005-0000-0000-000003230000}"/>
    <cellStyle name="20% - Accent6 18 2" xfId="14970" xr:uid="{00000000-0005-0000-0000-000004230000}"/>
    <cellStyle name="20% - Accent6 18 3" xfId="18921" xr:uid="{00000000-0005-0000-0000-000005230000}"/>
    <cellStyle name="20% - Accent6 19" xfId="3769" xr:uid="{00000000-0005-0000-0000-000006230000}"/>
    <cellStyle name="20% - Accent6 19 2" xfId="14971" xr:uid="{00000000-0005-0000-0000-000007230000}"/>
    <cellStyle name="20% - Accent6 19 3" xfId="18922" xr:uid="{00000000-0005-0000-0000-000008230000}"/>
    <cellStyle name="20% - Accent6 2" xfId="3770" xr:uid="{00000000-0005-0000-0000-000009230000}"/>
    <cellStyle name="20% - Accent6 2 10" xfId="18923" xr:uid="{00000000-0005-0000-0000-00000A230000}"/>
    <cellStyle name="20% - Accent6 2 2" xfId="3771" xr:uid="{00000000-0005-0000-0000-00000B230000}"/>
    <cellStyle name="20% - Accent6 2 2 2" xfId="3772" xr:uid="{00000000-0005-0000-0000-00000C230000}"/>
    <cellStyle name="20% - Accent6 2 2 2 2" xfId="3773" xr:uid="{00000000-0005-0000-0000-00000D230000}"/>
    <cellStyle name="20% - Accent6 2 2 2 2 2" xfId="14975" xr:uid="{00000000-0005-0000-0000-00000E230000}"/>
    <cellStyle name="20% - Accent6 2 2 2 2 3" xfId="18926" xr:uid="{00000000-0005-0000-0000-00000F230000}"/>
    <cellStyle name="20% - Accent6 2 2 2 3" xfId="3774" xr:uid="{00000000-0005-0000-0000-000010230000}"/>
    <cellStyle name="20% - Accent6 2 2 2 3 2" xfId="14976" xr:uid="{00000000-0005-0000-0000-000011230000}"/>
    <cellStyle name="20% - Accent6 2 2 2 3 3" xfId="18927" xr:uid="{00000000-0005-0000-0000-000012230000}"/>
    <cellStyle name="20% - Accent6 2 2 2 4" xfId="14974" xr:uid="{00000000-0005-0000-0000-000013230000}"/>
    <cellStyle name="20% - Accent6 2 2 2 5" xfId="18925" xr:uid="{00000000-0005-0000-0000-000014230000}"/>
    <cellStyle name="20% - Accent6 2 2 3" xfId="3775" xr:uid="{00000000-0005-0000-0000-000015230000}"/>
    <cellStyle name="20% - Accent6 2 2 3 2" xfId="3776" xr:uid="{00000000-0005-0000-0000-000016230000}"/>
    <cellStyle name="20% - Accent6 2 2 3 2 2" xfId="14978" xr:uid="{00000000-0005-0000-0000-000017230000}"/>
    <cellStyle name="20% - Accent6 2 2 3 2 3" xfId="18929" xr:uid="{00000000-0005-0000-0000-000018230000}"/>
    <cellStyle name="20% - Accent6 2 2 3 3" xfId="3777" xr:uid="{00000000-0005-0000-0000-000019230000}"/>
    <cellStyle name="20% - Accent6 2 2 3 3 2" xfId="14979" xr:uid="{00000000-0005-0000-0000-00001A230000}"/>
    <cellStyle name="20% - Accent6 2 2 3 3 3" xfId="18930" xr:uid="{00000000-0005-0000-0000-00001B230000}"/>
    <cellStyle name="20% - Accent6 2 2 3 4" xfId="14977" xr:uid="{00000000-0005-0000-0000-00001C230000}"/>
    <cellStyle name="20% - Accent6 2 2 3 5" xfId="18928" xr:uid="{00000000-0005-0000-0000-00001D230000}"/>
    <cellStyle name="20% - Accent6 2 2 4" xfId="3778" xr:uid="{00000000-0005-0000-0000-00001E230000}"/>
    <cellStyle name="20% - Accent6 2 2 4 2" xfId="3779" xr:uid="{00000000-0005-0000-0000-00001F230000}"/>
    <cellStyle name="20% - Accent6 2 2 4 2 2" xfId="14981" xr:uid="{00000000-0005-0000-0000-000020230000}"/>
    <cellStyle name="20% - Accent6 2 2 4 2 3" xfId="18932" xr:uid="{00000000-0005-0000-0000-000021230000}"/>
    <cellStyle name="20% - Accent6 2 2 4 3" xfId="3780" xr:uid="{00000000-0005-0000-0000-000022230000}"/>
    <cellStyle name="20% - Accent6 2 2 4 3 2" xfId="14982" xr:uid="{00000000-0005-0000-0000-000023230000}"/>
    <cellStyle name="20% - Accent6 2 2 4 3 3" xfId="18933" xr:uid="{00000000-0005-0000-0000-000024230000}"/>
    <cellStyle name="20% - Accent6 2 2 4 4" xfId="14980" xr:uid="{00000000-0005-0000-0000-000025230000}"/>
    <cellStyle name="20% - Accent6 2 2 4 5" xfId="18931" xr:uid="{00000000-0005-0000-0000-000026230000}"/>
    <cellStyle name="20% - Accent6 2 2 5" xfId="3781" xr:uid="{00000000-0005-0000-0000-000027230000}"/>
    <cellStyle name="20% - Accent6 2 2 5 2" xfId="14983" xr:uid="{00000000-0005-0000-0000-000028230000}"/>
    <cellStyle name="20% - Accent6 2 2 5 3" xfId="18934" xr:uid="{00000000-0005-0000-0000-000029230000}"/>
    <cellStyle name="20% - Accent6 2 2 6" xfId="3782" xr:uid="{00000000-0005-0000-0000-00002A230000}"/>
    <cellStyle name="20% - Accent6 2 2 6 2" xfId="14984" xr:uid="{00000000-0005-0000-0000-00002B230000}"/>
    <cellStyle name="20% - Accent6 2 2 6 3" xfId="18935" xr:uid="{00000000-0005-0000-0000-00002C230000}"/>
    <cellStyle name="20% - Accent6 2 2 7" xfId="14973" xr:uid="{00000000-0005-0000-0000-00002D230000}"/>
    <cellStyle name="20% - Accent6 2 2 8" xfId="18924" xr:uid="{00000000-0005-0000-0000-00002E230000}"/>
    <cellStyle name="20% - Accent6 2 2_Volatility" xfId="3783" xr:uid="{00000000-0005-0000-0000-00002F230000}"/>
    <cellStyle name="20% - Accent6 2 3" xfId="3784" xr:uid="{00000000-0005-0000-0000-000030230000}"/>
    <cellStyle name="20% - Accent6 2 3 2" xfId="3785" xr:uid="{00000000-0005-0000-0000-000031230000}"/>
    <cellStyle name="20% - Accent6 2 3 2 2" xfId="3786" xr:uid="{00000000-0005-0000-0000-000032230000}"/>
    <cellStyle name="20% - Accent6 2 3 2 2 2" xfId="14987" xr:uid="{00000000-0005-0000-0000-000033230000}"/>
    <cellStyle name="20% - Accent6 2 3 2 2 3" xfId="18938" xr:uid="{00000000-0005-0000-0000-000034230000}"/>
    <cellStyle name="20% - Accent6 2 3 2 3" xfId="3787" xr:uid="{00000000-0005-0000-0000-000035230000}"/>
    <cellStyle name="20% - Accent6 2 3 2 3 2" xfId="14988" xr:uid="{00000000-0005-0000-0000-000036230000}"/>
    <cellStyle name="20% - Accent6 2 3 2 3 3" xfId="18939" xr:uid="{00000000-0005-0000-0000-000037230000}"/>
    <cellStyle name="20% - Accent6 2 3 2 4" xfId="14986" xr:uid="{00000000-0005-0000-0000-000038230000}"/>
    <cellStyle name="20% - Accent6 2 3 2 5" xfId="18937" xr:uid="{00000000-0005-0000-0000-000039230000}"/>
    <cellStyle name="20% - Accent6 2 3 3" xfId="3788" xr:uid="{00000000-0005-0000-0000-00003A230000}"/>
    <cellStyle name="20% - Accent6 2 3 3 2" xfId="3789" xr:uid="{00000000-0005-0000-0000-00003B230000}"/>
    <cellStyle name="20% - Accent6 2 3 3 2 2" xfId="14990" xr:uid="{00000000-0005-0000-0000-00003C230000}"/>
    <cellStyle name="20% - Accent6 2 3 3 2 3" xfId="18941" xr:uid="{00000000-0005-0000-0000-00003D230000}"/>
    <cellStyle name="20% - Accent6 2 3 3 3" xfId="3790" xr:uid="{00000000-0005-0000-0000-00003E230000}"/>
    <cellStyle name="20% - Accent6 2 3 3 3 2" xfId="14991" xr:uid="{00000000-0005-0000-0000-00003F230000}"/>
    <cellStyle name="20% - Accent6 2 3 3 3 3" xfId="18942" xr:uid="{00000000-0005-0000-0000-000040230000}"/>
    <cellStyle name="20% - Accent6 2 3 3 4" xfId="14989" xr:uid="{00000000-0005-0000-0000-000041230000}"/>
    <cellStyle name="20% - Accent6 2 3 3 5" xfId="18940" xr:uid="{00000000-0005-0000-0000-000042230000}"/>
    <cellStyle name="20% - Accent6 2 3 4" xfId="3791" xr:uid="{00000000-0005-0000-0000-000043230000}"/>
    <cellStyle name="20% - Accent6 2 3 4 2" xfId="14992" xr:uid="{00000000-0005-0000-0000-000044230000}"/>
    <cellStyle name="20% - Accent6 2 3 4 3" xfId="18943" xr:uid="{00000000-0005-0000-0000-000045230000}"/>
    <cellStyle name="20% - Accent6 2 3 5" xfId="3792" xr:uid="{00000000-0005-0000-0000-000046230000}"/>
    <cellStyle name="20% - Accent6 2 3 5 2" xfId="14993" xr:uid="{00000000-0005-0000-0000-000047230000}"/>
    <cellStyle name="20% - Accent6 2 3 5 3" xfId="18944" xr:uid="{00000000-0005-0000-0000-000048230000}"/>
    <cellStyle name="20% - Accent6 2 3 6" xfId="14985" xr:uid="{00000000-0005-0000-0000-000049230000}"/>
    <cellStyle name="20% - Accent6 2 3 7" xfId="18936" xr:uid="{00000000-0005-0000-0000-00004A230000}"/>
    <cellStyle name="20% - Accent6 2 3_Volatility" xfId="3793" xr:uid="{00000000-0005-0000-0000-00004B230000}"/>
    <cellStyle name="20% - Accent6 2 4" xfId="3794" xr:uid="{00000000-0005-0000-0000-00004C230000}"/>
    <cellStyle name="20% - Accent6 2 4 2" xfId="3795" xr:uid="{00000000-0005-0000-0000-00004D230000}"/>
    <cellStyle name="20% - Accent6 2 4 2 2" xfId="14995" xr:uid="{00000000-0005-0000-0000-00004E230000}"/>
    <cellStyle name="20% - Accent6 2 4 2 3" xfId="18946" xr:uid="{00000000-0005-0000-0000-00004F230000}"/>
    <cellStyle name="20% - Accent6 2 4 3" xfId="3796" xr:uid="{00000000-0005-0000-0000-000050230000}"/>
    <cellStyle name="20% - Accent6 2 4 3 2" xfId="14996" xr:uid="{00000000-0005-0000-0000-000051230000}"/>
    <cellStyle name="20% - Accent6 2 4 3 3" xfId="18947" xr:uid="{00000000-0005-0000-0000-000052230000}"/>
    <cellStyle name="20% - Accent6 2 4 4" xfId="14994" xr:uid="{00000000-0005-0000-0000-000053230000}"/>
    <cellStyle name="20% - Accent6 2 4 5" xfId="18945" xr:uid="{00000000-0005-0000-0000-000054230000}"/>
    <cellStyle name="20% - Accent6 2 5" xfId="3797" xr:uid="{00000000-0005-0000-0000-000055230000}"/>
    <cellStyle name="20% - Accent6 2 5 2" xfId="3798" xr:uid="{00000000-0005-0000-0000-000056230000}"/>
    <cellStyle name="20% - Accent6 2 5 2 2" xfId="14998" xr:uid="{00000000-0005-0000-0000-000057230000}"/>
    <cellStyle name="20% - Accent6 2 5 2 3" xfId="18949" xr:uid="{00000000-0005-0000-0000-000058230000}"/>
    <cellStyle name="20% - Accent6 2 5 3" xfId="3799" xr:uid="{00000000-0005-0000-0000-000059230000}"/>
    <cellStyle name="20% - Accent6 2 5 3 2" xfId="14999" xr:uid="{00000000-0005-0000-0000-00005A230000}"/>
    <cellStyle name="20% - Accent6 2 5 3 3" xfId="18950" xr:uid="{00000000-0005-0000-0000-00005B230000}"/>
    <cellStyle name="20% - Accent6 2 5 4" xfId="14997" xr:uid="{00000000-0005-0000-0000-00005C230000}"/>
    <cellStyle name="20% - Accent6 2 5 5" xfId="18948" xr:uid="{00000000-0005-0000-0000-00005D230000}"/>
    <cellStyle name="20% - Accent6 2 6" xfId="3800" xr:uid="{00000000-0005-0000-0000-00005E230000}"/>
    <cellStyle name="20% - Accent6 2 6 2" xfId="3801" xr:uid="{00000000-0005-0000-0000-00005F230000}"/>
    <cellStyle name="20% - Accent6 2 6 2 2" xfId="15001" xr:uid="{00000000-0005-0000-0000-000060230000}"/>
    <cellStyle name="20% - Accent6 2 6 2 3" xfId="18952" xr:uid="{00000000-0005-0000-0000-000061230000}"/>
    <cellStyle name="20% - Accent6 2 6 3" xfId="3802" xr:uid="{00000000-0005-0000-0000-000062230000}"/>
    <cellStyle name="20% - Accent6 2 6 3 2" xfId="15002" xr:uid="{00000000-0005-0000-0000-000063230000}"/>
    <cellStyle name="20% - Accent6 2 6 3 3" xfId="18953" xr:uid="{00000000-0005-0000-0000-000064230000}"/>
    <cellStyle name="20% - Accent6 2 6 4" xfId="15000" xr:uid="{00000000-0005-0000-0000-000065230000}"/>
    <cellStyle name="20% - Accent6 2 6 5" xfId="18951" xr:uid="{00000000-0005-0000-0000-000066230000}"/>
    <cellStyle name="20% - Accent6 2 7" xfId="3803" xr:uid="{00000000-0005-0000-0000-000067230000}"/>
    <cellStyle name="20% - Accent6 2 7 2" xfId="15003" xr:uid="{00000000-0005-0000-0000-000068230000}"/>
    <cellStyle name="20% - Accent6 2 7 3" xfId="18954" xr:uid="{00000000-0005-0000-0000-000069230000}"/>
    <cellStyle name="20% - Accent6 2 8" xfId="3804" xr:uid="{00000000-0005-0000-0000-00006A230000}"/>
    <cellStyle name="20% - Accent6 2 8 2" xfId="15004" xr:uid="{00000000-0005-0000-0000-00006B230000}"/>
    <cellStyle name="20% - Accent6 2 8 3" xfId="18955" xr:uid="{00000000-0005-0000-0000-00006C230000}"/>
    <cellStyle name="20% - Accent6 2 9" xfId="14972" xr:uid="{00000000-0005-0000-0000-00006D230000}"/>
    <cellStyle name="20% - Accent6 2_Volatility" xfId="3805" xr:uid="{00000000-0005-0000-0000-00006E230000}"/>
    <cellStyle name="20% - Accent6 3" xfId="3806" xr:uid="{00000000-0005-0000-0000-00006F230000}"/>
    <cellStyle name="20% - Accent6 3 10" xfId="18956" xr:uid="{00000000-0005-0000-0000-000070230000}"/>
    <cellStyle name="20% - Accent6 3 2" xfId="3807" xr:uid="{00000000-0005-0000-0000-000071230000}"/>
    <cellStyle name="20% - Accent6 3 2 2" xfId="3808" xr:uid="{00000000-0005-0000-0000-000072230000}"/>
    <cellStyle name="20% - Accent6 3 2 2 2" xfId="3809" xr:uid="{00000000-0005-0000-0000-000073230000}"/>
    <cellStyle name="20% - Accent6 3 2 2 2 2" xfId="15008" xr:uid="{00000000-0005-0000-0000-000074230000}"/>
    <cellStyle name="20% - Accent6 3 2 2 2 3" xfId="18959" xr:uid="{00000000-0005-0000-0000-000075230000}"/>
    <cellStyle name="20% - Accent6 3 2 2 3" xfId="3810" xr:uid="{00000000-0005-0000-0000-000076230000}"/>
    <cellStyle name="20% - Accent6 3 2 2 3 2" xfId="15009" xr:uid="{00000000-0005-0000-0000-000077230000}"/>
    <cellStyle name="20% - Accent6 3 2 2 3 3" xfId="18960" xr:uid="{00000000-0005-0000-0000-000078230000}"/>
    <cellStyle name="20% - Accent6 3 2 2 4" xfId="15007" xr:uid="{00000000-0005-0000-0000-000079230000}"/>
    <cellStyle name="20% - Accent6 3 2 2 5" xfId="18958" xr:uid="{00000000-0005-0000-0000-00007A230000}"/>
    <cellStyle name="20% - Accent6 3 2 3" xfId="3811" xr:uid="{00000000-0005-0000-0000-00007B230000}"/>
    <cellStyle name="20% - Accent6 3 2 3 2" xfId="3812" xr:uid="{00000000-0005-0000-0000-00007C230000}"/>
    <cellStyle name="20% - Accent6 3 2 3 2 2" xfId="15011" xr:uid="{00000000-0005-0000-0000-00007D230000}"/>
    <cellStyle name="20% - Accent6 3 2 3 2 3" xfId="18962" xr:uid="{00000000-0005-0000-0000-00007E230000}"/>
    <cellStyle name="20% - Accent6 3 2 3 3" xfId="3813" xr:uid="{00000000-0005-0000-0000-00007F230000}"/>
    <cellStyle name="20% - Accent6 3 2 3 3 2" xfId="15012" xr:uid="{00000000-0005-0000-0000-000080230000}"/>
    <cellStyle name="20% - Accent6 3 2 3 3 3" xfId="18963" xr:uid="{00000000-0005-0000-0000-000081230000}"/>
    <cellStyle name="20% - Accent6 3 2 3 4" xfId="15010" xr:uid="{00000000-0005-0000-0000-000082230000}"/>
    <cellStyle name="20% - Accent6 3 2 3 5" xfId="18961" xr:uid="{00000000-0005-0000-0000-000083230000}"/>
    <cellStyle name="20% - Accent6 3 2 4" xfId="3814" xr:uid="{00000000-0005-0000-0000-000084230000}"/>
    <cellStyle name="20% - Accent6 3 2 4 2" xfId="3815" xr:uid="{00000000-0005-0000-0000-000085230000}"/>
    <cellStyle name="20% - Accent6 3 2 4 2 2" xfId="15014" xr:uid="{00000000-0005-0000-0000-000086230000}"/>
    <cellStyle name="20% - Accent6 3 2 4 2 3" xfId="18965" xr:uid="{00000000-0005-0000-0000-000087230000}"/>
    <cellStyle name="20% - Accent6 3 2 4 3" xfId="3816" xr:uid="{00000000-0005-0000-0000-000088230000}"/>
    <cellStyle name="20% - Accent6 3 2 4 3 2" xfId="15015" xr:uid="{00000000-0005-0000-0000-000089230000}"/>
    <cellStyle name="20% - Accent6 3 2 4 3 3" xfId="18966" xr:uid="{00000000-0005-0000-0000-00008A230000}"/>
    <cellStyle name="20% - Accent6 3 2 4 4" xfId="15013" xr:uid="{00000000-0005-0000-0000-00008B230000}"/>
    <cellStyle name="20% - Accent6 3 2 4 5" xfId="18964" xr:uid="{00000000-0005-0000-0000-00008C230000}"/>
    <cellStyle name="20% - Accent6 3 2 5" xfId="3817" xr:uid="{00000000-0005-0000-0000-00008D230000}"/>
    <cellStyle name="20% - Accent6 3 2 5 2" xfId="15016" xr:uid="{00000000-0005-0000-0000-00008E230000}"/>
    <cellStyle name="20% - Accent6 3 2 5 3" xfId="18967" xr:uid="{00000000-0005-0000-0000-00008F230000}"/>
    <cellStyle name="20% - Accent6 3 2 6" xfId="3818" xr:uid="{00000000-0005-0000-0000-000090230000}"/>
    <cellStyle name="20% - Accent6 3 2 6 2" xfId="15017" xr:uid="{00000000-0005-0000-0000-000091230000}"/>
    <cellStyle name="20% - Accent6 3 2 6 3" xfId="18968" xr:uid="{00000000-0005-0000-0000-000092230000}"/>
    <cellStyle name="20% - Accent6 3 2 7" xfId="15006" xr:uid="{00000000-0005-0000-0000-000093230000}"/>
    <cellStyle name="20% - Accent6 3 2 8" xfId="18957" xr:uid="{00000000-0005-0000-0000-000094230000}"/>
    <cellStyle name="20% - Accent6 3 2_Volatility" xfId="3819" xr:uid="{00000000-0005-0000-0000-000095230000}"/>
    <cellStyle name="20% - Accent6 3 3" xfId="3820" xr:uid="{00000000-0005-0000-0000-000096230000}"/>
    <cellStyle name="20% - Accent6 3 3 2" xfId="3821" xr:uid="{00000000-0005-0000-0000-000097230000}"/>
    <cellStyle name="20% - Accent6 3 3 2 2" xfId="3822" xr:uid="{00000000-0005-0000-0000-000098230000}"/>
    <cellStyle name="20% - Accent6 3 3 2 2 2" xfId="15020" xr:uid="{00000000-0005-0000-0000-000099230000}"/>
    <cellStyle name="20% - Accent6 3 3 2 2 3" xfId="18971" xr:uid="{00000000-0005-0000-0000-00009A230000}"/>
    <cellStyle name="20% - Accent6 3 3 2 3" xfId="3823" xr:uid="{00000000-0005-0000-0000-00009B230000}"/>
    <cellStyle name="20% - Accent6 3 3 2 3 2" xfId="15021" xr:uid="{00000000-0005-0000-0000-00009C230000}"/>
    <cellStyle name="20% - Accent6 3 3 2 3 3" xfId="18972" xr:uid="{00000000-0005-0000-0000-00009D230000}"/>
    <cellStyle name="20% - Accent6 3 3 2 4" xfId="15019" xr:uid="{00000000-0005-0000-0000-00009E230000}"/>
    <cellStyle name="20% - Accent6 3 3 2 5" xfId="18970" xr:uid="{00000000-0005-0000-0000-00009F230000}"/>
    <cellStyle name="20% - Accent6 3 3 3" xfId="3824" xr:uid="{00000000-0005-0000-0000-0000A0230000}"/>
    <cellStyle name="20% - Accent6 3 3 3 2" xfId="3825" xr:uid="{00000000-0005-0000-0000-0000A1230000}"/>
    <cellStyle name="20% - Accent6 3 3 3 2 2" xfId="15023" xr:uid="{00000000-0005-0000-0000-0000A2230000}"/>
    <cellStyle name="20% - Accent6 3 3 3 2 3" xfId="18974" xr:uid="{00000000-0005-0000-0000-0000A3230000}"/>
    <cellStyle name="20% - Accent6 3 3 3 3" xfId="3826" xr:uid="{00000000-0005-0000-0000-0000A4230000}"/>
    <cellStyle name="20% - Accent6 3 3 3 3 2" xfId="15024" xr:uid="{00000000-0005-0000-0000-0000A5230000}"/>
    <cellStyle name="20% - Accent6 3 3 3 3 3" xfId="18975" xr:uid="{00000000-0005-0000-0000-0000A6230000}"/>
    <cellStyle name="20% - Accent6 3 3 3 4" xfId="15022" xr:uid="{00000000-0005-0000-0000-0000A7230000}"/>
    <cellStyle name="20% - Accent6 3 3 3 5" xfId="18973" xr:uid="{00000000-0005-0000-0000-0000A8230000}"/>
    <cellStyle name="20% - Accent6 3 3 4" xfId="3827" xr:uid="{00000000-0005-0000-0000-0000A9230000}"/>
    <cellStyle name="20% - Accent6 3 3 4 2" xfId="15025" xr:uid="{00000000-0005-0000-0000-0000AA230000}"/>
    <cellStyle name="20% - Accent6 3 3 4 3" xfId="18976" xr:uid="{00000000-0005-0000-0000-0000AB230000}"/>
    <cellStyle name="20% - Accent6 3 3 5" xfId="3828" xr:uid="{00000000-0005-0000-0000-0000AC230000}"/>
    <cellStyle name="20% - Accent6 3 3 5 2" xfId="15026" xr:uid="{00000000-0005-0000-0000-0000AD230000}"/>
    <cellStyle name="20% - Accent6 3 3 5 3" xfId="18977" xr:uid="{00000000-0005-0000-0000-0000AE230000}"/>
    <cellStyle name="20% - Accent6 3 3 6" xfId="15018" xr:uid="{00000000-0005-0000-0000-0000AF230000}"/>
    <cellStyle name="20% - Accent6 3 3 7" xfId="18969" xr:uid="{00000000-0005-0000-0000-0000B0230000}"/>
    <cellStyle name="20% - Accent6 3 3_Volatility" xfId="3829" xr:uid="{00000000-0005-0000-0000-0000B1230000}"/>
    <cellStyle name="20% - Accent6 3 4" xfId="3830" xr:uid="{00000000-0005-0000-0000-0000B2230000}"/>
    <cellStyle name="20% - Accent6 3 4 2" xfId="3831" xr:uid="{00000000-0005-0000-0000-0000B3230000}"/>
    <cellStyle name="20% - Accent6 3 4 2 2" xfId="15028" xr:uid="{00000000-0005-0000-0000-0000B4230000}"/>
    <cellStyle name="20% - Accent6 3 4 2 3" xfId="18979" xr:uid="{00000000-0005-0000-0000-0000B5230000}"/>
    <cellStyle name="20% - Accent6 3 4 3" xfId="3832" xr:uid="{00000000-0005-0000-0000-0000B6230000}"/>
    <cellStyle name="20% - Accent6 3 4 3 2" xfId="15029" xr:uid="{00000000-0005-0000-0000-0000B7230000}"/>
    <cellStyle name="20% - Accent6 3 4 3 3" xfId="18980" xr:uid="{00000000-0005-0000-0000-0000B8230000}"/>
    <cellStyle name="20% - Accent6 3 4 4" xfId="15027" xr:uid="{00000000-0005-0000-0000-0000B9230000}"/>
    <cellStyle name="20% - Accent6 3 4 5" xfId="18978" xr:uid="{00000000-0005-0000-0000-0000BA230000}"/>
    <cellStyle name="20% - Accent6 3 5" xfId="3833" xr:uid="{00000000-0005-0000-0000-0000BB230000}"/>
    <cellStyle name="20% - Accent6 3 5 2" xfId="3834" xr:uid="{00000000-0005-0000-0000-0000BC230000}"/>
    <cellStyle name="20% - Accent6 3 5 2 2" xfId="15031" xr:uid="{00000000-0005-0000-0000-0000BD230000}"/>
    <cellStyle name="20% - Accent6 3 5 2 3" xfId="18982" xr:uid="{00000000-0005-0000-0000-0000BE230000}"/>
    <cellStyle name="20% - Accent6 3 5 3" xfId="3835" xr:uid="{00000000-0005-0000-0000-0000BF230000}"/>
    <cellStyle name="20% - Accent6 3 5 3 2" xfId="15032" xr:uid="{00000000-0005-0000-0000-0000C0230000}"/>
    <cellStyle name="20% - Accent6 3 5 3 3" xfId="18983" xr:uid="{00000000-0005-0000-0000-0000C1230000}"/>
    <cellStyle name="20% - Accent6 3 5 4" xfId="15030" xr:uid="{00000000-0005-0000-0000-0000C2230000}"/>
    <cellStyle name="20% - Accent6 3 5 5" xfId="18981" xr:uid="{00000000-0005-0000-0000-0000C3230000}"/>
    <cellStyle name="20% - Accent6 3 6" xfId="3836" xr:uid="{00000000-0005-0000-0000-0000C4230000}"/>
    <cellStyle name="20% - Accent6 3 6 2" xfId="3837" xr:uid="{00000000-0005-0000-0000-0000C5230000}"/>
    <cellStyle name="20% - Accent6 3 6 2 2" xfId="15034" xr:uid="{00000000-0005-0000-0000-0000C6230000}"/>
    <cellStyle name="20% - Accent6 3 6 2 3" xfId="18985" xr:uid="{00000000-0005-0000-0000-0000C7230000}"/>
    <cellStyle name="20% - Accent6 3 6 3" xfId="3838" xr:uid="{00000000-0005-0000-0000-0000C8230000}"/>
    <cellStyle name="20% - Accent6 3 6 3 2" xfId="15035" xr:uid="{00000000-0005-0000-0000-0000C9230000}"/>
    <cellStyle name="20% - Accent6 3 6 3 3" xfId="18986" xr:uid="{00000000-0005-0000-0000-0000CA230000}"/>
    <cellStyle name="20% - Accent6 3 6 4" xfId="15033" xr:uid="{00000000-0005-0000-0000-0000CB230000}"/>
    <cellStyle name="20% - Accent6 3 6 5" xfId="18984" xr:uid="{00000000-0005-0000-0000-0000CC230000}"/>
    <cellStyle name="20% - Accent6 3 7" xfId="3839" xr:uid="{00000000-0005-0000-0000-0000CD230000}"/>
    <cellStyle name="20% - Accent6 3 7 2" xfId="15036" xr:uid="{00000000-0005-0000-0000-0000CE230000}"/>
    <cellStyle name="20% - Accent6 3 7 3" xfId="18987" xr:uid="{00000000-0005-0000-0000-0000CF230000}"/>
    <cellStyle name="20% - Accent6 3 8" xfId="3840" xr:uid="{00000000-0005-0000-0000-0000D0230000}"/>
    <cellStyle name="20% - Accent6 3 8 2" xfId="15037" xr:uid="{00000000-0005-0000-0000-0000D1230000}"/>
    <cellStyle name="20% - Accent6 3 8 3" xfId="18988" xr:uid="{00000000-0005-0000-0000-0000D2230000}"/>
    <cellStyle name="20% - Accent6 3 9" xfId="15005" xr:uid="{00000000-0005-0000-0000-0000D3230000}"/>
    <cellStyle name="20% - Accent6 3_Volatility" xfId="3841" xr:uid="{00000000-0005-0000-0000-0000D4230000}"/>
    <cellStyle name="20% - Accent6 4" xfId="3842" xr:uid="{00000000-0005-0000-0000-0000D5230000}"/>
    <cellStyle name="20% - Accent6 4 10" xfId="18989" xr:uid="{00000000-0005-0000-0000-0000D6230000}"/>
    <cellStyle name="20% - Accent6 4 2" xfId="3843" xr:uid="{00000000-0005-0000-0000-0000D7230000}"/>
    <cellStyle name="20% - Accent6 4 2 2" xfId="3844" xr:uid="{00000000-0005-0000-0000-0000D8230000}"/>
    <cellStyle name="20% - Accent6 4 2 2 2" xfId="3845" xr:uid="{00000000-0005-0000-0000-0000D9230000}"/>
    <cellStyle name="20% - Accent6 4 2 2 2 2" xfId="15041" xr:uid="{00000000-0005-0000-0000-0000DA230000}"/>
    <cellStyle name="20% - Accent6 4 2 2 2 3" xfId="18992" xr:uid="{00000000-0005-0000-0000-0000DB230000}"/>
    <cellStyle name="20% - Accent6 4 2 2 3" xfId="3846" xr:uid="{00000000-0005-0000-0000-0000DC230000}"/>
    <cellStyle name="20% - Accent6 4 2 2 3 2" xfId="15042" xr:uid="{00000000-0005-0000-0000-0000DD230000}"/>
    <cellStyle name="20% - Accent6 4 2 2 3 3" xfId="18993" xr:uid="{00000000-0005-0000-0000-0000DE230000}"/>
    <cellStyle name="20% - Accent6 4 2 2 4" xfId="15040" xr:uid="{00000000-0005-0000-0000-0000DF230000}"/>
    <cellStyle name="20% - Accent6 4 2 2 5" xfId="18991" xr:uid="{00000000-0005-0000-0000-0000E0230000}"/>
    <cellStyle name="20% - Accent6 4 2 3" xfId="3847" xr:uid="{00000000-0005-0000-0000-0000E1230000}"/>
    <cellStyle name="20% - Accent6 4 2 3 2" xfId="3848" xr:uid="{00000000-0005-0000-0000-0000E2230000}"/>
    <cellStyle name="20% - Accent6 4 2 3 2 2" xfId="15044" xr:uid="{00000000-0005-0000-0000-0000E3230000}"/>
    <cellStyle name="20% - Accent6 4 2 3 2 3" xfId="18995" xr:uid="{00000000-0005-0000-0000-0000E4230000}"/>
    <cellStyle name="20% - Accent6 4 2 3 3" xfId="3849" xr:uid="{00000000-0005-0000-0000-0000E5230000}"/>
    <cellStyle name="20% - Accent6 4 2 3 3 2" xfId="15045" xr:uid="{00000000-0005-0000-0000-0000E6230000}"/>
    <cellStyle name="20% - Accent6 4 2 3 3 3" xfId="18996" xr:uid="{00000000-0005-0000-0000-0000E7230000}"/>
    <cellStyle name="20% - Accent6 4 2 3 4" xfId="15043" xr:uid="{00000000-0005-0000-0000-0000E8230000}"/>
    <cellStyle name="20% - Accent6 4 2 3 5" xfId="18994" xr:uid="{00000000-0005-0000-0000-0000E9230000}"/>
    <cellStyle name="20% - Accent6 4 2 4" xfId="3850" xr:uid="{00000000-0005-0000-0000-0000EA230000}"/>
    <cellStyle name="20% - Accent6 4 2 4 2" xfId="3851" xr:uid="{00000000-0005-0000-0000-0000EB230000}"/>
    <cellStyle name="20% - Accent6 4 2 4 2 2" xfId="15047" xr:uid="{00000000-0005-0000-0000-0000EC230000}"/>
    <cellStyle name="20% - Accent6 4 2 4 2 3" xfId="18998" xr:uid="{00000000-0005-0000-0000-0000ED230000}"/>
    <cellStyle name="20% - Accent6 4 2 4 3" xfId="3852" xr:uid="{00000000-0005-0000-0000-0000EE230000}"/>
    <cellStyle name="20% - Accent6 4 2 4 3 2" xfId="15048" xr:uid="{00000000-0005-0000-0000-0000EF230000}"/>
    <cellStyle name="20% - Accent6 4 2 4 3 3" xfId="18999" xr:uid="{00000000-0005-0000-0000-0000F0230000}"/>
    <cellStyle name="20% - Accent6 4 2 4 4" xfId="15046" xr:uid="{00000000-0005-0000-0000-0000F1230000}"/>
    <cellStyle name="20% - Accent6 4 2 4 5" xfId="18997" xr:uid="{00000000-0005-0000-0000-0000F2230000}"/>
    <cellStyle name="20% - Accent6 4 2 5" xfId="3853" xr:uid="{00000000-0005-0000-0000-0000F3230000}"/>
    <cellStyle name="20% - Accent6 4 2 5 2" xfId="15049" xr:uid="{00000000-0005-0000-0000-0000F4230000}"/>
    <cellStyle name="20% - Accent6 4 2 5 3" xfId="19000" xr:uid="{00000000-0005-0000-0000-0000F5230000}"/>
    <cellStyle name="20% - Accent6 4 2 6" xfId="3854" xr:uid="{00000000-0005-0000-0000-0000F6230000}"/>
    <cellStyle name="20% - Accent6 4 2 6 2" xfId="15050" xr:uid="{00000000-0005-0000-0000-0000F7230000}"/>
    <cellStyle name="20% - Accent6 4 2 6 3" xfId="19001" xr:uid="{00000000-0005-0000-0000-0000F8230000}"/>
    <cellStyle name="20% - Accent6 4 2 7" xfId="15039" xr:uid="{00000000-0005-0000-0000-0000F9230000}"/>
    <cellStyle name="20% - Accent6 4 2 8" xfId="18990" xr:uid="{00000000-0005-0000-0000-0000FA230000}"/>
    <cellStyle name="20% - Accent6 4 2_Volatility" xfId="3855" xr:uid="{00000000-0005-0000-0000-0000FB230000}"/>
    <cellStyle name="20% - Accent6 4 3" xfId="3856" xr:uid="{00000000-0005-0000-0000-0000FC230000}"/>
    <cellStyle name="20% - Accent6 4 3 2" xfId="3857" xr:uid="{00000000-0005-0000-0000-0000FD230000}"/>
    <cellStyle name="20% - Accent6 4 3 2 2" xfId="3858" xr:uid="{00000000-0005-0000-0000-0000FE230000}"/>
    <cellStyle name="20% - Accent6 4 3 2 2 2" xfId="15053" xr:uid="{00000000-0005-0000-0000-0000FF230000}"/>
    <cellStyle name="20% - Accent6 4 3 2 2 3" xfId="19004" xr:uid="{00000000-0005-0000-0000-000000240000}"/>
    <cellStyle name="20% - Accent6 4 3 2 3" xfId="3859" xr:uid="{00000000-0005-0000-0000-000001240000}"/>
    <cellStyle name="20% - Accent6 4 3 2 3 2" xfId="15054" xr:uid="{00000000-0005-0000-0000-000002240000}"/>
    <cellStyle name="20% - Accent6 4 3 2 3 3" xfId="19005" xr:uid="{00000000-0005-0000-0000-000003240000}"/>
    <cellStyle name="20% - Accent6 4 3 2 4" xfId="15052" xr:uid="{00000000-0005-0000-0000-000004240000}"/>
    <cellStyle name="20% - Accent6 4 3 2 5" xfId="19003" xr:uid="{00000000-0005-0000-0000-000005240000}"/>
    <cellStyle name="20% - Accent6 4 3 3" xfId="3860" xr:uid="{00000000-0005-0000-0000-000006240000}"/>
    <cellStyle name="20% - Accent6 4 3 3 2" xfId="3861" xr:uid="{00000000-0005-0000-0000-000007240000}"/>
    <cellStyle name="20% - Accent6 4 3 3 2 2" xfId="15056" xr:uid="{00000000-0005-0000-0000-000008240000}"/>
    <cellStyle name="20% - Accent6 4 3 3 2 3" xfId="19007" xr:uid="{00000000-0005-0000-0000-000009240000}"/>
    <cellStyle name="20% - Accent6 4 3 3 3" xfId="3862" xr:uid="{00000000-0005-0000-0000-00000A240000}"/>
    <cellStyle name="20% - Accent6 4 3 3 3 2" xfId="15057" xr:uid="{00000000-0005-0000-0000-00000B240000}"/>
    <cellStyle name="20% - Accent6 4 3 3 3 3" xfId="19008" xr:uid="{00000000-0005-0000-0000-00000C240000}"/>
    <cellStyle name="20% - Accent6 4 3 3 4" xfId="15055" xr:uid="{00000000-0005-0000-0000-00000D240000}"/>
    <cellStyle name="20% - Accent6 4 3 3 5" xfId="19006" xr:uid="{00000000-0005-0000-0000-00000E240000}"/>
    <cellStyle name="20% - Accent6 4 3 4" xfId="3863" xr:uid="{00000000-0005-0000-0000-00000F240000}"/>
    <cellStyle name="20% - Accent6 4 3 4 2" xfId="15058" xr:uid="{00000000-0005-0000-0000-000010240000}"/>
    <cellStyle name="20% - Accent6 4 3 4 3" xfId="19009" xr:uid="{00000000-0005-0000-0000-000011240000}"/>
    <cellStyle name="20% - Accent6 4 3 5" xfId="3864" xr:uid="{00000000-0005-0000-0000-000012240000}"/>
    <cellStyle name="20% - Accent6 4 3 5 2" xfId="15059" xr:uid="{00000000-0005-0000-0000-000013240000}"/>
    <cellStyle name="20% - Accent6 4 3 5 3" xfId="19010" xr:uid="{00000000-0005-0000-0000-000014240000}"/>
    <cellStyle name="20% - Accent6 4 3 6" xfId="15051" xr:uid="{00000000-0005-0000-0000-000015240000}"/>
    <cellStyle name="20% - Accent6 4 3 7" xfId="19002" xr:uid="{00000000-0005-0000-0000-000016240000}"/>
    <cellStyle name="20% - Accent6 4 3_Volatility" xfId="3865" xr:uid="{00000000-0005-0000-0000-000017240000}"/>
    <cellStyle name="20% - Accent6 4 4" xfId="3866" xr:uid="{00000000-0005-0000-0000-000018240000}"/>
    <cellStyle name="20% - Accent6 4 4 2" xfId="3867" xr:uid="{00000000-0005-0000-0000-000019240000}"/>
    <cellStyle name="20% - Accent6 4 4 2 2" xfId="15061" xr:uid="{00000000-0005-0000-0000-00001A240000}"/>
    <cellStyle name="20% - Accent6 4 4 2 3" xfId="19012" xr:uid="{00000000-0005-0000-0000-00001B240000}"/>
    <cellStyle name="20% - Accent6 4 4 3" xfId="3868" xr:uid="{00000000-0005-0000-0000-00001C240000}"/>
    <cellStyle name="20% - Accent6 4 4 3 2" xfId="15062" xr:uid="{00000000-0005-0000-0000-00001D240000}"/>
    <cellStyle name="20% - Accent6 4 4 3 3" xfId="19013" xr:uid="{00000000-0005-0000-0000-00001E240000}"/>
    <cellStyle name="20% - Accent6 4 4 4" xfId="15060" xr:uid="{00000000-0005-0000-0000-00001F240000}"/>
    <cellStyle name="20% - Accent6 4 4 5" xfId="19011" xr:uid="{00000000-0005-0000-0000-000020240000}"/>
    <cellStyle name="20% - Accent6 4 5" xfId="3869" xr:uid="{00000000-0005-0000-0000-000021240000}"/>
    <cellStyle name="20% - Accent6 4 5 2" xfId="3870" xr:uid="{00000000-0005-0000-0000-000022240000}"/>
    <cellStyle name="20% - Accent6 4 5 2 2" xfId="15064" xr:uid="{00000000-0005-0000-0000-000023240000}"/>
    <cellStyle name="20% - Accent6 4 5 2 3" xfId="19015" xr:uid="{00000000-0005-0000-0000-000024240000}"/>
    <cellStyle name="20% - Accent6 4 5 3" xfId="3871" xr:uid="{00000000-0005-0000-0000-000025240000}"/>
    <cellStyle name="20% - Accent6 4 5 3 2" xfId="15065" xr:uid="{00000000-0005-0000-0000-000026240000}"/>
    <cellStyle name="20% - Accent6 4 5 3 3" xfId="19016" xr:uid="{00000000-0005-0000-0000-000027240000}"/>
    <cellStyle name="20% - Accent6 4 5 4" xfId="15063" xr:uid="{00000000-0005-0000-0000-000028240000}"/>
    <cellStyle name="20% - Accent6 4 5 5" xfId="19014" xr:uid="{00000000-0005-0000-0000-000029240000}"/>
    <cellStyle name="20% - Accent6 4 6" xfId="3872" xr:uid="{00000000-0005-0000-0000-00002A240000}"/>
    <cellStyle name="20% - Accent6 4 6 2" xfId="3873" xr:uid="{00000000-0005-0000-0000-00002B240000}"/>
    <cellStyle name="20% - Accent6 4 6 2 2" xfId="15067" xr:uid="{00000000-0005-0000-0000-00002C240000}"/>
    <cellStyle name="20% - Accent6 4 6 2 3" xfId="19018" xr:uid="{00000000-0005-0000-0000-00002D240000}"/>
    <cellStyle name="20% - Accent6 4 6 3" xfId="3874" xr:uid="{00000000-0005-0000-0000-00002E240000}"/>
    <cellStyle name="20% - Accent6 4 6 3 2" xfId="15068" xr:uid="{00000000-0005-0000-0000-00002F240000}"/>
    <cellStyle name="20% - Accent6 4 6 3 3" xfId="19019" xr:uid="{00000000-0005-0000-0000-000030240000}"/>
    <cellStyle name="20% - Accent6 4 6 4" xfId="15066" xr:uid="{00000000-0005-0000-0000-000031240000}"/>
    <cellStyle name="20% - Accent6 4 6 5" xfId="19017" xr:uid="{00000000-0005-0000-0000-000032240000}"/>
    <cellStyle name="20% - Accent6 4 7" xfId="3875" xr:uid="{00000000-0005-0000-0000-000033240000}"/>
    <cellStyle name="20% - Accent6 4 7 2" xfId="15069" xr:uid="{00000000-0005-0000-0000-000034240000}"/>
    <cellStyle name="20% - Accent6 4 7 3" xfId="19020" xr:uid="{00000000-0005-0000-0000-000035240000}"/>
    <cellStyle name="20% - Accent6 4 8" xfId="3876" xr:uid="{00000000-0005-0000-0000-000036240000}"/>
    <cellStyle name="20% - Accent6 4 8 2" xfId="15070" xr:uid="{00000000-0005-0000-0000-000037240000}"/>
    <cellStyle name="20% - Accent6 4 8 3" xfId="19021" xr:uid="{00000000-0005-0000-0000-000038240000}"/>
    <cellStyle name="20% - Accent6 4 9" xfId="15038" xr:uid="{00000000-0005-0000-0000-000039240000}"/>
    <cellStyle name="20% - Accent6 4_Volatility" xfId="3877" xr:uid="{00000000-0005-0000-0000-00003A240000}"/>
    <cellStyle name="20% - Accent6 5" xfId="3878" xr:uid="{00000000-0005-0000-0000-00003B240000}"/>
    <cellStyle name="20% - Accent6 5 10" xfId="19022" xr:uid="{00000000-0005-0000-0000-00003C240000}"/>
    <cellStyle name="20% - Accent6 5 2" xfId="3879" xr:uid="{00000000-0005-0000-0000-00003D240000}"/>
    <cellStyle name="20% - Accent6 5 2 2" xfId="3880" xr:uid="{00000000-0005-0000-0000-00003E240000}"/>
    <cellStyle name="20% - Accent6 5 2 2 2" xfId="3881" xr:uid="{00000000-0005-0000-0000-00003F240000}"/>
    <cellStyle name="20% - Accent6 5 2 2 2 2" xfId="15074" xr:uid="{00000000-0005-0000-0000-000040240000}"/>
    <cellStyle name="20% - Accent6 5 2 2 2 3" xfId="19025" xr:uid="{00000000-0005-0000-0000-000041240000}"/>
    <cellStyle name="20% - Accent6 5 2 2 3" xfId="3882" xr:uid="{00000000-0005-0000-0000-000042240000}"/>
    <cellStyle name="20% - Accent6 5 2 2 3 2" xfId="15075" xr:uid="{00000000-0005-0000-0000-000043240000}"/>
    <cellStyle name="20% - Accent6 5 2 2 3 3" xfId="19026" xr:uid="{00000000-0005-0000-0000-000044240000}"/>
    <cellStyle name="20% - Accent6 5 2 2 4" xfId="15073" xr:uid="{00000000-0005-0000-0000-000045240000}"/>
    <cellStyle name="20% - Accent6 5 2 2 5" xfId="19024" xr:uid="{00000000-0005-0000-0000-000046240000}"/>
    <cellStyle name="20% - Accent6 5 2 3" xfId="3883" xr:uid="{00000000-0005-0000-0000-000047240000}"/>
    <cellStyle name="20% - Accent6 5 2 3 2" xfId="3884" xr:uid="{00000000-0005-0000-0000-000048240000}"/>
    <cellStyle name="20% - Accent6 5 2 3 2 2" xfId="15077" xr:uid="{00000000-0005-0000-0000-000049240000}"/>
    <cellStyle name="20% - Accent6 5 2 3 2 3" xfId="19028" xr:uid="{00000000-0005-0000-0000-00004A240000}"/>
    <cellStyle name="20% - Accent6 5 2 3 3" xfId="3885" xr:uid="{00000000-0005-0000-0000-00004B240000}"/>
    <cellStyle name="20% - Accent6 5 2 3 3 2" xfId="15078" xr:uid="{00000000-0005-0000-0000-00004C240000}"/>
    <cellStyle name="20% - Accent6 5 2 3 3 3" xfId="19029" xr:uid="{00000000-0005-0000-0000-00004D240000}"/>
    <cellStyle name="20% - Accent6 5 2 3 4" xfId="15076" xr:uid="{00000000-0005-0000-0000-00004E240000}"/>
    <cellStyle name="20% - Accent6 5 2 3 5" xfId="19027" xr:uid="{00000000-0005-0000-0000-00004F240000}"/>
    <cellStyle name="20% - Accent6 5 2 4" xfId="3886" xr:uid="{00000000-0005-0000-0000-000050240000}"/>
    <cellStyle name="20% - Accent6 5 2 4 2" xfId="3887" xr:uid="{00000000-0005-0000-0000-000051240000}"/>
    <cellStyle name="20% - Accent6 5 2 4 2 2" xfId="15080" xr:uid="{00000000-0005-0000-0000-000052240000}"/>
    <cellStyle name="20% - Accent6 5 2 4 2 3" xfId="19031" xr:uid="{00000000-0005-0000-0000-000053240000}"/>
    <cellStyle name="20% - Accent6 5 2 4 3" xfId="3888" xr:uid="{00000000-0005-0000-0000-000054240000}"/>
    <cellStyle name="20% - Accent6 5 2 4 3 2" xfId="15081" xr:uid="{00000000-0005-0000-0000-000055240000}"/>
    <cellStyle name="20% - Accent6 5 2 4 3 3" xfId="19032" xr:uid="{00000000-0005-0000-0000-000056240000}"/>
    <cellStyle name="20% - Accent6 5 2 4 4" xfId="15079" xr:uid="{00000000-0005-0000-0000-000057240000}"/>
    <cellStyle name="20% - Accent6 5 2 4 5" xfId="19030" xr:uid="{00000000-0005-0000-0000-000058240000}"/>
    <cellStyle name="20% - Accent6 5 2 5" xfId="3889" xr:uid="{00000000-0005-0000-0000-000059240000}"/>
    <cellStyle name="20% - Accent6 5 2 5 2" xfId="15082" xr:uid="{00000000-0005-0000-0000-00005A240000}"/>
    <cellStyle name="20% - Accent6 5 2 5 3" xfId="19033" xr:uid="{00000000-0005-0000-0000-00005B240000}"/>
    <cellStyle name="20% - Accent6 5 2 6" xfId="3890" xr:uid="{00000000-0005-0000-0000-00005C240000}"/>
    <cellStyle name="20% - Accent6 5 2 6 2" xfId="15083" xr:uid="{00000000-0005-0000-0000-00005D240000}"/>
    <cellStyle name="20% - Accent6 5 2 6 3" xfId="19034" xr:uid="{00000000-0005-0000-0000-00005E240000}"/>
    <cellStyle name="20% - Accent6 5 2 7" xfId="15072" xr:uid="{00000000-0005-0000-0000-00005F240000}"/>
    <cellStyle name="20% - Accent6 5 2 8" xfId="19023" xr:uid="{00000000-0005-0000-0000-000060240000}"/>
    <cellStyle name="20% - Accent6 5 2_Volatility" xfId="3891" xr:uid="{00000000-0005-0000-0000-000061240000}"/>
    <cellStyle name="20% - Accent6 5 3" xfId="3892" xr:uid="{00000000-0005-0000-0000-000062240000}"/>
    <cellStyle name="20% - Accent6 5 3 2" xfId="3893" xr:uid="{00000000-0005-0000-0000-000063240000}"/>
    <cellStyle name="20% - Accent6 5 3 2 2" xfId="3894" xr:uid="{00000000-0005-0000-0000-000064240000}"/>
    <cellStyle name="20% - Accent6 5 3 2 2 2" xfId="15086" xr:uid="{00000000-0005-0000-0000-000065240000}"/>
    <cellStyle name="20% - Accent6 5 3 2 2 3" xfId="19037" xr:uid="{00000000-0005-0000-0000-000066240000}"/>
    <cellStyle name="20% - Accent6 5 3 2 3" xfId="3895" xr:uid="{00000000-0005-0000-0000-000067240000}"/>
    <cellStyle name="20% - Accent6 5 3 2 3 2" xfId="15087" xr:uid="{00000000-0005-0000-0000-000068240000}"/>
    <cellStyle name="20% - Accent6 5 3 2 3 3" xfId="19038" xr:uid="{00000000-0005-0000-0000-000069240000}"/>
    <cellStyle name="20% - Accent6 5 3 2 4" xfId="15085" xr:uid="{00000000-0005-0000-0000-00006A240000}"/>
    <cellStyle name="20% - Accent6 5 3 2 5" xfId="19036" xr:uid="{00000000-0005-0000-0000-00006B240000}"/>
    <cellStyle name="20% - Accent6 5 3 3" xfId="3896" xr:uid="{00000000-0005-0000-0000-00006C240000}"/>
    <cellStyle name="20% - Accent6 5 3 3 2" xfId="3897" xr:uid="{00000000-0005-0000-0000-00006D240000}"/>
    <cellStyle name="20% - Accent6 5 3 3 2 2" xfId="15089" xr:uid="{00000000-0005-0000-0000-00006E240000}"/>
    <cellStyle name="20% - Accent6 5 3 3 2 3" xfId="19040" xr:uid="{00000000-0005-0000-0000-00006F240000}"/>
    <cellStyle name="20% - Accent6 5 3 3 3" xfId="3898" xr:uid="{00000000-0005-0000-0000-000070240000}"/>
    <cellStyle name="20% - Accent6 5 3 3 3 2" xfId="15090" xr:uid="{00000000-0005-0000-0000-000071240000}"/>
    <cellStyle name="20% - Accent6 5 3 3 3 3" xfId="19041" xr:uid="{00000000-0005-0000-0000-000072240000}"/>
    <cellStyle name="20% - Accent6 5 3 3 4" xfId="15088" xr:uid="{00000000-0005-0000-0000-000073240000}"/>
    <cellStyle name="20% - Accent6 5 3 3 5" xfId="19039" xr:uid="{00000000-0005-0000-0000-000074240000}"/>
    <cellStyle name="20% - Accent6 5 3 4" xfId="3899" xr:uid="{00000000-0005-0000-0000-000075240000}"/>
    <cellStyle name="20% - Accent6 5 3 4 2" xfId="15091" xr:uid="{00000000-0005-0000-0000-000076240000}"/>
    <cellStyle name="20% - Accent6 5 3 4 3" xfId="19042" xr:uid="{00000000-0005-0000-0000-000077240000}"/>
    <cellStyle name="20% - Accent6 5 3 5" xfId="3900" xr:uid="{00000000-0005-0000-0000-000078240000}"/>
    <cellStyle name="20% - Accent6 5 3 5 2" xfId="15092" xr:uid="{00000000-0005-0000-0000-000079240000}"/>
    <cellStyle name="20% - Accent6 5 3 5 3" xfId="19043" xr:uid="{00000000-0005-0000-0000-00007A240000}"/>
    <cellStyle name="20% - Accent6 5 3 6" xfId="15084" xr:uid="{00000000-0005-0000-0000-00007B240000}"/>
    <cellStyle name="20% - Accent6 5 3 7" xfId="19035" xr:uid="{00000000-0005-0000-0000-00007C240000}"/>
    <cellStyle name="20% - Accent6 5 3_Volatility" xfId="3901" xr:uid="{00000000-0005-0000-0000-00007D240000}"/>
    <cellStyle name="20% - Accent6 5 4" xfId="3902" xr:uid="{00000000-0005-0000-0000-00007E240000}"/>
    <cellStyle name="20% - Accent6 5 4 2" xfId="3903" xr:uid="{00000000-0005-0000-0000-00007F240000}"/>
    <cellStyle name="20% - Accent6 5 4 2 2" xfId="15094" xr:uid="{00000000-0005-0000-0000-000080240000}"/>
    <cellStyle name="20% - Accent6 5 4 2 3" xfId="19045" xr:uid="{00000000-0005-0000-0000-000081240000}"/>
    <cellStyle name="20% - Accent6 5 4 3" xfId="3904" xr:uid="{00000000-0005-0000-0000-000082240000}"/>
    <cellStyle name="20% - Accent6 5 4 3 2" xfId="15095" xr:uid="{00000000-0005-0000-0000-000083240000}"/>
    <cellStyle name="20% - Accent6 5 4 3 3" xfId="19046" xr:uid="{00000000-0005-0000-0000-000084240000}"/>
    <cellStyle name="20% - Accent6 5 4 4" xfId="15093" xr:uid="{00000000-0005-0000-0000-000085240000}"/>
    <cellStyle name="20% - Accent6 5 4 5" xfId="19044" xr:uid="{00000000-0005-0000-0000-000086240000}"/>
    <cellStyle name="20% - Accent6 5 5" xfId="3905" xr:uid="{00000000-0005-0000-0000-000087240000}"/>
    <cellStyle name="20% - Accent6 5 5 2" xfId="3906" xr:uid="{00000000-0005-0000-0000-000088240000}"/>
    <cellStyle name="20% - Accent6 5 5 2 2" xfId="15097" xr:uid="{00000000-0005-0000-0000-000089240000}"/>
    <cellStyle name="20% - Accent6 5 5 2 3" xfId="19048" xr:uid="{00000000-0005-0000-0000-00008A240000}"/>
    <cellStyle name="20% - Accent6 5 5 3" xfId="3907" xr:uid="{00000000-0005-0000-0000-00008B240000}"/>
    <cellStyle name="20% - Accent6 5 5 3 2" xfId="15098" xr:uid="{00000000-0005-0000-0000-00008C240000}"/>
    <cellStyle name="20% - Accent6 5 5 3 3" xfId="19049" xr:uid="{00000000-0005-0000-0000-00008D240000}"/>
    <cellStyle name="20% - Accent6 5 5 4" xfId="15096" xr:uid="{00000000-0005-0000-0000-00008E240000}"/>
    <cellStyle name="20% - Accent6 5 5 5" xfId="19047" xr:uid="{00000000-0005-0000-0000-00008F240000}"/>
    <cellStyle name="20% - Accent6 5 6" xfId="3908" xr:uid="{00000000-0005-0000-0000-000090240000}"/>
    <cellStyle name="20% - Accent6 5 6 2" xfId="3909" xr:uid="{00000000-0005-0000-0000-000091240000}"/>
    <cellStyle name="20% - Accent6 5 6 2 2" xfId="15100" xr:uid="{00000000-0005-0000-0000-000092240000}"/>
    <cellStyle name="20% - Accent6 5 6 2 3" xfId="19051" xr:uid="{00000000-0005-0000-0000-000093240000}"/>
    <cellStyle name="20% - Accent6 5 6 3" xfId="3910" xr:uid="{00000000-0005-0000-0000-000094240000}"/>
    <cellStyle name="20% - Accent6 5 6 3 2" xfId="15101" xr:uid="{00000000-0005-0000-0000-000095240000}"/>
    <cellStyle name="20% - Accent6 5 6 3 3" xfId="19052" xr:uid="{00000000-0005-0000-0000-000096240000}"/>
    <cellStyle name="20% - Accent6 5 6 4" xfId="15099" xr:uid="{00000000-0005-0000-0000-000097240000}"/>
    <cellStyle name="20% - Accent6 5 6 5" xfId="19050" xr:uid="{00000000-0005-0000-0000-000098240000}"/>
    <cellStyle name="20% - Accent6 5 7" xfId="3911" xr:uid="{00000000-0005-0000-0000-000099240000}"/>
    <cellStyle name="20% - Accent6 5 7 2" xfId="15102" xr:uid="{00000000-0005-0000-0000-00009A240000}"/>
    <cellStyle name="20% - Accent6 5 7 3" xfId="19053" xr:uid="{00000000-0005-0000-0000-00009B240000}"/>
    <cellStyle name="20% - Accent6 5 8" xfId="3912" xr:uid="{00000000-0005-0000-0000-00009C240000}"/>
    <cellStyle name="20% - Accent6 5 8 2" xfId="15103" xr:uid="{00000000-0005-0000-0000-00009D240000}"/>
    <cellStyle name="20% - Accent6 5 8 3" xfId="19054" xr:uid="{00000000-0005-0000-0000-00009E240000}"/>
    <cellStyle name="20% - Accent6 5 9" xfId="15071" xr:uid="{00000000-0005-0000-0000-00009F240000}"/>
    <cellStyle name="20% - Accent6 5_Volatility" xfId="3913" xr:uid="{00000000-0005-0000-0000-0000A0240000}"/>
    <cellStyle name="20% - Accent6 6" xfId="3914" xr:uid="{00000000-0005-0000-0000-0000A1240000}"/>
    <cellStyle name="20% - Accent6 6 10" xfId="19055" xr:uid="{00000000-0005-0000-0000-0000A2240000}"/>
    <cellStyle name="20% - Accent6 6 2" xfId="3915" xr:uid="{00000000-0005-0000-0000-0000A3240000}"/>
    <cellStyle name="20% - Accent6 6 2 2" xfId="3916" xr:uid="{00000000-0005-0000-0000-0000A4240000}"/>
    <cellStyle name="20% - Accent6 6 2 2 2" xfId="3917" xr:uid="{00000000-0005-0000-0000-0000A5240000}"/>
    <cellStyle name="20% - Accent6 6 2 2 2 2" xfId="15107" xr:uid="{00000000-0005-0000-0000-0000A6240000}"/>
    <cellStyle name="20% - Accent6 6 2 2 2 3" xfId="19058" xr:uid="{00000000-0005-0000-0000-0000A7240000}"/>
    <cellStyle name="20% - Accent6 6 2 2 3" xfId="3918" xr:uid="{00000000-0005-0000-0000-0000A8240000}"/>
    <cellStyle name="20% - Accent6 6 2 2 3 2" xfId="15108" xr:uid="{00000000-0005-0000-0000-0000A9240000}"/>
    <cellStyle name="20% - Accent6 6 2 2 3 3" xfId="19059" xr:uid="{00000000-0005-0000-0000-0000AA240000}"/>
    <cellStyle name="20% - Accent6 6 2 2 4" xfId="15106" xr:uid="{00000000-0005-0000-0000-0000AB240000}"/>
    <cellStyle name="20% - Accent6 6 2 2 5" xfId="19057" xr:uid="{00000000-0005-0000-0000-0000AC240000}"/>
    <cellStyle name="20% - Accent6 6 2 3" xfId="3919" xr:uid="{00000000-0005-0000-0000-0000AD240000}"/>
    <cellStyle name="20% - Accent6 6 2 3 2" xfId="3920" xr:uid="{00000000-0005-0000-0000-0000AE240000}"/>
    <cellStyle name="20% - Accent6 6 2 3 2 2" xfId="15110" xr:uid="{00000000-0005-0000-0000-0000AF240000}"/>
    <cellStyle name="20% - Accent6 6 2 3 2 3" xfId="19061" xr:uid="{00000000-0005-0000-0000-0000B0240000}"/>
    <cellStyle name="20% - Accent6 6 2 3 3" xfId="3921" xr:uid="{00000000-0005-0000-0000-0000B1240000}"/>
    <cellStyle name="20% - Accent6 6 2 3 3 2" xfId="15111" xr:uid="{00000000-0005-0000-0000-0000B2240000}"/>
    <cellStyle name="20% - Accent6 6 2 3 3 3" xfId="19062" xr:uid="{00000000-0005-0000-0000-0000B3240000}"/>
    <cellStyle name="20% - Accent6 6 2 3 4" xfId="15109" xr:uid="{00000000-0005-0000-0000-0000B4240000}"/>
    <cellStyle name="20% - Accent6 6 2 3 5" xfId="19060" xr:uid="{00000000-0005-0000-0000-0000B5240000}"/>
    <cellStyle name="20% - Accent6 6 2 4" xfId="3922" xr:uid="{00000000-0005-0000-0000-0000B6240000}"/>
    <cellStyle name="20% - Accent6 6 2 4 2" xfId="3923" xr:uid="{00000000-0005-0000-0000-0000B7240000}"/>
    <cellStyle name="20% - Accent6 6 2 4 2 2" xfId="15113" xr:uid="{00000000-0005-0000-0000-0000B8240000}"/>
    <cellStyle name="20% - Accent6 6 2 4 2 3" xfId="19064" xr:uid="{00000000-0005-0000-0000-0000B9240000}"/>
    <cellStyle name="20% - Accent6 6 2 4 3" xfId="3924" xr:uid="{00000000-0005-0000-0000-0000BA240000}"/>
    <cellStyle name="20% - Accent6 6 2 4 3 2" xfId="15114" xr:uid="{00000000-0005-0000-0000-0000BB240000}"/>
    <cellStyle name="20% - Accent6 6 2 4 3 3" xfId="19065" xr:uid="{00000000-0005-0000-0000-0000BC240000}"/>
    <cellStyle name="20% - Accent6 6 2 4 4" xfId="15112" xr:uid="{00000000-0005-0000-0000-0000BD240000}"/>
    <cellStyle name="20% - Accent6 6 2 4 5" xfId="19063" xr:uid="{00000000-0005-0000-0000-0000BE240000}"/>
    <cellStyle name="20% - Accent6 6 2 5" xfId="3925" xr:uid="{00000000-0005-0000-0000-0000BF240000}"/>
    <cellStyle name="20% - Accent6 6 2 5 2" xfId="15115" xr:uid="{00000000-0005-0000-0000-0000C0240000}"/>
    <cellStyle name="20% - Accent6 6 2 5 3" xfId="19066" xr:uid="{00000000-0005-0000-0000-0000C1240000}"/>
    <cellStyle name="20% - Accent6 6 2 6" xfId="3926" xr:uid="{00000000-0005-0000-0000-0000C2240000}"/>
    <cellStyle name="20% - Accent6 6 2 6 2" xfId="15116" xr:uid="{00000000-0005-0000-0000-0000C3240000}"/>
    <cellStyle name="20% - Accent6 6 2 6 3" xfId="19067" xr:uid="{00000000-0005-0000-0000-0000C4240000}"/>
    <cellStyle name="20% - Accent6 6 2 7" xfId="15105" xr:uid="{00000000-0005-0000-0000-0000C5240000}"/>
    <cellStyle name="20% - Accent6 6 2 8" xfId="19056" xr:uid="{00000000-0005-0000-0000-0000C6240000}"/>
    <cellStyle name="20% - Accent6 6 2_Volatility" xfId="3927" xr:uid="{00000000-0005-0000-0000-0000C7240000}"/>
    <cellStyle name="20% - Accent6 6 3" xfId="3928" xr:uid="{00000000-0005-0000-0000-0000C8240000}"/>
    <cellStyle name="20% - Accent6 6 3 2" xfId="3929" xr:uid="{00000000-0005-0000-0000-0000C9240000}"/>
    <cellStyle name="20% - Accent6 6 3 2 2" xfId="3930" xr:uid="{00000000-0005-0000-0000-0000CA240000}"/>
    <cellStyle name="20% - Accent6 6 3 2 2 2" xfId="15119" xr:uid="{00000000-0005-0000-0000-0000CB240000}"/>
    <cellStyle name="20% - Accent6 6 3 2 2 3" xfId="19070" xr:uid="{00000000-0005-0000-0000-0000CC240000}"/>
    <cellStyle name="20% - Accent6 6 3 2 3" xfId="3931" xr:uid="{00000000-0005-0000-0000-0000CD240000}"/>
    <cellStyle name="20% - Accent6 6 3 2 3 2" xfId="15120" xr:uid="{00000000-0005-0000-0000-0000CE240000}"/>
    <cellStyle name="20% - Accent6 6 3 2 3 3" xfId="19071" xr:uid="{00000000-0005-0000-0000-0000CF240000}"/>
    <cellStyle name="20% - Accent6 6 3 2 4" xfId="15118" xr:uid="{00000000-0005-0000-0000-0000D0240000}"/>
    <cellStyle name="20% - Accent6 6 3 2 5" xfId="19069" xr:uid="{00000000-0005-0000-0000-0000D1240000}"/>
    <cellStyle name="20% - Accent6 6 3 3" xfId="3932" xr:uid="{00000000-0005-0000-0000-0000D2240000}"/>
    <cellStyle name="20% - Accent6 6 3 3 2" xfId="3933" xr:uid="{00000000-0005-0000-0000-0000D3240000}"/>
    <cellStyle name="20% - Accent6 6 3 3 2 2" xfId="15122" xr:uid="{00000000-0005-0000-0000-0000D4240000}"/>
    <cellStyle name="20% - Accent6 6 3 3 2 3" xfId="19073" xr:uid="{00000000-0005-0000-0000-0000D5240000}"/>
    <cellStyle name="20% - Accent6 6 3 3 3" xfId="3934" xr:uid="{00000000-0005-0000-0000-0000D6240000}"/>
    <cellStyle name="20% - Accent6 6 3 3 3 2" xfId="15123" xr:uid="{00000000-0005-0000-0000-0000D7240000}"/>
    <cellStyle name="20% - Accent6 6 3 3 3 3" xfId="19074" xr:uid="{00000000-0005-0000-0000-0000D8240000}"/>
    <cellStyle name="20% - Accent6 6 3 3 4" xfId="15121" xr:uid="{00000000-0005-0000-0000-0000D9240000}"/>
    <cellStyle name="20% - Accent6 6 3 3 5" xfId="19072" xr:uid="{00000000-0005-0000-0000-0000DA240000}"/>
    <cellStyle name="20% - Accent6 6 3 4" xfId="3935" xr:uid="{00000000-0005-0000-0000-0000DB240000}"/>
    <cellStyle name="20% - Accent6 6 3 4 2" xfId="15124" xr:uid="{00000000-0005-0000-0000-0000DC240000}"/>
    <cellStyle name="20% - Accent6 6 3 4 3" xfId="19075" xr:uid="{00000000-0005-0000-0000-0000DD240000}"/>
    <cellStyle name="20% - Accent6 6 3 5" xfId="3936" xr:uid="{00000000-0005-0000-0000-0000DE240000}"/>
    <cellStyle name="20% - Accent6 6 3 5 2" xfId="15125" xr:uid="{00000000-0005-0000-0000-0000DF240000}"/>
    <cellStyle name="20% - Accent6 6 3 5 3" xfId="19076" xr:uid="{00000000-0005-0000-0000-0000E0240000}"/>
    <cellStyle name="20% - Accent6 6 3 6" xfId="15117" xr:uid="{00000000-0005-0000-0000-0000E1240000}"/>
    <cellStyle name="20% - Accent6 6 3 7" xfId="19068" xr:uid="{00000000-0005-0000-0000-0000E2240000}"/>
    <cellStyle name="20% - Accent6 6 3_Volatility" xfId="3937" xr:uid="{00000000-0005-0000-0000-0000E3240000}"/>
    <cellStyle name="20% - Accent6 6 4" xfId="3938" xr:uid="{00000000-0005-0000-0000-0000E4240000}"/>
    <cellStyle name="20% - Accent6 6 4 2" xfId="3939" xr:uid="{00000000-0005-0000-0000-0000E5240000}"/>
    <cellStyle name="20% - Accent6 6 4 2 2" xfId="15127" xr:uid="{00000000-0005-0000-0000-0000E6240000}"/>
    <cellStyle name="20% - Accent6 6 4 2 3" xfId="19078" xr:uid="{00000000-0005-0000-0000-0000E7240000}"/>
    <cellStyle name="20% - Accent6 6 4 3" xfId="3940" xr:uid="{00000000-0005-0000-0000-0000E8240000}"/>
    <cellStyle name="20% - Accent6 6 4 3 2" xfId="15128" xr:uid="{00000000-0005-0000-0000-0000E9240000}"/>
    <cellStyle name="20% - Accent6 6 4 3 3" xfId="19079" xr:uid="{00000000-0005-0000-0000-0000EA240000}"/>
    <cellStyle name="20% - Accent6 6 4 4" xfId="15126" xr:uid="{00000000-0005-0000-0000-0000EB240000}"/>
    <cellStyle name="20% - Accent6 6 4 5" xfId="19077" xr:uid="{00000000-0005-0000-0000-0000EC240000}"/>
    <cellStyle name="20% - Accent6 6 5" xfId="3941" xr:uid="{00000000-0005-0000-0000-0000ED240000}"/>
    <cellStyle name="20% - Accent6 6 5 2" xfId="3942" xr:uid="{00000000-0005-0000-0000-0000EE240000}"/>
    <cellStyle name="20% - Accent6 6 5 2 2" xfId="15130" xr:uid="{00000000-0005-0000-0000-0000EF240000}"/>
    <cellStyle name="20% - Accent6 6 5 2 3" xfId="19081" xr:uid="{00000000-0005-0000-0000-0000F0240000}"/>
    <cellStyle name="20% - Accent6 6 5 3" xfId="3943" xr:uid="{00000000-0005-0000-0000-0000F1240000}"/>
    <cellStyle name="20% - Accent6 6 5 3 2" xfId="15131" xr:uid="{00000000-0005-0000-0000-0000F2240000}"/>
    <cellStyle name="20% - Accent6 6 5 3 3" xfId="19082" xr:uid="{00000000-0005-0000-0000-0000F3240000}"/>
    <cellStyle name="20% - Accent6 6 5 4" xfId="15129" xr:uid="{00000000-0005-0000-0000-0000F4240000}"/>
    <cellStyle name="20% - Accent6 6 5 5" xfId="19080" xr:uid="{00000000-0005-0000-0000-0000F5240000}"/>
    <cellStyle name="20% - Accent6 6 6" xfId="3944" xr:uid="{00000000-0005-0000-0000-0000F6240000}"/>
    <cellStyle name="20% - Accent6 6 6 2" xfId="3945" xr:uid="{00000000-0005-0000-0000-0000F7240000}"/>
    <cellStyle name="20% - Accent6 6 6 2 2" xfId="15133" xr:uid="{00000000-0005-0000-0000-0000F8240000}"/>
    <cellStyle name="20% - Accent6 6 6 2 3" xfId="19084" xr:uid="{00000000-0005-0000-0000-0000F9240000}"/>
    <cellStyle name="20% - Accent6 6 6 3" xfId="3946" xr:uid="{00000000-0005-0000-0000-0000FA240000}"/>
    <cellStyle name="20% - Accent6 6 6 3 2" xfId="15134" xr:uid="{00000000-0005-0000-0000-0000FB240000}"/>
    <cellStyle name="20% - Accent6 6 6 3 3" xfId="19085" xr:uid="{00000000-0005-0000-0000-0000FC240000}"/>
    <cellStyle name="20% - Accent6 6 6 4" xfId="15132" xr:uid="{00000000-0005-0000-0000-0000FD240000}"/>
    <cellStyle name="20% - Accent6 6 6 5" xfId="19083" xr:uid="{00000000-0005-0000-0000-0000FE240000}"/>
    <cellStyle name="20% - Accent6 6 7" xfId="3947" xr:uid="{00000000-0005-0000-0000-0000FF240000}"/>
    <cellStyle name="20% - Accent6 6 7 2" xfId="15135" xr:uid="{00000000-0005-0000-0000-000000250000}"/>
    <cellStyle name="20% - Accent6 6 7 3" xfId="19086" xr:uid="{00000000-0005-0000-0000-000001250000}"/>
    <cellStyle name="20% - Accent6 6 8" xfId="3948" xr:uid="{00000000-0005-0000-0000-000002250000}"/>
    <cellStyle name="20% - Accent6 6 8 2" xfId="15136" xr:uid="{00000000-0005-0000-0000-000003250000}"/>
    <cellStyle name="20% - Accent6 6 8 3" xfId="19087" xr:uid="{00000000-0005-0000-0000-000004250000}"/>
    <cellStyle name="20% - Accent6 6 9" xfId="15104" xr:uid="{00000000-0005-0000-0000-000005250000}"/>
    <cellStyle name="20% - Accent6 6_Volatility" xfId="3949" xr:uid="{00000000-0005-0000-0000-000006250000}"/>
    <cellStyle name="20% - Accent6 7" xfId="3950" xr:uid="{00000000-0005-0000-0000-000007250000}"/>
    <cellStyle name="20% - Accent6 7 10" xfId="19088" xr:uid="{00000000-0005-0000-0000-000008250000}"/>
    <cellStyle name="20% - Accent6 7 2" xfId="3951" xr:uid="{00000000-0005-0000-0000-000009250000}"/>
    <cellStyle name="20% - Accent6 7 2 2" xfId="3952" xr:uid="{00000000-0005-0000-0000-00000A250000}"/>
    <cellStyle name="20% - Accent6 7 2 2 2" xfId="3953" xr:uid="{00000000-0005-0000-0000-00000B250000}"/>
    <cellStyle name="20% - Accent6 7 2 2 2 2" xfId="15140" xr:uid="{00000000-0005-0000-0000-00000C250000}"/>
    <cellStyle name="20% - Accent6 7 2 2 2 3" xfId="19091" xr:uid="{00000000-0005-0000-0000-00000D250000}"/>
    <cellStyle name="20% - Accent6 7 2 2 3" xfId="3954" xr:uid="{00000000-0005-0000-0000-00000E250000}"/>
    <cellStyle name="20% - Accent6 7 2 2 3 2" xfId="15141" xr:uid="{00000000-0005-0000-0000-00000F250000}"/>
    <cellStyle name="20% - Accent6 7 2 2 3 3" xfId="19092" xr:uid="{00000000-0005-0000-0000-000010250000}"/>
    <cellStyle name="20% - Accent6 7 2 2 4" xfId="15139" xr:uid="{00000000-0005-0000-0000-000011250000}"/>
    <cellStyle name="20% - Accent6 7 2 2 5" xfId="19090" xr:uid="{00000000-0005-0000-0000-000012250000}"/>
    <cellStyle name="20% - Accent6 7 2 3" xfId="3955" xr:uid="{00000000-0005-0000-0000-000013250000}"/>
    <cellStyle name="20% - Accent6 7 2 3 2" xfId="3956" xr:uid="{00000000-0005-0000-0000-000014250000}"/>
    <cellStyle name="20% - Accent6 7 2 3 2 2" xfId="15143" xr:uid="{00000000-0005-0000-0000-000015250000}"/>
    <cellStyle name="20% - Accent6 7 2 3 2 3" xfId="19094" xr:uid="{00000000-0005-0000-0000-000016250000}"/>
    <cellStyle name="20% - Accent6 7 2 3 3" xfId="3957" xr:uid="{00000000-0005-0000-0000-000017250000}"/>
    <cellStyle name="20% - Accent6 7 2 3 3 2" xfId="15144" xr:uid="{00000000-0005-0000-0000-000018250000}"/>
    <cellStyle name="20% - Accent6 7 2 3 3 3" xfId="19095" xr:uid="{00000000-0005-0000-0000-000019250000}"/>
    <cellStyle name="20% - Accent6 7 2 3 4" xfId="15142" xr:uid="{00000000-0005-0000-0000-00001A250000}"/>
    <cellStyle name="20% - Accent6 7 2 3 5" xfId="19093" xr:uid="{00000000-0005-0000-0000-00001B250000}"/>
    <cellStyle name="20% - Accent6 7 2 4" xfId="3958" xr:uid="{00000000-0005-0000-0000-00001C250000}"/>
    <cellStyle name="20% - Accent6 7 2 4 2" xfId="3959" xr:uid="{00000000-0005-0000-0000-00001D250000}"/>
    <cellStyle name="20% - Accent6 7 2 4 2 2" xfId="15146" xr:uid="{00000000-0005-0000-0000-00001E250000}"/>
    <cellStyle name="20% - Accent6 7 2 4 2 3" xfId="19097" xr:uid="{00000000-0005-0000-0000-00001F250000}"/>
    <cellStyle name="20% - Accent6 7 2 4 3" xfId="3960" xr:uid="{00000000-0005-0000-0000-000020250000}"/>
    <cellStyle name="20% - Accent6 7 2 4 3 2" xfId="15147" xr:uid="{00000000-0005-0000-0000-000021250000}"/>
    <cellStyle name="20% - Accent6 7 2 4 3 3" xfId="19098" xr:uid="{00000000-0005-0000-0000-000022250000}"/>
    <cellStyle name="20% - Accent6 7 2 4 4" xfId="15145" xr:uid="{00000000-0005-0000-0000-000023250000}"/>
    <cellStyle name="20% - Accent6 7 2 4 5" xfId="19096" xr:uid="{00000000-0005-0000-0000-000024250000}"/>
    <cellStyle name="20% - Accent6 7 2 5" xfId="3961" xr:uid="{00000000-0005-0000-0000-000025250000}"/>
    <cellStyle name="20% - Accent6 7 2 5 2" xfId="15148" xr:uid="{00000000-0005-0000-0000-000026250000}"/>
    <cellStyle name="20% - Accent6 7 2 5 3" xfId="19099" xr:uid="{00000000-0005-0000-0000-000027250000}"/>
    <cellStyle name="20% - Accent6 7 2 6" xfId="3962" xr:uid="{00000000-0005-0000-0000-000028250000}"/>
    <cellStyle name="20% - Accent6 7 2 6 2" xfId="15149" xr:uid="{00000000-0005-0000-0000-000029250000}"/>
    <cellStyle name="20% - Accent6 7 2 6 3" xfId="19100" xr:uid="{00000000-0005-0000-0000-00002A250000}"/>
    <cellStyle name="20% - Accent6 7 2 7" xfId="15138" xr:uid="{00000000-0005-0000-0000-00002B250000}"/>
    <cellStyle name="20% - Accent6 7 2 8" xfId="19089" xr:uid="{00000000-0005-0000-0000-00002C250000}"/>
    <cellStyle name="20% - Accent6 7 2_Volatility" xfId="3963" xr:uid="{00000000-0005-0000-0000-00002D250000}"/>
    <cellStyle name="20% - Accent6 7 3" xfId="3964" xr:uid="{00000000-0005-0000-0000-00002E250000}"/>
    <cellStyle name="20% - Accent6 7 3 2" xfId="3965" xr:uid="{00000000-0005-0000-0000-00002F250000}"/>
    <cellStyle name="20% - Accent6 7 3 2 2" xfId="3966" xr:uid="{00000000-0005-0000-0000-000030250000}"/>
    <cellStyle name="20% - Accent6 7 3 2 2 2" xfId="15152" xr:uid="{00000000-0005-0000-0000-000031250000}"/>
    <cellStyle name="20% - Accent6 7 3 2 2 3" xfId="19103" xr:uid="{00000000-0005-0000-0000-000032250000}"/>
    <cellStyle name="20% - Accent6 7 3 2 3" xfId="3967" xr:uid="{00000000-0005-0000-0000-000033250000}"/>
    <cellStyle name="20% - Accent6 7 3 2 3 2" xfId="15153" xr:uid="{00000000-0005-0000-0000-000034250000}"/>
    <cellStyle name="20% - Accent6 7 3 2 3 3" xfId="19104" xr:uid="{00000000-0005-0000-0000-000035250000}"/>
    <cellStyle name="20% - Accent6 7 3 2 4" xfId="15151" xr:uid="{00000000-0005-0000-0000-000036250000}"/>
    <cellStyle name="20% - Accent6 7 3 2 5" xfId="19102" xr:uid="{00000000-0005-0000-0000-000037250000}"/>
    <cellStyle name="20% - Accent6 7 3 3" xfId="3968" xr:uid="{00000000-0005-0000-0000-000038250000}"/>
    <cellStyle name="20% - Accent6 7 3 3 2" xfId="3969" xr:uid="{00000000-0005-0000-0000-000039250000}"/>
    <cellStyle name="20% - Accent6 7 3 3 2 2" xfId="15155" xr:uid="{00000000-0005-0000-0000-00003A250000}"/>
    <cellStyle name="20% - Accent6 7 3 3 2 3" xfId="19106" xr:uid="{00000000-0005-0000-0000-00003B250000}"/>
    <cellStyle name="20% - Accent6 7 3 3 3" xfId="3970" xr:uid="{00000000-0005-0000-0000-00003C250000}"/>
    <cellStyle name="20% - Accent6 7 3 3 3 2" xfId="15156" xr:uid="{00000000-0005-0000-0000-00003D250000}"/>
    <cellStyle name="20% - Accent6 7 3 3 3 3" xfId="19107" xr:uid="{00000000-0005-0000-0000-00003E250000}"/>
    <cellStyle name="20% - Accent6 7 3 3 4" xfId="15154" xr:uid="{00000000-0005-0000-0000-00003F250000}"/>
    <cellStyle name="20% - Accent6 7 3 3 5" xfId="19105" xr:uid="{00000000-0005-0000-0000-000040250000}"/>
    <cellStyle name="20% - Accent6 7 3 4" xfId="3971" xr:uid="{00000000-0005-0000-0000-000041250000}"/>
    <cellStyle name="20% - Accent6 7 3 4 2" xfId="15157" xr:uid="{00000000-0005-0000-0000-000042250000}"/>
    <cellStyle name="20% - Accent6 7 3 4 3" xfId="19108" xr:uid="{00000000-0005-0000-0000-000043250000}"/>
    <cellStyle name="20% - Accent6 7 3 5" xfId="3972" xr:uid="{00000000-0005-0000-0000-000044250000}"/>
    <cellStyle name="20% - Accent6 7 3 5 2" xfId="15158" xr:uid="{00000000-0005-0000-0000-000045250000}"/>
    <cellStyle name="20% - Accent6 7 3 5 3" xfId="19109" xr:uid="{00000000-0005-0000-0000-000046250000}"/>
    <cellStyle name="20% - Accent6 7 3 6" xfId="15150" xr:uid="{00000000-0005-0000-0000-000047250000}"/>
    <cellStyle name="20% - Accent6 7 3 7" xfId="19101" xr:uid="{00000000-0005-0000-0000-000048250000}"/>
    <cellStyle name="20% - Accent6 7 3_Volatility" xfId="3973" xr:uid="{00000000-0005-0000-0000-000049250000}"/>
    <cellStyle name="20% - Accent6 7 4" xfId="3974" xr:uid="{00000000-0005-0000-0000-00004A250000}"/>
    <cellStyle name="20% - Accent6 7 4 2" xfId="3975" xr:uid="{00000000-0005-0000-0000-00004B250000}"/>
    <cellStyle name="20% - Accent6 7 4 2 2" xfId="15160" xr:uid="{00000000-0005-0000-0000-00004C250000}"/>
    <cellStyle name="20% - Accent6 7 4 2 3" xfId="19111" xr:uid="{00000000-0005-0000-0000-00004D250000}"/>
    <cellStyle name="20% - Accent6 7 4 3" xfId="3976" xr:uid="{00000000-0005-0000-0000-00004E250000}"/>
    <cellStyle name="20% - Accent6 7 4 3 2" xfId="15161" xr:uid="{00000000-0005-0000-0000-00004F250000}"/>
    <cellStyle name="20% - Accent6 7 4 3 3" xfId="19112" xr:uid="{00000000-0005-0000-0000-000050250000}"/>
    <cellStyle name="20% - Accent6 7 4 4" xfId="15159" xr:uid="{00000000-0005-0000-0000-000051250000}"/>
    <cellStyle name="20% - Accent6 7 4 5" xfId="19110" xr:uid="{00000000-0005-0000-0000-000052250000}"/>
    <cellStyle name="20% - Accent6 7 5" xfId="3977" xr:uid="{00000000-0005-0000-0000-000053250000}"/>
    <cellStyle name="20% - Accent6 7 5 2" xfId="3978" xr:uid="{00000000-0005-0000-0000-000054250000}"/>
    <cellStyle name="20% - Accent6 7 5 2 2" xfId="15163" xr:uid="{00000000-0005-0000-0000-000055250000}"/>
    <cellStyle name="20% - Accent6 7 5 2 3" xfId="19114" xr:uid="{00000000-0005-0000-0000-000056250000}"/>
    <cellStyle name="20% - Accent6 7 5 3" xfId="3979" xr:uid="{00000000-0005-0000-0000-000057250000}"/>
    <cellStyle name="20% - Accent6 7 5 3 2" xfId="15164" xr:uid="{00000000-0005-0000-0000-000058250000}"/>
    <cellStyle name="20% - Accent6 7 5 3 3" xfId="19115" xr:uid="{00000000-0005-0000-0000-000059250000}"/>
    <cellStyle name="20% - Accent6 7 5 4" xfId="15162" xr:uid="{00000000-0005-0000-0000-00005A250000}"/>
    <cellStyle name="20% - Accent6 7 5 5" xfId="19113" xr:uid="{00000000-0005-0000-0000-00005B250000}"/>
    <cellStyle name="20% - Accent6 7 6" xfId="3980" xr:uid="{00000000-0005-0000-0000-00005C250000}"/>
    <cellStyle name="20% - Accent6 7 6 2" xfId="3981" xr:uid="{00000000-0005-0000-0000-00005D250000}"/>
    <cellStyle name="20% - Accent6 7 6 2 2" xfId="15166" xr:uid="{00000000-0005-0000-0000-00005E250000}"/>
    <cellStyle name="20% - Accent6 7 6 2 3" xfId="19117" xr:uid="{00000000-0005-0000-0000-00005F250000}"/>
    <cellStyle name="20% - Accent6 7 6 3" xfId="3982" xr:uid="{00000000-0005-0000-0000-000060250000}"/>
    <cellStyle name="20% - Accent6 7 6 3 2" xfId="15167" xr:uid="{00000000-0005-0000-0000-000061250000}"/>
    <cellStyle name="20% - Accent6 7 6 3 3" xfId="19118" xr:uid="{00000000-0005-0000-0000-000062250000}"/>
    <cellStyle name="20% - Accent6 7 6 4" xfId="15165" xr:uid="{00000000-0005-0000-0000-000063250000}"/>
    <cellStyle name="20% - Accent6 7 6 5" xfId="19116" xr:uid="{00000000-0005-0000-0000-000064250000}"/>
    <cellStyle name="20% - Accent6 7 7" xfId="3983" xr:uid="{00000000-0005-0000-0000-000065250000}"/>
    <cellStyle name="20% - Accent6 7 7 2" xfId="15168" xr:uid="{00000000-0005-0000-0000-000066250000}"/>
    <cellStyle name="20% - Accent6 7 7 3" xfId="19119" xr:uid="{00000000-0005-0000-0000-000067250000}"/>
    <cellStyle name="20% - Accent6 7 8" xfId="3984" xr:uid="{00000000-0005-0000-0000-000068250000}"/>
    <cellStyle name="20% - Accent6 7 8 2" xfId="15169" xr:uid="{00000000-0005-0000-0000-000069250000}"/>
    <cellStyle name="20% - Accent6 7 8 3" xfId="19120" xr:uid="{00000000-0005-0000-0000-00006A250000}"/>
    <cellStyle name="20% - Accent6 7 9" xfId="15137" xr:uid="{00000000-0005-0000-0000-00006B250000}"/>
    <cellStyle name="20% - Accent6 7_Volatility" xfId="3985" xr:uid="{00000000-0005-0000-0000-00006C250000}"/>
    <cellStyle name="20% - Accent6 8" xfId="3986" xr:uid="{00000000-0005-0000-0000-00006D250000}"/>
    <cellStyle name="20% - Accent6 8 10" xfId="19121" xr:uid="{00000000-0005-0000-0000-00006E250000}"/>
    <cellStyle name="20% - Accent6 8 2" xfId="3987" xr:uid="{00000000-0005-0000-0000-00006F250000}"/>
    <cellStyle name="20% - Accent6 8 2 2" xfId="3988" xr:uid="{00000000-0005-0000-0000-000070250000}"/>
    <cellStyle name="20% - Accent6 8 2 2 2" xfId="3989" xr:uid="{00000000-0005-0000-0000-000071250000}"/>
    <cellStyle name="20% - Accent6 8 2 2 2 2" xfId="15173" xr:uid="{00000000-0005-0000-0000-000072250000}"/>
    <cellStyle name="20% - Accent6 8 2 2 2 3" xfId="19124" xr:uid="{00000000-0005-0000-0000-000073250000}"/>
    <cellStyle name="20% - Accent6 8 2 2 3" xfId="3990" xr:uid="{00000000-0005-0000-0000-000074250000}"/>
    <cellStyle name="20% - Accent6 8 2 2 3 2" xfId="15174" xr:uid="{00000000-0005-0000-0000-000075250000}"/>
    <cellStyle name="20% - Accent6 8 2 2 3 3" xfId="19125" xr:uid="{00000000-0005-0000-0000-000076250000}"/>
    <cellStyle name="20% - Accent6 8 2 2 4" xfId="15172" xr:uid="{00000000-0005-0000-0000-000077250000}"/>
    <cellStyle name="20% - Accent6 8 2 2 5" xfId="19123" xr:uid="{00000000-0005-0000-0000-000078250000}"/>
    <cellStyle name="20% - Accent6 8 2 3" xfId="3991" xr:uid="{00000000-0005-0000-0000-000079250000}"/>
    <cellStyle name="20% - Accent6 8 2 3 2" xfId="3992" xr:uid="{00000000-0005-0000-0000-00007A250000}"/>
    <cellStyle name="20% - Accent6 8 2 3 2 2" xfId="15176" xr:uid="{00000000-0005-0000-0000-00007B250000}"/>
    <cellStyle name="20% - Accent6 8 2 3 2 3" xfId="19127" xr:uid="{00000000-0005-0000-0000-00007C250000}"/>
    <cellStyle name="20% - Accent6 8 2 3 3" xfId="3993" xr:uid="{00000000-0005-0000-0000-00007D250000}"/>
    <cellStyle name="20% - Accent6 8 2 3 3 2" xfId="15177" xr:uid="{00000000-0005-0000-0000-00007E250000}"/>
    <cellStyle name="20% - Accent6 8 2 3 3 3" xfId="19128" xr:uid="{00000000-0005-0000-0000-00007F250000}"/>
    <cellStyle name="20% - Accent6 8 2 3 4" xfId="15175" xr:uid="{00000000-0005-0000-0000-000080250000}"/>
    <cellStyle name="20% - Accent6 8 2 3 5" xfId="19126" xr:uid="{00000000-0005-0000-0000-000081250000}"/>
    <cellStyle name="20% - Accent6 8 2 4" xfId="3994" xr:uid="{00000000-0005-0000-0000-000082250000}"/>
    <cellStyle name="20% - Accent6 8 2 4 2" xfId="3995" xr:uid="{00000000-0005-0000-0000-000083250000}"/>
    <cellStyle name="20% - Accent6 8 2 4 2 2" xfId="15179" xr:uid="{00000000-0005-0000-0000-000084250000}"/>
    <cellStyle name="20% - Accent6 8 2 4 2 3" xfId="19130" xr:uid="{00000000-0005-0000-0000-000085250000}"/>
    <cellStyle name="20% - Accent6 8 2 4 3" xfId="3996" xr:uid="{00000000-0005-0000-0000-000086250000}"/>
    <cellStyle name="20% - Accent6 8 2 4 3 2" xfId="15180" xr:uid="{00000000-0005-0000-0000-000087250000}"/>
    <cellStyle name="20% - Accent6 8 2 4 3 3" xfId="19131" xr:uid="{00000000-0005-0000-0000-000088250000}"/>
    <cellStyle name="20% - Accent6 8 2 4 4" xfId="15178" xr:uid="{00000000-0005-0000-0000-000089250000}"/>
    <cellStyle name="20% - Accent6 8 2 4 5" xfId="19129" xr:uid="{00000000-0005-0000-0000-00008A250000}"/>
    <cellStyle name="20% - Accent6 8 2 5" xfId="3997" xr:uid="{00000000-0005-0000-0000-00008B250000}"/>
    <cellStyle name="20% - Accent6 8 2 5 2" xfId="15181" xr:uid="{00000000-0005-0000-0000-00008C250000}"/>
    <cellStyle name="20% - Accent6 8 2 5 3" xfId="19132" xr:uid="{00000000-0005-0000-0000-00008D250000}"/>
    <cellStyle name="20% - Accent6 8 2 6" xfId="3998" xr:uid="{00000000-0005-0000-0000-00008E250000}"/>
    <cellStyle name="20% - Accent6 8 2 6 2" xfId="15182" xr:uid="{00000000-0005-0000-0000-00008F250000}"/>
    <cellStyle name="20% - Accent6 8 2 6 3" xfId="19133" xr:uid="{00000000-0005-0000-0000-000090250000}"/>
    <cellStyle name="20% - Accent6 8 2 7" xfId="15171" xr:uid="{00000000-0005-0000-0000-000091250000}"/>
    <cellStyle name="20% - Accent6 8 2 8" xfId="19122" xr:uid="{00000000-0005-0000-0000-000092250000}"/>
    <cellStyle name="20% - Accent6 8 2_Volatility" xfId="3999" xr:uid="{00000000-0005-0000-0000-000093250000}"/>
    <cellStyle name="20% - Accent6 8 3" xfId="4000" xr:uid="{00000000-0005-0000-0000-000094250000}"/>
    <cellStyle name="20% - Accent6 8 3 2" xfId="4001" xr:uid="{00000000-0005-0000-0000-000095250000}"/>
    <cellStyle name="20% - Accent6 8 3 2 2" xfId="4002" xr:uid="{00000000-0005-0000-0000-000096250000}"/>
    <cellStyle name="20% - Accent6 8 3 2 2 2" xfId="15185" xr:uid="{00000000-0005-0000-0000-000097250000}"/>
    <cellStyle name="20% - Accent6 8 3 2 2 3" xfId="19136" xr:uid="{00000000-0005-0000-0000-000098250000}"/>
    <cellStyle name="20% - Accent6 8 3 2 3" xfId="4003" xr:uid="{00000000-0005-0000-0000-000099250000}"/>
    <cellStyle name="20% - Accent6 8 3 2 3 2" xfId="15186" xr:uid="{00000000-0005-0000-0000-00009A250000}"/>
    <cellStyle name="20% - Accent6 8 3 2 3 3" xfId="19137" xr:uid="{00000000-0005-0000-0000-00009B250000}"/>
    <cellStyle name="20% - Accent6 8 3 2 4" xfId="15184" xr:uid="{00000000-0005-0000-0000-00009C250000}"/>
    <cellStyle name="20% - Accent6 8 3 2 5" xfId="19135" xr:uid="{00000000-0005-0000-0000-00009D250000}"/>
    <cellStyle name="20% - Accent6 8 3 3" xfId="4004" xr:uid="{00000000-0005-0000-0000-00009E250000}"/>
    <cellStyle name="20% - Accent6 8 3 3 2" xfId="4005" xr:uid="{00000000-0005-0000-0000-00009F250000}"/>
    <cellStyle name="20% - Accent6 8 3 3 2 2" xfId="15188" xr:uid="{00000000-0005-0000-0000-0000A0250000}"/>
    <cellStyle name="20% - Accent6 8 3 3 2 3" xfId="19139" xr:uid="{00000000-0005-0000-0000-0000A1250000}"/>
    <cellStyle name="20% - Accent6 8 3 3 3" xfId="4006" xr:uid="{00000000-0005-0000-0000-0000A2250000}"/>
    <cellStyle name="20% - Accent6 8 3 3 3 2" xfId="15189" xr:uid="{00000000-0005-0000-0000-0000A3250000}"/>
    <cellStyle name="20% - Accent6 8 3 3 3 3" xfId="19140" xr:uid="{00000000-0005-0000-0000-0000A4250000}"/>
    <cellStyle name="20% - Accent6 8 3 3 4" xfId="15187" xr:uid="{00000000-0005-0000-0000-0000A5250000}"/>
    <cellStyle name="20% - Accent6 8 3 3 5" xfId="19138" xr:uid="{00000000-0005-0000-0000-0000A6250000}"/>
    <cellStyle name="20% - Accent6 8 3 4" xfId="4007" xr:uid="{00000000-0005-0000-0000-0000A7250000}"/>
    <cellStyle name="20% - Accent6 8 3 4 2" xfId="15190" xr:uid="{00000000-0005-0000-0000-0000A8250000}"/>
    <cellStyle name="20% - Accent6 8 3 4 3" xfId="19141" xr:uid="{00000000-0005-0000-0000-0000A9250000}"/>
    <cellStyle name="20% - Accent6 8 3 5" xfId="4008" xr:uid="{00000000-0005-0000-0000-0000AA250000}"/>
    <cellStyle name="20% - Accent6 8 3 5 2" xfId="15191" xr:uid="{00000000-0005-0000-0000-0000AB250000}"/>
    <cellStyle name="20% - Accent6 8 3 5 3" xfId="19142" xr:uid="{00000000-0005-0000-0000-0000AC250000}"/>
    <cellStyle name="20% - Accent6 8 3 6" xfId="15183" xr:uid="{00000000-0005-0000-0000-0000AD250000}"/>
    <cellStyle name="20% - Accent6 8 3 7" xfId="19134" xr:uid="{00000000-0005-0000-0000-0000AE250000}"/>
    <cellStyle name="20% - Accent6 8 3_Volatility" xfId="4009" xr:uid="{00000000-0005-0000-0000-0000AF250000}"/>
    <cellStyle name="20% - Accent6 8 4" xfId="4010" xr:uid="{00000000-0005-0000-0000-0000B0250000}"/>
    <cellStyle name="20% - Accent6 8 4 2" xfId="4011" xr:uid="{00000000-0005-0000-0000-0000B1250000}"/>
    <cellStyle name="20% - Accent6 8 4 2 2" xfId="15193" xr:uid="{00000000-0005-0000-0000-0000B2250000}"/>
    <cellStyle name="20% - Accent6 8 4 2 3" xfId="19144" xr:uid="{00000000-0005-0000-0000-0000B3250000}"/>
    <cellStyle name="20% - Accent6 8 4 3" xfId="4012" xr:uid="{00000000-0005-0000-0000-0000B4250000}"/>
    <cellStyle name="20% - Accent6 8 4 3 2" xfId="15194" xr:uid="{00000000-0005-0000-0000-0000B5250000}"/>
    <cellStyle name="20% - Accent6 8 4 3 3" xfId="19145" xr:uid="{00000000-0005-0000-0000-0000B6250000}"/>
    <cellStyle name="20% - Accent6 8 4 4" xfId="15192" xr:uid="{00000000-0005-0000-0000-0000B7250000}"/>
    <cellStyle name="20% - Accent6 8 4 5" xfId="19143" xr:uid="{00000000-0005-0000-0000-0000B8250000}"/>
    <cellStyle name="20% - Accent6 8 5" xfId="4013" xr:uid="{00000000-0005-0000-0000-0000B9250000}"/>
    <cellStyle name="20% - Accent6 8 5 2" xfId="4014" xr:uid="{00000000-0005-0000-0000-0000BA250000}"/>
    <cellStyle name="20% - Accent6 8 5 2 2" xfId="15196" xr:uid="{00000000-0005-0000-0000-0000BB250000}"/>
    <cellStyle name="20% - Accent6 8 5 2 3" xfId="19147" xr:uid="{00000000-0005-0000-0000-0000BC250000}"/>
    <cellStyle name="20% - Accent6 8 5 3" xfId="4015" xr:uid="{00000000-0005-0000-0000-0000BD250000}"/>
    <cellStyle name="20% - Accent6 8 5 3 2" xfId="15197" xr:uid="{00000000-0005-0000-0000-0000BE250000}"/>
    <cellStyle name="20% - Accent6 8 5 3 3" xfId="19148" xr:uid="{00000000-0005-0000-0000-0000BF250000}"/>
    <cellStyle name="20% - Accent6 8 5 4" xfId="15195" xr:uid="{00000000-0005-0000-0000-0000C0250000}"/>
    <cellStyle name="20% - Accent6 8 5 5" xfId="19146" xr:uid="{00000000-0005-0000-0000-0000C1250000}"/>
    <cellStyle name="20% - Accent6 8 6" xfId="4016" xr:uid="{00000000-0005-0000-0000-0000C2250000}"/>
    <cellStyle name="20% - Accent6 8 6 2" xfId="4017" xr:uid="{00000000-0005-0000-0000-0000C3250000}"/>
    <cellStyle name="20% - Accent6 8 6 2 2" xfId="15199" xr:uid="{00000000-0005-0000-0000-0000C4250000}"/>
    <cellStyle name="20% - Accent6 8 6 2 3" xfId="19150" xr:uid="{00000000-0005-0000-0000-0000C5250000}"/>
    <cellStyle name="20% - Accent6 8 6 3" xfId="4018" xr:uid="{00000000-0005-0000-0000-0000C6250000}"/>
    <cellStyle name="20% - Accent6 8 6 3 2" xfId="15200" xr:uid="{00000000-0005-0000-0000-0000C7250000}"/>
    <cellStyle name="20% - Accent6 8 6 3 3" xfId="19151" xr:uid="{00000000-0005-0000-0000-0000C8250000}"/>
    <cellStyle name="20% - Accent6 8 6 4" xfId="15198" xr:uid="{00000000-0005-0000-0000-0000C9250000}"/>
    <cellStyle name="20% - Accent6 8 6 5" xfId="19149" xr:uid="{00000000-0005-0000-0000-0000CA250000}"/>
    <cellStyle name="20% - Accent6 8 7" xfId="4019" xr:uid="{00000000-0005-0000-0000-0000CB250000}"/>
    <cellStyle name="20% - Accent6 8 7 2" xfId="15201" xr:uid="{00000000-0005-0000-0000-0000CC250000}"/>
    <cellStyle name="20% - Accent6 8 7 3" xfId="19152" xr:uid="{00000000-0005-0000-0000-0000CD250000}"/>
    <cellStyle name="20% - Accent6 8 8" xfId="4020" xr:uid="{00000000-0005-0000-0000-0000CE250000}"/>
    <cellStyle name="20% - Accent6 8 8 2" xfId="15202" xr:uid="{00000000-0005-0000-0000-0000CF250000}"/>
    <cellStyle name="20% - Accent6 8 8 3" xfId="19153" xr:uid="{00000000-0005-0000-0000-0000D0250000}"/>
    <cellStyle name="20% - Accent6 8 9" xfId="15170" xr:uid="{00000000-0005-0000-0000-0000D1250000}"/>
    <cellStyle name="20% - Accent6 8_Volatility" xfId="4021" xr:uid="{00000000-0005-0000-0000-0000D2250000}"/>
    <cellStyle name="20% - Accent6 9" xfId="4022" xr:uid="{00000000-0005-0000-0000-0000D3250000}"/>
    <cellStyle name="20% - Accent6 9 10" xfId="19154" xr:uid="{00000000-0005-0000-0000-0000D4250000}"/>
    <cellStyle name="20% - Accent6 9 2" xfId="4023" xr:uid="{00000000-0005-0000-0000-0000D5250000}"/>
    <cellStyle name="20% - Accent6 9 2 2" xfId="4024" xr:uid="{00000000-0005-0000-0000-0000D6250000}"/>
    <cellStyle name="20% - Accent6 9 2 2 2" xfId="4025" xr:uid="{00000000-0005-0000-0000-0000D7250000}"/>
    <cellStyle name="20% - Accent6 9 2 2 2 2" xfId="15206" xr:uid="{00000000-0005-0000-0000-0000D8250000}"/>
    <cellStyle name="20% - Accent6 9 2 2 2 3" xfId="19157" xr:uid="{00000000-0005-0000-0000-0000D9250000}"/>
    <cellStyle name="20% - Accent6 9 2 2 3" xfId="4026" xr:uid="{00000000-0005-0000-0000-0000DA250000}"/>
    <cellStyle name="20% - Accent6 9 2 2 3 2" xfId="15207" xr:uid="{00000000-0005-0000-0000-0000DB250000}"/>
    <cellStyle name="20% - Accent6 9 2 2 3 3" xfId="19158" xr:uid="{00000000-0005-0000-0000-0000DC250000}"/>
    <cellStyle name="20% - Accent6 9 2 2 4" xfId="15205" xr:uid="{00000000-0005-0000-0000-0000DD250000}"/>
    <cellStyle name="20% - Accent6 9 2 2 5" xfId="19156" xr:uid="{00000000-0005-0000-0000-0000DE250000}"/>
    <cellStyle name="20% - Accent6 9 2 3" xfId="4027" xr:uid="{00000000-0005-0000-0000-0000DF250000}"/>
    <cellStyle name="20% - Accent6 9 2 3 2" xfId="4028" xr:uid="{00000000-0005-0000-0000-0000E0250000}"/>
    <cellStyle name="20% - Accent6 9 2 3 2 2" xfId="15209" xr:uid="{00000000-0005-0000-0000-0000E1250000}"/>
    <cellStyle name="20% - Accent6 9 2 3 2 3" xfId="19160" xr:uid="{00000000-0005-0000-0000-0000E2250000}"/>
    <cellStyle name="20% - Accent6 9 2 3 3" xfId="4029" xr:uid="{00000000-0005-0000-0000-0000E3250000}"/>
    <cellStyle name="20% - Accent6 9 2 3 3 2" xfId="15210" xr:uid="{00000000-0005-0000-0000-0000E4250000}"/>
    <cellStyle name="20% - Accent6 9 2 3 3 3" xfId="19161" xr:uid="{00000000-0005-0000-0000-0000E5250000}"/>
    <cellStyle name="20% - Accent6 9 2 3 4" xfId="15208" xr:uid="{00000000-0005-0000-0000-0000E6250000}"/>
    <cellStyle name="20% - Accent6 9 2 3 5" xfId="19159" xr:uid="{00000000-0005-0000-0000-0000E7250000}"/>
    <cellStyle name="20% - Accent6 9 2 4" xfId="4030" xr:uid="{00000000-0005-0000-0000-0000E8250000}"/>
    <cellStyle name="20% - Accent6 9 2 4 2" xfId="4031" xr:uid="{00000000-0005-0000-0000-0000E9250000}"/>
    <cellStyle name="20% - Accent6 9 2 4 2 2" xfId="15212" xr:uid="{00000000-0005-0000-0000-0000EA250000}"/>
    <cellStyle name="20% - Accent6 9 2 4 2 3" xfId="19163" xr:uid="{00000000-0005-0000-0000-0000EB250000}"/>
    <cellStyle name="20% - Accent6 9 2 4 3" xfId="4032" xr:uid="{00000000-0005-0000-0000-0000EC250000}"/>
    <cellStyle name="20% - Accent6 9 2 4 3 2" xfId="15213" xr:uid="{00000000-0005-0000-0000-0000ED250000}"/>
    <cellStyle name="20% - Accent6 9 2 4 3 3" xfId="19164" xr:uid="{00000000-0005-0000-0000-0000EE250000}"/>
    <cellStyle name="20% - Accent6 9 2 4 4" xfId="15211" xr:uid="{00000000-0005-0000-0000-0000EF250000}"/>
    <cellStyle name="20% - Accent6 9 2 4 5" xfId="19162" xr:uid="{00000000-0005-0000-0000-0000F0250000}"/>
    <cellStyle name="20% - Accent6 9 2 5" xfId="4033" xr:uid="{00000000-0005-0000-0000-0000F1250000}"/>
    <cellStyle name="20% - Accent6 9 2 5 2" xfId="15214" xr:uid="{00000000-0005-0000-0000-0000F2250000}"/>
    <cellStyle name="20% - Accent6 9 2 5 3" xfId="19165" xr:uid="{00000000-0005-0000-0000-0000F3250000}"/>
    <cellStyle name="20% - Accent6 9 2 6" xfId="4034" xr:uid="{00000000-0005-0000-0000-0000F4250000}"/>
    <cellStyle name="20% - Accent6 9 2 6 2" xfId="15215" xr:uid="{00000000-0005-0000-0000-0000F5250000}"/>
    <cellStyle name="20% - Accent6 9 2 6 3" xfId="19166" xr:uid="{00000000-0005-0000-0000-0000F6250000}"/>
    <cellStyle name="20% - Accent6 9 2 7" xfId="15204" xr:uid="{00000000-0005-0000-0000-0000F7250000}"/>
    <cellStyle name="20% - Accent6 9 2 8" xfId="19155" xr:uid="{00000000-0005-0000-0000-0000F8250000}"/>
    <cellStyle name="20% - Accent6 9 2_Volatility" xfId="4035" xr:uid="{00000000-0005-0000-0000-0000F9250000}"/>
    <cellStyle name="20% - Accent6 9 3" xfId="4036" xr:uid="{00000000-0005-0000-0000-0000FA250000}"/>
    <cellStyle name="20% - Accent6 9 3 2" xfId="4037" xr:uid="{00000000-0005-0000-0000-0000FB250000}"/>
    <cellStyle name="20% - Accent6 9 3 2 2" xfId="4038" xr:uid="{00000000-0005-0000-0000-0000FC250000}"/>
    <cellStyle name="20% - Accent6 9 3 2 2 2" xfId="15218" xr:uid="{00000000-0005-0000-0000-0000FD250000}"/>
    <cellStyle name="20% - Accent6 9 3 2 2 3" xfId="19169" xr:uid="{00000000-0005-0000-0000-0000FE250000}"/>
    <cellStyle name="20% - Accent6 9 3 2 3" xfId="4039" xr:uid="{00000000-0005-0000-0000-0000FF250000}"/>
    <cellStyle name="20% - Accent6 9 3 2 3 2" xfId="15219" xr:uid="{00000000-0005-0000-0000-000000260000}"/>
    <cellStyle name="20% - Accent6 9 3 2 3 3" xfId="19170" xr:uid="{00000000-0005-0000-0000-000001260000}"/>
    <cellStyle name="20% - Accent6 9 3 2 4" xfId="15217" xr:uid="{00000000-0005-0000-0000-000002260000}"/>
    <cellStyle name="20% - Accent6 9 3 2 5" xfId="19168" xr:uid="{00000000-0005-0000-0000-000003260000}"/>
    <cellStyle name="20% - Accent6 9 3 3" xfId="4040" xr:uid="{00000000-0005-0000-0000-000004260000}"/>
    <cellStyle name="20% - Accent6 9 3 3 2" xfId="4041" xr:uid="{00000000-0005-0000-0000-000005260000}"/>
    <cellStyle name="20% - Accent6 9 3 3 2 2" xfId="15221" xr:uid="{00000000-0005-0000-0000-000006260000}"/>
    <cellStyle name="20% - Accent6 9 3 3 2 3" xfId="19172" xr:uid="{00000000-0005-0000-0000-000007260000}"/>
    <cellStyle name="20% - Accent6 9 3 3 3" xfId="4042" xr:uid="{00000000-0005-0000-0000-000008260000}"/>
    <cellStyle name="20% - Accent6 9 3 3 3 2" xfId="15222" xr:uid="{00000000-0005-0000-0000-000009260000}"/>
    <cellStyle name="20% - Accent6 9 3 3 3 3" xfId="19173" xr:uid="{00000000-0005-0000-0000-00000A260000}"/>
    <cellStyle name="20% - Accent6 9 3 3 4" xfId="15220" xr:uid="{00000000-0005-0000-0000-00000B260000}"/>
    <cellStyle name="20% - Accent6 9 3 3 5" xfId="19171" xr:uid="{00000000-0005-0000-0000-00000C260000}"/>
    <cellStyle name="20% - Accent6 9 3 4" xfId="4043" xr:uid="{00000000-0005-0000-0000-00000D260000}"/>
    <cellStyle name="20% - Accent6 9 3 4 2" xfId="15223" xr:uid="{00000000-0005-0000-0000-00000E260000}"/>
    <cellStyle name="20% - Accent6 9 3 4 3" xfId="19174" xr:uid="{00000000-0005-0000-0000-00000F260000}"/>
    <cellStyle name="20% - Accent6 9 3 5" xfId="4044" xr:uid="{00000000-0005-0000-0000-000010260000}"/>
    <cellStyle name="20% - Accent6 9 3 5 2" xfId="15224" xr:uid="{00000000-0005-0000-0000-000011260000}"/>
    <cellStyle name="20% - Accent6 9 3 5 3" xfId="19175" xr:uid="{00000000-0005-0000-0000-000012260000}"/>
    <cellStyle name="20% - Accent6 9 3 6" xfId="15216" xr:uid="{00000000-0005-0000-0000-000013260000}"/>
    <cellStyle name="20% - Accent6 9 3 7" xfId="19167" xr:uid="{00000000-0005-0000-0000-000014260000}"/>
    <cellStyle name="20% - Accent6 9 3_Volatility" xfId="4045" xr:uid="{00000000-0005-0000-0000-000015260000}"/>
    <cellStyle name="20% - Accent6 9 4" xfId="4046" xr:uid="{00000000-0005-0000-0000-000016260000}"/>
    <cellStyle name="20% - Accent6 9 4 2" xfId="4047" xr:uid="{00000000-0005-0000-0000-000017260000}"/>
    <cellStyle name="20% - Accent6 9 4 2 2" xfId="15226" xr:uid="{00000000-0005-0000-0000-000018260000}"/>
    <cellStyle name="20% - Accent6 9 4 2 3" xfId="19177" xr:uid="{00000000-0005-0000-0000-000019260000}"/>
    <cellStyle name="20% - Accent6 9 4 3" xfId="4048" xr:uid="{00000000-0005-0000-0000-00001A260000}"/>
    <cellStyle name="20% - Accent6 9 4 3 2" xfId="15227" xr:uid="{00000000-0005-0000-0000-00001B260000}"/>
    <cellStyle name="20% - Accent6 9 4 3 3" xfId="19178" xr:uid="{00000000-0005-0000-0000-00001C260000}"/>
    <cellStyle name="20% - Accent6 9 4 4" xfId="15225" xr:uid="{00000000-0005-0000-0000-00001D260000}"/>
    <cellStyle name="20% - Accent6 9 4 5" xfId="19176" xr:uid="{00000000-0005-0000-0000-00001E260000}"/>
    <cellStyle name="20% - Accent6 9 5" xfId="4049" xr:uid="{00000000-0005-0000-0000-00001F260000}"/>
    <cellStyle name="20% - Accent6 9 5 2" xfId="4050" xr:uid="{00000000-0005-0000-0000-000020260000}"/>
    <cellStyle name="20% - Accent6 9 5 2 2" xfId="15229" xr:uid="{00000000-0005-0000-0000-000021260000}"/>
    <cellStyle name="20% - Accent6 9 5 2 3" xfId="19180" xr:uid="{00000000-0005-0000-0000-000022260000}"/>
    <cellStyle name="20% - Accent6 9 5 3" xfId="4051" xr:uid="{00000000-0005-0000-0000-000023260000}"/>
    <cellStyle name="20% - Accent6 9 5 3 2" xfId="15230" xr:uid="{00000000-0005-0000-0000-000024260000}"/>
    <cellStyle name="20% - Accent6 9 5 3 3" xfId="19181" xr:uid="{00000000-0005-0000-0000-000025260000}"/>
    <cellStyle name="20% - Accent6 9 5 4" xfId="15228" xr:uid="{00000000-0005-0000-0000-000026260000}"/>
    <cellStyle name="20% - Accent6 9 5 5" xfId="19179" xr:uid="{00000000-0005-0000-0000-000027260000}"/>
    <cellStyle name="20% - Accent6 9 6" xfId="4052" xr:uid="{00000000-0005-0000-0000-000028260000}"/>
    <cellStyle name="20% - Accent6 9 6 2" xfId="4053" xr:uid="{00000000-0005-0000-0000-000029260000}"/>
    <cellStyle name="20% - Accent6 9 6 2 2" xfId="15232" xr:uid="{00000000-0005-0000-0000-00002A260000}"/>
    <cellStyle name="20% - Accent6 9 6 2 3" xfId="19183" xr:uid="{00000000-0005-0000-0000-00002B260000}"/>
    <cellStyle name="20% - Accent6 9 6 3" xfId="4054" xr:uid="{00000000-0005-0000-0000-00002C260000}"/>
    <cellStyle name="20% - Accent6 9 6 3 2" xfId="15233" xr:uid="{00000000-0005-0000-0000-00002D260000}"/>
    <cellStyle name="20% - Accent6 9 6 3 3" xfId="19184" xr:uid="{00000000-0005-0000-0000-00002E260000}"/>
    <cellStyle name="20% - Accent6 9 6 4" xfId="15231" xr:uid="{00000000-0005-0000-0000-00002F260000}"/>
    <cellStyle name="20% - Accent6 9 6 5" xfId="19182" xr:uid="{00000000-0005-0000-0000-000030260000}"/>
    <cellStyle name="20% - Accent6 9 7" xfId="4055" xr:uid="{00000000-0005-0000-0000-000031260000}"/>
    <cellStyle name="20% - Accent6 9 7 2" xfId="15234" xr:uid="{00000000-0005-0000-0000-000032260000}"/>
    <cellStyle name="20% - Accent6 9 7 3" xfId="19185" xr:uid="{00000000-0005-0000-0000-000033260000}"/>
    <cellStyle name="20% - Accent6 9 8" xfId="4056" xr:uid="{00000000-0005-0000-0000-000034260000}"/>
    <cellStyle name="20% - Accent6 9 8 2" xfId="15235" xr:uid="{00000000-0005-0000-0000-000035260000}"/>
    <cellStyle name="20% - Accent6 9 8 3" xfId="19186" xr:uid="{00000000-0005-0000-0000-000036260000}"/>
    <cellStyle name="20% - Accent6 9 9" xfId="15203" xr:uid="{00000000-0005-0000-0000-000037260000}"/>
    <cellStyle name="20% - Accent6 9_Volatility" xfId="4057" xr:uid="{00000000-0005-0000-0000-000038260000}"/>
    <cellStyle name="20% - Ênfase1" xfId="4058" xr:uid="{00000000-0005-0000-0000-000039260000}"/>
    <cellStyle name="20% - Ênfase2" xfId="4059" xr:uid="{00000000-0005-0000-0000-00003A260000}"/>
    <cellStyle name="20% - Ênfase3" xfId="4060" xr:uid="{00000000-0005-0000-0000-00003B260000}"/>
    <cellStyle name="20% - Ênfase4" xfId="4061" xr:uid="{00000000-0005-0000-0000-00003C260000}"/>
    <cellStyle name="20% - Ênfase5" xfId="4062" xr:uid="{00000000-0005-0000-0000-00003D260000}"/>
    <cellStyle name="20% - Ênfase6" xfId="4063" xr:uid="{00000000-0005-0000-0000-00003E260000}"/>
    <cellStyle name="20% - Énfasis1" xfId="4064" xr:uid="{00000000-0005-0000-0000-00003F260000}"/>
    <cellStyle name="20% - Énfasis2" xfId="4065" xr:uid="{00000000-0005-0000-0000-000040260000}"/>
    <cellStyle name="20% - Énfasis3" xfId="4066" xr:uid="{00000000-0005-0000-0000-000041260000}"/>
    <cellStyle name="20% - Énfasis4" xfId="4067" xr:uid="{00000000-0005-0000-0000-000042260000}"/>
    <cellStyle name="20% - Énfasis5" xfId="4068" xr:uid="{00000000-0005-0000-0000-000043260000}"/>
    <cellStyle name="20% - Énfasis6" xfId="4069" xr:uid="{00000000-0005-0000-0000-000044260000}"/>
    <cellStyle name="20% - 강조색1" xfId="4070" xr:uid="{00000000-0005-0000-0000-000045260000}"/>
    <cellStyle name="20% - 강조색1 2" xfId="4071" xr:uid="{00000000-0005-0000-0000-000046260000}"/>
    <cellStyle name="20% - 강조색2" xfId="4072" xr:uid="{00000000-0005-0000-0000-000047260000}"/>
    <cellStyle name="20% - 강조색2 2" xfId="4073" xr:uid="{00000000-0005-0000-0000-000048260000}"/>
    <cellStyle name="20% - 강조색3" xfId="4074" xr:uid="{00000000-0005-0000-0000-000049260000}"/>
    <cellStyle name="20% - 강조색3 2" xfId="4075" xr:uid="{00000000-0005-0000-0000-00004A260000}"/>
    <cellStyle name="20% - 강조색4" xfId="4076" xr:uid="{00000000-0005-0000-0000-00004B260000}"/>
    <cellStyle name="20% - 강조색4 2" xfId="4077" xr:uid="{00000000-0005-0000-0000-00004C260000}"/>
    <cellStyle name="20% - 강조색5" xfId="4078" xr:uid="{00000000-0005-0000-0000-00004D260000}"/>
    <cellStyle name="20% - 강조색5 2" xfId="4079" xr:uid="{00000000-0005-0000-0000-00004E260000}"/>
    <cellStyle name="20% - 강조색6" xfId="4080" xr:uid="{00000000-0005-0000-0000-00004F260000}"/>
    <cellStyle name="20% - 강조색6 2" xfId="4081" xr:uid="{00000000-0005-0000-0000-000050260000}"/>
    <cellStyle name="2DecimalPercent" xfId="4082" xr:uid="{00000000-0005-0000-0000-000051260000}"/>
    <cellStyle name="2DecimalPercent 2" xfId="4083" xr:uid="{00000000-0005-0000-0000-000052260000}"/>
    <cellStyle name="2DecimalPercent 2 2" xfId="4084" xr:uid="{00000000-0005-0000-0000-000053260000}"/>
    <cellStyle name="2DecimalPercent 3" xfId="4085" xr:uid="{00000000-0005-0000-0000-000054260000}"/>
    <cellStyle name="2DecimalPercent 4" xfId="4086" xr:uid="{00000000-0005-0000-0000-000055260000}"/>
    <cellStyle name="2DecimalPercent 5" xfId="4087" xr:uid="{00000000-0005-0000-0000-000056260000}"/>
    <cellStyle name="2Decimals" xfId="4088" xr:uid="{00000000-0005-0000-0000-000057260000}"/>
    <cellStyle name="2Decimals 2" xfId="4089" xr:uid="{00000000-0005-0000-0000-000058260000}"/>
    <cellStyle name="2Decimals 2 2" xfId="4090" xr:uid="{00000000-0005-0000-0000-000059260000}"/>
    <cellStyle name="2Decimals 3" xfId="4091" xr:uid="{00000000-0005-0000-0000-00005A260000}"/>
    <cellStyle name="2Decimals 4" xfId="4092" xr:uid="{00000000-0005-0000-0000-00005B260000}"/>
    <cellStyle name="2Decimals 5" xfId="4093" xr:uid="{00000000-0005-0000-0000-00005C260000}"/>
    <cellStyle name="2places" xfId="4094" xr:uid="{00000000-0005-0000-0000-00005D260000}"/>
    <cellStyle name="³f¹ô[0]_P721-Spd" xfId="4095" xr:uid="{00000000-0005-0000-0000-00005E260000}"/>
    <cellStyle name="³f¹ô_P721-Spd" xfId="4096" xr:uid="{00000000-0005-0000-0000-00005F260000}"/>
    <cellStyle name="4 spaces" xfId="16346" xr:uid="{00000000-0005-0000-0000-000060260000}"/>
    <cellStyle name="40% - Accent1 10" xfId="4097" xr:uid="{00000000-0005-0000-0000-000061260000}"/>
    <cellStyle name="40% - Accent1 10 10" xfId="19187" xr:uid="{00000000-0005-0000-0000-000062260000}"/>
    <cellStyle name="40% - Accent1 10 2" xfId="4098" xr:uid="{00000000-0005-0000-0000-000063260000}"/>
    <cellStyle name="40% - Accent1 10 2 2" xfId="4099" xr:uid="{00000000-0005-0000-0000-000064260000}"/>
    <cellStyle name="40% - Accent1 10 2 2 2" xfId="4100" xr:uid="{00000000-0005-0000-0000-000065260000}"/>
    <cellStyle name="40% - Accent1 10 2 2 2 2" xfId="15239" xr:uid="{00000000-0005-0000-0000-000066260000}"/>
    <cellStyle name="40% - Accent1 10 2 2 2 3" xfId="19190" xr:uid="{00000000-0005-0000-0000-000067260000}"/>
    <cellStyle name="40% - Accent1 10 2 2 3" xfId="4101" xr:uid="{00000000-0005-0000-0000-000068260000}"/>
    <cellStyle name="40% - Accent1 10 2 2 3 2" xfId="15240" xr:uid="{00000000-0005-0000-0000-000069260000}"/>
    <cellStyle name="40% - Accent1 10 2 2 3 3" xfId="19191" xr:uid="{00000000-0005-0000-0000-00006A260000}"/>
    <cellStyle name="40% - Accent1 10 2 2 4" xfId="15238" xr:uid="{00000000-0005-0000-0000-00006B260000}"/>
    <cellStyle name="40% - Accent1 10 2 2 5" xfId="19189" xr:uid="{00000000-0005-0000-0000-00006C260000}"/>
    <cellStyle name="40% - Accent1 10 2 3" xfId="4102" xr:uid="{00000000-0005-0000-0000-00006D260000}"/>
    <cellStyle name="40% - Accent1 10 2 3 2" xfId="4103" xr:uid="{00000000-0005-0000-0000-00006E260000}"/>
    <cellStyle name="40% - Accent1 10 2 3 2 2" xfId="15242" xr:uid="{00000000-0005-0000-0000-00006F260000}"/>
    <cellStyle name="40% - Accent1 10 2 3 2 3" xfId="19193" xr:uid="{00000000-0005-0000-0000-000070260000}"/>
    <cellStyle name="40% - Accent1 10 2 3 3" xfId="4104" xr:uid="{00000000-0005-0000-0000-000071260000}"/>
    <cellStyle name="40% - Accent1 10 2 3 3 2" xfId="15243" xr:uid="{00000000-0005-0000-0000-000072260000}"/>
    <cellStyle name="40% - Accent1 10 2 3 3 3" xfId="19194" xr:uid="{00000000-0005-0000-0000-000073260000}"/>
    <cellStyle name="40% - Accent1 10 2 3 4" xfId="15241" xr:uid="{00000000-0005-0000-0000-000074260000}"/>
    <cellStyle name="40% - Accent1 10 2 3 5" xfId="19192" xr:uid="{00000000-0005-0000-0000-000075260000}"/>
    <cellStyle name="40% - Accent1 10 2 4" xfId="4105" xr:uid="{00000000-0005-0000-0000-000076260000}"/>
    <cellStyle name="40% - Accent1 10 2 4 2" xfId="4106" xr:uid="{00000000-0005-0000-0000-000077260000}"/>
    <cellStyle name="40% - Accent1 10 2 4 2 2" xfId="15245" xr:uid="{00000000-0005-0000-0000-000078260000}"/>
    <cellStyle name="40% - Accent1 10 2 4 2 3" xfId="19196" xr:uid="{00000000-0005-0000-0000-000079260000}"/>
    <cellStyle name="40% - Accent1 10 2 4 3" xfId="4107" xr:uid="{00000000-0005-0000-0000-00007A260000}"/>
    <cellStyle name="40% - Accent1 10 2 4 3 2" xfId="15246" xr:uid="{00000000-0005-0000-0000-00007B260000}"/>
    <cellStyle name="40% - Accent1 10 2 4 3 3" xfId="19197" xr:uid="{00000000-0005-0000-0000-00007C260000}"/>
    <cellStyle name="40% - Accent1 10 2 4 4" xfId="15244" xr:uid="{00000000-0005-0000-0000-00007D260000}"/>
    <cellStyle name="40% - Accent1 10 2 4 5" xfId="19195" xr:uid="{00000000-0005-0000-0000-00007E260000}"/>
    <cellStyle name="40% - Accent1 10 2 5" xfId="4108" xr:uid="{00000000-0005-0000-0000-00007F260000}"/>
    <cellStyle name="40% - Accent1 10 2 5 2" xfId="15247" xr:uid="{00000000-0005-0000-0000-000080260000}"/>
    <cellStyle name="40% - Accent1 10 2 5 3" xfId="19198" xr:uid="{00000000-0005-0000-0000-000081260000}"/>
    <cellStyle name="40% - Accent1 10 2 6" xfId="4109" xr:uid="{00000000-0005-0000-0000-000082260000}"/>
    <cellStyle name="40% - Accent1 10 2 6 2" xfId="15248" xr:uid="{00000000-0005-0000-0000-000083260000}"/>
    <cellStyle name="40% - Accent1 10 2 6 3" xfId="19199" xr:uid="{00000000-0005-0000-0000-000084260000}"/>
    <cellStyle name="40% - Accent1 10 2 7" xfId="15237" xr:uid="{00000000-0005-0000-0000-000085260000}"/>
    <cellStyle name="40% - Accent1 10 2 8" xfId="19188" xr:uid="{00000000-0005-0000-0000-000086260000}"/>
    <cellStyle name="40% - Accent1 10 2_Volatility" xfId="4110" xr:uid="{00000000-0005-0000-0000-000087260000}"/>
    <cellStyle name="40% - Accent1 10 3" xfId="4111" xr:uid="{00000000-0005-0000-0000-000088260000}"/>
    <cellStyle name="40% - Accent1 10 3 2" xfId="4112" xr:uid="{00000000-0005-0000-0000-000089260000}"/>
    <cellStyle name="40% - Accent1 10 3 2 2" xfId="4113" xr:uid="{00000000-0005-0000-0000-00008A260000}"/>
    <cellStyle name="40% - Accent1 10 3 2 2 2" xfId="15251" xr:uid="{00000000-0005-0000-0000-00008B260000}"/>
    <cellStyle name="40% - Accent1 10 3 2 2 3" xfId="19202" xr:uid="{00000000-0005-0000-0000-00008C260000}"/>
    <cellStyle name="40% - Accent1 10 3 2 3" xfId="4114" xr:uid="{00000000-0005-0000-0000-00008D260000}"/>
    <cellStyle name="40% - Accent1 10 3 2 3 2" xfId="15252" xr:uid="{00000000-0005-0000-0000-00008E260000}"/>
    <cellStyle name="40% - Accent1 10 3 2 3 3" xfId="19203" xr:uid="{00000000-0005-0000-0000-00008F260000}"/>
    <cellStyle name="40% - Accent1 10 3 2 4" xfId="15250" xr:uid="{00000000-0005-0000-0000-000090260000}"/>
    <cellStyle name="40% - Accent1 10 3 2 5" xfId="19201" xr:uid="{00000000-0005-0000-0000-000091260000}"/>
    <cellStyle name="40% - Accent1 10 3 3" xfId="4115" xr:uid="{00000000-0005-0000-0000-000092260000}"/>
    <cellStyle name="40% - Accent1 10 3 3 2" xfId="4116" xr:uid="{00000000-0005-0000-0000-000093260000}"/>
    <cellStyle name="40% - Accent1 10 3 3 2 2" xfId="15254" xr:uid="{00000000-0005-0000-0000-000094260000}"/>
    <cellStyle name="40% - Accent1 10 3 3 2 3" xfId="19205" xr:uid="{00000000-0005-0000-0000-000095260000}"/>
    <cellStyle name="40% - Accent1 10 3 3 3" xfId="4117" xr:uid="{00000000-0005-0000-0000-000096260000}"/>
    <cellStyle name="40% - Accent1 10 3 3 3 2" xfId="15255" xr:uid="{00000000-0005-0000-0000-000097260000}"/>
    <cellStyle name="40% - Accent1 10 3 3 3 3" xfId="19206" xr:uid="{00000000-0005-0000-0000-000098260000}"/>
    <cellStyle name="40% - Accent1 10 3 3 4" xfId="15253" xr:uid="{00000000-0005-0000-0000-000099260000}"/>
    <cellStyle name="40% - Accent1 10 3 3 5" xfId="19204" xr:uid="{00000000-0005-0000-0000-00009A260000}"/>
    <cellStyle name="40% - Accent1 10 3 4" xfId="4118" xr:uid="{00000000-0005-0000-0000-00009B260000}"/>
    <cellStyle name="40% - Accent1 10 3 4 2" xfId="15256" xr:uid="{00000000-0005-0000-0000-00009C260000}"/>
    <cellStyle name="40% - Accent1 10 3 4 3" xfId="19207" xr:uid="{00000000-0005-0000-0000-00009D260000}"/>
    <cellStyle name="40% - Accent1 10 3 5" xfId="4119" xr:uid="{00000000-0005-0000-0000-00009E260000}"/>
    <cellStyle name="40% - Accent1 10 3 5 2" xfId="15257" xr:uid="{00000000-0005-0000-0000-00009F260000}"/>
    <cellStyle name="40% - Accent1 10 3 5 3" xfId="19208" xr:uid="{00000000-0005-0000-0000-0000A0260000}"/>
    <cellStyle name="40% - Accent1 10 3 6" xfId="15249" xr:uid="{00000000-0005-0000-0000-0000A1260000}"/>
    <cellStyle name="40% - Accent1 10 3 7" xfId="19200" xr:uid="{00000000-0005-0000-0000-0000A2260000}"/>
    <cellStyle name="40% - Accent1 10 3_Volatility" xfId="4120" xr:uid="{00000000-0005-0000-0000-0000A3260000}"/>
    <cellStyle name="40% - Accent1 10 4" xfId="4121" xr:uid="{00000000-0005-0000-0000-0000A4260000}"/>
    <cellStyle name="40% - Accent1 10 4 2" xfId="4122" xr:uid="{00000000-0005-0000-0000-0000A5260000}"/>
    <cellStyle name="40% - Accent1 10 4 2 2" xfId="15259" xr:uid="{00000000-0005-0000-0000-0000A6260000}"/>
    <cellStyle name="40% - Accent1 10 4 2 3" xfId="19210" xr:uid="{00000000-0005-0000-0000-0000A7260000}"/>
    <cellStyle name="40% - Accent1 10 4 3" xfId="4123" xr:uid="{00000000-0005-0000-0000-0000A8260000}"/>
    <cellStyle name="40% - Accent1 10 4 3 2" xfId="15260" xr:uid="{00000000-0005-0000-0000-0000A9260000}"/>
    <cellStyle name="40% - Accent1 10 4 3 3" xfId="19211" xr:uid="{00000000-0005-0000-0000-0000AA260000}"/>
    <cellStyle name="40% - Accent1 10 4 4" xfId="15258" xr:uid="{00000000-0005-0000-0000-0000AB260000}"/>
    <cellStyle name="40% - Accent1 10 4 5" xfId="19209" xr:uid="{00000000-0005-0000-0000-0000AC260000}"/>
    <cellStyle name="40% - Accent1 10 5" xfId="4124" xr:uid="{00000000-0005-0000-0000-0000AD260000}"/>
    <cellStyle name="40% - Accent1 10 5 2" xfId="4125" xr:uid="{00000000-0005-0000-0000-0000AE260000}"/>
    <cellStyle name="40% - Accent1 10 5 2 2" xfId="15262" xr:uid="{00000000-0005-0000-0000-0000AF260000}"/>
    <cellStyle name="40% - Accent1 10 5 2 3" xfId="19213" xr:uid="{00000000-0005-0000-0000-0000B0260000}"/>
    <cellStyle name="40% - Accent1 10 5 3" xfId="4126" xr:uid="{00000000-0005-0000-0000-0000B1260000}"/>
    <cellStyle name="40% - Accent1 10 5 3 2" xfId="15263" xr:uid="{00000000-0005-0000-0000-0000B2260000}"/>
    <cellStyle name="40% - Accent1 10 5 3 3" xfId="19214" xr:uid="{00000000-0005-0000-0000-0000B3260000}"/>
    <cellStyle name="40% - Accent1 10 5 4" xfId="15261" xr:uid="{00000000-0005-0000-0000-0000B4260000}"/>
    <cellStyle name="40% - Accent1 10 5 5" xfId="19212" xr:uid="{00000000-0005-0000-0000-0000B5260000}"/>
    <cellStyle name="40% - Accent1 10 6" xfId="4127" xr:uid="{00000000-0005-0000-0000-0000B6260000}"/>
    <cellStyle name="40% - Accent1 10 6 2" xfId="4128" xr:uid="{00000000-0005-0000-0000-0000B7260000}"/>
    <cellStyle name="40% - Accent1 10 6 2 2" xfId="15265" xr:uid="{00000000-0005-0000-0000-0000B8260000}"/>
    <cellStyle name="40% - Accent1 10 6 2 3" xfId="19216" xr:uid="{00000000-0005-0000-0000-0000B9260000}"/>
    <cellStyle name="40% - Accent1 10 6 3" xfId="4129" xr:uid="{00000000-0005-0000-0000-0000BA260000}"/>
    <cellStyle name="40% - Accent1 10 6 3 2" xfId="15266" xr:uid="{00000000-0005-0000-0000-0000BB260000}"/>
    <cellStyle name="40% - Accent1 10 6 3 3" xfId="19217" xr:uid="{00000000-0005-0000-0000-0000BC260000}"/>
    <cellStyle name="40% - Accent1 10 6 4" xfId="15264" xr:uid="{00000000-0005-0000-0000-0000BD260000}"/>
    <cellStyle name="40% - Accent1 10 6 5" xfId="19215" xr:uid="{00000000-0005-0000-0000-0000BE260000}"/>
    <cellStyle name="40% - Accent1 10 7" xfId="4130" xr:uid="{00000000-0005-0000-0000-0000BF260000}"/>
    <cellStyle name="40% - Accent1 10 7 2" xfId="15267" xr:uid="{00000000-0005-0000-0000-0000C0260000}"/>
    <cellStyle name="40% - Accent1 10 7 3" xfId="19218" xr:uid="{00000000-0005-0000-0000-0000C1260000}"/>
    <cellStyle name="40% - Accent1 10 8" xfId="4131" xr:uid="{00000000-0005-0000-0000-0000C2260000}"/>
    <cellStyle name="40% - Accent1 10 8 2" xfId="15268" xr:uid="{00000000-0005-0000-0000-0000C3260000}"/>
    <cellStyle name="40% - Accent1 10 8 3" xfId="19219" xr:uid="{00000000-0005-0000-0000-0000C4260000}"/>
    <cellStyle name="40% - Accent1 10 9" xfId="15236" xr:uid="{00000000-0005-0000-0000-0000C5260000}"/>
    <cellStyle name="40% - Accent1 10_Volatility" xfId="4132" xr:uid="{00000000-0005-0000-0000-0000C6260000}"/>
    <cellStyle name="40% - Accent1 11" xfId="4133" xr:uid="{00000000-0005-0000-0000-0000C7260000}"/>
    <cellStyle name="40% - Accent1 11 10" xfId="19220" xr:uid="{00000000-0005-0000-0000-0000C8260000}"/>
    <cellStyle name="40% - Accent1 11 2" xfId="4134" xr:uid="{00000000-0005-0000-0000-0000C9260000}"/>
    <cellStyle name="40% - Accent1 11 2 2" xfId="4135" xr:uid="{00000000-0005-0000-0000-0000CA260000}"/>
    <cellStyle name="40% - Accent1 11 2 2 2" xfId="4136" xr:uid="{00000000-0005-0000-0000-0000CB260000}"/>
    <cellStyle name="40% - Accent1 11 2 2 2 2" xfId="15272" xr:uid="{00000000-0005-0000-0000-0000CC260000}"/>
    <cellStyle name="40% - Accent1 11 2 2 2 3" xfId="19223" xr:uid="{00000000-0005-0000-0000-0000CD260000}"/>
    <cellStyle name="40% - Accent1 11 2 2 3" xfId="4137" xr:uid="{00000000-0005-0000-0000-0000CE260000}"/>
    <cellStyle name="40% - Accent1 11 2 2 3 2" xfId="15273" xr:uid="{00000000-0005-0000-0000-0000CF260000}"/>
    <cellStyle name="40% - Accent1 11 2 2 3 3" xfId="19224" xr:uid="{00000000-0005-0000-0000-0000D0260000}"/>
    <cellStyle name="40% - Accent1 11 2 2 4" xfId="15271" xr:uid="{00000000-0005-0000-0000-0000D1260000}"/>
    <cellStyle name="40% - Accent1 11 2 2 5" xfId="19222" xr:uid="{00000000-0005-0000-0000-0000D2260000}"/>
    <cellStyle name="40% - Accent1 11 2 3" xfId="4138" xr:uid="{00000000-0005-0000-0000-0000D3260000}"/>
    <cellStyle name="40% - Accent1 11 2 3 2" xfId="4139" xr:uid="{00000000-0005-0000-0000-0000D4260000}"/>
    <cellStyle name="40% - Accent1 11 2 3 2 2" xfId="15275" xr:uid="{00000000-0005-0000-0000-0000D5260000}"/>
    <cellStyle name="40% - Accent1 11 2 3 2 3" xfId="19226" xr:uid="{00000000-0005-0000-0000-0000D6260000}"/>
    <cellStyle name="40% - Accent1 11 2 3 3" xfId="4140" xr:uid="{00000000-0005-0000-0000-0000D7260000}"/>
    <cellStyle name="40% - Accent1 11 2 3 3 2" xfId="15276" xr:uid="{00000000-0005-0000-0000-0000D8260000}"/>
    <cellStyle name="40% - Accent1 11 2 3 3 3" xfId="19227" xr:uid="{00000000-0005-0000-0000-0000D9260000}"/>
    <cellStyle name="40% - Accent1 11 2 3 4" xfId="15274" xr:uid="{00000000-0005-0000-0000-0000DA260000}"/>
    <cellStyle name="40% - Accent1 11 2 3 5" xfId="19225" xr:uid="{00000000-0005-0000-0000-0000DB260000}"/>
    <cellStyle name="40% - Accent1 11 2 4" xfId="4141" xr:uid="{00000000-0005-0000-0000-0000DC260000}"/>
    <cellStyle name="40% - Accent1 11 2 4 2" xfId="4142" xr:uid="{00000000-0005-0000-0000-0000DD260000}"/>
    <cellStyle name="40% - Accent1 11 2 4 2 2" xfId="15278" xr:uid="{00000000-0005-0000-0000-0000DE260000}"/>
    <cellStyle name="40% - Accent1 11 2 4 2 3" xfId="19229" xr:uid="{00000000-0005-0000-0000-0000DF260000}"/>
    <cellStyle name="40% - Accent1 11 2 4 3" xfId="4143" xr:uid="{00000000-0005-0000-0000-0000E0260000}"/>
    <cellStyle name="40% - Accent1 11 2 4 3 2" xfId="15279" xr:uid="{00000000-0005-0000-0000-0000E1260000}"/>
    <cellStyle name="40% - Accent1 11 2 4 3 3" xfId="19230" xr:uid="{00000000-0005-0000-0000-0000E2260000}"/>
    <cellStyle name="40% - Accent1 11 2 4 4" xfId="15277" xr:uid="{00000000-0005-0000-0000-0000E3260000}"/>
    <cellStyle name="40% - Accent1 11 2 4 5" xfId="19228" xr:uid="{00000000-0005-0000-0000-0000E4260000}"/>
    <cellStyle name="40% - Accent1 11 2 5" xfId="4144" xr:uid="{00000000-0005-0000-0000-0000E5260000}"/>
    <cellStyle name="40% - Accent1 11 2 5 2" xfId="15280" xr:uid="{00000000-0005-0000-0000-0000E6260000}"/>
    <cellStyle name="40% - Accent1 11 2 5 3" xfId="19231" xr:uid="{00000000-0005-0000-0000-0000E7260000}"/>
    <cellStyle name="40% - Accent1 11 2 6" xfId="4145" xr:uid="{00000000-0005-0000-0000-0000E8260000}"/>
    <cellStyle name="40% - Accent1 11 2 6 2" xfId="15281" xr:uid="{00000000-0005-0000-0000-0000E9260000}"/>
    <cellStyle name="40% - Accent1 11 2 6 3" xfId="19232" xr:uid="{00000000-0005-0000-0000-0000EA260000}"/>
    <cellStyle name="40% - Accent1 11 2 7" xfId="15270" xr:uid="{00000000-0005-0000-0000-0000EB260000}"/>
    <cellStyle name="40% - Accent1 11 2 8" xfId="19221" xr:uid="{00000000-0005-0000-0000-0000EC260000}"/>
    <cellStyle name="40% - Accent1 11 2_Volatility" xfId="4146" xr:uid="{00000000-0005-0000-0000-0000ED260000}"/>
    <cellStyle name="40% - Accent1 11 3" xfId="4147" xr:uid="{00000000-0005-0000-0000-0000EE260000}"/>
    <cellStyle name="40% - Accent1 11 3 2" xfId="4148" xr:uid="{00000000-0005-0000-0000-0000EF260000}"/>
    <cellStyle name="40% - Accent1 11 3 2 2" xfId="4149" xr:uid="{00000000-0005-0000-0000-0000F0260000}"/>
    <cellStyle name="40% - Accent1 11 3 2 2 2" xfId="15284" xr:uid="{00000000-0005-0000-0000-0000F1260000}"/>
    <cellStyle name="40% - Accent1 11 3 2 2 3" xfId="19235" xr:uid="{00000000-0005-0000-0000-0000F2260000}"/>
    <cellStyle name="40% - Accent1 11 3 2 3" xfId="4150" xr:uid="{00000000-0005-0000-0000-0000F3260000}"/>
    <cellStyle name="40% - Accent1 11 3 2 3 2" xfId="15285" xr:uid="{00000000-0005-0000-0000-0000F4260000}"/>
    <cellStyle name="40% - Accent1 11 3 2 3 3" xfId="19236" xr:uid="{00000000-0005-0000-0000-0000F5260000}"/>
    <cellStyle name="40% - Accent1 11 3 2 4" xfId="15283" xr:uid="{00000000-0005-0000-0000-0000F6260000}"/>
    <cellStyle name="40% - Accent1 11 3 2 5" xfId="19234" xr:uid="{00000000-0005-0000-0000-0000F7260000}"/>
    <cellStyle name="40% - Accent1 11 3 3" xfId="4151" xr:uid="{00000000-0005-0000-0000-0000F8260000}"/>
    <cellStyle name="40% - Accent1 11 3 3 2" xfId="4152" xr:uid="{00000000-0005-0000-0000-0000F9260000}"/>
    <cellStyle name="40% - Accent1 11 3 3 2 2" xfId="15287" xr:uid="{00000000-0005-0000-0000-0000FA260000}"/>
    <cellStyle name="40% - Accent1 11 3 3 2 3" xfId="19238" xr:uid="{00000000-0005-0000-0000-0000FB260000}"/>
    <cellStyle name="40% - Accent1 11 3 3 3" xfId="4153" xr:uid="{00000000-0005-0000-0000-0000FC260000}"/>
    <cellStyle name="40% - Accent1 11 3 3 3 2" xfId="15288" xr:uid="{00000000-0005-0000-0000-0000FD260000}"/>
    <cellStyle name="40% - Accent1 11 3 3 3 3" xfId="19239" xr:uid="{00000000-0005-0000-0000-0000FE260000}"/>
    <cellStyle name="40% - Accent1 11 3 3 4" xfId="15286" xr:uid="{00000000-0005-0000-0000-0000FF260000}"/>
    <cellStyle name="40% - Accent1 11 3 3 5" xfId="19237" xr:uid="{00000000-0005-0000-0000-000000270000}"/>
    <cellStyle name="40% - Accent1 11 3 4" xfId="4154" xr:uid="{00000000-0005-0000-0000-000001270000}"/>
    <cellStyle name="40% - Accent1 11 3 4 2" xfId="15289" xr:uid="{00000000-0005-0000-0000-000002270000}"/>
    <cellStyle name="40% - Accent1 11 3 4 3" xfId="19240" xr:uid="{00000000-0005-0000-0000-000003270000}"/>
    <cellStyle name="40% - Accent1 11 3 5" xfId="4155" xr:uid="{00000000-0005-0000-0000-000004270000}"/>
    <cellStyle name="40% - Accent1 11 3 5 2" xfId="15290" xr:uid="{00000000-0005-0000-0000-000005270000}"/>
    <cellStyle name="40% - Accent1 11 3 5 3" xfId="19241" xr:uid="{00000000-0005-0000-0000-000006270000}"/>
    <cellStyle name="40% - Accent1 11 3 6" xfId="15282" xr:uid="{00000000-0005-0000-0000-000007270000}"/>
    <cellStyle name="40% - Accent1 11 3 7" xfId="19233" xr:uid="{00000000-0005-0000-0000-000008270000}"/>
    <cellStyle name="40% - Accent1 11 3_Volatility" xfId="4156" xr:uid="{00000000-0005-0000-0000-000009270000}"/>
    <cellStyle name="40% - Accent1 11 4" xfId="4157" xr:uid="{00000000-0005-0000-0000-00000A270000}"/>
    <cellStyle name="40% - Accent1 11 4 2" xfId="4158" xr:uid="{00000000-0005-0000-0000-00000B270000}"/>
    <cellStyle name="40% - Accent1 11 4 2 2" xfId="15292" xr:uid="{00000000-0005-0000-0000-00000C270000}"/>
    <cellStyle name="40% - Accent1 11 4 2 3" xfId="19243" xr:uid="{00000000-0005-0000-0000-00000D270000}"/>
    <cellStyle name="40% - Accent1 11 4 3" xfId="4159" xr:uid="{00000000-0005-0000-0000-00000E270000}"/>
    <cellStyle name="40% - Accent1 11 4 3 2" xfId="15293" xr:uid="{00000000-0005-0000-0000-00000F270000}"/>
    <cellStyle name="40% - Accent1 11 4 3 3" xfId="19244" xr:uid="{00000000-0005-0000-0000-000010270000}"/>
    <cellStyle name="40% - Accent1 11 4 4" xfId="15291" xr:uid="{00000000-0005-0000-0000-000011270000}"/>
    <cellStyle name="40% - Accent1 11 4 5" xfId="19242" xr:uid="{00000000-0005-0000-0000-000012270000}"/>
    <cellStyle name="40% - Accent1 11 5" xfId="4160" xr:uid="{00000000-0005-0000-0000-000013270000}"/>
    <cellStyle name="40% - Accent1 11 5 2" xfId="4161" xr:uid="{00000000-0005-0000-0000-000014270000}"/>
    <cellStyle name="40% - Accent1 11 5 2 2" xfId="15295" xr:uid="{00000000-0005-0000-0000-000015270000}"/>
    <cellStyle name="40% - Accent1 11 5 2 3" xfId="19246" xr:uid="{00000000-0005-0000-0000-000016270000}"/>
    <cellStyle name="40% - Accent1 11 5 3" xfId="4162" xr:uid="{00000000-0005-0000-0000-000017270000}"/>
    <cellStyle name="40% - Accent1 11 5 3 2" xfId="15296" xr:uid="{00000000-0005-0000-0000-000018270000}"/>
    <cellStyle name="40% - Accent1 11 5 3 3" xfId="19247" xr:uid="{00000000-0005-0000-0000-000019270000}"/>
    <cellStyle name="40% - Accent1 11 5 4" xfId="15294" xr:uid="{00000000-0005-0000-0000-00001A270000}"/>
    <cellStyle name="40% - Accent1 11 5 5" xfId="19245" xr:uid="{00000000-0005-0000-0000-00001B270000}"/>
    <cellStyle name="40% - Accent1 11 6" xfId="4163" xr:uid="{00000000-0005-0000-0000-00001C270000}"/>
    <cellStyle name="40% - Accent1 11 6 2" xfId="4164" xr:uid="{00000000-0005-0000-0000-00001D270000}"/>
    <cellStyle name="40% - Accent1 11 6 2 2" xfId="15298" xr:uid="{00000000-0005-0000-0000-00001E270000}"/>
    <cellStyle name="40% - Accent1 11 6 2 3" xfId="19249" xr:uid="{00000000-0005-0000-0000-00001F270000}"/>
    <cellStyle name="40% - Accent1 11 6 3" xfId="4165" xr:uid="{00000000-0005-0000-0000-000020270000}"/>
    <cellStyle name="40% - Accent1 11 6 3 2" xfId="15299" xr:uid="{00000000-0005-0000-0000-000021270000}"/>
    <cellStyle name="40% - Accent1 11 6 3 3" xfId="19250" xr:uid="{00000000-0005-0000-0000-000022270000}"/>
    <cellStyle name="40% - Accent1 11 6 4" xfId="15297" xr:uid="{00000000-0005-0000-0000-000023270000}"/>
    <cellStyle name="40% - Accent1 11 6 5" xfId="19248" xr:uid="{00000000-0005-0000-0000-000024270000}"/>
    <cellStyle name="40% - Accent1 11 7" xfId="4166" xr:uid="{00000000-0005-0000-0000-000025270000}"/>
    <cellStyle name="40% - Accent1 11 7 2" xfId="15300" xr:uid="{00000000-0005-0000-0000-000026270000}"/>
    <cellStyle name="40% - Accent1 11 7 3" xfId="19251" xr:uid="{00000000-0005-0000-0000-000027270000}"/>
    <cellStyle name="40% - Accent1 11 8" xfId="4167" xr:uid="{00000000-0005-0000-0000-000028270000}"/>
    <cellStyle name="40% - Accent1 11 8 2" xfId="15301" xr:uid="{00000000-0005-0000-0000-000029270000}"/>
    <cellStyle name="40% - Accent1 11 8 3" xfId="19252" xr:uid="{00000000-0005-0000-0000-00002A270000}"/>
    <cellStyle name="40% - Accent1 11 9" xfId="15269" xr:uid="{00000000-0005-0000-0000-00002B270000}"/>
    <cellStyle name="40% - Accent1 11_Volatility" xfId="4168" xr:uid="{00000000-0005-0000-0000-00002C270000}"/>
    <cellStyle name="40% - Accent1 12" xfId="4169" xr:uid="{00000000-0005-0000-0000-00002D270000}"/>
    <cellStyle name="40% - Accent1 12 10" xfId="19253" xr:uid="{00000000-0005-0000-0000-00002E270000}"/>
    <cellStyle name="40% - Accent1 12 2" xfId="4170" xr:uid="{00000000-0005-0000-0000-00002F270000}"/>
    <cellStyle name="40% - Accent1 12 2 2" xfId="4171" xr:uid="{00000000-0005-0000-0000-000030270000}"/>
    <cellStyle name="40% - Accent1 12 2 2 2" xfId="4172" xr:uid="{00000000-0005-0000-0000-000031270000}"/>
    <cellStyle name="40% - Accent1 12 2 2 2 2" xfId="15305" xr:uid="{00000000-0005-0000-0000-000032270000}"/>
    <cellStyle name="40% - Accent1 12 2 2 2 3" xfId="19256" xr:uid="{00000000-0005-0000-0000-000033270000}"/>
    <cellStyle name="40% - Accent1 12 2 2 3" xfId="4173" xr:uid="{00000000-0005-0000-0000-000034270000}"/>
    <cellStyle name="40% - Accent1 12 2 2 3 2" xfId="15306" xr:uid="{00000000-0005-0000-0000-000035270000}"/>
    <cellStyle name="40% - Accent1 12 2 2 3 3" xfId="19257" xr:uid="{00000000-0005-0000-0000-000036270000}"/>
    <cellStyle name="40% - Accent1 12 2 2 4" xfId="15304" xr:uid="{00000000-0005-0000-0000-000037270000}"/>
    <cellStyle name="40% - Accent1 12 2 2 5" xfId="19255" xr:uid="{00000000-0005-0000-0000-000038270000}"/>
    <cellStyle name="40% - Accent1 12 2 3" xfId="4174" xr:uid="{00000000-0005-0000-0000-000039270000}"/>
    <cellStyle name="40% - Accent1 12 2 3 2" xfId="4175" xr:uid="{00000000-0005-0000-0000-00003A270000}"/>
    <cellStyle name="40% - Accent1 12 2 3 2 2" xfId="15308" xr:uid="{00000000-0005-0000-0000-00003B270000}"/>
    <cellStyle name="40% - Accent1 12 2 3 2 3" xfId="19259" xr:uid="{00000000-0005-0000-0000-00003C270000}"/>
    <cellStyle name="40% - Accent1 12 2 3 3" xfId="4176" xr:uid="{00000000-0005-0000-0000-00003D270000}"/>
    <cellStyle name="40% - Accent1 12 2 3 3 2" xfId="15309" xr:uid="{00000000-0005-0000-0000-00003E270000}"/>
    <cellStyle name="40% - Accent1 12 2 3 3 3" xfId="19260" xr:uid="{00000000-0005-0000-0000-00003F270000}"/>
    <cellStyle name="40% - Accent1 12 2 3 4" xfId="15307" xr:uid="{00000000-0005-0000-0000-000040270000}"/>
    <cellStyle name="40% - Accent1 12 2 3 5" xfId="19258" xr:uid="{00000000-0005-0000-0000-000041270000}"/>
    <cellStyle name="40% - Accent1 12 2 4" xfId="4177" xr:uid="{00000000-0005-0000-0000-000042270000}"/>
    <cellStyle name="40% - Accent1 12 2 4 2" xfId="4178" xr:uid="{00000000-0005-0000-0000-000043270000}"/>
    <cellStyle name="40% - Accent1 12 2 4 2 2" xfId="15311" xr:uid="{00000000-0005-0000-0000-000044270000}"/>
    <cellStyle name="40% - Accent1 12 2 4 2 3" xfId="19262" xr:uid="{00000000-0005-0000-0000-000045270000}"/>
    <cellStyle name="40% - Accent1 12 2 4 3" xfId="4179" xr:uid="{00000000-0005-0000-0000-000046270000}"/>
    <cellStyle name="40% - Accent1 12 2 4 3 2" xfId="15312" xr:uid="{00000000-0005-0000-0000-000047270000}"/>
    <cellStyle name="40% - Accent1 12 2 4 3 3" xfId="19263" xr:uid="{00000000-0005-0000-0000-000048270000}"/>
    <cellStyle name="40% - Accent1 12 2 4 4" xfId="15310" xr:uid="{00000000-0005-0000-0000-000049270000}"/>
    <cellStyle name="40% - Accent1 12 2 4 5" xfId="19261" xr:uid="{00000000-0005-0000-0000-00004A270000}"/>
    <cellStyle name="40% - Accent1 12 2 5" xfId="4180" xr:uid="{00000000-0005-0000-0000-00004B270000}"/>
    <cellStyle name="40% - Accent1 12 2 5 2" xfId="15313" xr:uid="{00000000-0005-0000-0000-00004C270000}"/>
    <cellStyle name="40% - Accent1 12 2 5 3" xfId="19264" xr:uid="{00000000-0005-0000-0000-00004D270000}"/>
    <cellStyle name="40% - Accent1 12 2 6" xfId="4181" xr:uid="{00000000-0005-0000-0000-00004E270000}"/>
    <cellStyle name="40% - Accent1 12 2 6 2" xfId="15314" xr:uid="{00000000-0005-0000-0000-00004F270000}"/>
    <cellStyle name="40% - Accent1 12 2 6 3" xfId="19265" xr:uid="{00000000-0005-0000-0000-000050270000}"/>
    <cellStyle name="40% - Accent1 12 2 7" xfId="15303" xr:uid="{00000000-0005-0000-0000-000051270000}"/>
    <cellStyle name="40% - Accent1 12 2 8" xfId="19254" xr:uid="{00000000-0005-0000-0000-000052270000}"/>
    <cellStyle name="40% - Accent1 12 2_Volatility" xfId="4182" xr:uid="{00000000-0005-0000-0000-000053270000}"/>
    <cellStyle name="40% - Accent1 12 3" xfId="4183" xr:uid="{00000000-0005-0000-0000-000054270000}"/>
    <cellStyle name="40% - Accent1 12 3 2" xfId="4184" xr:uid="{00000000-0005-0000-0000-000055270000}"/>
    <cellStyle name="40% - Accent1 12 3 2 2" xfId="4185" xr:uid="{00000000-0005-0000-0000-000056270000}"/>
    <cellStyle name="40% - Accent1 12 3 2 2 2" xfId="15317" xr:uid="{00000000-0005-0000-0000-000057270000}"/>
    <cellStyle name="40% - Accent1 12 3 2 2 3" xfId="19268" xr:uid="{00000000-0005-0000-0000-000058270000}"/>
    <cellStyle name="40% - Accent1 12 3 2 3" xfId="4186" xr:uid="{00000000-0005-0000-0000-000059270000}"/>
    <cellStyle name="40% - Accent1 12 3 2 3 2" xfId="15318" xr:uid="{00000000-0005-0000-0000-00005A270000}"/>
    <cellStyle name="40% - Accent1 12 3 2 3 3" xfId="19269" xr:uid="{00000000-0005-0000-0000-00005B270000}"/>
    <cellStyle name="40% - Accent1 12 3 2 4" xfId="15316" xr:uid="{00000000-0005-0000-0000-00005C270000}"/>
    <cellStyle name="40% - Accent1 12 3 2 5" xfId="19267" xr:uid="{00000000-0005-0000-0000-00005D270000}"/>
    <cellStyle name="40% - Accent1 12 3 3" xfId="4187" xr:uid="{00000000-0005-0000-0000-00005E270000}"/>
    <cellStyle name="40% - Accent1 12 3 3 2" xfId="4188" xr:uid="{00000000-0005-0000-0000-00005F270000}"/>
    <cellStyle name="40% - Accent1 12 3 3 2 2" xfId="15320" xr:uid="{00000000-0005-0000-0000-000060270000}"/>
    <cellStyle name="40% - Accent1 12 3 3 2 3" xfId="19271" xr:uid="{00000000-0005-0000-0000-000061270000}"/>
    <cellStyle name="40% - Accent1 12 3 3 3" xfId="4189" xr:uid="{00000000-0005-0000-0000-000062270000}"/>
    <cellStyle name="40% - Accent1 12 3 3 3 2" xfId="15321" xr:uid="{00000000-0005-0000-0000-000063270000}"/>
    <cellStyle name="40% - Accent1 12 3 3 3 3" xfId="19272" xr:uid="{00000000-0005-0000-0000-000064270000}"/>
    <cellStyle name="40% - Accent1 12 3 3 4" xfId="15319" xr:uid="{00000000-0005-0000-0000-000065270000}"/>
    <cellStyle name="40% - Accent1 12 3 3 5" xfId="19270" xr:uid="{00000000-0005-0000-0000-000066270000}"/>
    <cellStyle name="40% - Accent1 12 3 4" xfId="4190" xr:uid="{00000000-0005-0000-0000-000067270000}"/>
    <cellStyle name="40% - Accent1 12 3 4 2" xfId="15322" xr:uid="{00000000-0005-0000-0000-000068270000}"/>
    <cellStyle name="40% - Accent1 12 3 4 3" xfId="19273" xr:uid="{00000000-0005-0000-0000-000069270000}"/>
    <cellStyle name="40% - Accent1 12 3 5" xfId="4191" xr:uid="{00000000-0005-0000-0000-00006A270000}"/>
    <cellStyle name="40% - Accent1 12 3 5 2" xfId="15323" xr:uid="{00000000-0005-0000-0000-00006B270000}"/>
    <cellStyle name="40% - Accent1 12 3 5 3" xfId="19274" xr:uid="{00000000-0005-0000-0000-00006C270000}"/>
    <cellStyle name="40% - Accent1 12 3 6" xfId="15315" xr:uid="{00000000-0005-0000-0000-00006D270000}"/>
    <cellStyle name="40% - Accent1 12 3 7" xfId="19266" xr:uid="{00000000-0005-0000-0000-00006E270000}"/>
    <cellStyle name="40% - Accent1 12 3_Volatility" xfId="4192" xr:uid="{00000000-0005-0000-0000-00006F270000}"/>
    <cellStyle name="40% - Accent1 12 4" xfId="4193" xr:uid="{00000000-0005-0000-0000-000070270000}"/>
    <cellStyle name="40% - Accent1 12 4 2" xfId="4194" xr:uid="{00000000-0005-0000-0000-000071270000}"/>
    <cellStyle name="40% - Accent1 12 4 2 2" xfId="15325" xr:uid="{00000000-0005-0000-0000-000072270000}"/>
    <cellStyle name="40% - Accent1 12 4 2 3" xfId="19276" xr:uid="{00000000-0005-0000-0000-000073270000}"/>
    <cellStyle name="40% - Accent1 12 4 3" xfId="4195" xr:uid="{00000000-0005-0000-0000-000074270000}"/>
    <cellStyle name="40% - Accent1 12 4 3 2" xfId="15326" xr:uid="{00000000-0005-0000-0000-000075270000}"/>
    <cellStyle name="40% - Accent1 12 4 3 3" xfId="19277" xr:uid="{00000000-0005-0000-0000-000076270000}"/>
    <cellStyle name="40% - Accent1 12 4 4" xfId="15324" xr:uid="{00000000-0005-0000-0000-000077270000}"/>
    <cellStyle name="40% - Accent1 12 4 5" xfId="19275" xr:uid="{00000000-0005-0000-0000-000078270000}"/>
    <cellStyle name="40% - Accent1 12 5" xfId="4196" xr:uid="{00000000-0005-0000-0000-000079270000}"/>
    <cellStyle name="40% - Accent1 12 5 2" xfId="4197" xr:uid="{00000000-0005-0000-0000-00007A270000}"/>
    <cellStyle name="40% - Accent1 12 5 2 2" xfId="15328" xr:uid="{00000000-0005-0000-0000-00007B270000}"/>
    <cellStyle name="40% - Accent1 12 5 2 3" xfId="19279" xr:uid="{00000000-0005-0000-0000-00007C270000}"/>
    <cellStyle name="40% - Accent1 12 5 3" xfId="4198" xr:uid="{00000000-0005-0000-0000-00007D270000}"/>
    <cellStyle name="40% - Accent1 12 5 3 2" xfId="15329" xr:uid="{00000000-0005-0000-0000-00007E270000}"/>
    <cellStyle name="40% - Accent1 12 5 3 3" xfId="19280" xr:uid="{00000000-0005-0000-0000-00007F270000}"/>
    <cellStyle name="40% - Accent1 12 5 4" xfId="15327" xr:uid="{00000000-0005-0000-0000-000080270000}"/>
    <cellStyle name="40% - Accent1 12 5 5" xfId="19278" xr:uid="{00000000-0005-0000-0000-000081270000}"/>
    <cellStyle name="40% - Accent1 12 6" xfId="4199" xr:uid="{00000000-0005-0000-0000-000082270000}"/>
    <cellStyle name="40% - Accent1 12 6 2" xfId="4200" xr:uid="{00000000-0005-0000-0000-000083270000}"/>
    <cellStyle name="40% - Accent1 12 6 2 2" xfId="15331" xr:uid="{00000000-0005-0000-0000-000084270000}"/>
    <cellStyle name="40% - Accent1 12 6 2 3" xfId="19282" xr:uid="{00000000-0005-0000-0000-000085270000}"/>
    <cellStyle name="40% - Accent1 12 6 3" xfId="4201" xr:uid="{00000000-0005-0000-0000-000086270000}"/>
    <cellStyle name="40% - Accent1 12 6 3 2" xfId="15332" xr:uid="{00000000-0005-0000-0000-000087270000}"/>
    <cellStyle name="40% - Accent1 12 6 3 3" xfId="19283" xr:uid="{00000000-0005-0000-0000-000088270000}"/>
    <cellStyle name="40% - Accent1 12 6 4" xfId="15330" xr:uid="{00000000-0005-0000-0000-000089270000}"/>
    <cellStyle name="40% - Accent1 12 6 5" xfId="19281" xr:uid="{00000000-0005-0000-0000-00008A270000}"/>
    <cellStyle name="40% - Accent1 12 7" xfId="4202" xr:uid="{00000000-0005-0000-0000-00008B270000}"/>
    <cellStyle name="40% - Accent1 12 7 2" xfId="15333" xr:uid="{00000000-0005-0000-0000-00008C270000}"/>
    <cellStyle name="40% - Accent1 12 7 3" xfId="19284" xr:uid="{00000000-0005-0000-0000-00008D270000}"/>
    <cellStyle name="40% - Accent1 12 8" xfId="4203" xr:uid="{00000000-0005-0000-0000-00008E270000}"/>
    <cellStyle name="40% - Accent1 12 8 2" xfId="15334" xr:uid="{00000000-0005-0000-0000-00008F270000}"/>
    <cellStyle name="40% - Accent1 12 8 3" xfId="19285" xr:uid="{00000000-0005-0000-0000-000090270000}"/>
    <cellStyle name="40% - Accent1 12 9" xfId="15302" xr:uid="{00000000-0005-0000-0000-000091270000}"/>
    <cellStyle name="40% - Accent1 12_Volatility" xfId="4204" xr:uid="{00000000-0005-0000-0000-000092270000}"/>
    <cellStyle name="40% - Accent1 13" xfId="4205" xr:uid="{00000000-0005-0000-0000-000093270000}"/>
    <cellStyle name="40% - Accent1 13 10" xfId="19286" xr:uid="{00000000-0005-0000-0000-000094270000}"/>
    <cellStyle name="40% - Accent1 13 2" xfId="4206" xr:uid="{00000000-0005-0000-0000-000095270000}"/>
    <cellStyle name="40% - Accent1 13 2 2" xfId="4207" xr:uid="{00000000-0005-0000-0000-000096270000}"/>
    <cellStyle name="40% - Accent1 13 2 2 2" xfId="4208" xr:uid="{00000000-0005-0000-0000-000097270000}"/>
    <cellStyle name="40% - Accent1 13 2 2 2 2" xfId="15338" xr:uid="{00000000-0005-0000-0000-000098270000}"/>
    <cellStyle name="40% - Accent1 13 2 2 2 3" xfId="19289" xr:uid="{00000000-0005-0000-0000-000099270000}"/>
    <cellStyle name="40% - Accent1 13 2 2 3" xfId="4209" xr:uid="{00000000-0005-0000-0000-00009A270000}"/>
    <cellStyle name="40% - Accent1 13 2 2 3 2" xfId="15339" xr:uid="{00000000-0005-0000-0000-00009B270000}"/>
    <cellStyle name="40% - Accent1 13 2 2 3 3" xfId="19290" xr:uid="{00000000-0005-0000-0000-00009C270000}"/>
    <cellStyle name="40% - Accent1 13 2 2 4" xfId="15337" xr:uid="{00000000-0005-0000-0000-00009D270000}"/>
    <cellStyle name="40% - Accent1 13 2 2 5" xfId="19288" xr:uid="{00000000-0005-0000-0000-00009E270000}"/>
    <cellStyle name="40% - Accent1 13 2 3" xfId="4210" xr:uid="{00000000-0005-0000-0000-00009F270000}"/>
    <cellStyle name="40% - Accent1 13 2 3 2" xfId="4211" xr:uid="{00000000-0005-0000-0000-0000A0270000}"/>
    <cellStyle name="40% - Accent1 13 2 3 2 2" xfId="15341" xr:uid="{00000000-0005-0000-0000-0000A1270000}"/>
    <cellStyle name="40% - Accent1 13 2 3 2 3" xfId="19292" xr:uid="{00000000-0005-0000-0000-0000A2270000}"/>
    <cellStyle name="40% - Accent1 13 2 3 3" xfId="4212" xr:uid="{00000000-0005-0000-0000-0000A3270000}"/>
    <cellStyle name="40% - Accent1 13 2 3 3 2" xfId="15342" xr:uid="{00000000-0005-0000-0000-0000A4270000}"/>
    <cellStyle name="40% - Accent1 13 2 3 3 3" xfId="19293" xr:uid="{00000000-0005-0000-0000-0000A5270000}"/>
    <cellStyle name="40% - Accent1 13 2 3 4" xfId="15340" xr:uid="{00000000-0005-0000-0000-0000A6270000}"/>
    <cellStyle name="40% - Accent1 13 2 3 5" xfId="19291" xr:uid="{00000000-0005-0000-0000-0000A7270000}"/>
    <cellStyle name="40% - Accent1 13 2 4" xfId="4213" xr:uid="{00000000-0005-0000-0000-0000A8270000}"/>
    <cellStyle name="40% - Accent1 13 2 4 2" xfId="4214" xr:uid="{00000000-0005-0000-0000-0000A9270000}"/>
    <cellStyle name="40% - Accent1 13 2 4 2 2" xfId="15344" xr:uid="{00000000-0005-0000-0000-0000AA270000}"/>
    <cellStyle name="40% - Accent1 13 2 4 2 3" xfId="19295" xr:uid="{00000000-0005-0000-0000-0000AB270000}"/>
    <cellStyle name="40% - Accent1 13 2 4 3" xfId="4215" xr:uid="{00000000-0005-0000-0000-0000AC270000}"/>
    <cellStyle name="40% - Accent1 13 2 4 3 2" xfId="15345" xr:uid="{00000000-0005-0000-0000-0000AD270000}"/>
    <cellStyle name="40% - Accent1 13 2 4 3 3" xfId="19296" xr:uid="{00000000-0005-0000-0000-0000AE270000}"/>
    <cellStyle name="40% - Accent1 13 2 4 4" xfId="15343" xr:uid="{00000000-0005-0000-0000-0000AF270000}"/>
    <cellStyle name="40% - Accent1 13 2 4 5" xfId="19294" xr:uid="{00000000-0005-0000-0000-0000B0270000}"/>
    <cellStyle name="40% - Accent1 13 2 5" xfId="4216" xr:uid="{00000000-0005-0000-0000-0000B1270000}"/>
    <cellStyle name="40% - Accent1 13 2 5 2" xfId="15346" xr:uid="{00000000-0005-0000-0000-0000B2270000}"/>
    <cellStyle name="40% - Accent1 13 2 5 3" xfId="19297" xr:uid="{00000000-0005-0000-0000-0000B3270000}"/>
    <cellStyle name="40% - Accent1 13 2 6" xfId="4217" xr:uid="{00000000-0005-0000-0000-0000B4270000}"/>
    <cellStyle name="40% - Accent1 13 2 6 2" xfId="15347" xr:uid="{00000000-0005-0000-0000-0000B5270000}"/>
    <cellStyle name="40% - Accent1 13 2 6 3" xfId="19298" xr:uid="{00000000-0005-0000-0000-0000B6270000}"/>
    <cellStyle name="40% - Accent1 13 2 7" xfId="15336" xr:uid="{00000000-0005-0000-0000-0000B7270000}"/>
    <cellStyle name="40% - Accent1 13 2 8" xfId="19287" xr:uid="{00000000-0005-0000-0000-0000B8270000}"/>
    <cellStyle name="40% - Accent1 13 2_Volatility" xfId="4218" xr:uid="{00000000-0005-0000-0000-0000B9270000}"/>
    <cellStyle name="40% - Accent1 13 3" xfId="4219" xr:uid="{00000000-0005-0000-0000-0000BA270000}"/>
    <cellStyle name="40% - Accent1 13 3 2" xfId="4220" xr:uid="{00000000-0005-0000-0000-0000BB270000}"/>
    <cellStyle name="40% - Accent1 13 3 2 2" xfId="4221" xr:uid="{00000000-0005-0000-0000-0000BC270000}"/>
    <cellStyle name="40% - Accent1 13 3 2 2 2" xfId="15350" xr:uid="{00000000-0005-0000-0000-0000BD270000}"/>
    <cellStyle name="40% - Accent1 13 3 2 2 3" xfId="19301" xr:uid="{00000000-0005-0000-0000-0000BE270000}"/>
    <cellStyle name="40% - Accent1 13 3 2 3" xfId="4222" xr:uid="{00000000-0005-0000-0000-0000BF270000}"/>
    <cellStyle name="40% - Accent1 13 3 2 3 2" xfId="15351" xr:uid="{00000000-0005-0000-0000-0000C0270000}"/>
    <cellStyle name="40% - Accent1 13 3 2 3 3" xfId="19302" xr:uid="{00000000-0005-0000-0000-0000C1270000}"/>
    <cellStyle name="40% - Accent1 13 3 2 4" xfId="15349" xr:uid="{00000000-0005-0000-0000-0000C2270000}"/>
    <cellStyle name="40% - Accent1 13 3 2 5" xfId="19300" xr:uid="{00000000-0005-0000-0000-0000C3270000}"/>
    <cellStyle name="40% - Accent1 13 3 3" xfId="4223" xr:uid="{00000000-0005-0000-0000-0000C4270000}"/>
    <cellStyle name="40% - Accent1 13 3 3 2" xfId="4224" xr:uid="{00000000-0005-0000-0000-0000C5270000}"/>
    <cellStyle name="40% - Accent1 13 3 3 2 2" xfId="15353" xr:uid="{00000000-0005-0000-0000-0000C6270000}"/>
    <cellStyle name="40% - Accent1 13 3 3 2 3" xfId="19304" xr:uid="{00000000-0005-0000-0000-0000C7270000}"/>
    <cellStyle name="40% - Accent1 13 3 3 3" xfId="4225" xr:uid="{00000000-0005-0000-0000-0000C8270000}"/>
    <cellStyle name="40% - Accent1 13 3 3 3 2" xfId="15354" xr:uid="{00000000-0005-0000-0000-0000C9270000}"/>
    <cellStyle name="40% - Accent1 13 3 3 3 3" xfId="19305" xr:uid="{00000000-0005-0000-0000-0000CA270000}"/>
    <cellStyle name="40% - Accent1 13 3 3 4" xfId="15352" xr:uid="{00000000-0005-0000-0000-0000CB270000}"/>
    <cellStyle name="40% - Accent1 13 3 3 5" xfId="19303" xr:uid="{00000000-0005-0000-0000-0000CC270000}"/>
    <cellStyle name="40% - Accent1 13 3 4" xfId="4226" xr:uid="{00000000-0005-0000-0000-0000CD270000}"/>
    <cellStyle name="40% - Accent1 13 3 4 2" xfId="15355" xr:uid="{00000000-0005-0000-0000-0000CE270000}"/>
    <cellStyle name="40% - Accent1 13 3 4 3" xfId="19306" xr:uid="{00000000-0005-0000-0000-0000CF270000}"/>
    <cellStyle name="40% - Accent1 13 3 5" xfId="4227" xr:uid="{00000000-0005-0000-0000-0000D0270000}"/>
    <cellStyle name="40% - Accent1 13 3 5 2" xfId="15356" xr:uid="{00000000-0005-0000-0000-0000D1270000}"/>
    <cellStyle name="40% - Accent1 13 3 5 3" xfId="19307" xr:uid="{00000000-0005-0000-0000-0000D2270000}"/>
    <cellStyle name="40% - Accent1 13 3 6" xfId="15348" xr:uid="{00000000-0005-0000-0000-0000D3270000}"/>
    <cellStyle name="40% - Accent1 13 3 7" xfId="19299" xr:uid="{00000000-0005-0000-0000-0000D4270000}"/>
    <cellStyle name="40% - Accent1 13 3_Volatility" xfId="4228" xr:uid="{00000000-0005-0000-0000-0000D5270000}"/>
    <cellStyle name="40% - Accent1 13 4" xfId="4229" xr:uid="{00000000-0005-0000-0000-0000D6270000}"/>
    <cellStyle name="40% - Accent1 13 4 2" xfId="4230" xr:uid="{00000000-0005-0000-0000-0000D7270000}"/>
    <cellStyle name="40% - Accent1 13 4 2 2" xfId="15358" xr:uid="{00000000-0005-0000-0000-0000D8270000}"/>
    <cellStyle name="40% - Accent1 13 4 2 3" xfId="19309" xr:uid="{00000000-0005-0000-0000-0000D9270000}"/>
    <cellStyle name="40% - Accent1 13 4 3" xfId="4231" xr:uid="{00000000-0005-0000-0000-0000DA270000}"/>
    <cellStyle name="40% - Accent1 13 4 3 2" xfId="15359" xr:uid="{00000000-0005-0000-0000-0000DB270000}"/>
    <cellStyle name="40% - Accent1 13 4 3 3" xfId="19310" xr:uid="{00000000-0005-0000-0000-0000DC270000}"/>
    <cellStyle name="40% - Accent1 13 4 4" xfId="15357" xr:uid="{00000000-0005-0000-0000-0000DD270000}"/>
    <cellStyle name="40% - Accent1 13 4 5" xfId="19308" xr:uid="{00000000-0005-0000-0000-0000DE270000}"/>
    <cellStyle name="40% - Accent1 13 5" xfId="4232" xr:uid="{00000000-0005-0000-0000-0000DF270000}"/>
    <cellStyle name="40% - Accent1 13 5 2" xfId="4233" xr:uid="{00000000-0005-0000-0000-0000E0270000}"/>
    <cellStyle name="40% - Accent1 13 5 2 2" xfId="15361" xr:uid="{00000000-0005-0000-0000-0000E1270000}"/>
    <cellStyle name="40% - Accent1 13 5 2 3" xfId="19312" xr:uid="{00000000-0005-0000-0000-0000E2270000}"/>
    <cellStyle name="40% - Accent1 13 5 3" xfId="4234" xr:uid="{00000000-0005-0000-0000-0000E3270000}"/>
    <cellStyle name="40% - Accent1 13 5 3 2" xfId="15362" xr:uid="{00000000-0005-0000-0000-0000E4270000}"/>
    <cellStyle name="40% - Accent1 13 5 3 3" xfId="19313" xr:uid="{00000000-0005-0000-0000-0000E5270000}"/>
    <cellStyle name="40% - Accent1 13 5 4" xfId="15360" xr:uid="{00000000-0005-0000-0000-0000E6270000}"/>
    <cellStyle name="40% - Accent1 13 5 5" xfId="19311" xr:uid="{00000000-0005-0000-0000-0000E7270000}"/>
    <cellStyle name="40% - Accent1 13 6" xfId="4235" xr:uid="{00000000-0005-0000-0000-0000E8270000}"/>
    <cellStyle name="40% - Accent1 13 6 2" xfId="4236" xr:uid="{00000000-0005-0000-0000-0000E9270000}"/>
    <cellStyle name="40% - Accent1 13 6 2 2" xfId="15364" xr:uid="{00000000-0005-0000-0000-0000EA270000}"/>
    <cellStyle name="40% - Accent1 13 6 2 3" xfId="19315" xr:uid="{00000000-0005-0000-0000-0000EB270000}"/>
    <cellStyle name="40% - Accent1 13 6 3" xfId="4237" xr:uid="{00000000-0005-0000-0000-0000EC270000}"/>
    <cellStyle name="40% - Accent1 13 6 3 2" xfId="15365" xr:uid="{00000000-0005-0000-0000-0000ED270000}"/>
    <cellStyle name="40% - Accent1 13 6 3 3" xfId="19316" xr:uid="{00000000-0005-0000-0000-0000EE270000}"/>
    <cellStyle name="40% - Accent1 13 6 4" xfId="15363" xr:uid="{00000000-0005-0000-0000-0000EF270000}"/>
    <cellStyle name="40% - Accent1 13 6 5" xfId="19314" xr:uid="{00000000-0005-0000-0000-0000F0270000}"/>
    <cellStyle name="40% - Accent1 13 7" xfId="4238" xr:uid="{00000000-0005-0000-0000-0000F1270000}"/>
    <cellStyle name="40% - Accent1 13 7 2" xfId="15366" xr:uid="{00000000-0005-0000-0000-0000F2270000}"/>
    <cellStyle name="40% - Accent1 13 7 3" xfId="19317" xr:uid="{00000000-0005-0000-0000-0000F3270000}"/>
    <cellStyle name="40% - Accent1 13 8" xfId="4239" xr:uid="{00000000-0005-0000-0000-0000F4270000}"/>
    <cellStyle name="40% - Accent1 13 8 2" xfId="15367" xr:uid="{00000000-0005-0000-0000-0000F5270000}"/>
    <cellStyle name="40% - Accent1 13 8 3" xfId="19318" xr:uid="{00000000-0005-0000-0000-0000F6270000}"/>
    <cellStyle name="40% - Accent1 13 9" xfId="15335" xr:uid="{00000000-0005-0000-0000-0000F7270000}"/>
    <cellStyle name="40% - Accent1 13_Volatility" xfId="4240" xr:uid="{00000000-0005-0000-0000-0000F8270000}"/>
    <cellStyle name="40% - Accent1 14" xfId="4241" xr:uid="{00000000-0005-0000-0000-0000F9270000}"/>
    <cellStyle name="40% - Accent1 14 10" xfId="19319" xr:uid="{00000000-0005-0000-0000-0000FA270000}"/>
    <cellStyle name="40% - Accent1 14 2" xfId="4242" xr:uid="{00000000-0005-0000-0000-0000FB270000}"/>
    <cellStyle name="40% - Accent1 14 2 2" xfId="4243" xr:uid="{00000000-0005-0000-0000-0000FC270000}"/>
    <cellStyle name="40% - Accent1 14 2 2 2" xfId="4244" xr:uid="{00000000-0005-0000-0000-0000FD270000}"/>
    <cellStyle name="40% - Accent1 14 2 2 2 2" xfId="15371" xr:uid="{00000000-0005-0000-0000-0000FE270000}"/>
    <cellStyle name="40% - Accent1 14 2 2 2 3" xfId="19322" xr:uid="{00000000-0005-0000-0000-0000FF270000}"/>
    <cellStyle name="40% - Accent1 14 2 2 3" xfId="4245" xr:uid="{00000000-0005-0000-0000-000000280000}"/>
    <cellStyle name="40% - Accent1 14 2 2 3 2" xfId="15372" xr:uid="{00000000-0005-0000-0000-000001280000}"/>
    <cellStyle name="40% - Accent1 14 2 2 3 3" xfId="19323" xr:uid="{00000000-0005-0000-0000-000002280000}"/>
    <cellStyle name="40% - Accent1 14 2 2 4" xfId="15370" xr:uid="{00000000-0005-0000-0000-000003280000}"/>
    <cellStyle name="40% - Accent1 14 2 2 5" xfId="19321" xr:uid="{00000000-0005-0000-0000-000004280000}"/>
    <cellStyle name="40% - Accent1 14 2 3" xfId="4246" xr:uid="{00000000-0005-0000-0000-000005280000}"/>
    <cellStyle name="40% - Accent1 14 2 3 2" xfId="4247" xr:uid="{00000000-0005-0000-0000-000006280000}"/>
    <cellStyle name="40% - Accent1 14 2 3 2 2" xfId="15374" xr:uid="{00000000-0005-0000-0000-000007280000}"/>
    <cellStyle name="40% - Accent1 14 2 3 2 3" xfId="19325" xr:uid="{00000000-0005-0000-0000-000008280000}"/>
    <cellStyle name="40% - Accent1 14 2 3 3" xfId="4248" xr:uid="{00000000-0005-0000-0000-000009280000}"/>
    <cellStyle name="40% - Accent1 14 2 3 3 2" xfId="15375" xr:uid="{00000000-0005-0000-0000-00000A280000}"/>
    <cellStyle name="40% - Accent1 14 2 3 3 3" xfId="19326" xr:uid="{00000000-0005-0000-0000-00000B280000}"/>
    <cellStyle name="40% - Accent1 14 2 3 4" xfId="15373" xr:uid="{00000000-0005-0000-0000-00000C280000}"/>
    <cellStyle name="40% - Accent1 14 2 3 5" xfId="19324" xr:uid="{00000000-0005-0000-0000-00000D280000}"/>
    <cellStyle name="40% - Accent1 14 2 4" xfId="4249" xr:uid="{00000000-0005-0000-0000-00000E280000}"/>
    <cellStyle name="40% - Accent1 14 2 4 2" xfId="4250" xr:uid="{00000000-0005-0000-0000-00000F280000}"/>
    <cellStyle name="40% - Accent1 14 2 4 2 2" xfId="15377" xr:uid="{00000000-0005-0000-0000-000010280000}"/>
    <cellStyle name="40% - Accent1 14 2 4 2 3" xfId="19328" xr:uid="{00000000-0005-0000-0000-000011280000}"/>
    <cellStyle name="40% - Accent1 14 2 4 3" xfId="4251" xr:uid="{00000000-0005-0000-0000-000012280000}"/>
    <cellStyle name="40% - Accent1 14 2 4 3 2" xfId="15378" xr:uid="{00000000-0005-0000-0000-000013280000}"/>
    <cellStyle name="40% - Accent1 14 2 4 3 3" xfId="19329" xr:uid="{00000000-0005-0000-0000-000014280000}"/>
    <cellStyle name="40% - Accent1 14 2 4 4" xfId="15376" xr:uid="{00000000-0005-0000-0000-000015280000}"/>
    <cellStyle name="40% - Accent1 14 2 4 5" xfId="19327" xr:uid="{00000000-0005-0000-0000-000016280000}"/>
    <cellStyle name="40% - Accent1 14 2 5" xfId="4252" xr:uid="{00000000-0005-0000-0000-000017280000}"/>
    <cellStyle name="40% - Accent1 14 2 5 2" xfId="15379" xr:uid="{00000000-0005-0000-0000-000018280000}"/>
    <cellStyle name="40% - Accent1 14 2 5 3" xfId="19330" xr:uid="{00000000-0005-0000-0000-000019280000}"/>
    <cellStyle name="40% - Accent1 14 2 6" xfId="4253" xr:uid="{00000000-0005-0000-0000-00001A280000}"/>
    <cellStyle name="40% - Accent1 14 2 6 2" xfId="15380" xr:uid="{00000000-0005-0000-0000-00001B280000}"/>
    <cellStyle name="40% - Accent1 14 2 6 3" xfId="19331" xr:uid="{00000000-0005-0000-0000-00001C280000}"/>
    <cellStyle name="40% - Accent1 14 2 7" xfId="15369" xr:uid="{00000000-0005-0000-0000-00001D280000}"/>
    <cellStyle name="40% - Accent1 14 2 8" xfId="19320" xr:uid="{00000000-0005-0000-0000-00001E280000}"/>
    <cellStyle name="40% - Accent1 14 2_Volatility" xfId="4254" xr:uid="{00000000-0005-0000-0000-00001F280000}"/>
    <cellStyle name="40% - Accent1 14 3" xfId="4255" xr:uid="{00000000-0005-0000-0000-000020280000}"/>
    <cellStyle name="40% - Accent1 14 3 2" xfId="4256" xr:uid="{00000000-0005-0000-0000-000021280000}"/>
    <cellStyle name="40% - Accent1 14 3 2 2" xfId="4257" xr:uid="{00000000-0005-0000-0000-000022280000}"/>
    <cellStyle name="40% - Accent1 14 3 2 2 2" xfId="15383" xr:uid="{00000000-0005-0000-0000-000023280000}"/>
    <cellStyle name="40% - Accent1 14 3 2 2 3" xfId="19334" xr:uid="{00000000-0005-0000-0000-000024280000}"/>
    <cellStyle name="40% - Accent1 14 3 2 3" xfId="4258" xr:uid="{00000000-0005-0000-0000-000025280000}"/>
    <cellStyle name="40% - Accent1 14 3 2 3 2" xfId="15384" xr:uid="{00000000-0005-0000-0000-000026280000}"/>
    <cellStyle name="40% - Accent1 14 3 2 3 3" xfId="19335" xr:uid="{00000000-0005-0000-0000-000027280000}"/>
    <cellStyle name="40% - Accent1 14 3 2 4" xfId="15382" xr:uid="{00000000-0005-0000-0000-000028280000}"/>
    <cellStyle name="40% - Accent1 14 3 2 5" xfId="19333" xr:uid="{00000000-0005-0000-0000-000029280000}"/>
    <cellStyle name="40% - Accent1 14 3 3" xfId="4259" xr:uid="{00000000-0005-0000-0000-00002A280000}"/>
    <cellStyle name="40% - Accent1 14 3 3 2" xfId="4260" xr:uid="{00000000-0005-0000-0000-00002B280000}"/>
    <cellStyle name="40% - Accent1 14 3 3 2 2" xfId="15386" xr:uid="{00000000-0005-0000-0000-00002C280000}"/>
    <cellStyle name="40% - Accent1 14 3 3 2 3" xfId="19337" xr:uid="{00000000-0005-0000-0000-00002D280000}"/>
    <cellStyle name="40% - Accent1 14 3 3 3" xfId="4261" xr:uid="{00000000-0005-0000-0000-00002E280000}"/>
    <cellStyle name="40% - Accent1 14 3 3 3 2" xfId="15387" xr:uid="{00000000-0005-0000-0000-00002F280000}"/>
    <cellStyle name="40% - Accent1 14 3 3 3 3" xfId="19338" xr:uid="{00000000-0005-0000-0000-000030280000}"/>
    <cellStyle name="40% - Accent1 14 3 3 4" xfId="15385" xr:uid="{00000000-0005-0000-0000-000031280000}"/>
    <cellStyle name="40% - Accent1 14 3 3 5" xfId="19336" xr:uid="{00000000-0005-0000-0000-000032280000}"/>
    <cellStyle name="40% - Accent1 14 3 4" xfId="4262" xr:uid="{00000000-0005-0000-0000-000033280000}"/>
    <cellStyle name="40% - Accent1 14 3 4 2" xfId="15388" xr:uid="{00000000-0005-0000-0000-000034280000}"/>
    <cellStyle name="40% - Accent1 14 3 4 3" xfId="19339" xr:uid="{00000000-0005-0000-0000-000035280000}"/>
    <cellStyle name="40% - Accent1 14 3 5" xfId="4263" xr:uid="{00000000-0005-0000-0000-000036280000}"/>
    <cellStyle name="40% - Accent1 14 3 5 2" xfId="15389" xr:uid="{00000000-0005-0000-0000-000037280000}"/>
    <cellStyle name="40% - Accent1 14 3 5 3" xfId="19340" xr:uid="{00000000-0005-0000-0000-000038280000}"/>
    <cellStyle name="40% - Accent1 14 3 6" xfId="15381" xr:uid="{00000000-0005-0000-0000-000039280000}"/>
    <cellStyle name="40% - Accent1 14 3 7" xfId="19332" xr:uid="{00000000-0005-0000-0000-00003A280000}"/>
    <cellStyle name="40% - Accent1 14 3_Volatility" xfId="4264" xr:uid="{00000000-0005-0000-0000-00003B280000}"/>
    <cellStyle name="40% - Accent1 14 4" xfId="4265" xr:uid="{00000000-0005-0000-0000-00003C280000}"/>
    <cellStyle name="40% - Accent1 14 4 2" xfId="4266" xr:uid="{00000000-0005-0000-0000-00003D280000}"/>
    <cellStyle name="40% - Accent1 14 4 2 2" xfId="15391" xr:uid="{00000000-0005-0000-0000-00003E280000}"/>
    <cellStyle name="40% - Accent1 14 4 2 3" xfId="19342" xr:uid="{00000000-0005-0000-0000-00003F280000}"/>
    <cellStyle name="40% - Accent1 14 4 3" xfId="4267" xr:uid="{00000000-0005-0000-0000-000040280000}"/>
    <cellStyle name="40% - Accent1 14 4 3 2" xfId="15392" xr:uid="{00000000-0005-0000-0000-000041280000}"/>
    <cellStyle name="40% - Accent1 14 4 3 3" xfId="19343" xr:uid="{00000000-0005-0000-0000-000042280000}"/>
    <cellStyle name="40% - Accent1 14 4 4" xfId="15390" xr:uid="{00000000-0005-0000-0000-000043280000}"/>
    <cellStyle name="40% - Accent1 14 4 5" xfId="19341" xr:uid="{00000000-0005-0000-0000-000044280000}"/>
    <cellStyle name="40% - Accent1 14 5" xfId="4268" xr:uid="{00000000-0005-0000-0000-000045280000}"/>
    <cellStyle name="40% - Accent1 14 5 2" xfId="4269" xr:uid="{00000000-0005-0000-0000-000046280000}"/>
    <cellStyle name="40% - Accent1 14 5 2 2" xfId="15394" xr:uid="{00000000-0005-0000-0000-000047280000}"/>
    <cellStyle name="40% - Accent1 14 5 2 3" xfId="19345" xr:uid="{00000000-0005-0000-0000-000048280000}"/>
    <cellStyle name="40% - Accent1 14 5 3" xfId="4270" xr:uid="{00000000-0005-0000-0000-000049280000}"/>
    <cellStyle name="40% - Accent1 14 5 3 2" xfId="15395" xr:uid="{00000000-0005-0000-0000-00004A280000}"/>
    <cellStyle name="40% - Accent1 14 5 3 3" xfId="19346" xr:uid="{00000000-0005-0000-0000-00004B280000}"/>
    <cellStyle name="40% - Accent1 14 5 4" xfId="15393" xr:uid="{00000000-0005-0000-0000-00004C280000}"/>
    <cellStyle name="40% - Accent1 14 5 5" xfId="19344" xr:uid="{00000000-0005-0000-0000-00004D280000}"/>
    <cellStyle name="40% - Accent1 14 6" xfId="4271" xr:uid="{00000000-0005-0000-0000-00004E280000}"/>
    <cellStyle name="40% - Accent1 14 6 2" xfId="4272" xr:uid="{00000000-0005-0000-0000-00004F280000}"/>
    <cellStyle name="40% - Accent1 14 6 2 2" xfId="15397" xr:uid="{00000000-0005-0000-0000-000050280000}"/>
    <cellStyle name="40% - Accent1 14 6 2 3" xfId="19348" xr:uid="{00000000-0005-0000-0000-000051280000}"/>
    <cellStyle name="40% - Accent1 14 6 3" xfId="4273" xr:uid="{00000000-0005-0000-0000-000052280000}"/>
    <cellStyle name="40% - Accent1 14 6 3 2" xfId="15398" xr:uid="{00000000-0005-0000-0000-000053280000}"/>
    <cellStyle name="40% - Accent1 14 6 3 3" xfId="19349" xr:uid="{00000000-0005-0000-0000-000054280000}"/>
    <cellStyle name="40% - Accent1 14 6 4" xfId="15396" xr:uid="{00000000-0005-0000-0000-000055280000}"/>
    <cellStyle name="40% - Accent1 14 6 5" xfId="19347" xr:uid="{00000000-0005-0000-0000-000056280000}"/>
    <cellStyle name="40% - Accent1 14 7" xfId="4274" xr:uid="{00000000-0005-0000-0000-000057280000}"/>
    <cellStyle name="40% - Accent1 14 7 2" xfId="15399" xr:uid="{00000000-0005-0000-0000-000058280000}"/>
    <cellStyle name="40% - Accent1 14 7 3" xfId="19350" xr:uid="{00000000-0005-0000-0000-000059280000}"/>
    <cellStyle name="40% - Accent1 14 8" xfId="4275" xr:uid="{00000000-0005-0000-0000-00005A280000}"/>
    <cellStyle name="40% - Accent1 14 8 2" xfId="15400" xr:uid="{00000000-0005-0000-0000-00005B280000}"/>
    <cellStyle name="40% - Accent1 14 8 3" xfId="19351" xr:uid="{00000000-0005-0000-0000-00005C280000}"/>
    <cellStyle name="40% - Accent1 14 9" xfId="15368" xr:uid="{00000000-0005-0000-0000-00005D280000}"/>
    <cellStyle name="40% - Accent1 14_Volatility" xfId="4276" xr:uid="{00000000-0005-0000-0000-00005E280000}"/>
    <cellStyle name="40% - Accent1 15" xfId="4277" xr:uid="{00000000-0005-0000-0000-00005F280000}"/>
    <cellStyle name="40% - Accent1 15 10" xfId="19352" xr:uid="{00000000-0005-0000-0000-000060280000}"/>
    <cellStyle name="40% - Accent1 15 2" xfId="4278" xr:uid="{00000000-0005-0000-0000-000061280000}"/>
    <cellStyle name="40% - Accent1 15 2 2" xfId="4279" xr:uid="{00000000-0005-0000-0000-000062280000}"/>
    <cellStyle name="40% - Accent1 15 2 2 2" xfId="4280" xr:uid="{00000000-0005-0000-0000-000063280000}"/>
    <cellStyle name="40% - Accent1 15 2 2 2 2" xfId="15404" xr:uid="{00000000-0005-0000-0000-000064280000}"/>
    <cellStyle name="40% - Accent1 15 2 2 2 3" xfId="19355" xr:uid="{00000000-0005-0000-0000-000065280000}"/>
    <cellStyle name="40% - Accent1 15 2 2 3" xfId="4281" xr:uid="{00000000-0005-0000-0000-000066280000}"/>
    <cellStyle name="40% - Accent1 15 2 2 3 2" xfId="15405" xr:uid="{00000000-0005-0000-0000-000067280000}"/>
    <cellStyle name="40% - Accent1 15 2 2 3 3" xfId="19356" xr:uid="{00000000-0005-0000-0000-000068280000}"/>
    <cellStyle name="40% - Accent1 15 2 2 4" xfId="15403" xr:uid="{00000000-0005-0000-0000-000069280000}"/>
    <cellStyle name="40% - Accent1 15 2 2 5" xfId="19354" xr:uid="{00000000-0005-0000-0000-00006A280000}"/>
    <cellStyle name="40% - Accent1 15 2 3" xfId="4282" xr:uid="{00000000-0005-0000-0000-00006B280000}"/>
    <cellStyle name="40% - Accent1 15 2 3 2" xfId="4283" xr:uid="{00000000-0005-0000-0000-00006C280000}"/>
    <cellStyle name="40% - Accent1 15 2 3 2 2" xfId="15407" xr:uid="{00000000-0005-0000-0000-00006D280000}"/>
    <cellStyle name="40% - Accent1 15 2 3 2 3" xfId="19358" xr:uid="{00000000-0005-0000-0000-00006E280000}"/>
    <cellStyle name="40% - Accent1 15 2 3 3" xfId="4284" xr:uid="{00000000-0005-0000-0000-00006F280000}"/>
    <cellStyle name="40% - Accent1 15 2 3 3 2" xfId="15408" xr:uid="{00000000-0005-0000-0000-000070280000}"/>
    <cellStyle name="40% - Accent1 15 2 3 3 3" xfId="19359" xr:uid="{00000000-0005-0000-0000-000071280000}"/>
    <cellStyle name="40% - Accent1 15 2 3 4" xfId="15406" xr:uid="{00000000-0005-0000-0000-000072280000}"/>
    <cellStyle name="40% - Accent1 15 2 3 5" xfId="19357" xr:uid="{00000000-0005-0000-0000-000073280000}"/>
    <cellStyle name="40% - Accent1 15 2 4" xfId="4285" xr:uid="{00000000-0005-0000-0000-000074280000}"/>
    <cellStyle name="40% - Accent1 15 2 4 2" xfId="4286" xr:uid="{00000000-0005-0000-0000-000075280000}"/>
    <cellStyle name="40% - Accent1 15 2 4 2 2" xfId="15410" xr:uid="{00000000-0005-0000-0000-000076280000}"/>
    <cellStyle name="40% - Accent1 15 2 4 2 3" xfId="19361" xr:uid="{00000000-0005-0000-0000-000077280000}"/>
    <cellStyle name="40% - Accent1 15 2 4 3" xfId="4287" xr:uid="{00000000-0005-0000-0000-000078280000}"/>
    <cellStyle name="40% - Accent1 15 2 4 3 2" xfId="15411" xr:uid="{00000000-0005-0000-0000-000079280000}"/>
    <cellStyle name="40% - Accent1 15 2 4 3 3" xfId="19362" xr:uid="{00000000-0005-0000-0000-00007A280000}"/>
    <cellStyle name="40% - Accent1 15 2 4 4" xfId="15409" xr:uid="{00000000-0005-0000-0000-00007B280000}"/>
    <cellStyle name="40% - Accent1 15 2 4 5" xfId="19360" xr:uid="{00000000-0005-0000-0000-00007C280000}"/>
    <cellStyle name="40% - Accent1 15 2 5" xfId="4288" xr:uid="{00000000-0005-0000-0000-00007D280000}"/>
    <cellStyle name="40% - Accent1 15 2 5 2" xfId="15412" xr:uid="{00000000-0005-0000-0000-00007E280000}"/>
    <cellStyle name="40% - Accent1 15 2 5 3" xfId="19363" xr:uid="{00000000-0005-0000-0000-00007F280000}"/>
    <cellStyle name="40% - Accent1 15 2 6" xfId="4289" xr:uid="{00000000-0005-0000-0000-000080280000}"/>
    <cellStyle name="40% - Accent1 15 2 6 2" xfId="15413" xr:uid="{00000000-0005-0000-0000-000081280000}"/>
    <cellStyle name="40% - Accent1 15 2 6 3" xfId="19364" xr:uid="{00000000-0005-0000-0000-000082280000}"/>
    <cellStyle name="40% - Accent1 15 2 7" xfId="15402" xr:uid="{00000000-0005-0000-0000-000083280000}"/>
    <cellStyle name="40% - Accent1 15 2 8" xfId="19353" xr:uid="{00000000-0005-0000-0000-000084280000}"/>
    <cellStyle name="40% - Accent1 15 2_Volatility" xfId="4290" xr:uid="{00000000-0005-0000-0000-000085280000}"/>
    <cellStyle name="40% - Accent1 15 3" xfId="4291" xr:uid="{00000000-0005-0000-0000-000086280000}"/>
    <cellStyle name="40% - Accent1 15 3 2" xfId="4292" xr:uid="{00000000-0005-0000-0000-000087280000}"/>
    <cellStyle name="40% - Accent1 15 3 2 2" xfId="4293" xr:uid="{00000000-0005-0000-0000-000088280000}"/>
    <cellStyle name="40% - Accent1 15 3 2 2 2" xfId="15416" xr:uid="{00000000-0005-0000-0000-000089280000}"/>
    <cellStyle name="40% - Accent1 15 3 2 2 3" xfId="19367" xr:uid="{00000000-0005-0000-0000-00008A280000}"/>
    <cellStyle name="40% - Accent1 15 3 2 3" xfId="4294" xr:uid="{00000000-0005-0000-0000-00008B280000}"/>
    <cellStyle name="40% - Accent1 15 3 2 3 2" xfId="15417" xr:uid="{00000000-0005-0000-0000-00008C280000}"/>
    <cellStyle name="40% - Accent1 15 3 2 3 3" xfId="19368" xr:uid="{00000000-0005-0000-0000-00008D280000}"/>
    <cellStyle name="40% - Accent1 15 3 2 4" xfId="15415" xr:uid="{00000000-0005-0000-0000-00008E280000}"/>
    <cellStyle name="40% - Accent1 15 3 2 5" xfId="19366" xr:uid="{00000000-0005-0000-0000-00008F280000}"/>
    <cellStyle name="40% - Accent1 15 3 3" xfId="4295" xr:uid="{00000000-0005-0000-0000-000090280000}"/>
    <cellStyle name="40% - Accent1 15 3 3 2" xfId="4296" xr:uid="{00000000-0005-0000-0000-000091280000}"/>
    <cellStyle name="40% - Accent1 15 3 3 2 2" xfId="15419" xr:uid="{00000000-0005-0000-0000-000092280000}"/>
    <cellStyle name="40% - Accent1 15 3 3 2 3" xfId="19370" xr:uid="{00000000-0005-0000-0000-000093280000}"/>
    <cellStyle name="40% - Accent1 15 3 3 3" xfId="4297" xr:uid="{00000000-0005-0000-0000-000094280000}"/>
    <cellStyle name="40% - Accent1 15 3 3 3 2" xfId="15420" xr:uid="{00000000-0005-0000-0000-000095280000}"/>
    <cellStyle name="40% - Accent1 15 3 3 3 3" xfId="19371" xr:uid="{00000000-0005-0000-0000-000096280000}"/>
    <cellStyle name="40% - Accent1 15 3 3 4" xfId="15418" xr:uid="{00000000-0005-0000-0000-000097280000}"/>
    <cellStyle name="40% - Accent1 15 3 3 5" xfId="19369" xr:uid="{00000000-0005-0000-0000-000098280000}"/>
    <cellStyle name="40% - Accent1 15 3 4" xfId="4298" xr:uid="{00000000-0005-0000-0000-000099280000}"/>
    <cellStyle name="40% - Accent1 15 3 4 2" xfId="15421" xr:uid="{00000000-0005-0000-0000-00009A280000}"/>
    <cellStyle name="40% - Accent1 15 3 4 3" xfId="19372" xr:uid="{00000000-0005-0000-0000-00009B280000}"/>
    <cellStyle name="40% - Accent1 15 3 5" xfId="4299" xr:uid="{00000000-0005-0000-0000-00009C280000}"/>
    <cellStyle name="40% - Accent1 15 3 5 2" xfId="15422" xr:uid="{00000000-0005-0000-0000-00009D280000}"/>
    <cellStyle name="40% - Accent1 15 3 5 3" xfId="19373" xr:uid="{00000000-0005-0000-0000-00009E280000}"/>
    <cellStyle name="40% - Accent1 15 3 6" xfId="15414" xr:uid="{00000000-0005-0000-0000-00009F280000}"/>
    <cellStyle name="40% - Accent1 15 3 7" xfId="19365" xr:uid="{00000000-0005-0000-0000-0000A0280000}"/>
    <cellStyle name="40% - Accent1 15 3_Volatility" xfId="4300" xr:uid="{00000000-0005-0000-0000-0000A1280000}"/>
    <cellStyle name="40% - Accent1 15 4" xfId="4301" xr:uid="{00000000-0005-0000-0000-0000A2280000}"/>
    <cellStyle name="40% - Accent1 15 4 2" xfId="4302" xr:uid="{00000000-0005-0000-0000-0000A3280000}"/>
    <cellStyle name="40% - Accent1 15 4 2 2" xfId="15424" xr:uid="{00000000-0005-0000-0000-0000A4280000}"/>
    <cellStyle name="40% - Accent1 15 4 2 3" xfId="19375" xr:uid="{00000000-0005-0000-0000-0000A5280000}"/>
    <cellStyle name="40% - Accent1 15 4 3" xfId="4303" xr:uid="{00000000-0005-0000-0000-0000A6280000}"/>
    <cellStyle name="40% - Accent1 15 4 3 2" xfId="15425" xr:uid="{00000000-0005-0000-0000-0000A7280000}"/>
    <cellStyle name="40% - Accent1 15 4 3 3" xfId="19376" xr:uid="{00000000-0005-0000-0000-0000A8280000}"/>
    <cellStyle name="40% - Accent1 15 4 4" xfId="15423" xr:uid="{00000000-0005-0000-0000-0000A9280000}"/>
    <cellStyle name="40% - Accent1 15 4 5" xfId="19374" xr:uid="{00000000-0005-0000-0000-0000AA280000}"/>
    <cellStyle name="40% - Accent1 15 5" xfId="4304" xr:uid="{00000000-0005-0000-0000-0000AB280000}"/>
    <cellStyle name="40% - Accent1 15 5 2" xfId="4305" xr:uid="{00000000-0005-0000-0000-0000AC280000}"/>
    <cellStyle name="40% - Accent1 15 5 2 2" xfId="15427" xr:uid="{00000000-0005-0000-0000-0000AD280000}"/>
    <cellStyle name="40% - Accent1 15 5 2 3" xfId="19378" xr:uid="{00000000-0005-0000-0000-0000AE280000}"/>
    <cellStyle name="40% - Accent1 15 5 3" xfId="4306" xr:uid="{00000000-0005-0000-0000-0000AF280000}"/>
    <cellStyle name="40% - Accent1 15 5 3 2" xfId="15428" xr:uid="{00000000-0005-0000-0000-0000B0280000}"/>
    <cellStyle name="40% - Accent1 15 5 3 3" xfId="19379" xr:uid="{00000000-0005-0000-0000-0000B1280000}"/>
    <cellStyle name="40% - Accent1 15 5 4" xfId="15426" xr:uid="{00000000-0005-0000-0000-0000B2280000}"/>
    <cellStyle name="40% - Accent1 15 5 5" xfId="19377" xr:uid="{00000000-0005-0000-0000-0000B3280000}"/>
    <cellStyle name="40% - Accent1 15 6" xfId="4307" xr:uid="{00000000-0005-0000-0000-0000B4280000}"/>
    <cellStyle name="40% - Accent1 15 6 2" xfId="4308" xr:uid="{00000000-0005-0000-0000-0000B5280000}"/>
    <cellStyle name="40% - Accent1 15 6 2 2" xfId="15430" xr:uid="{00000000-0005-0000-0000-0000B6280000}"/>
    <cellStyle name="40% - Accent1 15 6 2 3" xfId="19381" xr:uid="{00000000-0005-0000-0000-0000B7280000}"/>
    <cellStyle name="40% - Accent1 15 6 3" xfId="4309" xr:uid="{00000000-0005-0000-0000-0000B8280000}"/>
    <cellStyle name="40% - Accent1 15 6 3 2" xfId="15431" xr:uid="{00000000-0005-0000-0000-0000B9280000}"/>
    <cellStyle name="40% - Accent1 15 6 3 3" xfId="19382" xr:uid="{00000000-0005-0000-0000-0000BA280000}"/>
    <cellStyle name="40% - Accent1 15 6 4" xfId="15429" xr:uid="{00000000-0005-0000-0000-0000BB280000}"/>
    <cellStyle name="40% - Accent1 15 6 5" xfId="19380" xr:uid="{00000000-0005-0000-0000-0000BC280000}"/>
    <cellStyle name="40% - Accent1 15 7" xfId="4310" xr:uid="{00000000-0005-0000-0000-0000BD280000}"/>
    <cellStyle name="40% - Accent1 15 7 2" xfId="15432" xr:uid="{00000000-0005-0000-0000-0000BE280000}"/>
    <cellStyle name="40% - Accent1 15 7 3" xfId="19383" xr:uid="{00000000-0005-0000-0000-0000BF280000}"/>
    <cellStyle name="40% - Accent1 15 8" xfId="4311" xr:uid="{00000000-0005-0000-0000-0000C0280000}"/>
    <cellStyle name="40% - Accent1 15 8 2" xfId="15433" xr:uid="{00000000-0005-0000-0000-0000C1280000}"/>
    <cellStyle name="40% - Accent1 15 8 3" xfId="19384" xr:uid="{00000000-0005-0000-0000-0000C2280000}"/>
    <cellStyle name="40% - Accent1 15 9" xfId="15401" xr:uid="{00000000-0005-0000-0000-0000C3280000}"/>
    <cellStyle name="40% - Accent1 15_Volatility" xfId="4312" xr:uid="{00000000-0005-0000-0000-0000C4280000}"/>
    <cellStyle name="40% - Accent1 16" xfId="4313" xr:uid="{00000000-0005-0000-0000-0000C5280000}"/>
    <cellStyle name="40% - Accent1 16 2" xfId="15434" xr:uid="{00000000-0005-0000-0000-0000C6280000}"/>
    <cellStyle name="40% - Accent1 16 3" xfId="19385" xr:uid="{00000000-0005-0000-0000-0000C7280000}"/>
    <cellStyle name="40% - Accent1 17" xfId="4314" xr:uid="{00000000-0005-0000-0000-0000C8280000}"/>
    <cellStyle name="40% - Accent1 17 2" xfId="15435" xr:uid="{00000000-0005-0000-0000-0000C9280000}"/>
    <cellStyle name="40% - Accent1 17 3" xfId="19386" xr:uid="{00000000-0005-0000-0000-0000CA280000}"/>
    <cellStyle name="40% - Accent1 18" xfId="4315" xr:uid="{00000000-0005-0000-0000-0000CB280000}"/>
    <cellStyle name="40% - Accent1 18 2" xfId="15436" xr:uid="{00000000-0005-0000-0000-0000CC280000}"/>
    <cellStyle name="40% - Accent1 18 3" xfId="19387" xr:uid="{00000000-0005-0000-0000-0000CD280000}"/>
    <cellStyle name="40% - Accent1 19" xfId="4316" xr:uid="{00000000-0005-0000-0000-0000CE280000}"/>
    <cellStyle name="40% - Accent1 19 2" xfId="15437" xr:uid="{00000000-0005-0000-0000-0000CF280000}"/>
    <cellStyle name="40% - Accent1 19 3" xfId="19388" xr:uid="{00000000-0005-0000-0000-0000D0280000}"/>
    <cellStyle name="40% - Accent1 2" xfId="4317" xr:uid="{00000000-0005-0000-0000-0000D1280000}"/>
    <cellStyle name="40% - Accent1 2 10" xfId="19389" xr:uid="{00000000-0005-0000-0000-0000D2280000}"/>
    <cellStyle name="40% - Accent1 2 2" xfId="4318" xr:uid="{00000000-0005-0000-0000-0000D3280000}"/>
    <cellStyle name="40% - Accent1 2 2 2" xfId="4319" xr:uid="{00000000-0005-0000-0000-0000D4280000}"/>
    <cellStyle name="40% - Accent1 2 2 2 2" xfId="4320" xr:uid="{00000000-0005-0000-0000-0000D5280000}"/>
    <cellStyle name="40% - Accent1 2 2 2 2 2" xfId="15441" xr:uid="{00000000-0005-0000-0000-0000D6280000}"/>
    <cellStyle name="40% - Accent1 2 2 2 2 3" xfId="19392" xr:uid="{00000000-0005-0000-0000-0000D7280000}"/>
    <cellStyle name="40% - Accent1 2 2 2 3" xfId="4321" xr:uid="{00000000-0005-0000-0000-0000D8280000}"/>
    <cellStyle name="40% - Accent1 2 2 2 3 2" xfId="15442" xr:uid="{00000000-0005-0000-0000-0000D9280000}"/>
    <cellStyle name="40% - Accent1 2 2 2 3 3" xfId="19393" xr:uid="{00000000-0005-0000-0000-0000DA280000}"/>
    <cellStyle name="40% - Accent1 2 2 2 4" xfId="15440" xr:uid="{00000000-0005-0000-0000-0000DB280000}"/>
    <cellStyle name="40% - Accent1 2 2 2 5" xfId="19391" xr:uid="{00000000-0005-0000-0000-0000DC280000}"/>
    <cellStyle name="40% - Accent1 2 2 3" xfId="4322" xr:uid="{00000000-0005-0000-0000-0000DD280000}"/>
    <cellStyle name="40% - Accent1 2 2 3 2" xfId="4323" xr:uid="{00000000-0005-0000-0000-0000DE280000}"/>
    <cellStyle name="40% - Accent1 2 2 3 2 2" xfId="15444" xr:uid="{00000000-0005-0000-0000-0000DF280000}"/>
    <cellStyle name="40% - Accent1 2 2 3 2 3" xfId="19395" xr:uid="{00000000-0005-0000-0000-0000E0280000}"/>
    <cellStyle name="40% - Accent1 2 2 3 3" xfId="4324" xr:uid="{00000000-0005-0000-0000-0000E1280000}"/>
    <cellStyle name="40% - Accent1 2 2 3 3 2" xfId="15445" xr:uid="{00000000-0005-0000-0000-0000E2280000}"/>
    <cellStyle name="40% - Accent1 2 2 3 3 3" xfId="19396" xr:uid="{00000000-0005-0000-0000-0000E3280000}"/>
    <cellStyle name="40% - Accent1 2 2 3 4" xfId="15443" xr:uid="{00000000-0005-0000-0000-0000E4280000}"/>
    <cellStyle name="40% - Accent1 2 2 3 5" xfId="19394" xr:uid="{00000000-0005-0000-0000-0000E5280000}"/>
    <cellStyle name="40% - Accent1 2 2 4" xfId="4325" xr:uid="{00000000-0005-0000-0000-0000E6280000}"/>
    <cellStyle name="40% - Accent1 2 2 4 2" xfId="4326" xr:uid="{00000000-0005-0000-0000-0000E7280000}"/>
    <cellStyle name="40% - Accent1 2 2 4 2 2" xfId="15447" xr:uid="{00000000-0005-0000-0000-0000E8280000}"/>
    <cellStyle name="40% - Accent1 2 2 4 2 3" xfId="19398" xr:uid="{00000000-0005-0000-0000-0000E9280000}"/>
    <cellStyle name="40% - Accent1 2 2 4 3" xfId="4327" xr:uid="{00000000-0005-0000-0000-0000EA280000}"/>
    <cellStyle name="40% - Accent1 2 2 4 3 2" xfId="15448" xr:uid="{00000000-0005-0000-0000-0000EB280000}"/>
    <cellStyle name="40% - Accent1 2 2 4 3 3" xfId="19399" xr:uid="{00000000-0005-0000-0000-0000EC280000}"/>
    <cellStyle name="40% - Accent1 2 2 4 4" xfId="15446" xr:uid="{00000000-0005-0000-0000-0000ED280000}"/>
    <cellStyle name="40% - Accent1 2 2 4 5" xfId="19397" xr:uid="{00000000-0005-0000-0000-0000EE280000}"/>
    <cellStyle name="40% - Accent1 2 2 5" xfId="4328" xr:uid="{00000000-0005-0000-0000-0000EF280000}"/>
    <cellStyle name="40% - Accent1 2 2 5 2" xfId="15449" xr:uid="{00000000-0005-0000-0000-0000F0280000}"/>
    <cellStyle name="40% - Accent1 2 2 5 3" xfId="19400" xr:uid="{00000000-0005-0000-0000-0000F1280000}"/>
    <cellStyle name="40% - Accent1 2 2 6" xfId="4329" xr:uid="{00000000-0005-0000-0000-0000F2280000}"/>
    <cellStyle name="40% - Accent1 2 2 6 2" xfId="15450" xr:uid="{00000000-0005-0000-0000-0000F3280000}"/>
    <cellStyle name="40% - Accent1 2 2 6 3" xfId="19401" xr:uid="{00000000-0005-0000-0000-0000F4280000}"/>
    <cellStyle name="40% - Accent1 2 2 7" xfId="15439" xr:uid="{00000000-0005-0000-0000-0000F5280000}"/>
    <cellStyle name="40% - Accent1 2 2 8" xfId="19390" xr:uid="{00000000-0005-0000-0000-0000F6280000}"/>
    <cellStyle name="40% - Accent1 2 2_Volatility" xfId="4330" xr:uid="{00000000-0005-0000-0000-0000F7280000}"/>
    <cellStyle name="40% - Accent1 2 3" xfId="4331" xr:uid="{00000000-0005-0000-0000-0000F8280000}"/>
    <cellStyle name="40% - Accent1 2 3 2" xfId="4332" xr:uid="{00000000-0005-0000-0000-0000F9280000}"/>
    <cellStyle name="40% - Accent1 2 3 2 2" xfId="4333" xr:uid="{00000000-0005-0000-0000-0000FA280000}"/>
    <cellStyle name="40% - Accent1 2 3 2 2 2" xfId="15453" xr:uid="{00000000-0005-0000-0000-0000FB280000}"/>
    <cellStyle name="40% - Accent1 2 3 2 2 3" xfId="19404" xr:uid="{00000000-0005-0000-0000-0000FC280000}"/>
    <cellStyle name="40% - Accent1 2 3 2 3" xfId="4334" xr:uid="{00000000-0005-0000-0000-0000FD280000}"/>
    <cellStyle name="40% - Accent1 2 3 2 3 2" xfId="15454" xr:uid="{00000000-0005-0000-0000-0000FE280000}"/>
    <cellStyle name="40% - Accent1 2 3 2 3 3" xfId="19405" xr:uid="{00000000-0005-0000-0000-0000FF280000}"/>
    <cellStyle name="40% - Accent1 2 3 2 4" xfId="15452" xr:uid="{00000000-0005-0000-0000-000000290000}"/>
    <cellStyle name="40% - Accent1 2 3 2 5" xfId="19403" xr:uid="{00000000-0005-0000-0000-000001290000}"/>
    <cellStyle name="40% - Accent1 2 3 3" xfId="4335" xr:uid="{00000000-0005-0000-0000-000002290000}"/>
    <cellStyle name="40% - Accent1 2 3 3 2" xfId="4336" xr:uid="{00000000-0005-0000-0000-000003290000}"/>
    <cellStyle name="40% - Accent1 2 3 3 2 2" xfId="15456" xr:uid="{00000000-0005-0000-0000-000004290000}"/>
    <cellStyle name="40% - Accent1 2 3 3 2 3" xfId="19407" xr:uid="{00000000-0005-0000-0000-000005290000}"/>
    <cellStyle name="40% - Accent1 2 3 3 3" xfId="4337" xr:uid="{00000000-0005-0000-0000-000006290000}"/>
    <cellStyle name="40% - Accent1 2 3 3 3 2" xfId="15457" xr:uid="{00000000-0005-0000-0000-000007290000}"/>
    <cellStyle name="40% - Accent1 2 3 3 3 3" xfId="19408" xr:uid="{00000000-0005-0000-0000-000008290000}"/>
    <cellStyle name="40% - Accent1 2 3 3 4" xfId="15455" xr:uid="{00000000-0005-0000-0000-000009290000}"/>
    <cellStyle name="40% - Accent1 2 3 3 5" xfId="19406" xr:uid="{00000000-0005-0000-0000-00000A290000}"/>
    <cellStyle name="40% - Accent1 2 3 4" xfId="4338" xr:uid="{00000000-0005-0000-0000-00000B290000}"/>
    <cellStyle name="40% - Accent1 2 3 4 2" xfId="15458" xr:uid="{00000000-0005-0000-0000-00000C290000}"/>
    <cellStyle name="40% - Accent1 2 3 4 3" xfId="19409" xr:uid="{00000000-0005-0000-0000-00000D290000}"/>
    <cellStyle name="40% - Accent1 2 3 5" xfId="4339" xr:uid="{00000000-0005-0000-0000-00000E290000}"/>
    <cellStyle name="40% - Accent1 2 3 5 2" xfId="15459" xr:uid="{00000000-0005-0000-0000-00000F290000}"/>
    <cellStyle name="40% - Accent1 2 3 5 3" xfId="19410" xr:uid="{00000000-0005-0000-0000-000010290000}"/>
    <cellStyle name="40% - Accent1 2 3 6" xfId="15451" xr:uid="{00000000-0005-0000-0000-000011290000}"/>
    <cellStyle name="40% - Accent1 2 3 7" xfId="19402" xr:uid="{00000000-0005-0000-0000-000012290000}"/>
    <cellStyle name="40% - Accent1 2 3_Volatility" xfId="4340" xr:uid="{00000000-0005-0000-0000-000013290000}"/>
    <cellStyle name="40% - Accent1 2 4" xfId="4341" xr:uid="{00000000-0005-0000-0000-000014290000}"/>
    <cellStyle name="40% - Accent1 2 4 2" xfId="4342" xr:uid="{00000000-0005-0000-0000-000015290000}"/>
    <cellStyle name="40% - Accent1 2 4 2 2" xfId="15461" xr:uid="{00000000-0005-0000-0000-000016290000}"/>
    <cellStyle name="40% - Accent1 2 4 2 3" xfId="19412" xr:uid="{00000000-0005-0000-0000-000017290000}"/>
    <cellStyle name="40% - Accent1 2 4 3" xfId="4343" xr:uid="{00000000-0005-0000-0000-000018290000}"/>
    <cellStyle name="40% - Accent1 2 4 3 2" xfId="15462" xr:uid="{00000000-0005-0000-0000-000019290000}"/>
    <cellStyle name="40% - Accent1 2 4 3 3" xfId="19413" xr:uid="{00000000-0005-0000-0000-00001A290000}"/>
    <cellStyle name="40% - Accent1 2 4 4" xfId="15460" xr:uid="{00000000-0005-0000-0000-00001B290000}"/>
    <cellStyle name="40% - Accent1 2 4 5" xfId="19411" xr:uid="{00000000-0005-0000-0000-00001C290000}"/>
    <cellStyle name="40% - Accent1 2 5" xfId="4344" xr:uid="{00000000-0005-0000-0000-00001D290000}"/>
    <cellStyle name="40% - Accent1 2 5 2" xfId="4345" xr:uid="{00000000-0005-0000-0000-00001E290000}"/>
    <cellStyle name="40% - Accent1 2 5 2 2" xfId="15464" xr:uid="{00000000-0005-0000-0000-00001F290000}"/>
    <cellStyle name="40% - Accent1 2 5 2 3" xfId="19415" xr:uid="{00000000-0005-0000-0000-000020290000}"/>
    <cellStyle name="40% - Accent1 2 5 3" xfId="4346" xr:uid="{00000000-0005-0000-0000-000021290000}"/>
    <cellStyle name="40% - Accent1 2 5 3 2" xfId="15465" xr:uid="{00000000-0005-0000-0000-000022290000}"/>
    <cellStyle name="40% - Accent1 2 5 3 3" xfId="19416" xr:uid="{00000000-0005-0000-0000-000023290000}"/>
    <cellStyle name="40% - Accent1 2 5 4" xfId="15463" xr:uid="{00000000-0005-0000-0000-000024290000}"/>
    <cellStyle name="40% - Accent1 2 5 5" xfId="19414" xr:uid="{00000000-0005-0000-0000-000025290000}"/>
    <cellStyle name="40% - Accent1 2 6" xfId="4347" xr:uid="{00000000-0005-0000-0000-000026290000}"/>
    <cellStyle name="40% - Accent1 2 6 2" xfId="4348" xr:uid="{00000000-0005-0000-0000-000027290000}"/>
    <cellStyle name="40% - Accent1 2 6 2 2" xfId="15467" xr:uid="{00000000-0005-0000-0000-000028290000}"/>
    <cellStyle name="40% - Accent1 2 6 2 3" xfId="19418" xr:uid="{00000000-0005-0000-0000-000029290000}"/>
    <cellStyle name="40% - Accent1 2 6 3" xfId="4349" xr:uid="{00000000-0005-0000-0000-00002A290000}"/>
    <cellStyle name="40% - Accent1 2 6 3 2" xfId="15468" xr:uid="{00000000-0005-0000-0000-00002B290000}"/>
    <cellStyle name="40% - Accent1 2 6 3 3" xfId="19419" xr:uid="{00000000-0005-0000-0000-00002C290000}"/>
    <cellStyle name="40% - Accent1 2 6 4" xfId="15466" xr:uid="{00000000-0005-0000-0000-00002D290000}"/>
    <cellStyle name="40% - Accent1 2 6 5" xfId="19417" xr:uid="{00000000-0005-0000-0000-00002E290000}"/>
    <cellStyle name="40% - Accent1 2 7" xfId="4350" xr:uid="{00000000-0005-0000-0000-00002F290000}"/>
    <cellStyle name="40% - Accent1 2 7 2" xfId="15469" xr:uid="{00000000-0005-0000-0000-000030290000}"/>
    <cellStyle name="40% - Accent1 2 7 3" xfId="19420" xr:uid="{00000000-0005-0000-0000-000031290000}"/>
    <cellStyle name="40% - Accent1 2 8" xfId="4351" xr:uid="{00000000-0005-0000-0000-000032290000}"/>
    <cellStyle name="40% - Accent1 2 8 2" xfId="15470" xr:uid="{00000000-0005-0000-0000-000033290000}"/>
    <cellStyle name="40% - Accent1 2 8 3" xfId="19421" xr:uid="{00000000-0005-0000-0000-000034290000}"/>
    <cellStyle name="40% - Accent1 2 9" xfId="15438" xr:uid="{00000000-0005-0000-0000-000035290000}"/>
    <cellStyle name="40% - Accent1 2_Volatility" xfId="4352" xr:uid="{00000000-0005-0000-0000-000036290000}"/>
    <cellStyle name="40% - Accent1 3" xfId="4353" xr:uid="{00000000-0005-0000-0000-000037290000}"/>
    <cellStyle name="40% - Accent1 3 10" xfId="19422" xr:uid="{00000000-0005-0000-0000-000038290000}"/>
    <cellStyle name="40% - Accent1 3 2" xfId="4354" xr:uid="{00000000-0005-0000-0000-000039290000}"/>
    <cellStyle name="40% - Accent1 3 2 2" xfId="4355" xr:uid="{00000000-0005-0000-0000-00003A290000}"/>
    <cellStyle name="40% - Accent1 3 2 2 2" xfId="4356" xr:uid="{00000000-0005-0000-0000-00003B290000}"/>
    <cellStyle name="40% - Accent1 3 2 2 2 2" xfId="15474" xr:uid="{00000000-0005-0000-0000-00003C290000}"/>
    <cellStyle name="40% - Accent1 3 2 2 2 3" xfId="19425" xr:uid="{00000000-0005-0000-0000-00003D290000}"/>
    <cellStyle name="40% - Accent1 3 2 2 3" xfId="4357" xr:uid="{00000000-0005-0000-0000-00003E290000}"/>
    <cellStyle name="40% - Accent1 3 2 2 3 2" xfId="15475" xr:uid="{00000000-0005-0000-0000-00003F290000}"/>
    <cellStyle name="40% - Accent1 3 2 2 3 3" xfId="19426" xr:uid="{00000000-0005-0000-0000-000040290000}"/>
    <cellStyle name="40% - Accent1 3 2 2 4" xfId="15473" xr:uid="{00000000-0005-0000-0000-000041290000}"/>
    <cellStyle name="40% - Accent1 3 2 2 5" xfId="19424" xr:uid="{00000000-0005-0000-0000-000042290000}"/>
    <cellStyle name="40% - Accent1 3 2 3" xfId="4358" xr:uid="{00000000-0005-0000-0000-000043290000}"/>
    <cellStyle name="40% - Accent1 3 2 3 2" xfId="4359" xr:uid="{00000000-0005-0000-0000-000044290000}"/>
    <cellStyle name="40% - Accent1 3 2 3 2 2" xfId="15477" xr:uid="{00000000-0005-0000-0000-000045290000}"/>
    <cellStyle name="40% - Accent1 3 2 3 2 3" xfId="19428" xr:uid="{00000000-0005-0000-0000-000046290000}"/>
    <cellStyle name="40% - Accent1 3 2 3 3" xfId="4360" xr:uid="{00000000-0005-0000-0000-000047290000}"/>
    <cellStyle name="40% - Accent1 3 2 3 3 2" xfId="15478" xr:uid="{00000000-0005-0000-0000-000048290000}"/>
    <cellStyle name="40% - Accent1 3 2 3 3 3" xfId="19429" xr:uid="{00000000-0005-0000-0000-000049290000}"/>
    <cellStyle name="40% - Accent1 3 2 3 4" xfId="15476" xr:uid="{00000000-0005-0000-0000-00004A290000}"/>
    <cellStyle name="40% - Accent1 3 2 3 5" xfId="19427" xr:uid="{00000000-0005-0000-0000-00004B290000}"/>
    <cellStyle name="40% - Accent1 3 2 4" xfId="4361" xr:uid="{00000000-0005-0000-0000-00004C290000}"/>
    <cellStyle name="40% - Accent1 3 2 4 2" xfId="4362" xr:uid="{00000000-0005-0000-0000-00004D290000}"/>
    <cellStyle name="40% - Accent1 3 2 4 2 2" xfId="15480" xr:uid="{00000000-0005-0000-0000-00004E290000}"/>
    <cellStyle name="40% - Accent1 3 2 4 2 3" xfId="19431" xr:uid="{00000000-0005-0000-0000-00004F290000}"/>
    <cellStyle name="40% - Accent1 3 2 4 3" xfId="4363" xr:uid="{00000000-0005-0000-0000-000050290000}"/>
    <cellStyle name="40% - Accent1 3 2 4 3 2" xfId="15481" xr:uid="{00000000-0005-0000-0000-000051290000}"/>
    <cellStyle name="40% - Accent1 3 2 4 3 3" xfId="19432" xr:uid="{00000000-0005-0000-0000-000052290000}"/>
    <cellStyle name="40% - Accent1 3 2 4 4" xfId="15479" xr:uid="{00000000-0005-0000-0000-000053290000}"/>
    <cellStyle name="40% - Accent1 3 2 4 5" xfId="19430" xr:uid="{00000000-0005-0000-0000-000054290000}"/>
    <cellStyle name="40% - Accent1 3 2 5" xfId="4364" xr:uid="{00000000-0005-0000-0000-000055290000}"/>
    <cellStyle name="40% - Accent1 3 2 5 2" xfId="15482" xr:uid="{00000000-0005-0000-0000-000056290000}"/>
    <cellStyle name="40% - Accent1 3 2 5 3" xfId="19433" xr:uid="{00000000-0005-0000-0000-000057290000}"/>
    <cellStyle name="40% - Accent1 3 2 6" xfId="4365" xr:uid="{00000000-0005-0000-0000-000058290000}"/>
    <cellStyle name="40% - Accent1 3 2 6 2" xfId="15483" xr:uid="{00000000-0005-0000-0000-000059290000}"/>
    <cellStyle name="40% - Accent1 3 2 6 3" xfId="19434" xr:uid="{00000000-0005-0000-0000-00005A290000}"/>
    <cellStyle name="40% - Accent1 3 2 7" xfId="15472" xr:uid="{00000000-0005-0000-0000-00005B290000}"/>
    <cellStyle name="40% - Accent1 3 2 8" xfId="19423" xr:uid="{00000000-0005-0000-0000-00005C290000}"/>
    <cellStyle name="40% - Accent1 3 2_Volatility" xfId="4366" xr:uid="{00000000-0005-0000-0000-00005D290000}"/>
    <cellStyle name="40% - Accent1 3 3" xfId="4367" xr:uid="{00000000-0005-0000-0000-00005E290000}"/>
    <cellStyle name="40% - Accent1 3 3 2" xfId="4368" xr:uid="{00000000-0005-0000-0000-00005F290000}"/>
    <cellStyle name="40% - Accent1 3 3 2 2" xfId="4369" xr:uid="{00000000-0005-0000-0000-000060290000}"/>
    <cellStyle name="40% - Accent1 3 3 2 2 2" xfId="15486" xr:uid="{00000000-0005-0000-0000-000061290000}"/>
    <cellStyle name="40% - Accent1 3 3 2 2 3" xfId="19437" xr:uid="{00000000-0005-0000-0000-000062290000}"/>
    <cellStyle name="40% - Accent1 3 3 2 3" xfId="4370" xr:uid="{00000000-0005-0000-0000-000063290000}"/>
    <cellStyle name="40% - Accent1 3 3 2 3 2" xfId="15487" xr:uid="{00000000-0005-0000-0000-000064290000}"/>
    <cellStyle name="40% - Accent1 3 3 2 3 3" xfId="19438" xr:uid="{00000000-0005-0000-0000-000065290000}"/>
    <cellStyle name="40% - Accent1 3 3 2 4" xfId="15485" xr:uid="{00000000-0005-0000-0000-000066290000}"/>
    <cellStyle name="40% - Accent1 3 3 2 5" xfId="19436" xr:uid="{00000000-0005-0000-0000-000067290000}"/>
    <cellStyle name="40% - Accent1 3 3 3" xfId="4371" xr:uid="{00000000-0005-0000-0000-000068290000}"/>
    <cellStyle name="40% - Accent1 3 3 3 2" xfId="4372" xr:uid="{00000000-0005-0000-0000-000069290000}"/>
    <cellStyle name="40% - Accent1 3 3 3 2 2" xfId="15489" xr:uid="{00000000-0005-0000-0000-00006A290000}"/>
    <cellStyle name="40% - Accent1 3 3 3 2 3" xfId="19440" xr:uid="{00000000-0005-0000-0000-00006B290000}"/>
    <cellStyle name="40% - Accent1 3 3 3 3" xfId="4373" xr:uid="{00000000-0005-0000-0000-00006C290000}"/>
    <cellStyle name="40% - Accent1 3 3 3 3 2" xfId="15490" xr:uid="{00000000-0005-0000-0000-00006D290000}"/>
    <cellStyle name="40% - Accent1 3 3 3 3 3" xfId="19441" xr:uid="{00000000-0005-0000-0000-00006E290000}"/>
    <cellStyle name="40% - Accent1 3 3 3 4" xfId="15488" xr:uid="{00000000-0005-0000-0000-00006F290000}"/>
    <cellStyle name="40% - Accent1 3 3 3 5" xfId="19439" xr:uid="{00000000-0005-0000-0000-000070290000}"/>
    <cellStyle name="40% - Accent1 3 3 4" xfId="4374" xr:uid="{00000000-0005-0000-0000-000071290000}"/>
    <cellStyle name="40% - Accent1 3 3 4 2" xfId="15491" xr:uid="{00000000-0005-0000-0000-000072290000}"/>
    <cellStyle name="40% - Accent1 3 3 4 3" xfId="19442" xr:uid="{00000000-0005-0000-0000-000073290000}"/>
    <cellStyle name="40% - Accent1 3 3 5" xfId="4375" xr:uid="{00000000-0005-0000-0000-000074290000}"/>
    <cellStyle name="40% - Accent1 3 3 5 2" xfId="15492" xr:uid="{00000000-0005-0000-0000-000075290000}"/>
    <cellStyle name="40% - Accent1 3 3 5 3" xfId="19443" xr:uid="{00000000-0005-0000-0000-000076290000}"/>
    <cellStyle name="40% - Accent1 3 3 6" xfId="15484" xr:uid="{00000000-0005-0000-0000-000077290000}"/>
    <cellStyle name="40% - Accent1 3 3 7" xfId="19435" xr:uid="{00000000-0005-0000-0000-000078290000}"/>
    <cellStyle name="40% - Accent1 3 3_Volatility" xfId="4376" xr:uid="{00000000-0005-0000-0000-000079290000}"/>
    <cellStyle name="40% - Accent1 3 4" xfId="4377" xr:uid="{00000000-0005-0000-0000-00007A290000}"/>
    <cellStyle name="40% - Accent1 3 4 2" xfId="4378" xr:uid="{00000000-0005-0000-0000-00007B290000}"/>
    <cellStyle name="40% - Accent1 3 4 2 2" xfId="15494" xr:uid="{00000000-0005-0000-0000-00007C290000}"/>
    <cellStyle name="40% - Accent1 3 4 2 3" xfId="19445" xr:uid="{00000000-0005-0000-0000-00007D290000}"/>
    <cellStyle name="40% - Accent1 3 4 3" xfId="4379" xr:uid="{00000000-0005-0000-0000-00007E290000}"/>
    <cellStyle name="40% - Accent1 3 4 3 2" xfId="15495" xr:uid="{00000000-0005-0000-0000-00007F290000}"/>
    <cellStyle name="40% - Accent1 3 4 3 3" xfId="19446" xr:uid="{00000000-0005-0000-0000-000080290000}"/>
    <cellStyle name="40% - Accent1 3 4 4" xfId="15493" xr:uid="{00000000-0005-0000-0000-000081290000}"/>
    <cellStyle name="40% - Accent1 3 4 5" xfId="19444" xr:uid="{00000000-0005-0000-0000-000082290000}"/>
    <cellStyle name="40% - Accent1 3 5" xfId="4380" xr:uid="{00000000-0005-0000-0000-000083290000}"/>
    <cellStyle name="40% - Accent1 3 5 2" xfId="4381" xr:uid="{00000000-0005-0000-0000-000084290000}"/>
    <cellStyle name="40% - Accent1 3 5 2 2" xfId="15497" xr:uid="{00000000-0005-0000-0000-000085290000}"/>
    <cellStyle name="40% - Accent1 3 5 2 3" xfId="19448" xr:uid="{00000000-0005-0000-0000-000086290000}"/>
    <cellStyle name="40% - Accent1 3 5 3" xfId="4382" xr:uid="{00000000-0005-0000-0000-000087290000}"/>
    <cellStyle name="40% - Accent1 3 5 3 2" xfId="15498" xr:uid="{00000000-0005-0000-0000-000088290000}"/>
    <cellStyle name="40% - Accent1 3 5 3 3" xfId="19449" xr:uid="{00000000-0005-0000-0000-000089290000}"/>
    <cellStyle name="40% - Accent1 3 5 4" xfId="15496" xr:uid="{00000000-0005-0000-0000-00008A290000}"/>
    <cellStyle name="40% - Accent1 3 5 5" xfId="19447" xr:uid="{00000000-0005-0000-0000-00008B290000}"/>
    <cellStyle name="40% - Accent1 3 6" xfId="4383" xr:uid="{00000000-0005-0000-0000-00008C290000}"/>
    <cellStyle name="40% - Accent1 3 6 2" xfId="4384" xr:uid="{00000000-0005-0000-0000-00008D290000}"/>
    <cellStyle name="40% - Accent1 3 6 2 2" xfId="15500" xr:uid="{00000000-0005-0000-0000-00008E290000}"/>
    <cellStyle name="40% - Accent1 3 6 2 3" xfId="19451" xr:uid="{00000000-0005-0000-0000-00008F290000}"/>
    <cellStyle name="40% - Accent1 3 6 3" xfId="4385" xr:uid="{00000000-0005-0000-0000-000090290000}"/>
    <cellStyle name="40% - Accent1 3 6 3 2" xfId="15501" xr:uid="{00000000-0005-0000-0000-000091290000}"/>
    <cellStyle name="40% - Accent1 3 6 3 3" xfId="19452" xr:uid="{00000000-0005-0000-0000-000092290000}"/>
    <cellStyle name="40% - Accent1 3 6 4" xfId="15499" xr:uid="{00000000-0005-0000-0000-000093290000}"/>
    <cellStyle name="40% - Accent1 3 6 5" xfId="19450" xr:uid="{00000000-0005-0000-0000-000094290000}"/>
    <cellStyle name="40% - Accent1 3 7" xfId="4386" xr:uid="{00000000-0005-0000-0000-000095290000}"/>
    <cellStyle name="40% - Accent1 3 7 2" xfId="15502" xr:uid="{00000000-0005-0000-0000-000096290000}"/>
    <cellStyle name="40% - Accent1 3 7 3" xfId="19453" xr:uid="{00000000-0005-0000-0000-000097290000}"/>
    <cellStyle name="40% - Accent1 3 8" xfId="4387" xr:uid="{00000000-0005-0000-0000-000098290000}"/>
    <cellStyle name="40% - Accent1 3 8 2" xfId="15503" xr:uid="{00000000-0005-0000-0000-000099290000}"/>
    <cellStyle name="40% - Accent1 3 8 3" xfId="19454" xr:uid="{00000000-0005-0000-0000-00009A290000}"/>
    <cellStyle name="40% - Accent1 3 9" xfId="15471" xr:uid="{00000000-0005-0000-0000-00009B290000}"/>
    <cellStyle name="40% - Accent1 3_Volatility" xfId="4388" xr:uid="{00000000-0005-0000-0000-00009C290000}"/>
    <cellStyle name="40% - Accent1 4" xfId="4389" xr:uid="{00000000-0005-0000-0000-00009D290000}"/>
    <cellStyle name="40% - Accent1 4 10" xfId="19455" xr:uid="{00000000-0005-0000-0000-00009E290000}"/>
    <cellStyle name="40% - Accent1 4 2" xfId="4390" xr:uid="{00000000-0005-0000-0000-00009F290000}"/>
    <cellStyle name="40% - Accent1 4 2 2" xfId="4391" xr:uid="{00000000-0005-0000-0000-0000A0290000}"/>
    <cellStyle name="40% - Accent1 4 2 2 2" xfId="4392" xr:uid="{00000000-0005-0000-0000-0000A1290000}"/>
    <cellStyle name="40% - Accent1 4 2 2 2 2" xfId="15507" xr:uid="{00000000-0005-0000-0000-0000A2290000}"/>
    <cellStyle name="40% - Accent1 4 2 2 2 3" xfId="19458" xr:uid="{00000000-0005-0000-0000-0000A3290000}"/>
    <cellStyle name="40% - Accent1 4 2 2 3" xfId="4393" xr:uid="{00000000-0005-0000-0000-0000A4290000}"/>
    <cellStyle name="40% - Accent1 4 2 2 3 2" xfId="15508" xr:uid="{00000000-0005-0000-0000-0000A5290000}"/>
    <cellStyle name="40% - Accent1 4 2 2 3 3" xfId="19459" xr:uid="{00000000-0005-0000-0000-0000A6290000}"/>
    <cellStyle name="40% - Accent1 4 2 2 4" xfId="15506" xr:uid="{00000000-0005-0000-0000-0000A7290000}"/>
    <cellStyle name="40% - Accent1 4 2 2 5" xfId="19457" xr:uid="{00000000-0005-0000-0000-0000A8290000}"/>
    <cellStyle name="40% - Accent1 4 2 3" xfId="4394" xr:uid="{00000000-0005-0000-0000-0000A9290000}"/>
    <cellStyle name="40% - Accent1 4 2 3 2" xfId="4395" xr:uid="{00000000-0005-0000-0000-0000AA290000}"/>
    <cellStyle name="40% - Accent1 4 2 3 2 2" xfId="15510" xr:uid="{00000000-0005-0000-0000-0000AB290000}"/>
    <cellStyle name="40% - Accent1 4 2 3 2 3" xfId="19461" xr:uid="{00000000-0005-0000-0000-0000AC290000}"/>
    <cellStyle name="40% - Accent1 4 2 3 3" xfId="4396" xr:uid="{00000000-0005-0000-0000-0000AD290000}"/>
    <cellStyle name="40% - Accent1 4 2 3 3 2" xfId="15511" xr:uid="{00000000-0005-0000-0000-0000AE290000}"/>
    <cellStyle name="40% - Accent1 4 2 3 3 3" xfId="19462" xr:uid="{00000000-0005-0000-0000-0000AF290000}"/>
    <cellStyle name="40% - Accent1 4 2 3 4" xfId="15509" xr:uid="{00000000-0005-0000-0000-0000B0290000}"/>
    <cellStyle name="40% - Accent1 4 2 3 5" xfId="19460" xr:uid="{00000000-0005-0000-0000-0000B1290000}"/>
    <cellStyle name="40% - Accent1 4 2 4" xfId="4397" xr:uid="{00000000-0005-0000-0000-0000B2290000}"/>
    <cellStyle name="40% - Accent1 4 2 4 2" xfId="4398" xr:uid="{00000000-0005-0000-0000-0000B3290000}"/>
    <cellStyle name="40% - Accent1 4 2 4 2 2" xfId="15513" xr:uid="{00000000-0005-0000-0000-0000B4290000}"/>
    <cellStyle name="40% - Accent1 4 2 4 2 3" xfId="19464" xr:uid="{00000000-0005-0000-0000-0000B5290000}"/>
    <cellStyle name="40% - Accent1 4 2 4 3" xfId="4399" xr:uid="{00000000-0005-0000-0000-0000B6290000}"/>
    <cellStyle name="40% - Accent1 4 2 4 3 2" xfId="15514" xr:uid="{00000000-0005-0000-0000-0000B7290000}"/>
    <cellStyle name="40% - Accent1 4 2 4 3 3" xfId="19465" xr:uid="{00000000-0005-0000-0000-0000B8290000}"/>
    <cellStyle name="40% - Accent1 4 2 4 4" xfId="15512" xr:uid="{00000000-0005-0000-0000-0000B9290000}"/>
    <cellStyle name="40% - Accent1 4 2 4 5" xfId="19463" xr:uid="{00000000-0005-0000-0000-0000BA290000}"/>
    <cellStyle name="40% - Accent1 4 2 5" xfId="4400" xr:uid="{00000000-0005-0000-0000-0000BB290000}"/>
    <cellStyle name="40% - Accent1 4 2 5 2" xfId="15515" xr:uid="{00000000-0005-0000-0000-0000BC290000}"/>
    <cellStyle name="40% - Accent1 4 2 5 3" xfId="19466" xr:uid="{00000000-0005-0000-0000-0000BD290000}"/>
    <cellStyle name="40% - Accent1 4 2 6" xfId="4401" xr:uid="{00000000-0005-0000-0000-0000BE290000}"/>
    <cellStyle name="40% - Accent1 4 2 6 2" xfId="15516" xr:uid="{00000000-0005-0000-0000-0000BF290000}"/>
    <cellStyle name="40% - Accent1 4 2 6 3" xfId="19467" xr:uid="{00000000-0005-0000-0000-0000C0290000}"/>
    <cellStyle name="40% - Accent1 4 2 7" xfId="15505" xr:uid="{00000000-0005-0000-0000-0000C1290000}"/>
    <cellStyle name="40% - Accent1 4 2 8" xfId="19456" xr:uid="{00000000-0005-0000-0000-0000C2290000}"/>
    <cellStyle name="40% - Accent1 4 2_Volatility" xfId="4402" xr:uid="{00000000-0005-0000-0000-0000C3290000}"/>
    <cellStyle name="40% - Accent1 4 3" xfId="4403" xr:uid="{00000000-0005-0000-0000-0000C4290000}"/>
    <cellStyle name="40% - Accent1 4 3 2" xfId="4404" xr:uid="{00000000-0005-0000-0000-0000C5290000}"/>
    <cellStyle name="40% - Accent1 4 3 2 2" xfId="4405" xr:uid="{00000000-0005-0000-0000-0000C6290000}"/>
    <cellStyle name="40% - Accent1 4 3 2 2 2" xfId="15519" xr:uid="{00000000-0005-0000-0000-0000C7290000}"/>
    <cellStyle name="40% - Accent1 4 3 2 2 3" xfId="19470" xr:uid="{00000000-0005-0000-0000-0000C8290000}"/>
    <cellStyle name="40% - Accent1 4 3 2 3" xfId="4406" xr:uid="{00000000-0005-0000-0000-0000C9290000}"/>
    <cellStyle name="40% - Accent1 4 3 2 3 2" xfId="15520" xr:uid="{00000000-0005-0000-0000-0000CA290000}"/>
    <cellStyle name="40% - Accent1 4 3 2 3 3" xfId="19471" xr:uid="{00000000-0005-0000-0000-0000CB290000}"/>
    <cellStyle name="40% - Accent1 4 3 2 4" xfId="15518" xr:uid="{00000000-0005-0000-0000-0000CC290000}"/>
    <cellStyle name="40% - Accent1 4 3 2 5" xfId="19469" xr:uid="{00000000-0005-0000-0000-0000CD290000}"/>
    <cellStyle name="40% - Accent1 4 3 3" xfId="4407" xr:uid="{00000000-0005-0000-0000-0000CE290000}"/>
    <cellStyle name="40% - Accent1 4 3 3 2" xfId="4408" xr:uid="{00000000-0005-0000-0000-0000CF290000}"/>
    <cellStyle name="40% - Accent1 4 3 3 2 2" xfId="15522" xr:uid="{00000000-0005-0000-0000-0000D0290000}"/>
    <cellStyle name="40% - Accent1 4 3 3 2 3" xfId="19473" xr:uid="{00000000-0005-0000-0000-0000D1290000}"/>
    <cellStyle name="40% - Accent1 4 3 3 3" xfId="4409" xr:uid="{00000000-0005-0000-0000-0000D2290000}"/>
    <cellStyle name="40% - Accent1 4 3 3 3 2" xfId="15523" xr:uid="{00000000-0005-0000-0000-0000D3290000}"/>
    <cellStyle name="40% - Accent1 4 3 3 3 3" xfId="19474" xr:uid="{00000000-0005-0000-0000-0000D4290000}"/>
    <cellStyle name="40% - Accent1 4 3 3 4" xfId="15521" xr:uid="{00000000-0005-0000-0000-0000D5290000}"/>
    <cellStyle name="40% - Accent1 4 3 3 5" xfId="19472" xr:uid="{00000000-0005-0000-0000-0000D6290000}"/>
    <cellStyle name="40% - Accent1 4 3 4" xfId="4410" xr:uid="{00000000-0005-0000-0000-0000D7290000}"/>
    <cellStyle name="40% - Accent1 4 3 4 2" xfId="15524" xr:uid="{00000000-0005-0000-0000-0000D8290000}"/>
    <cellStyle name="40% - Accent1 4 3 4 3" xfId="19475" xr:uid="{00000000-0005-0000-0000-0000D9290000}"/>
    <cellStyle name="40% - Accent1 4 3 5" xfId="4411" xr:uid="{00000000-0005-0000-0000-0000DA290000}"/>
    <cellStyle name="40% - Accent1 4 3 5 2" xfId="15525" xr:uid="{00000000-0005-0000-0000-0000DB290000}"/>
    <cellStyle name="40% - Accent1 4 3 5 3" xfId="19476" xr:uid="{00000000-0005-0000-0000-0000DC290000}"/>
    <cellStyle name="40% - Accent1 4 3 6" xfId="15517" xr:uid="{00000000-0005-0000-0000-0000DD290000}"/>
    <cellStyle name="40% - Accent1 4 3 7" xfId="19468" xr:uid="{00000000-0005-0000-0000-0000DE290000}"/>
    <cellStyle name="40% - Accent1 4 3_Volatility" xfId="4412" xr:uid="{00000000-0005-0000-0000-0000DF290000}"/>
    <cellStyle name="40% - Accent1 4 4" xfId="4413" xr:uid="{00000000-0005-0000-0000-0000E0290000}"/>
    <cellStyle name="40% - Accent1 4 4 2" xfId="4414" xr:uid="{00000000-0005-0000-0000-0000E1290000}"/>
    <cellStyle name="40% - Accent1 4 4 2 2" xfId="15527" xr:uid="{00000000-0005-0000-0000-0000E2290000}"/>
    <cellStyle name="40% - Accent1 4 4 2 3" xfId="19478" xr:uid="{00000000-0005-0000-0000-0000E3290000}"/>
    <cellStyle name="40% - Accent1 4 4 3" xfId="4415" xr:uid="{00000000-0005-0000-0000-0000E4290000}"/>
    <cellStyle name="40% - Accent1 4 4 3 2" xfId="15528" xr:uid="{00000000-0005-0000-0000-0000E5290000}"/>
    <cellStyle name="40% - Accent1 4 4 3 3" xfId="19479" xr:uid="{00000000-0005-0000-0000-0000E6290000}"/>
    <cellStyle name="40% - Accent1 4 4 4" xfId="15526" xr:uid="{00000000-0005-0000-0000-0000E7290000}"/>
    <cellStyle name="40% - Accent1 4 4 5" xfId="19477" xr:uid="{00000000-0005-0000-0000-0000E8290000}"/>
    <cellStyle name="40% - Accent1 4 5" xfId="4416" xr:uid="{00000000-0005-0000-0000-0000E9290000}"/>
    <cellStyle name="40% - Accent1 4 5 2" xfId="4417" xr:uid="{00000000-0005-0000-0000-0000EA290000}"/>
    <cellStyle name="40% - Accent1 4 5 2 2" xfId="15530" xr:uid="{00000000-0005-0000-0000-0000EB290000}"/>
    <cellStyle name="40% - Accent1 4 5 2 3" xfId="19481" xr:uid="{00000000-0005-0000-0000-0000EC290000}"/>
    <cellStyle name="40% - Accent1 4 5 3" xfId="4418" xr:uid="{00000000-0005-0000-0000-0000ED290000}"/>
    <cellStyle name="40% - Accent1 4 5 3 2" xfId="15531" xr:uid="{00000000-0005-0000-0000-0000EE290000}"/>
    <cellStyle name="40% - Accent1 4 5 3 3" xfId="19482" xr:uid="{00000000-0005-0000-0000-0000EF290000}"/>
    <cellStyle name="40% - Accent1 4 5 4" xfId="15529" xr:uid="{00000000-0005-0000-0000-0000F0290000}"/>
    <cellStyle name="40% - Accent1 4 5 5" xfId="19480" xr:uid="{00000000-0005-0000-0000-0000F1290000}"/>
    <cellStyle name="40% - Accent1 4 6" xfId="4419" xr:uid="{00000000-0005-0000-0000-0000F2290000}"/>
    <cellStyle name="40% - Accent1 4 6 2" xfId="4420" xr:uid="{00000000-0005-0000-0000-0000F3290000}"/>
    <cellStyle name="40% - Accent1 4 6 2 2" xfId="15533" xr:uid="{00000000-0005-0000-0000-0000F4290000}"/>
    <cellStyle name="40% - Accent1 4 6 2 3" xfId="19484" xr:uid="{00000000-0005-0000-0000-0000F5290000}"/>
    <cellStyle name="40% - Accent1 4 6 3" xfId="4421" xr:uid="{00000000-0005-0000-0000-0000F6290000}"/>
    <cellStyle name="40% - Accent1 4 6 3 2" xfId="15534" xr:uid="{00000000-0005-0000-0000-0000F7290000}"/>
    <cellStyle name="40% - Accent1 4 6 3 3" xfId="19485" xr:uid="{00000000-0005-0000-0000-0000F8290000}"/>
    <cellStyle name="40% - Accent1 4 6 4" xfId="15532" xr:uid="{00000000-0005-0000-0000-0000F9290000}"/>
    <cellStyle name="40% - Accent1 4 6 5" xfId="19483" xr:uid="{00000000-0005-0000-0000-0000FA290000}"/>
    <cellStyle name="40% - Accent1 4 7" xfId="4422" xr:uid="{00000000-0005-0000-0000-0000FB290000}"/>
    <cellStyle name="40% - Accent1 4 7 2" xfId="15535" xr:uid="{00000000-0005-0000-0000-0000FC290000}"/>
    <cellStyle name="40% - Accent1 4 7 3" xfId="19486" xr:uid="{00000000-0005-0000-0000-0000FD290000}"/>
    <cellStyle name="40% - Accent1 4 8" xfId="4423" xr:uid="{00000000-0005-0000-0000-0000FE290000}"/>
    <cellStyle name="40% - Accent1 4 8 2" xfId="15536" xr:uid="{00000000-0005-0000-0000-0000FF290000}"/>
    <cellStyle name="40% - Accent1 4 8 3" xfId="19487" xr:uid="{00000000-0005-0000-0000-0000002A0000}"/>
    <cellStyle name="40% - Accent1 4 9" xfId="15504" xr:uid="{00000000-0005-0000-0000-0000012A0000}"/>
    <cellStyle name="40% - Accent1 4_Volatility" xfId="4424" xr:uid="{00000000-0005-0000-0000-0000022A0000}"/>
    <cellStyle name="40% - Accent1 5" xfId="4425" xr:uid="{00000000-0005-0000-0000-0000032A0000}"/>
    <cellStyle name="40% - Accent1 5 10" xfId="19488" xr:uid="{00000000-0005-0000-0000-0000042A0000}"/>
    <cellStyle name="40% - Accent1 5 2" xfId="4426" xr:uid="{00000000-0005-0000-0000-0000052A0000}"/>
    <cellStyle name="40% - Accent1 5 2 2" xfId="4427" xr:uid="{00000000-0005-0000-0000-0000062A0000}"/>
    <cellStyle name="40% - Accent1 5 2 2 2" xfId="4428" xr:uid="{00000000-0005-0000-0000-0000072A0000}"/>
    <cellStyle name="40% - Accent1 5 2 2 2 2" xfId="15540" xr:uid="{00000000-0005-0000-0000-0000082A0000}"/>
    <cellStyle name="40% - Accent1 5 2 2 2 3" xfId="19491" xr:uid="{00000000-0005-0000-0000-0000092A0000}"/>
    <cellStyle name="40% - Accent1 5 2 2 3" xfId="4429" xr:uid="{00000000-0005-0000-0000-00000A2A0000}"/>
    <cellStyle name="40% - Accent1 5 2 2 3 2" xfId="15541" xr:uid="{00000000-0005-0000-0000-00000B2A0000}"/>
    <cellStyle name="40% - Accent1 5 2 2 3 3" xfId="19492" xr:uid="{00000000-0005-0000-0000-00000C2A0000}"/>
    <cellStyle name="40% - Accent1 5 2 2 4" xfId="15539" xr:uid="{00000000-0005-0000-0000-00000D2A0000}"/>
    <cellStyle name="40% - Accent1 5 2 2 5" xfId="19490" xr:uid="{00000000-0005-0000-0000-00000E2A0000}"/>
    <cellStyle name="40% - Accent1 5 2 3" xfId="4430" xr:uid="{00000000-0005-0000-0000-00000F2A0000}"/>
    <cellStyle name="40% - Accent1 5 2 3 2" xfId="4431" xr:uid="{00000000-0005-0000-0000-0000102A0000}"/>
    <cellStyle name="40% - Accent1 5 2 3 2 2" xfId="15543" xr:uid="{00000000-0005-0000-0000-0000112A0000}"/>
    <cellStyle name="40% - Accent1 5 2 3 2 3" xfId="19494" xr:uid="{00000000-0005-0000-0000-0000122A0000}"/>
    <cellStyle name="40% - Accent1 5 2 3 3" xfId="4432" xr:uid="{00000000-0005-0000-0000-0000132A0000}"/>
    <cellStyle name="40% - Accent1 5 2 3 3 2" xfId="15544" xr:uid="{00000000-0005-0000-0000-0000142A0000}"/>
    <cellStyle name="40% - Accent1 5 2 3 3 3" xfId="19495" xr:uid="{00000000-0005-0000-0000-0000152A0000}"/>
    <cellStyle name="40% - Accent1 5 2 3 4" xfId="15542" xr:uid="{00000000-0005-0000-0000-0000162A0000}"/>
    <cellStyle name="40% - Accent1 5 2 3 5" xfId="19493" xr:uid="{00000000-0005-0000-0000-0000172A0000}"/>
    <cellStyle name="40% - Accent1 5 2 4" xfId="4433" xr:uid="{00000000-0005-0000-0000-0000182A0000}"/>
    <cellStyle name="40% - Accent1 5 2 4 2" xfId="4434" xr:uid="{00000000-0005-0000-0000-0000192A0000}"/>
    <cellStyle name="40% - Accent1 5 2 4 2 2" xfId="15546" xr:uid="{00000000-0005-0000-0000-00001A2A0000}"/>
    <cellStyle name="40% - Accent1 5 2 4 2 3" xfId="19497" xr:uid="{00000000-0005-0000-0000-00001B2A0000}"/>
    <cellStyle name="40% - Accent1 5 2 4 3" xfId="4435" xr:uid="{00000000-0005-0000-0000-00001C2A0000}"/>
    <cellStyle name="40% - Accent1 5 2 4 3 2" xfId="15547" xr:uid="{00000000-0005-0000-0000-00001D2A0000}"/>
    <cellStyle name="40% - Accent1 5 2 4 3 3" xfId="19498" xr:uid="{00000000-0005-0000-0000-00001E2A0000}"/>
    <cellStyle name="40% - Accent1 5 2 4 4" xfId="15545" xr:uid="{00000000-0005-0000-0000-00001F2A0000}"/>
    <cellStyle name="40% - Accent1 5 2 4 5" xfId="19496" xr:uid="{00000000-0005-0000-0000-0000202A0000}"/>
    <cellStyle name="40% - Accent1 5 2 5" xfId="4436" xr:uid="{00000000-0005-0000-0000-0000212A0000}"/>
    <cellStyle name="40% - Accent1 5 2 5 2" xfId="15548" xr:uid="{00000000-0005-0000-0000-0000222A0000}"/>
    <cellStyle name="40% - Accent1 5 2 5 3" xfId="19499" xr:uid="{00000000-0005-0000-0000-0000232A0000}"/>
    <cellStyle name="40% - Accent1 5 2 6" xfId="4437" xr:uid="{00000000-0005-0000-0000-0000242A0000}"/>
    <cellStyle name="40% - Accent1 5 2 6 2" xfId="15549" xr:uid="{00000000-0005-0000-0000-0000252A0000}"/>
    <cellStyle name="40% - Accent1 5 2 6 3" xfId="19500" xr:uid="{00000000-0005-0000-0000-0000262A0000}"/>
    <cellStyle name="40% - Accent1 5 2 7" xfId="15538" xr:uid="{00000000-0005-0000-0000-0000272A0000}"/>
    <cellStyle name="40% - Accent1 5 2 8" xfId="19489" xr:uid="{00000000-0005-0000-0000-0000282A0000}"/>
    <cellStyle name="40% - Accent1 5 2_Volatility" xfId="4438" xr:uid="{00000000-0005-0000-0000-0000292A0000}"/>
    <cellStyle name="40% - Accent1 5 3" xfId="4439" xr:uid="{00000000-0005-0000-0000-00002A2A0000}"/>
    <cellStyle name="40% - Accent1 5 3 2" xfId="4440" xr:uid="{00000000-0005-0000-0000-00002B2A0000}"/>
    <cellStyle name="40% - Accent1 5 3 2 2" xfId="4441" xr:uid="{00000000-0005-0000-0000-00002C2A0000}"/>
    <cellStyle name="40% - Accent1 5 3 2 2 2" xfId="15552" xr:uid="{00000000-0005-0000-0000-00002D2A0000}"/>
    <cellStyle name="40% - Accent1 5 3 2 2 3" xfId="19503" xr:uid="{00000000-0005-0000-0000-00002E2A0000}"/>
    <cellStyle name="40% - Accent1 5 3 2 3" xfId="4442" xr:uid="{00000000-0005-0000-0000-00002F2A0000}"/>
    <cellStyle name="40% - Accent1 5 3 2 3 2" xfId="15553" xr:uid="{00000000-0005-0000-0000-0000302A0000}"/>
    <cellStyle name="40% - Accent1 5 3 2 3 3" xfId="19504" xr:uid="{00000000-0005-0000-0000-0000312A0000}"/>
    <cellStyle name="40% - Accent1 5 3 2 4" xfId="15551" xr:uid="{00000000-0005-0000-0000-0000322A0000}"/>
    <cellStyle name="40% - Accent1 5 3 2 5" xfId="19502" xr:uid="{00000000-0005-0000-0000-0000332A0000}"/>
    <cellStyle name="40% - Accent1 5 3 3" xfId="4443" xr:uid="{00000000-0005-0000-0000-0000342A0000}"/>
    <cellStyle name="40% - Accent1 5 3 3 2" xfId="4444" xr:uid="{00000000-0005-0000-0000-0000352A0000}"/>
    <cellStyle name="40% - Accent1 5 3 3 2 2" xfId="15555" xr:uid="{00000000-0005-0000-0000-0000362A0000}"/>
    <cellStyle name="40% - Accent1 5 3 3 2 3" xfId="19506" xr:uid="{00000000-0005-0000-0000-0000372A0000}"/>
    <cellStyle name="40% - Accent1 5 3 3 3" xfId="4445" xr:uid="{00000000-0005-0000-0000-0000382A0000}"/>
    <cellStyle name="40% - Accent1 5 3 3 3 2" xfId="15556" xr:uid="{00000000-0005-0000-0000-0000392A0000}"/>
    <cellStyle name="40% - Accent1 5 3 3 3 3" xfId="19507" xr:uid="{00000000-0005-0000-0000-00003A2A0000}"/>
    <cellStyle name="40% - Accent1 5 3 3 4" xfId="15554" xr:uid="{00000000-0005-0000-0000-00003B2A0000}"/>
    <cellStyle name="40% - Accent1 5 3 3 5" xfId="19505" xr:uid="{00000000-0005-0000-0000-00003C2A0000}"/>
    <cellStyle name="40% - Accent1 5 3 4" xfId="4446" xr:uid="{00000000-0005-0000-0000-00003D2A0000}"/>
    <cellStyle name="40% - Accent1 5 3 4 2" xfId="15557" xr:uid="{00000000-0005-0000-0000-00003E2A0000}"/>
    <cellStyle name="40% - Accent1 5 3 4 3" xfId="19508" xr:uid="{00000000-0005-0000-0000-00003F2A0000}"/>
    <cellStyle name="40% - Accent1 5 3 5" xfId="4447" xr:uid="{00000000-0005-0000-0000-0000402A0000}"/>
    <cellStyle name="40% - Accent1 5 3 5 2" xfId="15558" xr:uid="{00000000-0005-0000-0000-0000412A0000}"/>
    <cellStyle name="40% - Accent1 5 3 5 3" xfId="19509" xr:uid="{00000000-0005-0000-0000-0000422A0000}"/>
    <cellStyle name="40% - Accent1 5 3 6" xfId="15550" xr:uid="{00000000-0005-0000-0000-0000432A0000}"/>
    <cellStyle name="40% - Accent1 5 3 7" xfId="19501" xr:uid="{00000000-0005-0000-0000-0000442A0000}"/>
    <cellStyle name="40% - Accent1 5 3_Volatility" xfId="4448" xr:uid="{00000000-0005-0000-0000-0000452A0000}"/>
    <cellStyle name="40% - Accent1 5 4" xfId="4449" xr:uid="{00000000-0005-0000-0000-0000462A0000}"/>
    <cellStyle name="40% - Accent1 5 4 2" xfId="4450" xr:uid="{00000000-0005-0000-0000-0000472A0000}"/>
    <cellStyle name="40% - Accent1 5 4 2 2" xfId="15560" xr:uid="{00000000-0005-0000-0000-0000482A0000}"/>
    <cellStyle name="40% - Accent1 5 4 2 3" xfId="19511" xr:uid="{00000000-0005-0000-0000-0000492A0000}"/>
    <cellStyle name="40% - Accent1 5 4 3" xfId="4451" xr:uid="{00000000-0005-0000-0000-00004A2A0000}"/>
    <cellStyle name="40% - Accent1 5 4 3 2" xfId="15561" xr:uid="{00000000-0005-0000-0000-00004B2A0000}"/>
    <cellStyle name="40% - Accent1 5 4 3 3" xfId="19512" xr:uid="{00000000-0005-0000-0000-00004C2A0000}"/>
    <cellStyle name="40% - Accent1 5 4 4" xfId="15559" xr:uid="{00000000-0005-0000-0000-00004D2A0000}"/>
    <cellStyle name="40% - Accent1 5 4 5" xfId="19510" xr:uid="{00000000-0005-0000-0000-00004E2A0000}"/>
    <cellStyle name="40% - Accent1 5 5" xfId="4452" xr:uid="{00000000-0005-0000-0000-00004F2A0000}"/>
    <cellStyle name="40% - Accent1 5 5 2" xfId="4453" xr:uid="{00000000-0005-0000-0000-0000502A0000}"/>
    <cellStyle name="40% - Accent1 5 5 2 2" xfId="15563" xr:uid="{00000000-0005-0000-0000-0000512A0000}"/>
    <cellStyle name="40% - Accent1 5 5 2 3" xfId="19514" xr:uid="{00000000-0005-0000-0000-0000522A0000}"/>
    <cellStyle name="40% - Accent1 5 5 3" xfId="4454" xr:uid="{00000000-0005-0000-0000-0000532A0000}"/>
    <cellStyle name="40% - Accent1 5 5 3 2" xfId="15564" xr:uid="{00000000-0005-0000-0000-0000542A0000}"/>
    <cellStyle name="40% - Accent1 5 5 3 3" xfId="19515" xr:uid="{00000000-0005-0000-0000-0000552A0000}"/>
    <cellStyle name="40% - Accent1 5 5 4" xfId="15562" xr:uid="{00000000-0005-0000-0000-0000562A0000}"/>
    <cellStyle name="40% - Accent1 5 5 5" xfId="19513" xr:uid="{00000000-0005-0000-0000-0000572A0000}"/>
    <cellStyle name="40% - Accent1 5 6" xfId="4455" xr:uid="{00000000-0005-0000-0000-0000582A0000}"/>
    <cellStyle name="40% - Accent1 5 6 2" xfId="4456" xr:uid="{00000000-0005-0000-0000-0000592A0000}"/>
    <cellStyle name="40% - Accent1 5 6 2 2" xfId="15566" xr:uid="{00000000-0005-0000-0000-00005A2A0000}"/>
    <cellStyle name="40% - Accent1 5 6 2 3" xfId="19517" xr:uid="{00000000-0005-0000-0000-00005B2A0000}"/>
    <cellStyle name="40% - Accent1 5 6 3" xfId="4457" xr:uid="{00000000-0005-0000-0000-00005C2A0000}"/>
    <cellStyle name="40% - Accent1 5 6 3 2" xfId="15567" xr:uid="{00000000-0005-0000-0000-00005D2A0000}"/>
    <cellStyle name="40% - Accent1 5 6 3 3" xfId="19518" xr:uid="{00000000-0005-0000-0000-00005E2A0000}"/>
    <cellStyle name="40% - Accent1 5 6 4" xfId="15565" xr:uid="{00000000-0005-0000-0000-00005F2A0000}"/>
    <cellStyle name="40% - Accent1 5 6 5" xfId="19516" xr:uid="{00000000-0005-0000-0000-0000602A0000}"/>
    <cellStyle name="40% - Accent1 5 7" xfId="4458" xr:uid="{00000000-0005-0000-0000-0000612A0000}"/>
    <cellStyle name="40% - Accent1 5 7 2" xfId="15568" xr:uid="{00000000-0005-0000-0000-0000622A0000}"/>
    <cellStyle name="40% - Accent1 5 7 3" xfId="19519" xr:uid="{00000000-0005-0000-0000-0000632A0000}"/>
    <cellStyle name="40% - Accent1 5 8" xfId="4459" xr:uid="{00000000-0005-0000-0000-0000642A0000}"/>
    <cellStyle name="40% - Accent1 5 8 2" xfId="15569" xr:uid="{00000000-0005-0000-0000-0000652A0000}"/>
    <cellStyle name="40% - Accent1 5 8 3" xfId="19520" xr:uid="{00000000-0005-0000-0000-0000662A0000}"/>
    <cellStyle name="40% - Accent1 5 9" xfId="15537" xr:uid="{00000000-0005-0000-0000-0000672A0000}"/>
    <cellStyle name="40% - Accent1 5_Volatility" xfId="4460" xr:uid="{00000000-0005-0000-0000-0000682A0000}"/>
    <cellStyle name="40% - Accent1 6" xfId="4461" xr:uid="{00000000-0005-0000-0000-0000692A0000}"/>
    <cellStyle name="40% - Accent1 6 10" xfId="19521" xr:uid="{00000000-0005-0000-0000-00006A2A0000}"/>
    <cellStyle name="40% - Accent1 6 2" xfId="4462" xr:uid="{00000000-0005-0000-0000-00006B2A0000}"/>
    <cellStyle name="40% - Accent1 6 2 2" xfId="4463" xr:uid="{00000000-0005-0000-0000-00006C2A0000}"/>
    <cellStyle name="40% - Accent1 6 2 2 2" xfId="4464" xr:uid="{00000000-0005-0000-0000-00006D2A0000}"/>
    <cellStyle name="40% - Accent1 6 2 2 2 2" xfId="15573" xr:uid="{00000000-0005-0000-0000-00006E2A0000}"/>
    <cellStyle name="40% - Accent1 6 2 2 2 3" xfId="19524" xr:uid="{00000000-0005-0000-0000-00006F2A0000}"/>
    <cellStyle name="40% - Accent1 6 2 2 3" xfId="4465" xr:uid="{00000000-0005-0000-0000-0000702A0000}"/>
    <cellStyle name="40% - Accent1 6 2 2 3 2" xfId="15574" xr:uid="{00000000-0005-0000-0000-0000712A0000}"/>
    <cellStyle name="40% - Accent1 6 2 2 3 3" xfId="19525" xr:uid="{00000000-0005-0000-0000-0000722A0000}"/>
    <cellStyle name="40% - Accent1 6 2 2 4" xfId="15572" xr:uid="{00000000-0005-0000-0000-0000732A0000}"/>
    <cellStyle name="40% - Accent1 6 2 2 5" xfId="19523" xr:uid="{00000000-0005-0000-0000-0000742A0000}"/>
    <cellStyle name="40% - Accent1 6 2 3" xfId="4466" xr:uid="{00000000-0005-0000-0000-0000752A0000}"/>
    <cellStyle name="40% - Accent1 6 2 3 2" xfId="4467" xr:uid="{00000000-0005-0000-0000-0000762A0000}"/>
    <cellStyle name="40% - Accent1 6 2 3 2 2" xfId="15576" xr:uid="{00000000-0005-0000-0000-0000772A0000}"/>
    <cellStyle name="40% - Accent1 6 2 3 2 3" xfId="19527" xr:uid="{00000000-0005-0000-0000-0000782A0000}"/>
    <cellStyle name="40% - Accent1 6 2 3 3" xfId="4468" xr:uid="{00000000-0005-0000-0000-0000792A0000}"/>
    <cellStyle name="40% - Accent1 6 2 3 3 2" xfId="15577" xr:uid="{00000000-0005-0000-0000-00007A2A0000}"/>
    <cellStyle name="40% - Accent1 6 2 3 3 3" xfId="19528" xr:uid="{00000000-0005-0000-0000-00007B2A0000}"/>
    <cellStyle name="40% - Accent1 6 2 3 4" xfId="15575" xr:uid="{00000000-0005-0000-0000-00007C2A0000}"/>
    <cellStyle name="40% - Accent1 6 2 3 5" xfId="19526" xr:uid="{00000000-0005-0000-0000-00007D2A0000}"/>
    <cellStyle name="40% - Accent1 6 2 4" xfId="4469" xr:uid="{00000000-0005-0000-0000-00007E2A0000}"/>
    <cellStyle name="40% - Accent1 6 2 4 2" xfId="4470" xr:uid="{00000000-0005-0000-0000-00007F2A0000}"/>
    <cellStyle name="40% - Accent1 6 2 4 2 2" xfId="15579" xr:uid="{00000000-0005-0000-0000-0000802A0000}"/>
    <cellStyle name="40% - Accent1 6 2 4 2 3" xfId="19530" xr:uid="{00000000-0005-0000-0000-0000812A0000}"/>
    <cellStyle name="40% - Accent1 6 2 4 3" xfId="4471" xr:uid="{00000000-0005-0000-0000-0000822A0000}"/>
    <cellStyle name="40% - Accent1 6 2 4 3 2" xfId="15580" xr:uid="{00000000-0005-0000-0000-0000832A0000}"/>
    <cellStyle name="40% - Accent1 6 2 4 3 3" xfId="19531" xr:uid="{00000000-0005-0000-0000-0000842A0000}"/>
    <cellStyle name="40% - Accent1 6 2 4 4" xfId="15578" xr:uid="{00000000-0005-0000-0000-0000852A0000}"/>
    <cellStyle name="40% - Accent1 6 2 4 5" xfId="19529" xr:uid="{00000000-0005-0000-0000-0000862A0000}"/>
    <cellStyle name="40% - Accent1 6 2 5" xfId="4472" xr:uid="{00000000-0005-0000-0000-0000872A0000}"/>
    <cellStyle name="40% - Accent1 6 2 5 2" xfId="15581" xr:uid="{00000000-0005-0000-0000-0000882A0000}"/>
    <cellStyle name="40% - Accent1 6 2 5 3" xfId="19532" xr:uid="{00000000-0005-0000-0000-0000892A0000}"/>
    <cellStyle name="40% - Accent1 6 2 6" xfId="4473" xr:uid="{00000000-0005-0000-0000-00008A2A0000}"/>
    <cellStyle name="40% - Accent1 6 2 6 2" xfId="15582" xr:uid="{00000000-0005-0000-0000-00008B2A0000}"/>
    <cellStyle name="40% - Accent1 6 2 6 3" xfId="19533" xr:uid="{00000000-0005-0000-0000-00008C2A0000}"/>
    <cellStyle name="40% - Accent1 6 2 7" xfId="15571" xr:uid="{00000000-0005-0000-0000-00008D2A0000}"/>
    <cellStyle name="40% - Accent1 6 2 8" xfId="19522" xr:uid="{00000000-0005-0000-0000-00008E2A0000}"/>
    <cellStyle name="40% - Accent1 6 2_Volatility" xfId="4474" xr:uid="{00000000-0005-0000-0000-00008F2A0000}"/>
    <cellStyle name="40% - Accent1 6 3" xfId="4475" xr:uid="{00000000-0005-0000-0000-0000902A0000}"/>
    <cellStyle name="40% - Accent1 6 3 2" xfId="4476" xr:uid="{00000000-0005-0000-0000-0000912A0000}"/>
    <cellStyle name="40% - Accent1 6 3 2 2" xfId="4477" xr:uid="{00000000-0005-0000-0000-0000922A0000}"/>
    <cellStyle name="40% - Accent1 6 3 2 2 2" xfId="15585" xr:uid="{00000000-0005-0000-0000-0000932A0000}"/>
    <cellStyle name="40% - Accent1 6 3 2 2 3" xfId="19536" xr:uid="{00000000-0005-0000-0000-0000942A0000}"/>
    <cellStyle name="40% - Accent1 6 3 2 3" xfId="4478" xr:uid="{00000000-0005-0000-0000-0000952A0000}"/>
    <cellStyle name="40% - Accent1 6 3 2 3 2" xfId="15586" xr:uid="{00000000-0005-0000-0000-0000962A0000}"/>
    <cellStyle name="40% - Accent1 6 3 2 3 3" xfId="19537" xr:uid="{00000000-0005-0000-0000-0000972A0000}"/>
    <cellStyle name="40% - Accent1 6 3 2 4" xfId="15584" xr:uid="{00000000-0005-0000-0000-0000982A0000}"/>
    <cellStyle name="40% - Accent1 6 3 2 5" xfId="19535" xr:uid="{00000000-0005-0000-0000-0000992A0000}"/>
    <cellStyle name="40% - Accent1 6 3 3" xfId="4479" xr:uid="{00000000-0005-0000-0000-00009A2A0000}"/>
    <cellStyle name="40% - Accent1 6 3 3 2" xfId="4480" xr:uid="{00000000-0005-0000-0000-00009B2A0000}"/>
    <cellStyle name="40% - Accent1 6 3 3 2 2" xfId="15588" xr:uid="{00000000-0005-0000-0000-00009C2A0000}"/>
    <cellStyle name="40% - Accent1 6 3 3 2 3" xfId="19539" xr:uid="{00000000-0005-0000-0000-00009D2A0000}"/>
    <cellStyle name="40% - Accent1 6 3 3 3" xfId="4481" xr:uid="{00000000-0005-0000-0000-00009E2A0000}"/>
    <cellStyle name="40% - Accent1 6 3 3 3 2" xfId="15589" xr:uid="{00000000-0005-0000-0000-00009F2A0000}"/>
    <cellStyle name="40% - Accent1 6 3 3 3 3" xfId="19540" xr:uid="{00000000-0005-0000-0000-0000A02A0000}"/>
    <cellStyle name="40% - Accent1 6 3 3 4" xfId="15587" xr:uid="{00000000-0005-0000-0000-0000A12A0000}"/>
    <cellStyle name="40% - Accent1 6 3 3 5" xfId="19538" xr:uid="{00000000-0005-0000-0000-0000A22A0000}"/>
    <cellStyle name="40% - Accent1 6 3 4" xfId="4482" xr:uid="{00000000-0005-0000-0000-0000A32A0000}"/>
    <cellStyle name="40% - Accent1 6 3 4 2" xfId="15590" xr:uid="{00000000-0005-0000-0000-0000A42A0000}"/>
    <cellStyle name="40% - Accent1 6 3 4 3" xfId="19541" xr:uid="{00000000-0005-0000-0000-0000A52A0000}"/>
    <cellStyle name="40% - Accent1 6 3 5" xfId="4483" xr:uid="{00000000-0005-0000-0000-0000A62A0000}"/>
    <cellStyle name="40% - Accent1 6 3 5 2" xfId="15591" xr:uid="{00000000-0005-0000-0000-0000A72A0000}"/>
    <cellStyle name="40% - Accent1 6 3 5 3" xfId="19542" xr:uid="{00000000-0005-0000-0000-0000A82A0000}"/>
    <cellStyle name="40% - Accent1 6 3 6" xfId="15583" xr:uid="{00000000-0005-0000-0000-0000A92A0000}"/>
    <cellStyle name="40% - Accent1 6 3 7" xfId="19534" xr:uid="{00000000-0005-0000-0000-0000AA2A0000}"/>
    <cellStyle name="40% - Accent1 6 3_Volatility" xfId="4484" xr:uid="{00000000-0005-0000-0000-0000AB2A0000}"/>
    <cellStyle name="40% - Accent1 6 4" xfId="4485" xr:uid="{00000000-0005-0000-0000-0000AC2A0000}"/>
    <cellStyle name="40% - Accent1 6 4 2" xfId="4486" xr:uid="{00000000-0005-0000-0000-0000AD2A0000}"/>
    <cellStyle name="40% - Accent1 6 4 2 2" xfId="15593" xr:uid="{00000000-0005-0000-0000-0000AE2A0000}"/>
    <cellStyle name="40% - Accent1 6 4 2 3" xfId="19544" xr:uid="{00000000-0005-0000-0000-0000AF2A0000}"/>
    <cellStyle name="40% - Accent1 6 4 3" xfId="4487" xr:uid="{00000000-0005-0000-0000-0000B02A0000}"/>
    <cellStyle name="40% - Accent1 6 4 3 2" xfId="15594" xr:uid="{00000000-0005-0000-0000-0000B12A0000}"/>
    <cellStyle name="40% - Accent1 6 4 3 3" xfId="19545" xr:uid="{00000000-0005-0000-0000-0000B22A0000}"/>
    <cellStyle name="40% - Accent1 6 4 4" xfId="15592" xr:uid="{00000000-0005-0000-0000-0000B32A0000}"/>
    <cellStyle name="40% - Accent1 6 4 5" xfId="19543" xr:uid="{00000000-0005-0000-0000-0000B42A0000}"/>
    <cellStyle name="40% - Accent1 6 5" xfId="4488" xr:uid="{00000000-0005-0000-0000-0000B52A0000}"/>
    <cellStyle name="40% - Accent1 6 5 2" xfId="4489" xr:uid="{00000000-0005-0000-0000-0000B62A0000}"/>
    <cellStyle name="40% - Accent1 6 5 2 2" xfId="15596" xr:uid="{00000000-0005-0000-0000-0000B72A0000}"/>
    <cellStyle name="40% - Accent1 6 5 2 3" xfId="19547" xr:uid="{00000000-0005-0000-0000-0000B82A0000}"/>
    <cellStyle name="40% - Accent1 6 5 3" xfId="4490" xr:uid="{00000000-0005-0000-0000-0000B92A0000}"/>
    <cellStyle name="40% - Accent1 6 5 3 2" xfId="15597" xr:uid="{00000000-0005-0000-0000-0000BA2A0000}"/>
    <cellStyle name="40% - Accent1 6 5 3 3" xfId="19548" xr:uid="{00000000-0005-0000-0000-0000BB2A0000}"/>
    <cellStyle name="40% - Accent1 6 5 4" xfId="15595" xr:uid="{00000000-0005-0000-0000-0000BC2A0000}"/>
    <cellStyle name="40% - Accent1 6 5 5" xfId="19546" xr:uid="{00000000-0005-0000-0000-0000BD2A0000}"/>
    <cellStyle name="40% - Accent1 6 6" xfId="4491" xr:uid="{00000000-0005-0000-0000-0000BE2A0000}"/>
    <cellStyle name="40% - Accent1 6 6 2" xfId="4492" xr:uid="{00000000-0005-0000-0000-0000BF2A0000}"/>
    <cellStyle name="40% - Accent1 6 6 2 2" xfId="15599" xr:uid="{00000000-0005-0000-0000-0000C02A0000}"/>
    <cellStyle name="40% - Accent1 6 6 2 3" xfId="19550" xr:uid="{00000000-0005-0000-0000-0000C12A0000}"/>
    <cellStyle name="40% - Accent1 6 6 3" xfId="4493" xr:uid="{00000000-0005-0000-0000-0000C22A0000}"/>
    <cellStyle name="40% - Accent1 6 6 3 2" xfId="15600" xr:uid="{00000000-0005-0000-0000-0000C32A0000}"/>
    <cellStyle name="40% - Accent1 6 6 3 3" xfId="19551" xr:uid="{00000000-0005-0000-0000-0000C42A0000}"/>
    <cellStyle name="40% - Accent1 6 6 4" xfId="15598" xr:uid="{00000000-0005-0000-0000-0000C52A0000}"/>
    <cellStyle name="40% - Accent1 6 6 5" xfId="19549" xr:uid="{00000000-0005-0000-0000-0000C62A0000}"/>
    <cellStyle name="40% - Accent1 6 7" xfId="4494" xr:uid="{00000000-0005-0000-0000-0000C72A0000}"/>
    <cellStyle name="40% - Accent1 6 7 2" xfId="15601" xr:uid="{00000000-0005-0000-0000-0000C82A0000}"/>
    <cellStyle name="40% - Accent1 6 7 3" xfId="19552" xr:uid="{00000000-0005-0000-0000-0000C92A0000}"/>
    <cellStyle name="40% - Accent1 6 8" xfId="4495" xr:uid="{00000000-0005-0000-0000-0000CA2A0000}"/>
    <cellStyle name="40% - Accent1 6 8 2" xfId="15602" xr:uid="{00000000-0005-0000-0000-0000CB2A0000}"/>
    <cellStyle name="40% - Accent1 6 8 3" xfId="19553" xr:uid="{00000000-0005-0000-0000-0000CC2A0000}"/>
    <cellStyle name="40% - Accent1 6 9" xfId="15570" xr:uid="{00000000-0005-0000-0000-0000CD2A0000}"/>
    <cellStyle name="40% - Accent1 6_Volatility" xfId="4496" xr:uid="{00000000-0005-0000-0000-0000CE2A0000}"/>
    <cellStyle name="40% - Accent1 7" xfId="4497" xr:uid="{00000000-0005-0000-0000-0000CF2A0000}"/>
    <cellStyle name="40% - Accent1 7 10" xfId="19554" xr:uid="{00000000-0005-0000-0000-0000D02A0000}"/>
    <cellStyle name="40% - Accent1 7 2" xfId="4498" xr:uid="{00000000-0005-0000-0000-0000D12A0000}"/>
    <cellStyle name="40% - Accent1 7 2 2" xfId="4499" xr:uid="{00000000-0005-0000-0000-0000D22A0000}"/>
    <cellStyle name="40% - Accent1 7 2 2 2" xfId="4500" xr:uid="{00000000-0005-0000-0000-0000D32A0000}"/>
    <cellStyle name="40% - Accent1 7 2 2 2 2" xfId="15606" xr:uid="{00000000-0005-0000-0000-0000D42A0000}"/>
    <cellStyle name="40% - Accent1 7 2 2 2 3" xfId="19557" xr:uid="{00000000-0005-0000-0000-0000D52A0000}"/>
    <cellStyle name="40% - Accent1 7 2 2 3" xfId="4501" xr:uid="{00000000-0005-0000-0000-0000D62A0000}"/>
    <cellStyle name="40% - Accent1 7 2 2 3 2" xfId="15607" xr:uid="{00000000-0005-0000-0000-0000D72A0000}"/>
    <cellStyle name="40% - Accent1 7 2 2 3 3" xfId="19558" xr:uid="{00000000-0005-0000-0000-0000D82A0000}"/>
    <cellStyle name="40% - Accent1 7 2 2 4" xfId="15605" xr:uid="{00000000-0005-0000-0000-0000D92A0000}"/>
    <cellStyle name="40% - Accent1 7 2 2 5" xfId="19556" xr:uid="{00000000-0005-0000-0000-0000DA2A0000}"/>
    <cellStyle name="40% - Accent1 7 2 3" xfId="4502" xr:uid="{00000000-0005-0000-0000-0000DB2A0000}"/>
    <cellStyle name="40% - Accent1 7 2 3 2" xfId="4503" xr:uid="{00000000-0005-0000-0000-0000DC2A0000}"/>
    <cellStyle name="40% - Accent1 7 2 3 2 2" xfId="15609" xr:uid="{00000000-0005-0000-0000-0000DD2A0000}"/>
    <cellStyle name="40% - Accent1 7 2 3 2 3" xfId="19560" xr:uid="{00000000-0005-0000-0000-0000DE2A0000}"/>
    <cellStyle name="40% - Accent1 7 2 3 3" xfId="4504" xr:uid="{00000000-0005-0000-0000-0000DF2A0000}"/>
    <cellStyle name="40% - Accent1 7 2 3 3 2" xfId="15610" xr:uid="{00000000-0005-0000-0000-0000E02A0000}"/>
    <cellStyle name="40% - Accent1 7 2 3 3 3" xfId="19561" xr:uid="{00000000-0005-0000-0000-0000E12A0000}"/>
    <cellStyle name="40% - Accent1 7 2 3 4" xfId="15608" xr:uid="{00000000-0005-0000-0000-0000E22A0000}"/>
    <cellStyle name="40% - Accent1 7 2 3 5" xfId="19559" xr:uid="{00000000-0005-0000-0000-0000E32A0000}"/>
    <cellStyle name="40% - Accent1 7 2 4" xfId="4505" xr:uid="{00000000-0005-0000-0000-0000E42A0000}"/>
    <cellStyle name="40% - Accent1 7 2 4 2" xfId="4506" xr:uid="{00000000-0005-0000-0000-0000E52A0000}"/>
    <cellStyle name="40% - Accent1 7 2 4 2 2" xfId="15612" xr:uid="{00000000-0005-0000-0000-0000E62A0000}"/>
    <cellStyle name="40% - Accent1 7 2 4 2 3" xfId="19563" xr:uid="{00000000-0005-0000-0000-0000E72A0000}"/>
    <cellStyle name="40% - Accent1 7 2 4 3" xfId="4507" xr:uid="{00000000-0005-0000-0000-0000E82A0000}"/>
    <cellStyle name="40% - Accent1 7 2 4 3 2" xfId="15613" xr:uid="{00000000-0005-0000-0000-0000E92A0000}"/>
    <cellStyle name="40% - Accent1 7 2 4 3 3" xfId="19564" xr:uid="{00000000-0005-0000-0000-0000EA2A0000}"/>
    <cellStyle name="40% - Accent1 7 2 4 4" xfId="15611" xr:uid="{00000000-0005-0000-0000-0000EB2A0000}"/>
    <cellStyle name="40% - Accent1 7 2 4 5" xfId="19562" xr:uid="{00000000-0005-0000-0000-0000EC2A0000}"/>
    <cellStyle name="40% - Accent1 7 2 5" xfId="4508" xr:uid="{00000000-0005-0000-0000-0000ED2A0000}"/>
    <cellStyle name="40% - Accent1 7 2 5 2" xfId="15614" xr:uid="{00000000-0005-0000-0000-0000EE2A0000}"/>
    <cellStyle name="40% - Accent1 7 2 5 3" xfId="19565" xr:uid="{00000000-0005-0000-0000-0000EF2A0000}"/>
    <cellStyle name="40% - Accent1 7 2 6" xfId="4509" xr:uid="{00000000-0005-0000-0000-0000F02A0000}"/>
    <cellStyle name="40% - Accent1 7 2 6 2" xfId="15615" xr:uid="{00000000-0005-0000-0000-0000F12A0000}"/>
    <cellStyle name="40% - Accent1 7 2 6 3" xfId="19566" xr:uid="{00000000-0005-0000-0000-0000F22A0000}"/>
    <cellStyle name="40% - Accent1 7 2 7" xfId="15604" xr:uid="{00000000-0005-0000-0000-0000F32A0000}"/>
    <cellStyle name="40% - Accent1 7 2 8" xfId="19555" xr:uid="{00000000-0005-0000-0000-0000F42A0000}"/>
    <cellStyle name="40% - Accent1 7 2_Volatility" xfId="4510" xr:uid="{00000000-0005-0000-0000-0000F52A0000}"/>
    <cellStyle name="40% - Accent1 7 3" xfId="4511" xr:uid="{00000000-0005-0000-0000-0000F62A0000}"/>
    <cellStyle name="40% - Accent1 7 3 2" xfId="4512" xr:uid="{00000000-0005-0000-0000-0000F72A0000}"/>
    <cellStyle name="40% - Accent1 7 3 2 2" xfId="4513" xr:uid="{00000000-0005-0000-0000-0000F82A0000}"/>
    <cellStyle name="40% - Accent1 7 3 2 2 2" xfId="15618" xr:uid="{00000000-0005-0000-0000-0000F92A0000}"/>
    <cellStyle name="40% - Accent1 7 3 2 2 3" xfId="19569" xr:uid="{00000000-0005-0000-0000-0000FA2A0000}"/>
    <cellStyle name="40% - Accent1 7 3 2 3" xfId="4514" xr:uid="{00000000-0005-0000-0000-0000FB2A0000}"/>
    <cellStyle name="40% - Accent1 7 3 2 3 2" xfId="15619" xr:uid="{00000000-0005-0000-0000-0000FC2A0000}"/>
    <cellStyle name="40% - Accent1 7 3 2 3 3" xfId="19570" xr:uid="{00000000-0005-0000-0000-0000FD2A0000}"/>
    <cellStyle name="40% - Accent1 7 3 2 4" xfId="15617" xr:uid="{00000000-0005-0000-0000-0000FE2A0000}"/>
    <cellStyle name="40% - Accent1 7 3 2 5" xfId="19568" xr:uid="{00000000-0005-0000-0000-0000FF2A0000}"/>
    <cellStyle name="40% - Accent1 7 3 3" xfId="4515" xr:uid="{00000000-0005-0000-0000-0000002B0000}"/>
    <cellStyle name="40% - Accent1 7 3 3 2" xfId="4516" xr:uid="{00000000-0005-0000-0000-0000012B0000}"/>
    <cellStyle name="40% - Accent1 7 3 3 2 2" xfId="15621" xr:uid="{00000000-0005-0000-0000-0000022B0000}"/>
    <cellStyle name="40% - Accent1 7 3 3 2 3" xfId="19572" xr:uid="{00000000-0005-0000-0000-0000032B0000}"/>
    <cellStyle name="40% - Accent1 7 3 3 3" xfId="4517" xr:uid="{00000000-0005-0000-0000-0000042B0000}"/>
    <cellStyle name="40% - Accent1 7 3 3 3 2" xfId="15622" xr:uid="{00000000-0005-0000-0000-0000052B0000}"/>
    <cellStyle name="40% - Accent1 7 3 3 3 3" xfId="19573" xr:uid="{00000000-0005-0000-0000-0000062B0000}"/>
    <cellStyle name="40% - Accent1 7 3 3 4" xfId="15620" xr:uid="{00000000-0005-0000-0000-0000072B0000}"/>
    <cellStyle name="40% - Accent1 7 3 3 5" xfId="19571" xr:uid="{00000000-0005-0000-0000-0000082B0000}"/>
    <cellStyle name="40% - Accent1 7 3 4" xfId="4518" xr:uid="{00000000-0005-0000-0000-0000092B0000}"/>
    <cellStyle name="40% - Accent1 7 3 4 2" xfId="15623" xr:uid="{00000000-0005-0000-0000-00000A2B0000}"/>
    <cellStyle name="40% - Accent1 7 3 4 3" xfId="19574" xr:uid="{00000000-0005-0000-0000-00000B2B0000}"/>
    <cellStyle name="40% - Accent1 7 3 5" xfId="4519" xr:uid="{00000000-0005-0000-0000-00000C2B0000}"/>
    <cellStyle name="40% - Accent1 7 3 5 2" xfId="15624" xr:uid="{00000000-0005-0000-0000-00000D2B0000}"/>
    <cellStyle name="40% - Accent1 7 3 5 3" xfId="19575" xr:uid="{00000000-0005-0000-0000-00000E2B0000}"/>
    <cellStyle name="40% - Accent1 7 3 6" xfId="15616" xr:uid="{00000000-0005-0000-0000-00000F2B0000}"/>
    <cellStyle name="40% - Accent1 7 3 7" xfId="19567" xr:uid="{00000000-0005-0000-0000-0000102B0000}"/>
    <cellStyle name="40% - Accent1 7 3_Volatility" xfId="4520" xr:uid="{00000000-0005-0000-0000-0000112B0000}"/>
    <cellStyle name="40% - Accent1 7 4" xfId="4521" xr:uid="{00000000-0005-0000-0000-0000122B0000}"/>
    <cellStyle name="40% - Accent1 7 4 2" xfId="4522" xr:uid="{00000000-0005-0000-0000-0000132B0000}"/>
    <cellStyle name="40% - Accent1 7 4 2 2" xfId="15626" xr:uid="{00000000-0005-0000-0000-0000142B0000}"/>
    <cellStyle name="40% - Accent1 7 4 2 3" xfId="19577" xr:uid="{00000000-0005-0000-0000-0000152B0000}"/>
    <cellStyle name="40% - Accent1 7 4 3" xfId="4523" xr:uid="{00000000-0005-0000-0000-0000162B0000}"/>
    <cellStyle name="40% - Accent1 7 4 3 2" xfId="15627" xr:uid="{00000000-0005-0000-0000-0000172B0000}"/>
    <cellStyle name="40% - Accent1 7 4 3 3" xfId="19578" xr:uid="{00000000-0005-0000-0000-0000182B0000}"/>
    <cellStyle name="40% - Accent1 7 4 4" xfId="15625" xr:uid="{00000000-0005-0000-0000-0000192B0000}"/>
    <cellStyle name="40% - Accent1 7 4 5" xfId="19576" xr:uid="{00000000-0005-0000-0000-00001A2B0000}"/>
    <cellStyle name="40% - Accent1 7 5" xfId="4524" xr:uid="{00000000-0005-0000-0000-00001B2B0000}"/>
    <cellStyle name="40% - Accent1 7 5 2" xfId="4525" xr:uid="{00000000-0005-0000-0000-00001C2B0000}"/>
    <cellStyle name="40% - Accent1 7 5 2 2" xfId="15629" xr:uid="{00000000-0005-0000-0000-00001D2B0000}"/>
    <cellStyle name="40% - Accent1 7 5 2 3" xfId="19580" xr:uid="{00000000-0005-0000-0000-00001E2B0000}"/>
    <cellStyle name="40% - Accent1 7 5 3" xfId="4526" xr:uid="{00000000-0005-0000-0000-00001F2B0000}"/>
    <cellStyle name="40% - Accent1 7 5 3 2" xfId="15630" xr:uid="{00000000-0005-0000-0000-0000202B0000}"/>
    <cellStyle name="40% - Accent1 7 5 3 3" xfId="19581" xr:uid="{00000000-0005-0000-0000-0000212B0000}"/>
    <cellStyle name="40% - Accent1 7 5 4" xfId="15628" xr:uid="{00000000-0005-0000-0000-0000222B0000}"/>
    <cellStyle name="40% - Accent1 7 5 5" xfId="19579" xr:uid="{00000000-0005-0000-0000-0000232B0000}"/>
    <cellStyle name="40% - Accent1 7 6" xfId="4527" xr:uid="{00000000-0005-0000-0000-0000242B0000}"/>
    <cellStyle name="40% - Accent1 7 6 2" xfId="4528" xr:uid="{00000000-0005-0000-0000-0000252B0000}"/>
    <cellStyle name="40% - Accent1 7 6 2 2" xfId="15632" xr:uid="{00000000-0005-0000-0000-0000262B0000}"/>
    <cellStyle name="40% - Accent1 7 6 2 3" xfId="19583" xr:uid="{00000000-0005-0000-0000-0000272B0000}"/>
    <cellStyle name="40% - Accent1 7 6 3" xfId="4529" xr:uid="{00000000-0005-0000-0000-0000282B0000}"/>
    <cellStyle name="40% - Accent1 7 6 3 2" xfId="15633" xr:uid="{00000000-0005-0000-0000-0000292B0000}"/>
    <cellStyle name="40% - Accent1 7 6 3 3" xfId="19584" xr:uid="{00000000-0005-0000-0000-00002A2B0000}"/>
    <cellStyle name="40% - Accent1 7 6 4" xfId="15631" xr:uid="{00000000-0005-0000-0000-00002B2B0000}"/>
    <cellStyle name="40% - Accent1 7 6 5" xfId="19582" xr:uid="{00000000-0005-0000-0000-00002C2B0000}"/>
    <cellStyle name="40% - Accent1 7 7" xfId="4530" xr:uid="{00000000-0005-0000-0000-00002D2B0000}"/>
    <cellStyle name="40% - Accent1 7 7 2" xfId="15634" xr:uid="{00000000-0005-0000-0000-00002E2B0000}"/>
    <cellStyle name="40% - Accent1 7 7 3" xfId="19585" xr:uid="{00000000-0005-0000-0000-00002F2B0000}"/>
    <cellStyle name="40% - Accent1 7 8" xfId="4531" xr:uid="{00000000-0005-0000-0000-0000302B0000}"/>
    <cellStyle name="40% - Accent1 7 8 2" xfId="15635" xr:uid="{00000000-0005-0000-0000-0000312B0000}"/>
    <cellStyle name="40% - Accent1 7 8 3" xfId="19586" xr:uid="{00000000-0005-0000-0000-0000322B0000}"/>
    <cellStyle name="40% - Accent1 7 9" xfId="15603" xr:uid="{00000000-0005-0000-0000-0000332B0000}"/>
    <cellStyle name="40% - Accent1 7_Volatility" xfId="4532" xr:uid="{00000000-0005-0000-0000-0000342B0000}"/>
    <cellStyle name="40% - Accent1 8" xfId="4533" xr:uid="{00000000-0005-0000-0000-0000352B0000}"/>
    <cellStyle name="40% - Accent1 8 10" xfId="19587" xr:uid="{00000000-0005-0000-0000-0000362B0000}"/>
    <cellStyle name="40% - Accent1 8 2" xfId="4534" xr:uid="{00000000-0005-0000-0000-0000372B0000}"/>
    <cellStyle name="40% - Accent1 8 2 2" xfId="4535" xr:uid="{00000000-0005-0000-0000-0000382B0000}"/>
    <cellStyle name="40% - Accent1 8 2 2 2" xfId="4536" xr:uid="{00000000-0005-0000-0000-0000392B0000}"/>
    <cellStyle name="40% - Accent1 8 2 2 2 2" xfId="15639" xr:uid="{00000000-0005-0000-0000-00003A2B0000}"/>
    <cellStyle name="40% - Accent1 8 2 2 2 3" xfId="19590" xr:uid="{00000000-0005-0000-0000-00003B2B0000}"/>
    <cellStyle name="40% - Accent1 8 2 2 3" xfId="4537" xr:uid="{00000000-0005-0000-0000-00003C2B0000}"/>
    <cellStyle name="40% - Accent1 8 2 2 3 2" xfId="15640" xr:uid="{00000000-0005-0000-0000-00003D2B0000}"/>
    <cellStyle name="40% - Accent1 8 2 2 3 3" xfId="19591" xr:uid="{00000000-0005-0000-0000-00003E2B0000}"/>
    <cellStyle name="40% - Accent1 8 2 2 4" xfId="15638" xr:uid="{00000000-0005-0000-0000-00003F2B0000}"/>
    <cellStyle name="40% - Accent1 8 2 2 5" xfId="19589" xr:uid="{00000000-0005-0000-0000-0000402B0000}"/>
    <cellStyle name="40% - Accent1 8 2 3" xfId="4538" xr:uid="{00000000-0005-0000-0000-0000412B0000}"/>
    <cellStyle name="40% - Accent1 8 2 3 2" xfId="4539" xr:uid="{00000000-0005-0000-0000-0000422B0000}"/>
    <cellStyle name="40% - Accent1 8 2 3 2 2" xfId="15642" xr:uid="{00000000-0005-0000-0000-0000432B0000}"/>
    <cellStyle name="40% - Accent1 8 2 3 2 3" xfId="19593" xr:uid="{00000000-0005-0000-0000-0000442B0000}"/>
    <cellStyle name="40% - Accent1 8 2 3 3" xfId="4540" xr:uid="{00000000-0005-0000-0000-0000452B0000}"/>
    <cellStyle name="40% - Accent1 8 2 3 3 2" xfId="15643" xr:uid="{00000000-0005-0000-0000-0000462B0000}"/>
    <cellStyle name="40% - Accent1 8 2 3 3 3" xfId="19594" xr:uid="{00000000-0005-0000-0000-0000472B0000}"/>
    <cellStyle name="40% - Accent1 8 2 3 4" xfId="15641" xr:uid="{00000000-0005-0000-0000-0000482B0000}"/>
    <cellStyle name="40% - Accent1 8 2 3 5" xfId="19592" xr:uid="{00000000-0005-0000-0000-0000492B0000}"/>
    <cellStyle name="40% - Accent1 8 2 4" xfId="4541" xr:uid="{00000000-0005-0000-0000-00004A2B0000}"/>
    <cellStyle name="40% - Accent1 8 2 4 2" xfId="4542" xr:uid="{00000000-0005-0000-0000-00004B2B0000}"/>
    <cellStyle name="40% - Accent1 8 2 4 2 2" xfId="15645" xr:uid="{00000000-0005-0000-0000-00004C2B0000}"/>
    <cellStyle name="40% - Accent1 8 2 4 2 3" xfId="19596" xr:uid="{00000000-0005-0000-0000-00004D2B0000}"/>
    <cellStyle name="40% - Accent1 8 2 4 3" xfId="4543" xr:uid="{00000000-0005-0000-0000-00004E2B0000}"/>
    <cellStyle name="40% - Accent1 8 2 4 3 2" xfId="15646" xr:uid="{00000000-0005-0000-0000-00004F2B0000}"/>
    <cellStyle name="40% - Accent1 8 2 4 3 3" xfId="19597" xr:uid="{00000000-0005-0000-0000-0000502B0000}"/>
    <cellStyle name="40% - Accent1 8 2 4 4" xfId="15644" xr:uid="{00000000-0005-0000-0000-0000512B0000}"/>
    <cellStyle name="40% - Accent1 8 2 4 5" xfId="19595" xr:uid="{00000000-0005-0000-0000-0000522B0000}"/>
    <cellStyle name="40% - Accent1 8 2 5" xfId="4544" xr:uid="{00000000-0005-0000-0000-0000532B0000}"/>
    <cellStyle name="40% - Accent1 8 2 5 2" xfId="15647" xr:uid="{00000000-0005-0000-0000-0000542B0000}"/>
    <cellStyle name="40% - Accent1 8 2 5 3" xfId="19598" xr:uid="{00000000-0005-0000-0000-0000552B0000}"/>
    <cellStyle name="40% - Accent1 8 2 6" xfId="4545" xr:uid="{00000000-0005-0000-0000-0000562B0000}"/>
    <cellStyle name="40% - Accent1 8 2 6 2" xfId="15648" xr:uid="{00000000-0005-0000-0000-0000572B0000}"/>
    <cellStyle name="40% - Accent1 8 2 6 3" xfId="19599" xr:uid="{00000000-0005-0000-0000-0000582B0000}"/>
    <cellStyle name="40% - Accent1 8 2 7" xfId="15637" xr:uid="{00000000-0005-0000-0000-0000592B0000}"/>
    <cellStyle name="40% - Accent1 8 2 8" xfId="19588" xr:uid="{00000000-0005-0000-0000-00005A2B0000}"/>
    <cellStyle name="40% - Accent1 8 2_Volatility" xfId="4546" xr:uid="{00000000-0005-0000-0000-00005B2B0000}"/>
    <cellStyle name="40% - Accent1 8 3" xfId="4547" xr:uid="{00000000-0005-0000-0000-00005C2B0000}"/>
    <cellStyle name="40% - Accent1 8 3 2" xfId="4548" xr:uid="{00000000-0005-0000-0000-00005D2B0000}"/>
    <cellStyle name="40% - Accent1 8 3 2 2" xfId="4549" xr:uid="{00000000-0005-0000-0000-00005E2B0000}"/>
    <cellStyle name="40% - Accent1 8 3 2 2 2" xfId="15651" xr:uid="{00000000-0005-0000-0000-00005F2B0000}"/>
    <cellStyle name="40% - Accent1 8 3 2 2 3" xfId="19602" xr:uid="{00000000-0005-0000-0000-0000602B0000}"/>
    <cellStyle name="40% - Accent1 8 3 2 3" xfId="4550" xr:uid="{00000000-0005-0000-0000-0000612B0000}"/>
    <cellStyle name="40% - Accent1 8 3 2 3 2" xfId="15652" xr:uid="{00000000-0005-0000-0000-0000622B0000}"/>
    <cellStyle name="40% - Accent1 8 3 2 3 3" xfId="19603" xr:uid="{00000000-0005-0000-0000-0000632B0000}"/>
    <cellStyle name="40% - Accent1 8 3 2 4" xfId="15650" xr:uid="{00000000-0005-0000-0000-0000642B0000}"/>
    <cellStyle name="40% - Accent1 8 3 2 5" xfId="19601" xr:uid="{00000000-0005-0000-0000-0000652B0000}"/>
    <cellStyle name="40% - Accent1 8 3 3" xfId="4551" xr:uid="{00000000-0005-0000-0000-0000662B0000}"/>
    <cellStyle name="40% - Accent1 8 3 3 2" xfId="4552" xr:uid="{00000000-0005-0000-0000-0000672B0000}"/>
    <cellStyle name="40% - Accent1 8 3 3 2 2" xfId="15654" xr:uid="{00000000-0005-0000-0000-0000682B0000}"/>
    <cellStyle name="40% - Accent1 8 3 3 2 3" xfId="19605" xr:uid="{00000000-0005-0000-0000-0000692B0000}"/>
    <cellStyle name="40% - Accent1 8 3 3 3" xfId="4553" xr:uid="{00000000-0005-0000-0000-00006A2B0000}"/>
    <cellStyle name="40% - Accent1 8 3 3 3 2" xfId="15655" xr:uid="{00000000-0005-0000-0000-00006B2B0000}"/>
    <cellStyle name="40% - Accent1 8 3 3 3 3" xfId="19606" xr:uid="{00000000-0005-0000-0000-00006C2B0000}"/>
    <cellStyle name="40% - Accent1 8 3 3 4" xfId="15653" xr:uid="{00000000-0005-0000-0000-00006D2B0000}"/>
    <cellStyle name="40% - Accent1 8 3 3 5" xfId="19604" xr:uid="{00000000-0005-0000-0000-00006E2B0000}"/>
    <cellStyle name="40% - Accent1 8 3 4" xfId="4554" xr:uid="{00000000-0005-0000-0000-00006F2B0000}"/>
    <cellStyle name="40% - Accent1 8 3 4 2" xfId="15656" xr:uid="{00000000-0005-0000-0000-0000702B0000}"/>
    <cellStyle name="40% - Accent1 8 3 4 3" xfId="19607" xr:uid="{00000000-0005-0000-0000-0000712B0000}"/>
    <cellStyle name="40% - Accent1 8 3 5" xfId="4555" xr:uid="{00000000-0005-0000-0000-0000722B0000}"/>
    <cellStyle name="40% - Accent1 8 3 5 2" xfId="15657" xr:uid="{00000000-0005-0000-0000-0000732B0000}"/>
    <cellStyle name="40% - Accent1 8 3 5 3" xfId="19608" xr:uid="{00000000-0005-0000-0000-0000742B0000}"/>
    <cellStyle name="40% - Accent1 8 3 6" xfId="15649" xr:uid="{00000000-0005-0000-0000-0000752B0000}"/>
    <cellStyle name="40% - Accent1 8 3 7" xfId="19600" xr:uid="{00000000-0005-0000-0000-0000762B0000}"/>
    <cellStyle name="40% - Accent1 8 3_Volatility" xfId="4556" xr:uid="{00000000-0005-0000-0000-0000772B0000}"/>
    <cellStyle name="40% - Accent1 8 4" xfId="4557" xr:uid="{00000000-0005-0000-0000-0000782B0000}"/>
    <cellStyle name="40% - Accent1 8 4 2" xfId="4558" xr:uid="{00000000-0005-0000-0000-0000792B0000}"/>
    <cellStyle name="40% - Accent1 8 4 2 2" xfId="15659" xr:uid="{00000000-0005-0000-0000-00007A2B0000}"/>
    <cellStyle name="40% - Accent1 8 4 2 3" xfId="19610" xr:uid="{00000000-0005-0000-0000-00007B2B0000}"/>
    <cellStyle name="40% - Accent1 8 4 3" xfId="4559" xr:uid="{00000000-0005-0000-0000-00007C2B0000}"/>
    <cellStyle name="40% - Accent1 8 4 3 2" xfId="15660" xr:uid="{00000000-0005-0000-0000-00007D2B0000}"/>
    <cellStyle name="40% - Accent1 8 4 3 3" xfId="19611" xr:uid="{00000000-0005-0000-0000-00007E2B0000}"/>
    <cellStyle name="40% - Accent1 8 4 4" xfId="15658" xr:uid="{00000000-0005-0000-0000-00007F2B0000}"/>
    <cellStyle name="40% - Accent1 8 4 5" xfId="19609" xr:uid="{00000000-0005-0000-0000-0000802B0000}"/>
    <cellStyle name="40% - Accent1 8 5" xfId="4560" xr:uid="{00000000-0005-0000-0000-0000812B0000}"/>
    <cellStyle name="40% - Accent1 8 5 2" xfId="4561" xr:uid="{00000000-0005-0000-0000-0000822B0000}"/>
    <cellStyle name="40% - Accent1 8 5 2 2" xfId="15662" xr:uid="{00000000-0005-0000-0000-0000832B0000}"/>
    <cellStyle name="40% - Accent1 8 5 2 3" xfId="19613" xr:uid="{00000000-0005-0000-0000-0000842B0000}"/>
    <cellStyle name="40% - Accent1 8 5 3" xfId="4562" xr:uid="{00000000-0005-0000-0000-0000852B0000}"/>
    <cellStyle name="40% - Accent1 8 5 3 2" xfId="15663" xr:uid="{00000000-0005-0000-0000-0000862B0000}"/>
    <cellStyle name="40% - Accent1 8 5 3 3" xfId="19614" xr:uid="{00000000-0005-0000-0000-0000872B0000}"/>
    <cellStyle name="40% - Accent1 8 5 4" xfId="15661" xr:uid="{00000000-0005-0000-0000-0000882B0000}"/>
    <cellStyle name="40% - Accent1 8 5 5" xfId="19612" xr:uid="{00000000-0005-0000-0000-0000892B0000}"/>
    <cellStyle name="40% - Accent1 8 6" xfId="4563" xr:uid="{00000000-0005-0000-0000-00008A2B0000}"/>
    <cellStyle name="40% - Accent1 8 6 2" xfId="4564" xr:uid="{00000000-0005-0000-0000-00008B2B0000}"/>
    <cellStyle name="40% - Accent1 8 6 2 2" xfId="15665" xr:uid="{00000000-0005-0000-0000-00008C2B0000}"/>
    <cellStyle name="40% - Accent1 8 6 2 3" xfId="19616" xr:uid="{00000000-0005-0000-0000-00008D2B0000}"/>
    <cellStyle name="40% - Accent1 8 6 3" xfId="4565" xr:uid="{00000000-0005-0000-0000-00008E2B0000}"/>
    <cellStyle name="40% - Accent1 8 6 3 2" xfId="15666" xr:uid="{00000000-0005-0000-0000-00008F2B0000}"/>
    <cellStyle name="40% - Accent1 8 6 3 3" xfId="19617" xr:uid="{00000000-0005-0000-0000-0000902B0000}"/>
    <cellStyle name="40% - Accent1 8 6 4" xfId="15664" xr:uid="{00000000-0005-0000-0000-0000912B0000}"/>
    <cellStyle name="40% - Accent1 8 6 5" xfId="19615" xr:uid="{00000000-0005-0000-0000-0000922B0000}"/>
    <cellStyle name="40% - Accent1 8 7" xfId="4566" xr:uid="{00000000-0005-0000-0000-0000932B0000}"/>
    <cellStyle name="40% - Accent1 8 7 2" xfId="15667" xr:uid="{00000000-0005-0000-0000-0000942B0000}"/>
    <cellStyle name="40% - Accent1 8 7 3" xfId="19618" xr:uid="{00000000-0005-0000-0000-0000952B0000}"/>
    <cellStyle name="40% - Accent1 8 8" xfId="4567" xr:uid="{00000000-0005-0000-0000-0000962B0000}"/>
    <cellStyle name="40% - Accent1 8 8 2" xfId="15668" xr:uid="{00000000-0005-0000-0000-0000972B0000}"/>
    <cellStyle name="40% - Accent1 8 8 3" xfId="19619" xr:uid="{00000000-0005-0000-0000-0000982B0000}"/>
    <cellStyle name="40% - Accent1 8 9" xfId="15636" xr:uid="{00000000-0005-0000-0000-0000992B0000}"/>
    <cellStyle name="40% - Accent1 8_Volatility" xfId="4568" xr:uid="{00000000-0005-0000-0000-00009A2B0000}"/>
    <cellStyle name="40% - Accent1 9" xfId="4569" xr:uid="{00000000-0005-0000-0000-00009B2B0000}"/>
    <cellStyle name="40% - Accent1 9 10" xfId="19620" xr:uid="{00000000-0005-0000-0000-00009C2B0000}"/>
    <cellStyle name="40% - Accent1 9 2" xfId="4570" xr:uid="{00000000-0005-0000-0000-00009D2B0000}"/>
    <cellStyle name="40% - Accent1 9 2 2" xfId="4571" xr:uid="{00000000-0005-0000-0000-00009E2B0000}"/>
    <cellStyle name="40% - Accent1 9 2 2 2" xfId="4572" xr:uid="{00000000-0005-0000-0000-00009F2B0000}"/>
    <cellStyle name="40% - Accent1 9 2 2 2 2" xfId="15672" xr:uid="{00000000-0005-0000-0000-0000A02B0000}"/>
    <cellStyle name="40% - Accent1 9 2 2 2 3" xfId="19623" xr:uid="{00000000-0005-0000-0000-0000A12B0000}"/>
    <cellStyle name="40% - Accent1 9 2 2 3" xfId="4573" xr:uid="{00000000-0005-0000-0000-0000A22B0000}"/>
    <cellStyle name="40% - Accent1 9 2 2 3 2" xfId="15673" xr:uid="{00000000-0005-0000-0000-0000A32B0000}"/>
    <cellStyle name="40% - Accent1 9 2 2 3 3" xfId="19624" xr:uid="{00000000-0005-0000-0000-0000A42B0000}"/>
    <cellStyle name="40% - Accent1 9 2 2 4" xfId="15671" xr:uid="{00000000-0005-0000-0000-0000A52B0000}"/>
    <cellStyle name="40% - Accent1 9 2 2 5" xfId="19622" xr:uid="{00000000-0005-0000-0000-0000A62B0000}"/>
    <cellStyle name="40% - Accent1 9 2 3" xfId="4574" xr:uid="{00000000-0005-0000-0000-0000A72B0000}"/>
    <cellStyle name="40% - Accent1 9 2 3 2" xfId="4575" xr:uid="{00000000-0005-0000-0000-0000A82B0000}"/>
    <cellStyle name="40% - Accent1 9 2 3 2 2" xfId="15675" xr:uid="{00000000-0005-0000-0000-0000A92B0000}"/>
    <cellStyle name="40% - Accent1 9 2 3 2 3" xfId="19626" xr:uid="{00000000-0005-0000-0000-0000AA2B0000}"/>
    <cellStyle name="40% - Accent1 9 2 3 3" xfId="4576" xr:uid="{00000000-0005-0000-0000-0000AB2B0000}"/>
    <cellStyle name="40% - Accent1 9 2 3 3 2" xfId="15676" xr:uid="{00000000-0005-0000-0000-0000AC2B0000}"/>
    <cellStyle name="40% - Accent1 9 2 3 3 3" xfId="19627" xr:uid="{00000000-0005-0000-0000-0000AD2B0000}"/>
    <cellStyle name="40% - Accent1 9 2 3 4" xfId="15674" xr:uid="{00000000-0005-0000-0000-0000AE2B0000}"/>
    <cellStyle name="40% - Accent1 9 2 3 5" xfId="19625" xr:uid="{00000000-0005-0000-0000-0000AF2B0000}"/>
    <cellStyle name="40% - Accent1 9 2 4" xfId="4577" xr:uid="{00000000-0005-0000-0000-0000B02B0000}"/>
    <cellStyle name="40% - Accent1 9 2 4 2" xfId="4578" xr:uid="{00000000-0005-0000-0000-0000B12B0000}"/>
    <cellStyle name="40% - Accent1 9 2 4 2 2" xfId="15678" xr:uid="{00000000-0005-0000-0000-0000B22B0000}"/>
    <cellStyle name="40% - Accent1 9 2 4 2 3" xfId="19629" xr:uid="{00000000-0005-0000-0000-0000B32B0000}"/>
    <cellStyle name="40% - Accent1 9 2 4 3" xfId="4579" xr:uid="{00000000-0005-0000-0000-0000B42B0000}"/>
    <cellStyle name="40% - Accent1 9 2 4 3 2" xfId="15679" xr:uid="{00000000-0005-0000-0000-0000B52B0000}"/>
    <cellStyle name="40% - Accent1 9 2 4 3 3" xfId="19630" xr:uid="{00000000-0005-0000-0000-0000B62B0000}"/>
    <cellStyle name="40% - Accent1 9 2 4 4" xfId="15677" xr:uid="{00000000-0005-0000-0000-0000B72B0000}"/>
    <cellStyle name="40% - Accent1 9 2 4 5" xfId="19628" xr:uid="{00000000-0005-0000-0000-0000B82B0000}"/>
    <cellStyle name="40% - Accent1 9 2 5" xfId="4580" xr:uid="{00000000-0005-0000-0000-0000B92B0000}"/>
    <cellStyle name="40% - Accent1 9 2 5 2" xfId="15680" xr:uid="{00000000-0005-0000-0000-0000BA2B0000}"/>
    <cellStyle name="40% - Accent1 9 2 5 3" xfId="19631" xr:uid="{00000000-0005-0000-0000-0000BB2B0000}"/>
    <cellStyle name="40% - Accent1 9 2 6" xfId="4581" xr:uid="{00000000-0005-0000-0000-0000BC2B0000}"/>
    <cellStyle name="40% - Accent1 9 2 6 2" xfId="15681" xr:uid="{00000000-0005-0000-0000-0000BD2B0000}"/>
    <cellStyle name="40% - Accent1 9 2 6 3" xfId="19632" xr:uid="{00000000-0005-0000-0000-0000BE2B0000}"/>
    <cellStyle name="40% - Accent1 9 2 7" xfId="15670" xr:uid="{00000000-0005-0000-0000-0000BF2B0000}"/>
    <cellStyle name="40% - Accent1 9 2 8" xfId="19621" xr:uid="{00000000-0005-0000-0000-0000C02B0000}"/>
    <cellStyle name="40% - Accent1 9 2_Volatility" xfId="4582" xr:uid="{00000000-0005-0000-0000-0000C12B0000}"/>
    <cellStyle name="40% - Accent1 9 3" xfId="4583" xr:uid="{00000000-0005-0000-0000-0000C22B0000}"/>
    <cellStyle name="40% - Accent1 9 3 2" xfId="4584" xr:uid="{00000000-0005-0000-0000-0000C32B0000}"/>
    <cellStyle name="40% - Accent1 9 3 2 2" xfId="4585" xr:uid="{00000000-0005-0000-0000-0000C42B0000}"/>
    <cellStyle name="40% - Accent1 9 3 2 2 2" xfId="15684" xr:uid="{00000000-0005-0000-0000-0000C52B0000}"/>
    <cellStyle name="40% - Accent1 9 3 2 2 3" xfId="19635" xr:uid="{00000000-0005-0000-0000-0000C62B0000}"/>
    <cellStyle name="40% - Accent1 9 3 2 3" xfId="4586" xr:uid="{00000000-0005-0000-0000-0000C72B0000}"/>
    <cellStyle name="40% - Accent1 9 3 2 3 2" xfId="15685" xr:uid="{00000000-0005-0000-0000-0000C82B0000}"/>
    <cellStyle name="40% - Accent1 9 3 2 3 3" xfId="19636" xr:uid="{00000000-0005-0000-0000-0000C92B0000}"/>
    <cellStyle name="40% - Accent1 9 3 2 4" xfId="15683" xr:uid="{00000000-0005-0000-0000-0000CA2B0000}"/>
    <cellStyle name="40% - Accent1 9 3 2 5" xfId="19634" xr:uid="{00000000-0005-0000-0000-0000CB2B0000}"/>
    <cellStyle name="40% - Accent1 9 3 3" xfId="4587" xr:uid="{00000000-0005-0000-0000-0000CC2B0000}"/>
    <cellStyle name="40% - Accent1 9 3 3 2" xfId="4588" xr:uid="{00000000-0005-0000-0000-0000CD2B0000}"/>
    <cellStyle name="40% - Accent1 9 3 3 2 2" xfId="15687" xr:uid="{00000000-0005-0000-0000-0000CE2B0000}"/>
    <cellStyle name="40% - Accent1 9 3 3 2 3" xfId="19638" xr:uid="{00000000-0005-0000-0000-0000CF2B0000}"/>
    <cellStyle name="40% - Accent1 9 3 3 3" xfId="4589" xr:uid="{00000000-0005-0000-0000-0000D02B0000}"/>
    <cellStyle name="40% - Accent1 9 3 3 3 2" xfId="15688" xr:uid="{00000000-0005-0000-0000-0000D12B0000}"/>
    <cellStyle name="40% - Accent1 9 3 3 3 3" xfId="19639" xr:uid="{00000000-0005-0000-0000-0000D22B0000}"/>
    <cellStyle name="40% - Accent1 9 3 3 4" xfId="15686" xr:uid="{00000000-0005-0000-0000-0000D32B0000}"/>
    <cellStyle name="40% - Accent1 9 3 3 5" xfId="19637" xr:uid="{00000000-0005-0000-0000-0000D42B0000}"/>
    <cellStyle name="40% - Accent1 9 3 4" xfId="4590" xr:uid="{00000000-0005-0000-0000-0000D52B0000}"/>
    <cellStyle name="40% - Accent1 9 3 4 2" xfId="15689" xr:uid="{00000000-0005-0000-0000-0000D62B0000}"/>
    <cellStyle name="40% - Accent1 9 3 4 3" xfId="19640" xr:uid="{00000000-0005-0000-0000-0000D72B0000}"/>
    <cellStyle name="40% - Accent1 9 3 5" xfId="4591" xr:uid="{00000000-0005-0000-0000-0000D82B0000}"/>
    <cellStyle name="40% - Accent1 9 3 5 2" xfId="15690" xr:uid="{00000000-0005-0000-0000-0000D92B0000}"/>
    <cellStyle name="40% - Accent1 9 3 5 3" xfId="19641" xr:uid="{00000000-0005-0000-0000-0000DA2B0000}"/>
    <cellStyle name="40% - Accent1 9 3 6" xfId="15682" xr:uid="{00000000-0005-0000-0000-0000DB2B0000}"/>
    <cellStyle name="40% - Accent1 9 3 7" xfId="19633" xr:uid="{00000000-0005-0000-0000-0000DC2B0000}"/>
    <cellStyle name="40% - Accent1 9 3_Volatility" xfId="4592" xr:uid="{00000000-0005-0000-0000-0000DD2B0000}"/>
    <cellStyle name="40% - Accent1 9 4" xfId="4593" xr:uid="{00000000-0005-0000-0000-0000DE2B0000}"/>
    <cellStyle name="40% - Accent1 9 4 2" xfId="4594" xr:uid="{00000000-0005-0000-0000-0000DF2B0000}"/>
    <cellStyle name="40% - Accent1 9 4 2 2" xfId="15692" xr:uid="{00000000-0005-0000-0000-0000E02B0000}"/>
    <cellStyle name="40% - Accent1 9 4 2 3" xfId="19643" xr:uid="{00000000-0005-0000-0000-0000E12B0000}"/>
    <cellStyle name="40% - Accent1 9 4 3" xfId="4595" xr:uid="{00000000-0005-0000-0000-0000E22B0000}"/>
    <cellStyle name="40% - Accent1 9 4 3 2" xfId="15693" xr:uid="{00000000-0005-0000-0000-0000E32B0000}"/>
    <cellStyle name="40% - Accent1 9 4 3 3" xfId="19644" xr:uid="{00000000-0005-0000-0000-0000E42B0000}"/>
    <cellStyle name="40% - Accent1 9 4 4" xfId="15691" xr:uid="{00000000-0005-0000-0000-0000E52B0000}"/>
    <cellStyle name="40% - Accent1 9 4 5" xfId="19642" xr:uid="{00000000-0005-0000-0000-0000E62B0000}"/>
    <cellStyle name="40% - Accent1 9 5" xfId="4596" xr:uid="{00000000-0005-0000-0000-0000E72B0000}"/>
    <cellStyle name="40% - Accent1 9 5 2" xfId="4597" xr:uid="{00000000-0005-0000-0000-0000E82B0000}"/>
    <cellStyle name="40% - Accent1 9 5 2 2" xfId="15695" xr:uid="{00000000-0005-0000-0000-0000E92B0000}"/>
    <cellStyle name="40% - Accent1 9 5 2 3" xfId="19646" xr:uid="{00000000-0005-0000-0000-0000EA2B0000}"/>
    <cellStyle name="40% - Accent1 9 5 3" xfId="4598" xr:uid="{00000000-0005-0000-0000-0000EB2B0000}"/>
    <cellStyle name="40% - Accent1 9 5 3 2" xfId="15696" xr:uid="{00000000-0005-0000-0000-0000EC2B0000}"/>
    <cellStyle name="40% - Accent1 9 5 3 3" xfId="19647" xr:uid="{00000000-0005-0000-0000-0000ED2B0000}"/>
    <cellStyle name="40% - Accent1 9 5 4" xfId="15694" xr:uid="{00000000-0005-0000-0000-0000EE2B0000}"/>
    <cellStyle name="40% - Accent1 9 5 5" xfId="19645" xr:uid="{00000000-0005-0000-0000-0000EF2B0000}"/>
    <cellStyle name="40% - Accent1 9 6" xfId="4599" xr:uid="{00000000-0005-0000-0000-0000F02B0000}"/>
    <cellStyle name="40% - Accent1 9 6 2" xfId="4600" xr:uid="{00000000-0005-0000-0000-0000F12B0000}"/>
    <cellStyle name="40% - Accent1 9 6 2 2" xfId="15698" xr:uid="{00000000-0005-0000-0000-0000F22B0000}"/>
    <cellStyle name="40% - Accent1 9 6 2 3" xfId="19649" xr:uid="{00000000-0005-0000-0000-0000F32B0000}"/>
    <cellStyle name="40% - Accent1 9 6 3" xfId="4601" xr:uid="{00000000-0005-0000-0000-0000F42B0000}"/>
    <cellStyle name="40% - Accent1 9 6 3 2" xfId="15699" xr:uid="{00000000-0005-0000-0000-0000F52B0000}"/>
    <cellStyle name="40% - Accent1 9 6 3 3" xfId="19650" xr:uid="{00000000-0005-0000-0000-0000F62B0000}"/>
    <cellStyle name="40% - Accent1 9 6 4" xfId="15697" xr:uid="{00000000-0005-0000-0000-0000F72B0000}"/>
    <cellStyle name="40% - Accent1 9 6 5" xfId="19648" xr:uid="{00000000-0005-0000-0000-0000F82B0000}"/>
    <cellStyle name="40% - Accent1 9 7" xfId="4602" xr:uid="{00000000-0005-0000-0000-0000F92B0000}"/>
    <cellStyle name="40% - Accent1 9 7 2" xfId="15700" xr:uid="{00000000-0005-0000-0000-0000FA2B0000}"/>
    <cellStyle name="40% - Accent1 9 7 3" xfId="19651" xr:uid="{00000000-0005-0000-0000-0000FB2B0000}"/>
    <cellStyle name="40% - Accent1 9 8" xfId="4603" xr:uid="{00000000-0005-0000-0000-0000FC2B0000}"/>
    <cellStyle name="40% - Accent1 9 8 2" xfId="15701" xr:uid="{00000000-0005-0000-0000-0000FD2B0000}"/>
    <cellStyle name="40% - Accent1 9 8 3" xfId="19652" xr:uid="{00000000-0005-0000-0000-0000FE2B0000}"/>
    <cellStyle name="40% - Accent1 9 9" xfId="15669" xr:uid="{00000000-0005-0000-0000-0000FF2B0000}"/>
    <cellStyle name="40% - Accent1 9_Volatility" xfId="4604" xr:uid="{00000000-0005-0000-0000-0000002C0000}"/>
    <cellStyle name="40% - Accent2 10" xfId="4605" xr:uid="{00000000-0005-0000-0000-0000012C0000}"/>
    <cellStyle name="40% - Accent2 10 10" xfId="19653" xr:uid="{00000000-0005-0000-0000-0000022C0000}"/>
    <cellStyle name="40% - Accent2 10 2" xfId="4606" xr:uid="{00000000-0005-0000-0000-0000032C0000}"/>
    <cellStyle name="40% - Accent2 10 2 2" xfId="4607" xr:uid="{00000000-0005-0000-0000-0000042C0000}"/>
    <cellStyle name="40% - Accent2 10 2 2 2" xfId="4608" xr:uid="{00000000-0005-0000-0000-0000052C0000}"/>
    <cellStyle name="40% - Accent2 10 2 2 2 2" xfId="15705" xr:uid="{00000000-0005-0000-0000-0000062C0000}"/>
    <cellStyle name="40% - Accent2 10 2 2 2 3" xfId="19656" xr:uid="{00000000-0005-0000-0000-0000072C0000}"/>
    <cellStyle name="40% - Accent2 10 2 2 3" xfId="4609" xr:uid="{00000000-0005-0000-0000-0000082C0000}"/>
    <cellStyle name="40% - Accent2 10 2 2 3 2" xfId="15706" xr:uid="{00000000-0005-0000-0000-0000092C0000}"/>
    <cellStyle name="40% - Accent2 10 2 2 3 3" xfId="19657" xr:uid="{00000000-0005-0000-0000-00000A2C0000}"/>
    <cellStyle name="40% - Accent2 10 2 2 4" xfId="15704" xr:uid="{00000000-0005-0000-0000-00000B2C0000}"/>
    <cellStyle name="40% - Accent2 10 2 2 5" xfId="19655" xr:uid="{00000000-0005-0000-0000-00000C2C0000}"/>
    <cellStyle name="40% - Accent2 10 2 3" xfId="4610" xr:uid="{00000000-0005-0000-0000-00000D2C0000}"/>
    <cellStyle name="40% - Accent2 10 2 3 2" xfId="4611" xr:uid="{00000000-0005-0000-0000-00000E2C0000}"/>
    <cellStyle name="40% - Accent2 10 2 3 2 2" xfId="15708" xr:uid="{00000000-0005-0000-0000-00000F2C0000}"/>
    <cellStyle name="40% - Accent2 10 2 3 2 3" xfId="19659" xr:uid="{00000000-0005-0000-0000-0000102C0000}"/>
    <cellStyle name="40% - Accent2 10 2 3 3" xfId="4612" xr:uid="{00000000-0005-0000-0000-0000112C0000}"/>
    <cellStyle name="40% - Accent2 10 2 3 3 2" xfId="15709" xr:uid="{00000000-0005-0000-0000-0000122C0000}"/>
    <cellStyle name="40% - Accent2 10 2 3 3 3" xfId="19660" xr:uid="{00000000-0005-0000-0000-0000132C0000}"/>
    <cellStyle name="40% - Accent2 10 2 3 4" xfId="15707" xr:uid="{00000000-0005-0000-0000-0000142C0000}"/>
    <cellStyle name="40% - Accent2 10 2 3 5" xfId="19658" xr:uid="{00000000-0005-0000-0000-0000152C0000}"/>
    <cellStyle name="40% - Accent2 10 2 4" xfId="4613" xr:uid="{00000000-0005-0000-0000-0000162C0000}"/>
    <cellStyle name="40% - Accent2 10 2 4 2" xfId="4614" xr:uid="{00000000-0005-0000-0000-0000172C0000}"/>
    <cellStyle name="40% - Accent2 10 2 4 2 2" xfId="15711" xr:uid="{00000000-0005-0000-0000-0000182C0000}"/>
    <cellStyle name="40% - Accent2 10 2 4 2 3" xfId="19662" xr:uid="{00000000-0005-0000-0000-0000192C0000}"/>
    <cellStyle name="40% - Accent2 10 2 4 3" xfId="4615" xr:uid="{00000000-0005-0000-0000-00001A2C0000}"/>
    <cellStyle name="40% - Accent2 10 2 4 3 2" xfId="15712" xr:uid="{00000000-0005-0000-0000-00001B2C0000}"/>
    <cellStyle name="40% - Accent2 10 2 4 3 3" xfId="19663" xr:uid="{00000000-0005-0000-0000-00001C2C0000}"/>
    <cellStyle name="40% - Accent2 10 2 4 4" xfId="15710" xr:uid="{00000000-0005-0000-0000-00001D2C0000}"/>
    <cellStyle name="40% - Accent2 10 2 4 5" xfId="19661" xr:uid="{00000000-0005-0000-0000-00001E2C0000}"/>
    <cellStyle name="40% - Accent2 10 2 5" xfId="4616" xr:uid="{00000000-0005-0000-0000-00001F2C0000}"/>
    <cellStyle name="40% - Accent2 10 2 5 2" xfId="15713" xr:uid="{00000000-0005-0000-0000-0000202C0000}"/>
    <cellStyle name="40% - Accent2 10 2 5 3" xfId="19664" xr:uid="{00000000-0005-0000-0000-0000212C0000}"/>
    <cellStyle name="40% - Accent2 10 2 6" xfId="4617" xr:uid="{00000000-0005-0000-0000-0000222C0000}"/>
    <cellStyle name="40% - Accent2 10 2 6 2" xfId="15714" xr:uid="{00000000-0005-0000-0000-0000232C0000}"/>
    <cellStyle name="40% - Accent2 10 2 6 3" xfId="19665" xr:uid="{00000000-0005-0000-0000-0000242C0000}"/>
    <cellStyle name="40% - Accent2 10 2 7" xfId="15703" xr:uid="{00000000-0005-0000-0000-0000252C0000}"/>
    <cellStyle name="40% - Accent2 10 2 8" xfId="19654" xr:uid="{00000000-0005-0000-0000-0000262C0000}"/>
    <cellStyle name="40% - Accent2 10 2_Volatility" xfId="4618" xr:uid="{00000000-0005-0000-0000-0000272C0000}"/>
    <cellStyle name="40% - Accent2 10 3" xfId="4619" xr:uid="{00000000-0005-0000-0000-0000282C0000}"/>
    <cellStyle name="40% - Accent2 10 3 2" xfId="4620" xr:uid="{00000000-0005-0000-0000-0000292C0000}"/>
    <cellStyle name="40% - Accent2 10 3 2 2" xfId="4621" xr:uid="{00000000-0005-0000-0000-00002A2C0000}"/>
    <cellStyle name="40% - Accent2 10 3 2 2 2" xfId="15717" xr:uid="{00000000-0005-0000-0000-00002B2C0000}"/>
    <cellStyle name="40% - Accent2 10 3 2 2 3" xfId="19668" xr:uid="{00000000-0005-0000-0000-00002C2C0000}"/>
    <cellStyle name="40% - Accent2 10 3 2 3" xfId="4622" xr:uid="{00000000-0005-0000-0000-00002D2C0000}"/>
    <cellStyle name="40% - Accent2 10 3 2 3 2" xfId="15718" xr:uid="{00000000-0005-0000-0000-00002E2C0000}"/>
    <cellStyle name="40% - Accent2 10 3 2 3 3" xfId="19669" xr:uid="{00000000-0005-0000-0000-00002F2C0000}"/>
    <cellStyle name="40% - Accent2 10 3 2 4" xfId="15716" xr:uid="{00000000-0005-0000-0000-0000302C0000}"/>
    <cellStyle name="40% - Accent2 10 3 2 5" xfId="19667" xr:uid="{00000000-0005-0000-0000-0000312C0000}"/>
    <cellStyle name="40% - Accent2 10 3 3" xfId="4623" xr:uid="{00000000-0005-0000-0000-0000322C0000}"/>
    <cellStyle name="40% - Accent2 10 3 3 2" xfId="4624" xr:uid="{00000000-0005-0000-0000-0000332C0000}"/>
    <cellStyle name="40% - Accent2 10 3 3 2 2" xfId="15720" xr:uid="{00000000-0005-0000-0000-0000342C0000}"/>
    <cellStyle name="40% - Accent2 10 3 3 2 3" xfId="19671" xr:uid="{00000000-0005-0000-0000-0000352C0000}"/>
    <cellStyle name="40% - Accent2 10 3 3 3" xfId="4625" xr:uid="{00000000-0005-0000-0000-0000362C0000}"/>
    <cellStyle name="40% - Accent2 10 3 3 3 2" xfId="15721" xr:uid="{00000000-0005-0000-0000-0000372C0000}"/>
    <cellStyle name="40% - Accent2 10 3 3 3 3" xfId="19672" xr:uid="{00000000-0005-0000-0000-0000382C0000}"/>
    <cellStyle name="40% - Accent2 10 3 3 4" xfId="15719" xr:uid="{00000000-0005-0000-0000-0000392C0000}"/>
    <cellStyle name="40% - Accent2 10 3 3 5" xfId="19670" xr:uid="{00000000-0005-0000-0000-00003A2C0000}"/>
    <cellStyle name="40% - Accent2 10 3 4" xfId="4626" xr:uid="{00000000-0005-0000-0000-00003B2C0000}"/>
    <cellStyle name="40% - Accent2 10 3 4 2" xfId="15722" xr:uid="{00000000-0005-0000-0000-00003C2C0000}"/>
    <cellStyle name="40% - Accent2 10 3 4 3" xfId="19673" xr:uid="{00000000-0005-0000-0000-00003D2C0000}"/>
    <cellStyle name="40% - Accent2 10 3 5" xfId="4627" xr:uid="{00000000-0005-0000-0000-00003E2C0000}"/>
    <cellStyle name="40% - Accent2 10 3 5 2" xfId="15723" xr:uid="{00000000-0005-0000-0000-00003F2C0000}"/>
    <cellStyle name="40% - Accent2 10 3 5 3" xfId="19674" xr:uid="{00000000-0005-0000-0000-0000402C0000}"/>
    <cellStyle name="40% - Accent2 10 3 6" xfId="15715" xr:uid="{00000000-0005-0000-0000-0000412C0000}"/>
    <cellStyle name="40% - Accent2 10 3 7" xfId="19666" xr:uid="{00000000-0005-0000-0000-0000422C0000}"/>
    <cellStyle name="40% - Accent2 10 3_Volatility" xfId="4628" xr:uid="{00000000-0005-0000-0000-0000432C0000}"/>
    <cellStyle name="40% - Accent2 10 4" xfId="4629" xr:uid="{00000000-0005-0000-0000-0000442C0000}"/>
    <cellStyle name="40% - Accent2 10 4 2" xfId="4630" xr:uid="{00000000-0005-0000-0000-0000452C0000}"/>
    <cellStyle name="40% - Accent2 10 4 2 2" xfId="15725" xr:uid="{00000000-0005-0000-0000-0000462C0000}"/>
    <cellStyle name="40% - Accent2 10 4 2 3" xfId="19676" xr:uid="{00000000-0005-0000-0000-0000472C0000}"/>
    <cellStyle name="40% - Accent2 10 4 3" xfId="4631" xr:uid="{00000000-0005-0000-0000-0000482C0000}"/>
    <cellStyle name="40% - Accent2 10 4 3 2" xfId="15726" xr:uid="{00000000-0005-0000-0000-0000492C0000}"/>
    <cellStyle name="40% - Accent2 10 4 3 3" xfId="19677" xr:uid="{00000000-0005-0000-0000-00004A2C0000}"/>
    <cellStyle name="40% - Accent2 10 4 4" xfId="15724" xr:uid="{00000000-0005-0000-0000-00004B2C0000}"/>
    <cellStyle name="40% - Accent2 10 4 5" xfId="19675" xr:uid="{00000000-0005-0000-0000-00004C2C0000}"/>
    <cellStyle name="40% - Accent2 10 5" xfId="4632" xr:uid="{00000000-0005-0000-0000-00004D2C0000}"/>
    <cellStyle name="40% - Accent2 10 5 2" xfId="4633" xr:uid="{00000000-0005-0000-0000-00004E2C0000}"/>
    <cellStyle name="40% - Accent2 10 5 2 2" xfId="15728" xr:uid="{00000000-0005-0000-0000-00004F2C0000}"/>
    <cellStyle name="40% - Accent2 10 5 2 3" xfId="19679" xr:uid="{00000000-0005-0000-0000-0000502C0000}"/>
    <cellStyle name="40% - Accent2 10 5 3" xfId="4634" xr:uid="{00000000-0005-0000-0000-0000512C0000}"/>
    <cellStyle name="40% - Accent2 10 5 3 2" xfId="15729" xr:uid="{00000000-0005-0000-0000-0000522C0000}"/>
    <cellStyle name="40% - Accent2 10 5 3 3" xfId="19680" xr:uid="{00000000-0005-0000-0000-0000532C0000}"/>
    <cellStyle name="40% - Accent2 10 5 4" xfId="15727" xr:uid="{00000000-0005-0000-0000-0000542C0000}"/>
    <cellStyle name="40% - Accent2 10 5 5" xfId="19678" xr:uid="{00000000-0005-0000-0000-0000552C0000}"/>
    <cellStyle name="40% - Accent2 10 6" xfId="4635" xr:uid="{00000000-0005-0000-0000-0000562C0000}"/>
    <cellStyle name="40% - Accent2 10 6 2" xfId="4636" xr:uid="{00000000-0005-0000-0000-0000572C0000}"/>
    <cellStyle name="40% - Accent2 10 6 2 2" xfId="15731" xr:uid="{00000000-0005-0000-0000-0000582C0000}"/>
    <cellStyle name="40% - Accent2 10 6 2 3" xfId="19682" xr:uid="{00000000-0005-0000-0000-0000592C0000}"/>
    <cellStyle name="40% - Accent2 10 6 3" xfId="4637" xr:uid="{00000000-0005-0000-0000-00005A2C0000}"/>
    <cellStyle name="40% - Accent2 10 6 3 2" xfId="15732" xr:uid="{00000000-0005-0000-0000-00005B2C0000}"/>
    <cellStyle name="40% - Accent2 10 6 3 3" xfId="19683" xr:uid="{00000000-0005-0000-0000-00005C2C0000}"/>
    <cellStyle name="40% - Accent2 10 6 4" xfId="15730" xr:uid="{00000000-0005-0000-0000-00005D2C0000}"/>
    <cellStyle name="40% - Accent2 10 6 5" xfId="19681" xr:uid="{00000000-0005-0000-0000-00005E2C0000}"/>
    <cellStyle name="40% - Accent2 10 7" xfId="4638" xr:uid="{00000000-0005-0000-0000-00005F2C0000}"/>
    <cellStyle name="40% - Accent2 10 7 2" xfId="15733" xr:uid="{00000000-0005-0000-0000-0000602C0000}"/>
    <cellStyle name="40% - Accent2 10 7 3" xfId="19684" xr:uid="{00000000-0005-0000-0000-0000612C0000}"/>
    <cellStyle name="40% - Accent2 10 8" xfId="4639" xr:uid="{00000000-0005-0000-0000-0000622C0000}"/>
    <cellStyle name="40% - Accent2 10 8 2" xfId="15734" xr:uid="{00000000-0005-0000-0000-0000632C0000}"/>
    <cellStyle name="40% - Accent2 10 8 3" xfId="19685" xr:uid="{00000000-0005-0000-0000-0000642C0000}"/>
    <cellStyle name="40% - Accent2 10 9" xfId="15702" xr:uid="{00000000-0005-0000-0000-0000652C0000}"/>
    <cellStyle name="40% - Accent2 10_Volatility" xfId="4640" xr:uid="{00000000-0005-0000-0000-0000662C0000}"/>
    <cellStyle name="40% - Accent2 11" xfId="4641" xr:uid="{00000000-0005-0000-0000-0000672C0000}"/>
    <cellStyle name="40% - Accent2 11 10" xfId="19686" xr:uid="{00000000-0005-0000-0000-0000682C0000}"/>
    <cellStyle name="40% - Accent2 11 2" xfId="4642" xr:uid="{00000000-0005-0000-0000-0000692C0000}"/>
    <cellStyle name="40% - Accent2 11 2 2" xfId="4643" xr:uid="{00000000-0005-0000-0000-00006A2C0000}"/>
    <cellStyle name="40% - Accent2 11 2 2 2" xfId="4644" xr:uid="{00000000-0005-0000-0000-00006B2C0000}"/>
    <cellStyle name="40% - Accent2 11 2 2 2 2" xfId="15738" xr:uid="{00000000-0005-0000-0000-00006C2C0000}"/>
    <cellStyle name="40% - Accent2 11 2 2 2 3" xfId="19689" xr:uid="{00000000-0005-0000-0000-00006D2C0000}"/>
    <cellStyle name="40% - Accent2 11 2 2 3" xfId="4645" xr:uid="{00000000-0005-0000-0000-00006E2C0000}"/>
    <cellStyle name="40% - Accent2 11 2 2 3 2" xfId="15739" xr:uid="{00000000-0005-0000-0000-00006F2C0000}"/>
    <cellStyle name="40% - Accent2 11 2 2 3 3" xfId="19690" xr:uid="{00000000-0005-0000-0000-0000702C0000}"/>
    <cellStyle name="40% - Accent2 11 2 2 4" xfId="15737" xr:uid="{00000000-0005-0000-0000-0000712C0000}"/>
    <cellStyle name="40% - Accent2 11 2 2 5" xfId="19688" xr:uid="{00000000-0005-0000-0000-0000722C0000}"/>
    <cellStyle name="40% - Accent2 11 2 3" xfId="4646" xr:uid="{00000000-0005-0000-0000-0000732C0000}"/>
    <cellStyle name="40% - Accent2 11 2 3 2" xfId="4647" xr:uid="{00000000-0005-0000-0000-0000742C0000}"/>
    <cellStyle name="40% - Accent2 11 2 3 2 2" xfId="15741" xr:uid="{00000000-0005-0000-0000-0000752C0000}"/>
    <cellStyle name="40% - Accent2 11 2 3 2 3" xfId="19692" xr:uid="{00000000-0005-0000-0000-0000762C0000}"/>
    <cellStyle name="40% - Accent2 11 2 3 3" xfId="4648" xr:uid="{00000000-0005-0000-0000-0000772C0000}"/>
    <cellStyle name="40% - Accent2 11 2 3 3 2" xfId="15742" xr:uid="{00000000-0005-0000-0000-0000782C0000}"/>
    <cellStyle name="40% - Accent2 11 2 3 3 3" xfId="19693" xr:uid="{00000000-0005-0000-0000-0000792C0000}"/>
    <cellStyle name="40% - Accent2 11 2 3 4" xfId="15740" xr:uid="{00000000-0005-0000-0000-00007A2C0000}"/>
    <cellStyle name="40% - Accent2 11 2 3 5" xfId="19691" xr:uid="{00000000-0005-0000-0000-00007B2C0000}"/>
    <cellStyle name="40% - Accent2 11 2 4" xfId="4649" xr:uid="{00000000-0005-0000-0000-00007C2C0000}"/>
    <cellStyle name="40% - Accent2 11 2 4 2" xfId="4650" xr:uid="{00000000-0005-0000-0000-00007D2C0000}"/>
    <cellStyle name="40% - Accent2 11 2 4 2 2" xfId="15744" xr:uid="{00000000-0005-0000-0000-00007E2C0000}"/>
    <cellStyle name="40% - Accent2 11 2 4 2 3" xfId="19695" xr:uid="{00000000-0005-0000-0000-00007F2C0000}"/>
    <cellStyle name="40% - Accent2 11 2 4 3" xfId="4651" xr:uid="{00000000-0005-0000-0000-0000802C0000}"/>
    <cellStyle name="40% - Accent2 11 2 4 3 2" xfId="15745" xr:uid="{00000000-0005-0000-0000-0000812C0000}"/>
    <cellStyle name="40% - Accent2 11 2 4 3 3" xfId="19696" xr:uid="{00000000-0005-0000-0000-0000822C0000}"/>
    <cellStyle name="40% - Accent2 11 2 4 4" xfId="15743" xr:uid="{00000000-0005-0000-0000-0000832C0000}"/>
    <cellStyle name="40% - Accent2 11 2 4 5" xfId="19694" xr:uid="{00000000-0005-0000-0000-0000842C0000}"/>
    <cellStyle name="40% - Accent2 11 2 5" xfId="4652" xr:uid="{00000000-0005-0000-0000-0000852C0000}"/>
    <cellStyle name="40% - Accent2 11 2 5 2" xfId="15746" xr:uid="{00000000-0005-0000-0000-0000862C0000}"/>
    <cellStyle name="40% - Accent2 11 2 5 3" xfId="19697" xr:uid="{00000000-0005-0000-0000-0000872C0000}"/>
    <cellStyle name="40% - Accent2 11 2 6" xfId="4653" xr:uid="{00000000-0005-0000-0000-0000882C0000}"/>
    <cellStyle name="40% - Accent2 11 2 6 2" xfId="15747" xr:uid="{00000000-0005-0000-0000-0000892C0000}"/>
    <cellStyle name="40% - Accent2 11 2 6 3" xfId="19698" xr:uid="{00000000-0005-0000-0000-00008A2C0000}"/>
    <cellStyle name="40% - Accent2 11 2 7" xfId="15736" xr:uid="{00000000-0005-0000-0000-00008B2C0000}"/>
    <cellStyle name="40% - Accent2 11 2 8" xfId="19687" xr:uid="{00000000-0005-0000-0000-00008C2C0000}"/>
    <cellStyle name="40% - Accent2 11 2_Volatility" xfId="4654" xr:uid="{00000000-0005-0000-0000-00008D2C0000}"/>
    <cellStyle name="40% - Accent2 11 3" xfId="4655" xr:uid="{00000000-0005-0000-0000-00008E2C0000}"/>
    <cellStyle name="40% - Accent2 11 3 2" xfId="4656" xr:uid="{00000000-0005-0000-0000-00008F2C0000}"/>
    <cellStyle name="40% - Accent2 11 3 2 2" xfId="4657" xr:uid="{00000000-0005-0000-0000-0000902C0000}"/>
    <cellStyle name="40% - Accent2 11 3 2 2 2" xfId="15750" xr:uid="{00000000-0005-0000-0000-0000912C0000}"/>
    <cellStyle name="40% - Accent2 11 3 2 2 3" xfId="19701" xr:uid="{00000000-0005-0000-0000-0000922C0000}"/>
    <cellStyle name="40% - Accent2 11 3 2 3" xfId="4658" xr:uid="{00000000-0005-0000-0000-0000932C0000}"/>
    <cellStyle name="40% - Accent2 11 3 2 3 2" xfId="15751" xr:uid="{00000000-0005-0000-0000-0000942C0000}"/>
    <cellStyle name="40% - Accent2 11 3 2 3 3" xfId="19702" xr:uid="{00000000-0005-0000-0000-0000952C0000}"/>
    <cellStyle name="40% - Accent2 11 3 2 4" xfId="15749" xr:uid="{00000000-0005-0000-0000-0000962C0000}"/>
    <cellStyle name="40% - Accent2 11 3 2 5" xfId="19700" xr:uid="{00000000-0005-0000-0000-0000972C0000}"/>
    <cellStyle name="40% - Accent2 11 3 3" xfId="4659" xr:uid="{00000000-0005-0000-0000-0000982C0000}"/>
    <cellStyle name="40% - Accent2 11 3 3 2" xfId="4660" xr:uid="{00000000-0005-0000-0000-0000992C0000}"/>
    <cellStyle name="40% - Accent2 11 3 3 2 2" xfId="15753" xr:uid="{00000000-0005-0000-0000-00009A2C0000}"/>
    <cellStyle name="40% - Accent2 11 3 3 2 3" xfId="19704" xr:uid="{00000000-0005-0000-0000-00009B2C0000}"/>
    <cellStyle name="40% - Accent2 11 3 3 3" xfId="4661" xr:uid="{00000000-0005-0000-0000-00009C2C0000}"/>
    <cellStyle name="40% - Accent2 11 3 3 3 2" xfId="15754" xr:uid="{00000000-0005-0000-0000-00009D2C0000}"/>
    <cellStyle name="40% - Accent2 11 3 3 3 3" xfId="19705" xr:uid="{00000000-0005-0000-0000-00009E2C0000}"/>
    <cellStyle name="40% - Accent2 11 3 3 4" xfId="15752" xr:uid="{00000000-0005-0000-0000-00009F2C0000}"/>
    <cellStyle name="40% - Accent2 11 3 3 5" xfId="19703" xr:uid="{00000000-0005-0000-0000-0000A02C0000}"/>
    <cellStyle name="40% - Accent2 11 3 4" xfId="4662" xr:uid="{00000000-0005-0000-0000-0000A12C0000}"/>
    <cellStyle name="40% - Accent2 11 3 4 2" xfId="15755" xr:uid="{00000000-0005-0000-0000-0000A22C0000}"/>
    <cellStyle name="40% - Accent2 11 3 4 3" xfId="19706" xr:uid="{00000000-0005-0000-0000-0000A32C0000}"/>
    <cellStyle name="40% - Accent2 11 3 5" xfId="4663" xr:uid="{00000000-0005-0000-0000-0000A42C0000}"/>
    <cellStyle name="40% - Accent2 11 3 5 2" xfId="15756" xr:uid="{00000000-0005-0000-0000-0000A52C0000}"/>
    <cellStyle name="40% - Accent2 11 3 5 3" xfId="19707" xr:uid="{00000000-0005-0000-0000-0000A62C0000}"/>
    <cellStyle name="40% - Accent2 11 3 6" xfId="15748" xr:uid="{00000000-0005-0000-0000-0000A72C0000}"/>
    <cellStyle name="40% - Accent2 11 3 7" xfId="19699" xr:uid="{00000000-0005-0000-0000-0000A82C0000}"/>
    <cellStyle name="40% - Accent2 11 3_Volatility" xfId="4664" xr:uid="{00000000-0005-0000-0000-0000A92C0000}"/>
    <cellStyle name="40% - Accent2 11 4" xfId="4665" xr:uid="{00000000-0005-0000-0000-0000AA2C0000}"/>
    <cellStyle name="40% - Accent2 11 4 2" xfId="4666" xr:uid="{00000000-0005-0000-0000-0000AB2C0000}"/>
    <cellStyle name="40% - Accent2 11 4 2 2" xfId="15758" xr:uid="{00000000-0005-0000-0000-0000AC2C0000}"/>
    <cellStyle name="40% - Accent2 11 4 2 3" xfId="19709" xr:uid="{00000000-0005-0000-0000-0000AD2C0000}"/>
    <cellStyle name="40% - Accent2 11 4 3" xfId="4667" xr:uid="{00000000-0005-0000-0000-0000AE2C0000}"/>
    <cellStyle name="40% - Accent2 11 4 3 2" xfId="15759" xr:uid="{00000000-0005-0000-0000-0000AF2C0000}"/>
    <cellStyle name="40% - Accent2 11 4 3 3" xfId="19710" xr:uid="{00000000-0005-0000-0000-0000B02C0000}"/>
    <cellStyle name="40% - Accent2 11 4 4" xfId="15757" xr:uid="{00000000-0005-0000-0000-0000B12C0000}"/>
    <cellStyle name="40% - Accent2 11 4 5" xfId="19708" xr:uid="{00000000-0005-0000-0000-0000B22C0000}"/>
    <cellStyle name="40% - Accent2 11 5" xfId="4668" xr:uid="{00000000-0005-0000-0000-0000B32C0000}"/>
    <cellStyle name="40% - Accent2 11 5 2" xfId="4669" xr:uid="{00000000-0005-0000-0000-0000B42C0000}"/>
    <cellStyle name="40% - Accent2 11 5 2 2" xfId="15761" xr:uid="{00000000-0005-0000-0000-0000B52C0000}"/>
    <cellStyle name="40% - Accent2 11 5 2 3" xfId="19712" xr:uid="{00000000-0005-0000-0000-0000B62C0000}"/>
    <cellStyle name="40% - Accent2 11 5 3" xfId="4670" xr:uid="{00000000-0005-0000-0000-0000B72C0000}"/>
    <cellStyle name="40% - Accent2 11 5 3 2" xfId="15762" xr:uid="{00000000-0005-0000-0000-0000B82C0000}"/>
    <cellStyle name="40% - Accent2 11 5 3 3" xfId="19713" xr:uid="{00000000-0005-0000-0000-0000B92C0000}"/>
    <cellStyle name="40% - Accent2 11 5 4" xfId="15760" xr:uid="{00000000-0005-0000-0000-0000BA2C0000}"/>
    <cellStyle name="40% - Accent2 11 5 5" xfId="19711" xr:uid="{00000000-0005-0000-0000-0000BB2C0000}"/>
    <cellStyle name="40% - Accent2 11 6" xfId="4671" xr:uid="{00000000-0005-0000-0000-0000BC2C0000}"/>
    <cellStyle name="40% - Accent2 11 6 2" xfId="4672" xr:uid="{00000000-0005-0000-0000-0000BD2C0000}"/>
    <cellStyle name="40% - Accent2 11 6 2 2" xfId="15764" xr:uid="{00000000-0005-0000-0000-0000BE2C0000}"/>
    <cellStyle name="40% - Accent2 11 6 2 3" xfId="19715" xr:uid="{00000000-0005-0000-0000-0000BF2C0000}"/>
    <cellStyle name="40% - Accent2 11 6 3" xfId="4673" xr:uid="{00000000-0005-0000-0000-0000C02C0000}"/>
    <cellStyle name="40% - Accent2 11 6 3 2" xfId="15765" xr:uid="{00000000-0005-0000-0000-0000C12C0000}"/>
    <cellStyle name="40% - Accent2 11 6 3 3" xfId="19716" xr:uid="{00000000-0005-0000-0000-0000C22C0000}"/>
    <cellStyle name="40% - Accent2 11 6 4" xfId="15763" xr:uid="{00000000-0005-0000-0000-0000C32C0000}"/>
    <cellStyle name="40% - Accent2 11 6 5" xfId="19714" xr:uid="{00000000-0005-0000-0000-0000C42C0000}"/>
    <cellStyle name="40% - Accent2 11 7" xfId="4674" xr:uid="{00000000-0005-0000-0000-0000C52C0000}"/>
    <cellStyle name="40% - Accent2 11 7 2" xfId="15766" xr:uid="{00000000-0005-0000-0000-0000C62C0000}"/>
    <cellStyle name="40% - Accent2 11 7 3" xfId="19717" xr:uid="{00000000-0005-0000-0000-0000C72C0000}"/>
    <cellStyle name="40% - Accent2 11 8" xfId="4675" xr:uid="{00000000-0005-0000-0000-0000C82C0000}"/>
    <cellStyle name="40% - Accent2 11 8 2" xfId="15767" xr:uid="{00000000-0005-0000-0000-0000C92C0000}"/>
    <cellStyle name="40% - Accent2 11 8 3" xfId="19718" xr:uid="{00000000-0005-0000-0000-0000CA2C0000}"/>
    <cellStyle name="40% - Accent2 11 9" xfId="15735" xr:uid="{00000000-0005-0000-0000-0000CB2C0000}"/>
    <cellStyle name="40% - Accent2 11_Volatility" xfId="4676" xr:uid="{00000000-0005-0000-0000-0000CC2C0000}"/>
    <cellStyle name="40% - Accent2 12" xfId="4677" xr:uid="{00000000-0005-0000-0000-0000CD2C0000}"/>
    <cellStyle name="40% - Accent2 12 10" xfId="19719" xr:uid="{00000000-0005-0000-0000-0000CE2C0000}"/>
    <cellStyle name="40% - Accent2 12 2" xfId="4678" xr:uid="{00000000-0005-0000-0000-0000CF2C0000}"/>
    <cellStyle name="40% - Accent2 12 2 2" xfId="4679" xr:uid="{00000000-0005-0000-0000-0000D02C0000}"/>
    <cellStyle name="40% - Accent2 12 2 2 2" xfId="4680" xr:uid="{00000000-0005-0000-0000-0000D12C0000}"/>
    <cellStyle name="40% - Accent2 12 2 2 2 2" xfId="15771" xr:uid="{00000000-0005-0000-0000-0000D22C0000}"/>
    <cellStyle name="40% - Accent2 12 2 2 2 3" xfId="19722" xr:uid="{00000000-0005-0000-0000-0000D32C0000}"/>
    <cellStyle name="40% - Accent2 12 2 2 3" xfId="4681" xr:uid="{00000000-0005-0000-0000-0000D42C0000}"/>
    <cellStyle name="40% - Accent2 12 2 2 3 2" xfId="15772" xr:uid="{00000000-0005-0000-0000-0000D52C0000}"/>
    <cellStyle name="40% - Accent2 12 2 2 3 3" xfId="19723" xr:uid="{00000000-0005-0000-0000-0000D62C0000}"/>
    <cellStyle name="40% - Accent2 12 2 2 4" xfId="15770" xr:uid="{00000000-0005-0000-0000-0000D72C0000}"/>
    <cellStyle name="40% - Accent2 12 2 2 5" xfId="19721" xr:uid="{00000000-0005-0000-0000-0000D82C0000}"/>
    <cellStyle name="40% - Accent2 12 2 3" xfId="4682" xr:uid="{00000000-0005-0000-0000-0000D92C0000}"/>
    <cellStyle name="40% - Accent2 12 2 3 2" xfId="4683" xr:uid="{00000000-0005-0000-0000-0000DA2C0000}"/>
    <cellStyle name="40% - Accent2 12 2 3 2 2" xfId="15774" xr:uid="{00000000-0005-0000-0000-0000DB2C0000}"/>
    <cellStyle name="40% - Accent2 12 2 3 2 3" xfId="19725" xr:uid="{00000000-0005-0000-0000-0000DC2C0000}"/>
    <cellStyle name="40% - Accent2 12 2 3 3" xfId="4684" xr:uid="{00000000-0005-0000-0000-0000DD2C0000}"/>
    <cellStyle name="40% - Accent2 12 2 3 3 2" xfId="15775" xr:uid="{00000000-0005-0000-0000-0000DE2C0000}"/>
    <cellStyle name="40% - Accent2 12 2 3 3 3" xfId="19726" xr:uid="{00000000-0005-0000-0000-0000DF2C0000}"/>
    <cellStyle name="40% - Accent2 12 2 3 4" xfId="15773" xr:uid="{00000000-0005-0000-0000-0000E02C0000}"/>
    <cellStyle name="40% - Accent2 12 2 3 5" xfId="19724" xr:uid="{00000000-0005-0000-0000-0000E12C0000}"/>
    <cellStyle name="40% - Accent2 12 2 4" xfId="4685" xr:uid="{00000000-0005-0000-0000-0000E22C0000}"/>
    <cellStyle name="40% - Accent2 12 2 4 2" xfId="4686" xr:uid="{00000000-0005-0000-0000-0000E32C0000}"/>
    <cellStyle name="40% - Accent2 12 2 4 2 2" xfId="15777" xr:uid="{00000000-0005-0000-0000-0000E42C0000}"/>
    <cellStyle name="40% - Accent2 12 2 4 2 3" xfId="19728" xr:uid="{00000000-0005-0000-0000-0000E52C0000}"/>
    <cellStyle name="40% - Accent2 12 2 4 3" xfId="4687" xr:uid="{00000000-0005-0000-0000-0000E62C0000}"/>
    <cellStyle name="40% - Accent2 12 2 4 3 2" xfId="15778" xr:uid="{00000000-0005-0000-0000-0000E72C0000}"/>
    <cellStyle name="40% - Accent2 12 2 4 3 3" xfId="19729" xr:uid="{00000000-0005-0000-0000-0000E82C0000}"/>
    <cellStyle name="40% - Accent2 12 2 4 4" xfId="15776" xr:uid="{00000000-0005-0000-0000-0000E92C0000}"/>
    <cellStyle name="40% - Accent2 12 2 4 5" xfId="19727" xr:uid="{00000000-0005-0000-0000-0000EA2C0000}"/>
    <cellStyle name="40% - Accent2 12 2 5" xfId="4688" xr:uid="{00000000-0005-0000-0000-0000EB2C0000}"/>
    <cellStyle name="40% - Accent2 12 2 5 2" xfId="15779" xr:uid="{00000000-0005-0000-0000-0000EC2C0000}"/>
    <cellStyle name="40% - Accent2 12 2 5 3" xfId="19730" xr:uid="{00000000-0005-0000-0000-0000ED2C0000}"/>
    <cellStyle name="40% - Accent2 12 2 6" xfId="4689" xr:uid="{00000000-0005-0000-0000-0000EE2C0000}"/>
    <cellStyle name="40% - Accent2 12 2 6 2" xfId="15780" xr:uid="{00000000-0005-0000-0000-0000EF2C0000}"/>
    <cellStyle name="40% - Accent2 12 2 6 3" xfId="19731" xr:uid="{00000000-0005-0000-0000-0000F02C0000}"/>
    <cellStyle name="40% - Accent2 12 2 7" xfId="15769" xr:uid="{00000000-0005-0000-0000-0000F12C0000}"/>
    <cellStyle name="40% - Accent2 12 2 8" xfId="19720" xr:uid="{00000000-0005-0000-0000-0000F22C0000}"/>
    <cellStyle name="40% - Accent2 12 2_Volatility" xfId="4690" xr:uid="{00000000-0005-0000-0000-0000F32C0000}"/>
    <cellStyle name="40% - Accent2 12 3" xfId="4691" xr:uid="{00000000-0005-0000-0000-0000F42C0000}"/>
    <cellStyle name="40% - Accent2 12 3 2" xfId="4692" xr:uid="{00000000-0005-0000-0000-0000F52C0000}"/>
    <cellStyle name="40% - Accent2 12 3 2 2" xfId="4693" xr:uid="{00000000-0005-0000-0000-0000F62C0000}"/>
    <cellStyle name="40% - Accent2 12 3 2 2 2" xfId="15783" xr:uid="{00000000-0005-0000-0000-0000F72C0000}"/>
    <cellStyle name="40% - Accent2 12 3 2 2 3" xfId="19734" xr:uid="{00000000-0005-0000-0000-0000F82C0000}"/>
    <cellStyle name="40% - Accent2 12 3 2 3" xfId="4694" xr:uid="{00000000-0005-0000-0000-0000F92C0000}"/>
    <cellStyle name="40% - Accent2 12 3 2 3 2" xfId="15784" xr:uid="{00000000-0005-0000-0000-0000FA2C0000}"/>
    <cellStyle name="40% - Accent2 12 3 2 3 3" xfId="19735" xr:uid="{00000000-0005-0000-0000-0000FB2C0000}"/>
    <cellStyle name="40% - Accent2 12 3 2 4" xfId="15782" xr:uid="{00000000-0005-0000-0000-0000FC2C0000}"/>
    <cellStyle name="40% - Accent2 12 3 2 5" xfId="19733" xr:uid="{00000000-0005-0000-0000-0000FD2C0000}"/>
    <cellStyle name="40% - Accent2 12 3 3" xfId="4695" xr:uid="{00000000-0005-0000-0000-0000FE2C0000}"/>
    <cellStyle name="40% - Accent2 12 3 3 2" xfId="4696" xr:uid="{00000000-0005-0000-0000-0000FF2C0000}"/>
    <cellStyle name="40% - Accent2 12 3 3 2 2" xfId="15786" xr:uid="{00000000-0005-0000-0000-0000002D0000}"/>
    <cellStyle name="40% - Accent2 12 3 3 2 3" xfId="19737" xr:uid="{00000000-0005-0000-0000-0000012D0000}"/>
    <cellStyle name="40% - Accent2 12 3 3 3" xfId="4697" xr:uid="{00000000-0005-0000-0000-0000022D0000}"/>
    <cellStyle name="40% - Accent2 12 3 3 3 2" xfId="15787" xr:uid="{00000000-0005-0000-0000-0000032D0000}"/>
    <cellStyle name="40% - Accent2 12 3 3 3 3" xfId="19738" xr:uid="{00000000-0005-0000-0000-0000042D0000}"/>
    <cellStyle name="40% - Accent2 12 3 3 4" xfId="15785" xr:uid="{00000000-0005-0000-0000-0000052D0000}"/>
    <cellStyle name="40% - Accent2 12 3 3 5" xfId="19736" xr:uid="{00000000-0005-0000-0000-0000062D0000}"/>
    <cellStyle name="40% - Accent2 12 3 4" xfId="4698" xr:uid="{00000000-0005-0000-0000-0000072D0000}"/>
    <cellStyle name="40% - Accent2 12 3 4 2" xfId="15788" xr:uid="{00000000-0005-0000-0000-0000082D0000}"/>
    <cellStyle name="40% - Accent2 12 3 4 3" xfId="19739" xr:uid="{00000000-0005-0000-0000-0000092D0000}"/>
    <cellStyle name="40% - Accent2 12 3 5" xfId="4699" xr:uid="{00000000-0005-0000-0000-00000A2D0000}"/>
    <cellStyle name="40% - Accent2 12 3 5 2" xfId="15789" xr:uid="{00000000-0005-0000-0000-00000B2D0000}"/>
    <cellStyle name="40% - Accent2 12 3 5 3" xfId="19740" xr:uid="{00000000-0005-0000-0000-00000C2D0000}"/>
    <cellStyle name="40% - Accent2 12 3 6" xfId="15781" xr:uid="{00000000-0005-0000-0000-00000D2D0000}"/>
    <cellStyle name="40% - Accent2 12 3 7" xfId="19732" xr:uid="{00000000-0005-0000-0000-00000E2D0000}"/>
    <cellStyle name="40% - Accent2 12 3_Volatility" xfId="4700" xr:uid="{00000000-0005-0000-0000-00000F2D0000}"/>
    <cellStyle name="40% - Accent2 12 4" xfId="4701" xr:uid="{00000000-0005-0000-0000-0000102D0000}"/>
    <cellStyle name="40% - Accent2 12 4 2" xfId="4702" xr:uid="{00000000-0005-0000-0000-0000112D0000}"/>
    <cellStyle name="40% - Accent2 12 4 2 2" xfId="15791" xr:uid="{00000000-0005-0000-0000-0000122D0000}"/>
    <cellStyle name="40% - Accent2 12 4 2 3" xfId="19742" xr:uid="{00000000-0005-0000-0000-0000132D0000}"/>
    <cellStyle name="40% - Accent2 12 4 3" xfId="4703" xr:uid="{00000000-0005-0000-0000-0000142D0000}"/>
    <cellStyle name="40% - Accent2 12 4 3 2" xfId="15792" xr:uid="{00000000-0005-0000-0000-0000152D0000}"/>
    <cellStyle name="40% - Accent2 12 4 3 3" xfId="19743" xr:uid="{00000000-0005-0000-0000-0000162D0000}"/>
    <cellStyle name="40% - Accent2 12 4 4" xfId="15790" xr:uid="{00000000-0005-0000-0000-0000172D0000}"/>
    <cellStyle name="40% - Accent2 12 4 5" xfId="19741" xr:uid="{00000000-0005-0000-0000-0000182D0000}"/>
    <cellStyle name="40% - Accent2 12 5" xfId="4704" xr:uid="{00000000-0005-0000-0000-0000192D0000}"/>
    <cellStyle name="40% - Accent2 12 5 2" xfId="4705" xr:uid="{00000000-0005-0000-0000-00001A2D0000}"/>
    <cellStyle name="40% - Accent2 12 5 2 2" xfId="15794" xr:uid="{00000000-0005-0000-0000-00001B2D0000}"/>
    <cellStyle name="40% - Accent2 12 5 2 3" xfId="19745" xr:uid="{00000000-0005-0000-0000-00001C2D0000}"/>
    <cellStyle name="40% - Accent2 12 5 3" xfId="4706" xr:uid="{00000000-0005-0000-0000-00001D2D0000}"/>
    <cellStyle name="40% - Accent2 12 5 3 2" xfId="15795" xr:uid="{00000000-0005-0000-0000-00001E2D0000}"/>
    <cellStyle name="40% - Accent2 12 5 3 3" xfId="19746" xr:uid="{00000000-0005-0000-0000-00001F2D0000}"/>
    <cellStyle name="40% - Accent2 12 5 4" xfId="15793" xr:uid="{00000000-0005-0000-0000-0000202D0000}"/>
    <cellStyle name="40% - Accent2 12 5 5" xfId="19744" xr:uid="{00000000-0005-0000-0000-0000212D0000}"/>
    <cellStyle name="40% - Accent2 12 6" xfId="4707" xr:uid="{00000000-0005-0000-0000-0000222D0000}"/>
    <cellStyle name="40% - Accent2 12 6 2" xfId="4708" xr:uid="{00000000-0005-0000-0000-0000232D0000}"/>
    <cellStyle name="40% - Accent2 12 6 2 2" xfId="15797" xr:uid="{00000000-0005-0000-0000-0000242D0000}"/>
    <cellStyle name="40% - Accent2 12 6 2 3" xfId="19748" xr:uid="{00000000-0005-0000-0000-0000252D0000}"/>
    <cellStyle name="40% - Accent2 12 6 3" xfId="4709" xr:uid="{00000000-0005-0000-0000-0000262D0000}"/>
    <cellStyle name="40% - Accent2 12 6 3 2" xfId="15798" xr:uid="{00000000-0005-0000-0000-0000272D0000}"/>
    <cellStyle name="40% - Accent2 12 6 3 3" xfId="19749" xr:uid="{00000000-0005-0000-0000-0000282D0000}"/>
    <cellStyle name="40% - Accent2 12 6 4" xfId="15796" xr:uid="{00000000-0005-0000-0000-0000292D0000}"/>
    <cellStyle name="40% - Accent2 12 6 5" xfId="19747" xr:uid="{00000000-0005-0000-0000-00002A2D0000}"/>
    <cellStyle name="40% - Accent2 12 7" xfId="4710" xr:uid="{00000000-0005-0000-0000-00002B2D0000}"/>
    <cellStyle name="40% - Accent2 12 7 2" xfId="15799" xr:uid="{00000000-0005-0000-0000-00002C2D0000}"/>
    <cellStyle name="40% - Accent2 12 7 3" xfId="19750" xr:uid="{00000000-0005-0000-0000-00002D2D0000}"/>
    <cellStyle name="40% - Accent2 12 8" xfId="4711" xr:uid="{00000000-0005-0000-0000-00002E2D0000}"/>
    <cellStyle name="40% - Accent2 12 8 2" xfId="15800" xr:uid="{00000000-0005-0000-0000-00002F2D0000}"/>
    <cellStyle name="40% - Accent2 12 8 3" xfId="19751" xr:uid="{00000000-0005-0000-0000-0000302D0000}"/>
    <cellStyle name="40% - Accent2 12 9" xfId="15768" xr:uid="{00000000-0005-0000-0000-0000312D0000}"/>
    <cellStyle name="40% - Accent2 12_Volatility" xfId="4712" xr:uid="{00000000-0005-0000-0000-0000322D0000}"/>
    <cellStyle name="40% - Accent2 13" xfId="4713" xr:uid="{00000000-0005-0000-0000-0000332D0000}"/>
    <cellStyle name="40% - Accent2 13 10" xfId="19752" xr:uid="{00000000-0005-0000-0000-0000342D0000}"/>
    <cellStyle name="40% - Accent2 13 2" xfId="4714" xr:uid="{00000000-0005-0000-0000-0000352D0000}"/>
    <cellStyle name="40% - Accent2 13 2 2" xfId="4715" xr:uid="{00000000-0005-0000-0000-0000362D0000}"/>
    <cellStyle name="40% - Accent2 13 2 2 2" xfId="4716" xr:uid="{00000000-0005-0000-0000-0000372D0000}"/>
    <cellStyle name="40% - Accent2 13 2 2 2 2" xfId="15804" xr:uid="{00000000-0005-0000-0000-0000382D0000}"/>
    <cellStyle name="40% - Accent2 13 2 2 2 3" xfId="19755" xr:uid="{00000000-0005-0000-0000-0000392D0000}"/>
    <cellStyle name="40% - Accent2 13 2 2 3" xfId="4717" xr:uid="{00000000-0005-0000-0000-00003A2D0000}"/>
    <cellStyle name="40% - Accent2 13 2 2 3 2" xfId="15805" xr:uid="{00000000-0005-0000-0000-00003B2D0000}"/>
    <cellStyle name="40% - Accent2 13 2 2 3 3" xfId="19756" xr:uid="{00000000-0005-0000-0000-00003C2D0000}"/>
    <cellStyle name="40% - Accent2 13 2 2 4" xfId="15803" xr:uid="{00000000-0005-0000-0000-00003D2D0000}"/>
    <cellStyle name="40% - Accent2 13 2 2 5" xfId="19754" xr:uid="{00000000-0005-0000-0000-00003E2D0000}"/>
    <cellStyle name="40% - Accent2 13 2 3" xfId="4718" xr:uid="{00000000-0005-0000-0000-00003F2D0000}"/>
    <cellStyle name="40% - Accent2 13 2 3 2" xfId="4719" xr:uid="{00000000-0005-0000-0000-0000402D0000}"/>
    <cellStyle name="40% - Accent2 13 2 3 2 2" xfId="15807" xr:uid="{00000000-0005-0000-0000-0000412D0000}"/>
    <cellStyle name="40% - Accent2 13 2 3 2 3" xfId="19758" xr:uid="{00000000-0005-0000-0000-0000422D0000}"/>
    <cellStyle name="40% - Accent2 13 2 3 3" xfId="4720" xr:uid="{00000000-0005-0000-0000-0000432D0000}"/>
    <cellStyle name="40% - Accent2 13 2 3 3 2" xfId="15808" xr:uid="{00000000-0005-0000-0000-0000442D0000}"/>
    <cellStyle name="40% - Accent2 13 2 3 3 3" xfId="19759" xr:uid="{00000000-0005-0000-0000-0000452D0000}"/>
    <cellStyle name="40% - Accent2 13 2 3 4" xfId="15806" xr:uid="{00000000-0005-0000-0000-0000462D0000}"/>
    <cellStyle name="40% - Accent2 13 2 3 5" xfId="19757" xr:uid="{00000000-0005-0000-0000-0000472D0000}"/>
    <cellStyle name="40% - Accent2 13 2 4" xfId="4721" xr:uid="{00000000-0005-0000-0000-0000482D0000}"/>
    <cellStyle name="40% - Accent2 13 2 4 2" xfId="4722" xr:uid="{00000000-0005-0000-0000-0000492D0000}"/>
    <cellStyle name="40% - Accent2 13 2 4 2 2" xfId="15810" xr:uid="{00000000-0005-0000-0000-00004A2D0000}"/>
    <cellStyle name="40% - Accent2 13 2 4 2 3" xfId="19761" xr:uid="{00000000-0005-0000-0000-00004B2D0000}"/>
    <cellStyle name="40% - Accent2 13 2 4 3" xfId="4723" xr:uid="{00000000-0005-0000-0000-00004C2D0000}"/>
    <cellStyle name="40% - Accent2 13 2 4 3 2" xfId="15811" xr:uid="{00000000-0005-0000-0000-00004D2D0000}"/>
    <cellStyle name="40% - Accent2 13 2 4 3 3" xfId="19762" xr:uid="{00000000-0005-0000-0000-00004E2D0000}"/>
    <cellStyle name="40% - Accent2 13 2 4 4" xfId="15809" xr:uid="{00000000-0005-0000-0000-00004F2D0000}"/>
    <cellStyle name="40% - Accent2 13 2 4 5" xfId="19760" xr:uid="{00000000-0005-0000-0000-0000502D0000}"/>
    <cellStyle name="40% - Accent2 13 2 5" xfId="4724" xr:uid="{00000000-0005-0000-0000-0000512D0000}"/>
    <cellStyle name="40% - Accent2 13 2 5 2" xfId="15812" xr:uid="{00000000-0005-0000-0000-0000522D0000}"/>
    <cellStyle name="40% - Accent2 13 2 5 3" xfId="19763" xr:uid="{00000000-0005-0000-0000-0000532D0000}"/>
    <cellStyle name="40% - Accent2 13 2 6" xfId="4725" xr:uid="{00000000-0005-0000-0000-0000542D0000}"/>
    <cellStyle name="40% - Accent2 13 2 6 2" xfId="15813" xr:uid="{00000000-0005-0000-0000-0000552D0000}"/>
    <cellStyle name="40% - Accent2 13 2 6 3" xfId="19764" xr:uid="{00000000-0005-0000-0000-0000562D0000}"/>
    <cellStyle name="40% - Accent2 13 2 7" xfId="15802" xr:uid="{00000000-0005-0000-0000-0000572D0000}"/>
    <cellStyle name="40% - Accent2 13 2 8" xfId="19753" xr:uid="{00000000-0005-0000-0000-0000582D0000}"/>
    <cellStyle name="40% - Accent2 13 2_Volatility" xfId="4726" xr:uid="{00000000-0005-0000-0000-0000592D0000}"/>
    <cellStyle name="40% - Accent2 13 3" xfId="4727" xr:uid="{00000000-0005-0000-0000-00005A2D0000}"/>
    <cellStyle name="40% - Accent2 13 3 2" xfId="4728" xr:uid="{00000000-0005-0000-0000-00005B2D0000}"/>
    <cellStyle name="40% - Accent2 13 3 2 2" xfId="4729" xr:uid="{00000000-0005-0000-0000-00005C2D0000}"/>
    <cellStyle name="40% - Accent2 13 3 2 2 2" xfId="15816" xr:uid="{00000000-0005-0000-0000-00005D2D0000}"/>
    <cellStyle name="40% - Accent2 13 3 2 2 3" xfId="19767" xr:uid="{00000000-0005-0000-0000-00005E2D0000}"/>
    <cellStyle name="40% - Accent2 13 3 2 3" xfId="4730" xr:uid="{00000000-0005-0000-0000-00005F2D0000}"/>
    <cellStyle name="40% - Accent2 13 3 2 3 2" xfId="15817" xr:uid="{00000000-0005-0000-0000-0000602D0000}"/>
    <cellStyle name="40% - Accent2 13 3 2 3 3" xfId="19768" xr:uid="{00000000-0005-0000-0000-0000612D0000}"/>
    <cellStyle name="40% - Accent2 13 3 2 4" xfId="15815" xr:uid="{00000000-0005-0000-0000-0000622D0000}"/>
    <cellStyle name="40% - Accent2 13 3 2 5" xfId="19766" xr:uid="{00000000-0005-0000-0000-0000632D0000}"/>
    <cellStyle name="40% - Accent2 13 3 3" xfId="4731" xr:uid="{00000000-0005-0000-0000-0000642D0000}"/>
    <cellStyle name="40% - Accent2 13 3 3 2" xfId="4732" xr:uid="{00000000-0005-0000-0000-0000652D0000}"/>
    <cellStyle name="40% - Accent2 13 3 3 2 2" xfId="15819" xr:uid="{00000000-0005-0000-0000-0000662D0000}"/>
    <cellStyle name="40% - Accent2 13 3 3 2 3" xfId="19770" xr:uid="{00000000-0005-0000-0000-0000672D0000}"/>
    <cellStyle name="40% - Accent2 13 3 3 3" xfId="4733" xr:uid="{00000000-0005-0000-0000-0000682D0000}"/>
    <cellStyle name="40% - Accent2 13 3 3 3 2" xfId="15820" xr:uid="{00000000-0005-0000-0000-0000692D0000}"/>
    <cellStyle name="40% - Accent2 13 3 3 3 3" xfId="19771" xr:uid="{00000000-0005-0000-0000-00006A2D0000}"/>
    <cellStyle name="40% - Accent2 13 3 3 4" xfId="15818" xr:uid="{00000000-0005-0000-0000-00006B2D0000}"/>
    <cellStyle name="40% - Accent2 13 3 3 5" xfId="19769" xr:uid="{00000000-0005-0000-0000-00006C2D0000}"/>
    <cellStyle name="40% - Accent2 13 3 4" xfId="4734" xr:uid="{00000000-0005-0000-0000-00006D2D0000}"/>
    <cellStyle name="40% - Accent2 13 3 4 2" xfId="15821" xr:uid="{00000000-0005-0000-0000-00006E2D0000}"/>
    <cellStyle name="40% - Accent2 13 3 4 3" xfId="19772" xr:uid="{00000000-0005-0000-0000-00006F2D0000}"/>
    <cellStyle name="40% - Accent2 13 3 5" xfId="4735" xr:uid="{00000000-0005-0000-0000-0000702D0000}"/>
    <cellStyle name="40% - Accent2 13 3 5 2" xfId="15822" xr:uid="{00000000-0005-0000-0000-0000712D0000}"/>
    <cellStyle name="40% - Accent2 13 3 5 3" xfId="19773" xr:uid="{00000000-0005-0000-0000-0000722D0000}"/>
    <cellStyle name="40% - Accent2 13 3 6" xfId="15814" xr:uid="{00000000-0005-0000-0000-0000732D0000}"/>
    <cellStyle name="40% - Accent2 13 3 7" xfId="19765" xr:uid="{00000000-0005-0000-0000-0000742D0000}"/>
    <cellStyle name="40% - Accent2 13 3_Volatility" xfId="4736" xr:uid="{00000000-0005-0000-0000-0000752D0000}"/>
    <cellStyle name="40% - Accent2 13 4" xfId="4737" xr:uid="{00000000-0005-0000-0000-0000762D0000}"/>
    <cellStyle name="40% - Accent2 13 4 2" xfId="4738" xr:uid="{00000000-0005-0000-0000-0000772D0000}"/>
    <cellStyle name="40% - Accent2 13 4 2 2" xfId="15824" xr:uid="{00000000-0005-0000-0000-0000782D0000}"/>
    <cellStyle name="40% - Accent2 13 4 2 3" xfId="19775" xr:uid="{00000000-0005-0000-0000-0000792D0000}"/>
    <cellStyle name="40% - Accent2 13 4 3" xfId="4739" xr:uid="{00000000-0005-0000-0000-00007A2D0000}"/>
    <cellStyle name="40% - Accent2 13 4 3 2" xfId="15825" xr:uid="{00000000-0005-0000-0000-00007B2D0000}"/>
    <cellStyle name="40% - Accent2 13 4 3 3" xfId="19776" xr:uid="{00000000-0005-0000-0000-00007C2D0000}"/>
    <cellStyle name="40% - Accent2 13 4 4" xfId="15823" xr:uid="{00000000-0005-0000-0000-00007D2D0000}"/>
    <cellStyle name="40% - Accent2 13 4 5" xfId="19774" xr:uid="{00000000-0005-0000-0000-00007E2D0000}"/>
    <cellStyle name="40% - Accent2 13 5" xfId="4740" xr:uid="{00000000-0005-0000-0000-00007F2D0000}"/>
    <cellStyle name="40% - Accent2 13 5 2" xfId="4741" xr:uid="{00000000-0005-0000-0000-0000802D0000}"/>
    <cellStyle name="40% - Accent2 13 5 2 2" xfId="15827" xr:uid="{00000000-0005-0000-0000-0000812D0000}"/>
    <cellStyle name="40% - Accent2 13 5 2 3" xfId="19778" xr:uid="{00000000-0005-0000-0000-0000822D0000}"/>
    <cellStyle name="40% - Accent2 13 5 3" xfId="4742" xr:uid="{00000000-0005-0000-0000-0000832D0000}"/>
    <cellStyle name="40% - Accent2 13 5 3 2" xfId="15828" xr:uid="{00000000-0005-0000-0000-0000842D0000}"/>
    <cellStyle name="40% - Accent2 13 5 3 3" xfId="19779" xr:uid="{00000000-0005-0000-0000-0000852D0000}"/>
    <cellStyle name="40% - Accent2 13 5 4" xfId="15826" xr:uid="{00000000-0005-0000-0000-0000862D0000}"/>
    <cellStyle name="40% - Accent2 13 5 5" xfId="19777" xr:uid="{00000000-0005-0000-0000-0000872D0000}"/>
    <cellStyle name="40% - Accent2 13 6" xfId="4743" xr:uid="{00000000-0005-0000-0000-0000882D0000}"/>
    <cellStyle name="40% - Accent2 13 6 2" xfId="4744" xr:uid="{00000000-0005-0000-0000-0000892D0000}"/>
    <cellStyle name="40% - Accent2 13 6 2 2" xfId="15830" xr:uid="{00000000-0005-0000-0000-00008A2D0000}"/>
    <cellStyle name="40% - Accent2 13 6 2 3" xfId="19781" xr:uid="{00000000-0005-0000-0000-00008B2D0000}"/>
    <cellStyle name="40% - Accent2 13 6 3" xfId="4745" xr:uid="{00000000-0005-0000-0000-00008C2D0000}"/>
    <cellStyle name="40% - Accent2 13 6 3 2" xfId="15831" xr:uid="{00000000-0005-0000-0000-00008D2D0000}"/>
    <cellStyle name="40% - Accent2 13 6 3 3" xfId="19782" xr:uid="{00000000-0005-0000-0000-00008E2D0000}"/>
    <cellStyle name="40% - Accent2 13 6 4" xfId="15829" xr:uid="{00000000-0005-0000-0000-00008F2D0000}"/>
    <cellStyle name="40% - Accent2 13 6 5" xfId="19780" xr:uid="{00000000-0005-0000-0000-0000902D0000}"/>
    <cellStyle name="40% - Accent2 13 7" xfId="4746" xr:uid="{00000000-0005-0000-0000-0000912D0000}"/>
    <cellStyle name="40% - Accent2 13 7 2" xfId="15832" xr:uid="{00000000-0005-0000-0000-0000922D0000}"/>
    <cellStyle name="40% - Accent2 13 7 3" xfId="19783" xr:uid="{00000000-0005-0000-0000-0000932D0000}"/>
    <cellStyle name="40% - Accent2 13 8" xfId="4747" xr:uid="{00000000-0005-0000-0000-0000942D0000}"/>
    <cellStyle name="40% - Accent2 13 8 2" xfId="15833" xr:uid="{00000000-0005-0000-0000-0000952D0000}"/>
    <cellStyle name="40% - Accent2 13 8 3" xfId="19784" xr:uid="{00000000-0005-0000-0000-0000962D0000}"/>
    <cellStyle name="40% - Accent2 13 9" xfId="15801" xr:uid="{00000000-0005-0000-0000-0000972D0000}"/>
    <cellStyle name="40% - Accent2 13_Volatility" xfId="4748" xr:uid="{00000000-0005-0000-0000-0000982D0000}"/>
    <cellStyle name="40% - Accent2 14" xfId="4749" xr:uid="{00000000-0005-0000-0000-0000992D0000}"/>
    <cellStyle name="40% - Accent2 14 10" xfId="19785" xr:uid="{00000000-0005-0000-0000-00009A2D0000}"/>
    <cellStyle name="40% - Accent2 14 2" xfId="4750" xr:uid="{00000000-0005-0000-0000-00009B2D0000}"/>
    <cellStyle name="40% - Accent2 14 2 2" xfId="4751" xr:uid="{00000000-0005-0000-0000-00009C2D0000}"/>
    <cellStyle name="40% - Accent2 14 2 2 2" xfId="4752" xr:uid="{00000000-0005-0000-0000-00009D2D0000}"/>
    <cellStyle name="40% - Accent2 14 2 2 2 2" xfId="15837" xr:uid="{00000000-0005-0000-0000-00009E2D0000}"/>
    <cellStyle name="40% - Accent2 14 2 2 2 3" xfId="19788" xr:uid="{00000000-0005-0000-0000-00009F2D0000}"/>
    <cellStyle name="40% - Accent2 14 2 2 3" xfId="4753" xr:uid="{00000000-0005-0000-0000-0000A02D0000}"/>
    <cellStyle name="40% - Accent2 14 2 2 3 2" xfId="15838" xr:uid="{00000000-0005-0000-0000-0000A12D0000}"/>
    <cellStyle name="40% - Accent2 14 2 2 3 3" xfId="19789" xr:uid="{00000000-0005-0000-0000-0000A22D0000}"/>
    <cellStyle name="40% - Accent2 14 2 2 4" xfId="15836" xr:uid="{00000000-0005-0000-0000-0000A32D0000}"/>
    <cellStyle name="40% - Accent2 14 2 2 5" xfId="19787" xr:uid="{00000000-0005-0000-0000-0000A42D0000}"/>
    <cellStyle name="40% - Accent2 14 2 3" xfId="4754" xr:uid="{00000000-0005-0000-0000-0000A52D0000}"/>
    <cellStyle name="40% - Accent2 14 2 3 2" xfId="4755" xr:uid="{00000000-0005-0000-0000-0000A62D0000}"/>
    <cellStyle name="40% - Accent2 14 2 3 2 2" xfId="15840" xr:uid="{00000000-0005-0000-0000-0000A72D0000}"/>
    <cellStyle name="40% - Accent2 14 2 3 2 3" xfId="19791" xr:uid="{00000000-0005-0000-0000-0000A82D0000}"/>
    <cellStyle name="40% - Accent2 14 2 3 3" xfId="4756" xr:uid="{00000000-0005-0000-0000-0000A92D0000}"/>
    <cellStyle name="40% - Accent2 14 2 3 3 2" xfId="15841" xr:uid="{00000000-0005-0000-0000-0000AA2D0000}"/>
    <cellStyle name="40% - Accent2 14 2 3 3 3" xfId="19792" xr:uid="{00000000-0005-0000-0000-0000AB2D0000}"/>
    <cellStyle name="40% - Accent2 14 2 3 4" xfId="15839" xr:uid="{00000000-0005-0000-0000-0000AC2D0000}"/>
    <cellStyle name="40% - Accent2 14 2 3 5" xfId="19790" xr:uid="{00000000-0005-0000-0000-0000AD2D0000}"/>
    <cellStyle name="40% - Accent2 14 2 4" xfId="4757" xr:uid="{00000000-0005-0000-0000-0000AE2D0000}"/>
    <cellStyle name="40% - Accent2 14 2 4 2" xfId="4758" xr:uid="{00000000-0005-0000-0000-0000AF2D0000}"/>
    <cellStyle name="40% - Accent2 14 2 4 2 2" xfId="15843" xr:uid="{00000000-0005-0000-0000-0000B02D0000}"/>
    <cellStyle name="40% - Accent2 14 2 4 2 3" xfId="19794" xr:uid="{00000000-0005-0000-0000-0000B12D0000}"/>
    <cellStyle name="40% - Accent2 14 2 4 3" xfId="4759" xr:uid="{00000000-0005-0000-0000-0000B22D0000}"/>
    <cellStyle name="40% - Accent2 14 2 4 3 2" xfId="15844" xr:uid="{00000000-0005-0000-0000-0000B32D0000}"/>
    <cellStyle name="40% - Accent2 14 2 4 3 3" xfId="19795" xr:uid="{00000000-0005-0000-0000-0000B42D0000}"/>
    <cellStyle name="40% - Accent2 14 2 4 4" xfId="15842" xr:uid="{00000000-0005-0000-0000-0000B52D0000}"/>
    <cellStyle name="40% - Accent2 14 2 4 5" xfId="19793" xr:uid="{00000000-0005-0000-0000-0000B62D0000}"/>
    <cellStyle name="40% - Accent2 14 2 5" xfId="4760" xr:uid="{00000000-0005-0000-0000-0000B72D0000}"/>
    <cellStyle name="40% - Accent2 14 2 5 2" xfId="15845" xr:uid="{00000000-0005-0000-0000-0000B82D0000}"/>
    <cellStyle name="40% - Accent2 14 2 5 3" xfId="19796" xr:uid="{00000000-0005-0000-0000-0000B92D0000}"/>
    <cellStyle name="40% - Accent2 14 2 6" xfId="4761" xr:uid="{00000000-0005-0000-0000-0000BA2D0000}"/>
    <cellStyle name="40% - Accent2 14 2 6 2" xfId="15846" xr:uid="{00000000-0005-0000-0000-0000BB2D0000}"/>
    <cellStyle name="40% - Accent2 14 2 6 3" xfId="19797" xr:uid="{00000000-0005-0000-0000-0000BC2D0000}"/>
    <cellStyle name="40% - Accent2 14 2 7" xfId="15835" xr:uid="{00000000-0005-0000-0000-0000BD2D0000}"/>
    <cellStyle name="40% - Accent2 14 2 8" xfId="19786" xr:uid="{00000000-0005-0000-0000-0000BE2D0000}"/>
    <cellStyle name="40% - Accent2 14 2_Volatility" xfId="4762" xr:uid="{00000000-0005-0000-0000-0000BF2D0000}"/>
    <cellStyle name="40% - Accent2 14 3" xfId="4763" xr:uid="{00000000-0005-0000-0000-0000C02D0000}"/>
    <cellStyle name="40% - Accent2 14 3 2" xfId="4764" xr:uid="{00000000-0005-0000-0000-0000C12D0000}"/>
    <cellStyle name="40% - Accent2 14 3 2 2" xfId="4765" xr:uid="{00000000-0005-0000-0000-0000C22D0000}"/>
    <cellStyle name="40% - Accent2 14 3 2 2 2" xfId="15849" xr:uid="{00000000-0005-0000-0000-0000C32D0000}"/>
    <cellStyle name="40% - Accent2 14 3 2 2 3" xfId="19800" xr:uid="{00000000-0005-0000-0000-0000C42D0000}"/>
    <cellStyle name="40% - Accent2 14 3 2 3" xfId="4766" xr:uid="{00000000-0005-0000-0000-0000C52D0000}"/>
    <cellStyle name="40% - Accent2 14 3 2 3 2" xfId="15850" xr:uid="{00000000-0005-0000-0000-0000C62D0000}"/>
    <cellStyle name="40% - Accent2 14 3 2 3 3" xfId="19801" xr:uid="{00000000-0005-0000-0000-0000C72D0000}"/>
    <cellStyle name="40% - Accent2 14 3 2 4" xfId="15848" xr:uid="{00000000-0005-0000-0000-0000C82D0000}"/>
    <cellStyle name="40% - Accent2 14 3 2 5" xfId="19799" xr:uid="{00000000-0005-0000-0000-0000C92D0000}"/>
    <cellStyle name="40% - Accent2 14 3 3" xfId="4767" xr:uid="{00000000-0005-0000-0000-0000CA2D0000}"/>
    <cellStyle name="40% - Accent2 14 3 3 2" xfId="4768" xr:uid="{00000000-0005-0000-0000-0000CB2D0000}"/>
    <cellStyle name="40% - Accent2 14 3 3 2 2" xfId="15852" xr:uid="{00000000-0005-0000-0000-0000CC2D0000}"/>
    <cellStyle name="40% - Accent2 14 3 3 2 3" xfId="19803" xr:uid="{00000000-0005-0000-0000-0000CD2D0000}"/>
    <cellStyle name="40% - Accent2 14 3 3 3" xfId="4769" xr:uid="{00000000-0005-0000-0000-0000CE2D0000}"/>
    <cellStyle name="40% - Accent2 14 3 3 3 2" xfId="15853" xr:uid="{00000000-0005-0000-0000-0000CF2D0000}"/>
    <cellStyle name="40% - Accent2 14 3 3 3 3" xfId="19804" xr:uid="{00000000-0005-0000-0000-0000D02D0000}"/>
    <cellStyle name="40% - Accent2 14 3 3 4" xfId="15851" xr:uid="{00000000-0005-0000-0000-0000D12D0000}"/>
    <cellStyle name="40% - Accent2 14 3 3 5" xfId="19802" xr:uid="{00000000-0005-0000-0000-0000D22D0000}"/>
    <cellStyle name="40% - Accent2 14 3 4" xfId="4770" xr:uid="{00000000-0005-0000-0000-0000D32D0000}"/>
    <cellStyle name="40% - Accent2 14 3 4 2" xfId="15854" xr:uid="{00000000-0005-0000-0000-0000D42D0000}"/>
    <cellStyle name="40% - Accent2 14 3 4 3" xfId="19805" xr:uid="{00000000-0005-0000-0000-0000D52D0000}"/>
    <cellStyle name="40% - Accent2 14 3 5" xfId="4771" xr:uid="{00000000-0005-0000-0000-0000D62D0000}"/>
    <cellStyle name="40% - Accent2 14 3 5 2" xfId="15855" xr:uid="{00000000-0005-0000-0000-0000D72D0000}"/>
    <cellStyle name="40% - Accent2 14 3 5 3" xfId="19806" xr:uid="{00000000-0005-0000-0000-0000D82D0000}"/>
    <cellStyle name="40% - Accent2 14 3 6" xfId="15847" xr:uid="{00000000-0005-0000-0000-0000D92D0000}"/>
    <cellStyle name="40% - Accent2 14 3 7" xfId="19798" xr:uid="{00000000-0005-0000-0000-0000DA2D0000}"/>
    <cellStyle name="40% - Accent2 14 3_Volatility" xfId="4772" xr:uid="{00000000-0005-0000-0000-0000DB2D0000}"/>
    <cellStyle name="40% - Accent2 14 4" xfId="4773" xr:uid="{00000000-0005-0000-0000-0000DC2D0000}"/>
    <cellStyle name="40% - Accent2 14 4 2" xfId="4774" xr:uid="{00000000-0005-0000-0000-0000DD2D0000}"/>
    <cellStyle name="40% - Accent2 14 4 2 2" xfId="15857" xr:uid="{00000000-0005-0000-0000-0000DE2D0000}"/>
    <cellStyle name="40% - Accent2 14 4 2 3" xfId="19808" xr:uid="{00000000-0005-0000-0000-0000DF2D0000}"/>
    <cellStyle name="40% - Accent2 14 4 3" xfId="4775" xr:uid="{00000000-0005-0000-0000-0000E02D0000}"/>
    <cellStyle name="40% - Accent2 14 4 3 2" xfId="15858" xr:uid="{00000000-0005-0000-0000-0000E12D0000}"/>
    <cellStyle name="40% - Accent2 14 4 3 3" xfId="19809" xr:uid="{00000000-0005-0000-0000-0000E22D0000}"/>
    <cellStyle name="40% - Accent2 14 4 4" xfId="15856" xr:uid="{00000000-0005-0000-0000-0000E32D0000}"/>
    <cellStyle name="40% - Accent2 14 4 5" xfId="19807" xr:uid="{00000000-0005-0000-0000-0000E42D0000}"/>
    <cellStyle name="40% - Accent2 14 5" xfId="4776" xr:uid="{00000000-0005-0000-0000-0000E52D0000}"/>
    <cellStyle name="40% - Accent2 14 5 2" xfId="4777" xr:uid="{00000000-0005-0000-0000-0000E62D0000}"/>
    <cellStyle name="40% - Accent2 14 5 2 2" xfId="15860" xr:uid="{00000000-0005-0000-0000-0000E72D0000}"/>
    <cellStyle name="40% - Accent2 14 5 2 3" xfId="19811" xr:uid="{00000000-0005-0000-0000-0000E82D0000}"/>
    <cellStyle name="40% - Accent2 14 5 3" xfId="4778" xr:uid="{00000000-0005-0000-0000-0000E92D0000}"/>
    <cellStyle name="40% - Accent2 14 5 3 2" xfId="15861" xr:uid="{00000000-0005-0000-0000-0000EA2D0000}"/>
    <cellStyle name="40% - Accent2 14 5 3 3" xfId="19812" xr:uid="{00000000-0005-0000-0000-0000EB2D0000}"/>
    <cellStyle name="40% - Accent2 14 5 4" xfId="15859" xr:uid="{00000000-0005-0000-0000-0000EC2D0000}"/>
    <cellStyle name="40% - Accent2 14 5 5" xfId="19810" xr:uid="{00000000-0005-0000-0000-0000ED2D0000}"/>
    <cellStyle name="40% - Accent2 14 6" xfId="4779" xr:uid="{00000000-0005-0000-0000-0000EE2D0000}"/>
    <cellStyle name="40% - Accent2 14 6 2" xfId="4780" xr:uid="{00000000-0005-0000-0000-0000EF2D0000}"/>
    <cellStyle name="40% - Accent2 14 6 2 2" xfId="15863" xr:uid="{00000000-0005-0000-0000-0000F02D0000}"/>
    <cellStyle name="40% - Accent2 14 6 2 3" xfId="19814" xr:uid="{00000000-0005-0000-0000-0000F12D0000}"/>
    <cellStyle name="40% - Accent2 14 6 3" xfId="4781" xr:uid="{00000000-0005-0000-0000-0000F22D0000}"/>
    <cellStyle name="40% - Accent2 14 6 3 2" xfId="15864" xr:uid="{00000000-0005-0000-0000-0000F32D0000}"/>
    <cellStyle name="40% - Accent2 14 6 3 3" xfId="19815" xr:uid="{00000000-0005-0000-0000-0000F42D0000}"/>
    <cellStyle name="40% - Accent2 14 6 4" xfId="15862" xr:uid="{00000000-0005-0000-0000-0000F52D0000}"/>
    <cellStyle name="40% - Accent2 14 6 5" xfId="19813" xr:uid="{00000000-0005-0000-0000-0000F62D0000}"/>
    <cellStyle name="40% - Accent2 14 7" xfId="4782" xr:uid="{00000000-0005-0000-0000-0000F72D0000}"/>
    <cellStyle name="40% - Accent2 14 7 2" xfId="15865" xr:uid="{00000000-0005-0000-0000-0000F82D0000}"/>
    <cellStyle name="40% - Accent2 14 7 3" xfId="19816" xr:uid="{00000000-0005-0000-0000-0000F92D0000}"/>
    <cellStyle name="40% - Accent2 14 8" xfId="4783" xr:uid="{00000000-0005-0000-0000-0000FA2D0000}"/>
    <cellStyle name="40% - Accent2 14 8 2" xfId="15866" xr:uid="{00000000-0005-0000-0000-0000FB2D0000}"/>
    <cellStyle name="40% - Accent2 14 8 3" xfId="19817" xr:uid="{00000000-0005-0000-0000-0000FC2D0000}"/>
    <cellStyle name="40% - Accent2 14 9" xfId="15834" xr:uid="{00000000-0005-0000-0000-0000FD2D0000}"/>
    <cellStyle name="40% - Accent2 14_Volatility" xfId="4784" xr:uid="{00000000-0005-0000-0000-0000FE2D0000}"/>
    <cellStyle name="40% - Accent2 15" xfId="4785" xr:uid="{00000000-0005-0000-0000-0000FF2D0000}"/>
    <cellStyle name="40% - Accent2 15 10" xfId="19818" xr:uid="{00000000-0005-0000-0000-0000002E0000}"/>
    <cellStyle name="40% - Accent2 15 2" xfId="4786" xr:uid="{00000000-0005-0000-0000-0000012E0000}"/>
    <cellStyle name="40% - Accent2 15 2 2" xfId="4787" xr:uid="{00000000-0005-0000-0000-0000022E0000}"/>
    <cellStyle name="40% - Accent2 15 2 2 2" xfId="4788" xr:uid="{00000000-0005-0000-0000-0000032E0000}"/>
    <cellStyle name="40% - Accent2 15 2 2 2 2" xfId="15870" xr:uid="{00000000-0005-0000-0000-0000042E0000}"/>
    <cellStyle name="40% - Accent2 15 2 2 2 3" xfId="19821" xr:uid="{00000000-0005-0000-0000-0000052E0000}"/>
    <cellStyle name="40% - Accent2 15 2 2 3" xfId="4789" xr:uid="{00000000-0005-0000-0000-0000062E0000}"/>
    <cellStyle name="40% - Accent2 15 2 2 3 2" xfId="15871" xr:uid="{00000000-0005-0000-0000-0000072E0000}"/>
    <cellStyle name="40% - Accent2 15 2 2 3 3" xfId="19822" xr:uid="{00000000-0005-0000-0000-0000082E0000}"/>
    <cellStyle name="40% - Accent2 15 2 2 4" xfId="15869" xr:uid="{00000000-0005-0000-0000-0000092E0000}"/>
    <cellStyle name="40% - Accent2 15 2 2 5" xfId="19820" xr:uid="{00000000-0005-0000-0000-00000A2E0000}"/>
    <cellStyle name="40% - Accent2 15 2 3" xfId="4790" xr:uid="{00000000-0005-0000-0000-00000B2E0000}"/>
    <cellStyle name="40% - Accent2 15 2 3 2" xfId="4791" xr:uid="{00000000-0005-0000-0000-00000C2E0000}"/>
    <cellStyle name="40% - Accent2 15 2 3 2 2" xfId="15873" xr:uid="{00000000-0005-0000-0000-00000D2E0000}"/>
    <cellStyle name="40% - Accent2 15 2 3 2 3" xfId="19824" xr:uid="{00000000-0005-0000-0000-00000E2E0000}"/>
    <cellStyle name="40% - Accent2 15 2 3 3" xfId="4792" xr:uid="{00000000-0005-0000-0000-00000F2E0000}"/>
    <cellStyle name="40% - Accent2 15 2 3 3 2" xfId="15874" xr:uid="{00000000-0005-0000-0000-0000102E0000}"/>
    <cellStyle name="40% - Accent2 15 2 3 3 3" xfId="19825" xr:uid="{00000000-0005-0000-0000-0000112E0000}"/>
    <cellStyle name="40% - Accent2 15 2 3 4" xfId="15872" xr:uid="{00000000-0005-0000-0000-0000122E0000}"/>
    <cellStyle name="40% - Accent2 15 2 3 5" xfId="19823" xr:uid="{00000000-0005-0000-0000-0000132E0000}"/>
    <cellStyle name="40% - Accent2 15 2 4" xfId="4793" xr:uid="{00000000-0005-0000-0000-0000142E0000}"/>
    <cellStyle name="40% - Accent2 15 2 4 2" xfId="4794" xr:uid="{00000000-0005-0000-0000-0000152E0000}"/>
    <cellStyle name="40% - Accent2 15 2 4 2 2" xfId="15876" xr:uid="{00000000-0005-0000-0000-0000162E0000}"/>
    <cellStyle name="40% - Accent2 15 2 4 2 3" xfId="19827" xr:uid="{00000000-0005-0000-0000-0000172E0000}"/>
    <cellStyle name="40% - Accent2 15 2 4 3" xfId="4795" xr:uid="{00000000-0005-0000-0000-0000182E0000}"/>
    <cellStyle name="40% - Accent2 15 2 4 3 2" xfId="15877" xr:uid="{00000000-0005-0000-0000-0000192E0000}"/>
    <cellStyle name="40% - Accent2 15 2 4 3 3" xfId="19828" xr:uid="{00000000-0005-0000-0000-00001A2E0000}"/>
    <cellStyle name="40% - Accent2 15 2 4 4" xfId="15875" xr:uid="{00000000-0005-0000-0000-00001B2E0000}"/>
    <cellStyle name="40% - Accent2 15 2 4 5" xfId="19826" xr:uid="{00000000-0005-0000-0000-00001C2E0000}"/>
    <cellStyle name="40% - Accent2 15 2 5" xfId="4796" xr:uid="{00000000-0005-0000-0000-00001D2E0000}"/>
    <cellStyle name="40% - Accent2 15 2 5 2" xfId="15878" xr:uid="{00000000-0005-0000-0000-00001E2E0000}"/>
    <cellStyle name="40% - Accent2 15 2 5 3" xfId="19829" xr:uid="{00000000-0005-0000-0000-00001F2E0000}"/>
    <cellStyle name="40% - Accent2 15 2 6" xfId="4797" xr:uid="{00000000-0005-0000-0000-0000202E0000}"/>
    <cellStyle name="40% - Accent2 15 2 6 2" xfId="15879" xr:uid="{00000000-0005-0000-0000-0000212E0000}"/>
    <cellStyle name="40% - Accent2 15 2 6 3" xfId="19830" xr:uid="{00000000-0005-0000-0000-0000222E0000}"/>
    <cellStyle name="40% - Accent2 15 2 7" xfId="15868" xr:uid="{00000000-0005-0000-0000-0000232E0000}"/>
    <cellStyle name="40% - Accent2 15 2 8" xfId="19819" xr:uid="{00000000-0005-0000-0000-0000242E0000}"/>
    <cellStyle name="40% - Accent2 15 2_Volatility" xfId="4798" xr:uid="{00000000-0005-0000-0000-0000252E0000}"/>
    <cellStyle name="40% - Accent2 15 3" xfId="4799" xr:uid="{00000000-0005-0000-0000-0000262E0000}"/>
    <cellStyle name="40% - Accent2 15 3 2" xfId="4800" xr:uid="{00000000-0005-0000-0000-0000272E0000}"/>
    <cellStyle name="40% - Accent2 15 3 2 2" xfId="4801" xr:uid="{00000000-0005-0000-0000-0000282E0000}"/>
    <cellStyle name="40% - Accent2 15 3 2 2 2" xfId="15882" xr:uid="{00000000-0005-0000-0000-0000292E0000}"/>
    <cellStyle name="40% - Accent2 15 3 2 2 3" xfId="19833" xr:uid="{00000000-0005-0000-0000-00002A2E0000}"/>
    <cellStyle name="40% - Accent2 15 3 2 3" xfId="4802" xr:uid="{00000000-0005-0000-0000-00002B2E0000}"/>
    <cellStyle name="40% - Accent2 15 3 2 3 2" xfId="15883" xr:uid="{00000000-0005-0000-0000-00002C2E0000}"/>
    <cellStyle name="40% - Accent2 15 3 2 3 3" xfId="19834" xr:uid="{00000000-0005-0000-0000-00002D2E0000}"/>
    <cellStyle name="40% - Accent2 15 3 2 4" xfId="15881" xr:uid="{00000000-0005-0000-0000-00002E2E0000}"/>
    <cellStyle name="40% - Accent2 15 3 2 5" xfId="19832" xr:uid="{00000000-0005-0000-0000-00002F2E0000}"/>
    <cellStyle name="40% - Accent2 15 3 3" xfId="4803" xr:uid="{00000000-0005-0000-0000-0000302E0000}"/>
    <cellStyle name="40% - Accent2 15 3 3 2" xfId="4804" xr:uid="{00000000-0005-0000-0000-0000312E0000}"/>
    <cellStyle name="40% - Accent2 15 3 3 2 2" xfId="15885" xr:uid="{00000000-0005-0000-0000-0000322E0000}"/>
    <cellStyle name="40% - Accent2 15 3 3 2 3" xfId="19836" xr:uid="{00000000-0005-0000-0000-0000332E0000}"/>
    <cellStyle name="40% - Accent2 15 3 3 3" xfId="4805" xr:uid="{00000000-0005-0000-0000-0000342E0000}"/>
    <cellStyle name="40% - Accent2 15 3 3 3 2" xfId="15886" xr:uid="{00000000-0005-0000-0000-0000352E0000}"/>
    <cellStyle name="40% - Accent2 15 3 3 3 3" xfId="19837" xr:uid="{00000000-0005-0000-0000-0000362E0000}"/>
    <cellStyle name="40% - Accent2 15 3 3 4" xfId="15884" xr:uid="{00000000-0005-0000-0000-0000372E0000}"/>
    <cellStyle name="40% - Accent2 15 3 3 5" xfId="19835" xr:uid="{00000000-0005-0000-0000-0000382E0000}"/>
    <cellStyle name="40% - Accent2 15 3 4" xfId="4806" xr:uid="{00000000-0005-0000-0000-0000392E0000}"/>
    <cellStyle name="40% - Accent2 15 3 4 2" xfId="15887" xr:uid="{00000000-0005-0000-0000-00003A2E0000}"/>
    <cellStyle name="40% - Accent2 15 3 4 3" xfId="19838" xr:uid="{00000000-0005-0000-0000-00003B2E0000}"/>
    <cellStyle name="40% - Accent2 15 3 5" xfId="4807" xr:uid="{00000000-0005-0000-0000-00003C2E0000}"/>
    <cellStyle name="40% - Accent2 15 3 5 2" xfId="15888" xr:uid="{00000000-0005-0000-0000-00003D2E0000}"/>
    <cellStyle name="40% - Accent2 15 3 5 3" xfId="19839" xr:uid="{00000000-0005-0000-0000-00003E2E0000}"/>
    <cellStyle name="40% - Accent2 15 3 6" xfId="15880" xr:uid="{00000000-0005-0000-0000-00003F2E0000}"/>
    <cellStyle name="40% - Accent2 15 3 7" xfId="19831" xr:uid="{00000000-0005-0000-0000-0000402E0000}"/>
    <cellStyle name="40% - Accent2 15 3_Volatility" xfId="4808" xr:uid="{00000000-0005-0000-0000-0000412E0000}"/>
    <cellStyle name="40% - Accent2 15 4" xfId="4809" xr:uid="{00000000-0005-0000-0000-0000422E0000}"/>
    <cellStyle name="40% - Accent2 15 4 2" xfId="4810" xr:uid="{00000000-0005-0000-0000-0000432E0000}"/>
    <cellStyle name="40% - Accent2 15 4 2 2" xfId="15890" xr:uid="{00000000-0005-0000-0000-0000442E0000}"/>
    <cellStyle name="40% - Accent2 15 4 2 3" xfId="19841" xr:uid="{00000000-0005-0000-0000-0000452E0000}"/>
    <cellStyle name="40% - Accent2 15 4 3" xfId="4811" xr:uid="{00000000-0005-0000-0000-0000462E0000}"/>
    <cellStyle name="40% - Accent2 15 4 3 2" xfId="15891" xr:uid="{00000000-0005-0000-0000-0000472E0000}"/>
    <cellStyle name="40% - Accent2 15 4 3 3" xfId="19842" xr:uid="{00000000-0005-0000-0000-0000482E0000}"/>
    <cellStyle name="40% - Accent2 15 4 4" xfId="15889" xr:uid="{00000000-0005-0000-0000-0000492E0000}"/>
    <cellStyle name="40% - Accent2 15 4 5" xfId="19840" xr:uid="{00000000-0005-0000-0000-00004A2E0000}"/>
    <cellStyle name="40% - Accent2 15 5" xfId="4812" xr:uid="{00000000-0005-0000-0000-00004B2E0000}"/>
    <cellStyle name="40% - Accent2 15 5 2" xfId="4813" xr:uid="{00000000-0005-0000-0000-00004C2E0000}"/>
    <cellStyle name="40% - Accent2 15 5 2 2" xfId="15893" xr:uid="{00000000-0005-0000-0000-00004D2E0000}"/>
    <cellStyle name="40% - Accent2 15 5 2 3" xfId="19844" xr:uid="{00000000-0005-0000-0000-00004E2E0000}"/>
    <cellStyle name="40% - Accent2 15 5 3" xfId="4814" xr:uid="{00000000-0005-0000-0000-00004F2E0000}"/>
    <cellStyle name="40% - Accent2 15 5 3 2" xfId="15894" xr:uid="{00000000-0005-0000-0000-0000502E0000}"/>
    <cellStyle name="40% - Accent2 15 5 3 3" xfId="19845" xr:uid="{00000000-0005-0000-0000-0000512E0000}"/>
    <cellStyle name="40% - Accent2 15 5 4" xfId="15892" xr:uid="{00000000-0005-0000-0000-0000522E0000}"/>
    <cellStyle name="40% - Accent2 15 5 5" xfId="19843" xr:uid="{00000000-0005-0000-0000-0000532E0000}"/>
    <cellStyle name="40% - Accent2 15 6" xfId="4815" xr:uid="{00000000-0005-0000-0000-0000542E0000}"/>
    <cellStyle name="40% - Accent2 15 6 2" xfId="4816" xr:uid="{00000000-0005-0000-0000-0000552E0000}"/>
    <cellStyle name="40% - Accent2 15 6 2 2" xfId="15896" xr:uid="{00000000-0005-0000-0000-0000562E0000}"/>
    <cellStyle name="40% - Accent2 15 6 2 3" xfId="19847" xr:uid="{00000000-0005-0000-0000-0000572E0000}"/>
    <cellStyle name="40% - Accent2 15 6 3" xfId="4817" xr:uid="{00000000-0005-0000-0000-0000582E0000}"/>
    <cellStyle name="40% - Accent2 15 6 3 2" xfId="15897" xr:uid="{00000000-0005-0000-0000-0000592E0000}"/>
    <cellStyle name="40% - Accent2 15 6 3 3" xfId="19848" xr:uid="{00000000-0005-0000-0000-00005A2E0000}"/>
    <cellStyle name="40% - Accent2 15 6 4" xfId="15895" xr:uid="{00000000-0005-0000-0000-00005B2E0000}"/>
    <cellStyle name="40% - Accent2 15 6 5" xfId="19846" xr:uid="{00000000-0005-0000-0000-00005C2E0000}"/>
    <cellStyle name="40% - Accent2 15 7" xfId="4818" xr:uid="{00000000-0005-0000-0000-00005D2E0000}"/>
    <cellStyle name="40% - Accent2 15 7 2" xfId="15898" xr:uid="{00000000-0005-0000-0000-00005E2E0000}"/>
    <cellStyle name="40% - Accent2 15 7 3" xfId="19849" xr:uid="{00000000-0005-0000-0000-00005F2E0000}"/>
    <cellStyle name="40% - Accent2 15 8" xfId="4819" xr:uid="{00000000-0005-0000-0000-0000602E0000}"/>
    <cellStyle name="40% - Accent2 15 8 2" xfId="15899" xr:uid="{00000000-0005-0000-0000-0000612E0000}"/>
    <cellStyle name="40% - Accent2 15 8 3" xfId="19850" xr:uid="{00000000-0005-0000-0000-0000622E0000}"/>
    <cellStyle name="40% - Accent2 15 9" xfId="15867" xr:uid="{00000000-0005-0000-0000-0000632E0000}"/>
    <cellStyle name="40% - Accent2 15_Volatility" xfId="4820" xr:uid="{00000000-0005-0000-0000-0000642E0000}"/>
    <cellStyle name="40% - Accent2 16" xfId="4821" xr:uid="{00000000-0005-0000-0000-0000652E0000}"/>
    <cellStyle name="40% - Accent2 16 2" xfId="15900" xr:uid="{00000000-0005-0000-0000-0000662E0000}"/>
    <cellStyle name="40% - Accent2 16 3" xfId="19851" xr:uid="{00000000-0005-0000-0000-0000672E0000}"/>
    <cellStyle name="40% - Accent2 17" xfId="4822" xr:uid="{00000000-0005-0000-0000-0000682E0000}"/>
    <cellStyle name="40% - Accent2 17 2" xfId="15901" xr:uid="{00000000-0005-0000-0000-0000692E0000}"/>
    <cellStyle name="40% - Accent2 17 3" xfId="19852" xr:uid="{00000000-0005-0000-0000-00006A2E0000}"/>
    <cellStyle name="40% - Accent2 18" xfId="4823" xr:uid="{00000000-0005-0000-0000-00006B2E0000}"/>
    <cellStyle name="40% - Accent2 18 2" xfId="15902" xr:uid="{00000000-0005-0000-0000-00006C2E0000}"/>
    <cellStyle name="40% - Accent2 18 3" xfId="19853" xr:uid="{00000000-0005-0000-0000-00006D2E0000}"/>
    <cellStyle name="40% - Accent2 19" xfId="4824" xr:uid="{00000000-0005-0000-0000-00006E2E0000}"/>
    <cellStyle name="40% - Accent2 19 2" xfId="15903" xr:uid="{00000000-0005-0000-0000-00006F2E0000}"/>
    <cellStyle name="40% - Accent2 19 3" xfId="19854" xr:uid="{00000000-0005-0000-0000-0000702E0000}"/>
    <cellStyle name="40% - Accent2 2" xfId="4825" xr:uid="{00000000-0005-0000-0000-0000712E0000}"/>
    <cellStyle name="40% - Accent2 2 10" xfId="19855" xr:uid="{00000000-0005-0000-0000-0000722E0000}"/>
    <cellStyle name="40% - Accent2 2 2" xfId="4826" xr:uid="{00000000-0005-0000-0000-0000732E0000}"/>
    <cellStyle name="40% - Accent2 2 2 2" xfId="4827" xr:uid="{00000000-0005-0000-0000-0000742E0000}"/>
    <cellStyle name="40% - Accent2 2 2 2 2" xfId="4828" xr:uid="{00000000-0005-0000-0000-0000752E0000}"/>
    <cellStyle name="40% - Accent2 2 2 2 2 2" xfId="15907" xr:uid="{00000000-0005-0000-0000-0000762E0000}"/>
    <cellStyle name="40% - Accent2 2 2 2 2 3" xfId="19858" xr:uid="{00000000-0005-0000-0000-0000772E0000}"/>
    <cellStyle name="40% - Accent2 2 2 2 3" xfId="4829" xr:uid="{00000000-0005-0000-0000-0000782E0000}"/>
    <cellStyle name="40% - Accent2 2 2 2 3 2" xfId="15908" xr:uid="{00000000-0005-0000-0000-0000792E0000}"/>
    <cellStyle name="40% - Accent2 2 2 2 3 3" xfId="19859" xr:uid="{00000000-0005-0000-0000-00007A2E0000}"/>
    <cellStyle name="40% - Accent2 2 2 2 4" xfId="15906" xr:uid="{00000000-0005-0000-0000-00007B2E0000}"/>
    <cellStyle name="40% - Accent2 2 2 2 5" xfId="19857" xr:uid="{00000000-0005-0000-0000-00007C2E0000}"/>
    <cellStyle name="40% - Accent2 2 2 3" xfId="4830" xr:uid="{00000000-0005-0000-0000-00007D2E0000}"/>
    <cellStyle name="40% - Accent2 2 2 3 2" xfId="4831" xr:uid="{00000000-0005-0000-0000-00007E2E0000}"/>
    <cellStyle name="40% - Accent2 2 2 3 2 2" xfId="15910" xr:uid="{00000000-0005-0000-0000-00007F2E0000}"/>
    <cellStyle name="40% - Accent2 2 2 3 2 3" xfId="19861" xr:uid="{00000000-0005-0000-0000-0000802E0000}"/>
    <cellStyle name="40% - Accent2 2 2 3 3" xfId="4832" xr:uid="{00000000-0005-0000-0000-0000812E0000}"/>
    <cellStyle name="40% - Accent2 2 2 3 3 2" xfId="15911" xr:uid="{00000000-0005-0000-0000-0000822E0000}"/>
    <cellStyle name="40% - Accent2 2 2 3 3 3" xfId="19862" xr:uid="{00000000-0005-0000-0000-0000832E0000}"/>
    <cellStyle name="40% - Accent2 2 2 3 4" xfId="15909" xr:uid="{00000000-0005-0000-0000-0000842E0000}"/>
    <cellStyle name="40% - Accent2 2 2 3 5" xfId="19860" xr:uid="{00000000-0005-0000-0000-0000852E0000}"/>
    <cellStyle name="40% - Accent2 2 2 4" xfId="4833" xr:uid="{00000000-0005-0000-0000-0000862E0000}"/>
    <cellStyle name="40% - Accent2 2 2 4 2" xfId="4834" xr:uid="{00000000-0005-0000-0000-0000872E0000}"/>
    <cellStyle name="40% - Accent2 2 2 4 2 2" xfId="15913" xr:uid="{00000000-0005-0000-0000-0000882E0000}"/>
    <cellStyle name="40% - Accent2 2 2 4 2 3" xfId="19864" xr:uid="{00000000-0005-0000-0000-0000892E0000}"/>
    <cellStyle name="40% - Accent2 2 2 4 3" xfId="4835" xr:uid="{00000000-0005-0000-0000-00008A2E0000}"/>
    <cellStyle name="40% - Accent2 2 2 4 3 2" xfId="15914" xr:uid="{00000000-0005-0000-0000-00008B2E0000}"/>
    <cellStyle name="40% - Accent2 2 2 4 3 3" xfId="19865" xr:uid="{00000000-0005-0000-0000-00008C2E0000}"/>
    <cellStyle name="40% - Accent2 2 2 4 4" xfId="15912" xr:uid="{00000000-0005-0000-0000-00008D2E0000}"/>
    <cellStyle name="40% - Accent2 2 2 4 5" xfId="19863" xr:uid="{00000000-0005-0000-0000-00008E2E0000}"/>
    <cellStyle name="40% - Accent2 2 2 5" xfId="4836" xr:uid="{00000000-0005-0000-0000-00008F2E0000}"/>
    <cellStyle name="40% - Accent2 2 2 5 2" xfId="15915" xr:uid="{00000000-0005-0000-0000-0000902E0000}"/>
    <cellStyle name="40% - Accent2 2 2 5 3" xfId="19866" xr:uid="{00000000-0005-0000-0000-0000912E0000}"/>
    <cellStyle name="40% - Accent2 2 2 6" xfId="4837" xr:uid="{00000000-0005-0000-0000-0000922E0000}"/>
    <cellStyle name="40% - Accent2 2 2 6 2" xfId="15916" xr:uid="{00000000-0005-0000-0000-0000932E0000}"/>
    <cellStyle name="40% - Accent2 2 2 6 3" xfId="19867" xr:uid="{00000000-0005-0000-0000-0000942E0000}"/>
    <cellStyle name="40% - Accent2 2 2 7" xfId="15905" xr:uid="{00000000-0005-0000-0000-0000952E0000}"/>
    <cellStyle name="40% - Accent2 2 2 8" xfId="19856" xr:uid="{00000000-0005-0000-0000-0000962E0000}"/>
    <cellStyle name="40% - Accent2 2 2_Volatility" xfId="4838" xr:uid="{00000000-0005-0000-0000-0000972E0000}"/>
    <cellStyle name="40% - Accent2 2 3" xfId="4839" xr:uid="{00000000-0005-0000-0000-0000982E0000}"/>
    <cellStyle name="40% - Accent2 2 3 2" xfId="4840" xr:uid="{00000000-0005-0000-0000-0000992E0000}"/>
    <cellStyle name="40% - Accent2 2 3 2 2" xfId="4841" xr:uid="{00000000-0005-0000-0000-00009A2E0000}"/>
    <cellStyle name="40% - Accent2 2 3 2 2 2" xfId="15919" xr:uid="{00000000-0005-0000-0000-00009B2E0000}"/>
    <cellStyle name="40% - Accent2 2 3 2 2 3" xfId="19870" xr:uid="{00000000-0005-0000-0000-00009C2E0000}"/>
    <cellStyle name="40% - Accent2 2 3 2 3" xfId="4842" xr:uid="{00000000-0005-0000-0000-00009D2E0000}"/>
    <cellStyle name="40% - Accent2 2 3 2 3 2" xfId="15920" xr:uid="{00000000-0005-0000-0000-00009E2E0000}"/>
    <cellStyle name="40% - Accent2 2 3 2 3 3" xfId="19871" xr:uid="{00000000-0005-0000-0000-00009F2E0000}"/>
    <cellStyle name="40% - Accent2 2 3 2 4" xfId="15918" xr:uid="{00000000-0005-0000-0000-0000A02E0000}"/>
    <cellStyle name="40% - Accent2 2 3 2 5" xfId="19869" xr:uid="{00000000-0005-0000-0000-0000A12E0000}"/>
    <cellStyle name="40% - Accent2 2 3 3" xfId="4843" xr:uid="{00000000-0005-0000-0000-0000A22E0000}"/>
    <cellStyle name="40% - Accent2 2 3 3 2" xfId="4844" xr:uid="{00000000-0005-0000-0000-0000A32E0000}"/>
    <cellStyle name="40% - Accent2 2 3 3 2 2" xfId="15922" xr:uid="{00000000-0005-0000-0000-0000A42E0000}"/>
    <cellStyle name="40% - Accent2 2 3 3 2 3" xfId="19873" xr:uid="{00000000-0005-0000-0000-0000A52E0000}"/>
    <cellStyle name="40% - Accent2 2 3 3 3" xfId="4845" xr:uid="{00000000-0005-0000-0000-0000A62E0000}"/>
    <cellStyle name="40% - Accent2 2 3 3 3 2" xfId="15923" xr:uid="{00000000-0005-0000-0000-0000A72E0000}"/>
    <cellStyle name="40% - Accent2 2 3 3 3 3" xfId="19874" xr:uid="{00000000-0005-0000-0000-0000A82E0000}"/>
    <cellStyle name="40% - Accent2 2 3 3 4" xfId="15921" xr:uid="{00000000-0005-0000-0000-0000A92E0000}"/>
    <cellStyle name="40% - Accent2 2 3 3 5" xfId="19872" xr:uid="{00000000-0005-0000-0000-0000AA2E0000}"/>
    <cellStyle name="40% - Accent2 2 3 4" xfId="4846" xr:uid="{00000000-0005-0000-0000-0000AB2E0000}"/>
    <cellStyle name="40% - Accent2 2 3 4 2" xfId="15924" xr:uid="{00000000-0005-0000-0000-0000AC2E0000}"/>
    <cellStyle name="40% - Accent2 2 3 4 3" xfId="19875" xr:uid="{00000000-0005-0000-0000-0000AD2E0000}"/>
    <cellStyle name="40% - Accent2 2 3 5" xfId="4847" xr:uid="{00000000-0005-0000-0000-0000AE2E0000}"/>
    <cellStyle name="40% - Accent2 2 3 5 2" xfId="15925" xr:uid="{00000000-0005-0000-0000-0000AF2E0000}"/>
    <cellStyle name="40% - Accent2 2 3 5 3" xfId="19876" xr:uid="{00000000-0005-0000-0000-0000B02E0000}"/>
    <cellStyle name="40% - Accent2 2 3 6" xfId="15917" xr:uid="{00000000-0005-0000-0000-0000B12E0000}"/>
    <cellStyle name="40% - Accent2 2 3 7" xfId="19868" xr:uid="{00000000-0005-0000-0000-0000B22E0000}"/>
    <cellStyle name="40% - Accent2 2 3_Volatility" xfId="4848" xr:uid="{00000000-0005-0000-0000-0000B32E0000}"/>
    <cellStyle name="40% - Accent2 2 4" xfId="4849" xr:uid="{00000000-0005-0000-0000-0000B42E0000}"/>
    <cellStyle name="40% - Accent2 2 4 2" xfId="4850" xr:uid="{00000000-0005-0000-0000-0000B52E0000}"/>
    <cellStyle name="40% - Accent2 2 4 2 2" xfId="15927" xr:uid="{00000000-0005-0000-0000-0000B62E0000}"/>
    <cellStyle name="40% - Accent2 2 4 2 3" xfId="19878" xr:uid="{00000000-0005-0000-0000-0000B72E0000}"/>
    <cellStyle name="40% - Accent2 2 4 3" xfId="4851" xr:uid="{00000000-0005-0000-0000-0000B82E0000}"/>
    <cellStyle name="40% - Accent2 2 4 3 2" xfId="15928" xr:uid="{00000000-0005-0000-0000-0000B92E0000}"/>
    <cellStyle name="40% - Accent2 2 4 3 3" xfId="19879" xr:uid="{00000000-0005-0000-0000-0000BA2E0000}"/>
    <cellStyle name="40% - Accent2 2 4 4" xfId="15926" xr:uid="{00000000-0005-0000-0000-0000BB2E0000}"/>
    <cellStyle name="40% - Accent2 2 4 5" xfId="19877" xr:uid="{00000000-0005-0000-0000-0000BC2E0000}"/>
    <cellStyle name="40% - Accent2 2 5" xfId="4852" xr:uid="{00000000-0005-0000-0000-0000BD2E0000}"/>
    <cellStyle name="40% - Accent2 2 5 2" xfId="4853" xr:uid="{00000000-0005-0000-0000-0000BE2E0000}"/>
    <cellStyle name="40% - Accent2 2 5 2 2" xfId="15930" xr:uid="{00000000-0005-0000-0000-0000BF2E0000}"/>
    <cellStyle name="40% - Accent2 2 5 2 3" xfId="19881" xr:uid="{00000000-0005-0000-0000-0000C02E0000}"/>
    <cellStyle name="40% - Accent2 2 5 3" xfId="4854" xr:uid="{00000000-0005-0000-0000-0000C12E0000}"/>
    <cellStyle name="40% - Accent2 2 5 3 2" xfId="15931" xr:uid="{00000000-0005-0000-0000-0000C22E0000}"/>
    <cellStyle name="40% - Accent2 2 5 3 3" xfId="19882" xr:uid="{00000000-0005-0000-0000-0000C32E0000}"/>
    <cellStyle name="40% - Accent2 2 5 4" xfId="15929" xr:uid="{00000000-0005-0000-0000-0000C42E0000}"/>
    <cellStyle name="40% - Accent2 2 5 5" xfId="19880" xr:uid="{00000000-0005-0000-0000-0000C52E0000}"/>
    <cellStyle name="40% - Accent2 2 6" xfId="4855" xr:uid="{00000000-0005-0000-0000-0000C62E0000}"/>
    <cellStyle name="40% - Accent2 2 6 2" xfId="4856" xr:uid="{00000000-0005-0000-0000-0000C72E0000}"/>
    <cellStyle name="40% - Accent2 2 6 3" xfId="4857" xr:uid="{00000000-0005-0000-0000-0000C82E0000}"/>
    <cellStyle name="40% - Accent2 2 6 4" xfId="15932" xr:uid="{00000000-0005-0000-0000-0000C92E0000}"/>
    <cellStyle name="40% - Accent2 2 6 5" xfId="19883" xr:uid="{00000000-0005-0000-0000-0000CA2E0000}"/>
    <cellStyle name="40% - Accent2 2 7" xfId="4858" xr:uid="{00000000-0005-0000-0000-0000CB2E0000}"/>
    <cellStyle name="40% - Accent2 2 8" xfId="4859" xr:uid="{00000000-0005-0000-0000-0000CC2E0000}"/>
    <cellStyle name="40% - Accent2 2 9" xfId="15904" xr:uid="{00000000-0005-0000-0000-0000CD2E0000}"/>
    <cellStyle name="40% - Accent2 2_Volatility" xfId="4860" xr:uid="{00000000-0005-0000-0000-0000CE2E0000}"/>
    <cellStyle name="40% - Accent2 3" xfId="4861" xr:uid="{00000000-0005-0000-0000-0000CF2E0000}"/>
    <cellStyle name="40% - Accent2 3 2" xfId="4862" xr:uid="{00000000-0005-0000-0000-0000D02E0000}"/>
    <cellStyle name="40% - Accent2 3 2 2" xfId="4863" xr:uid="{00000000-0005-0000-0000-0000D12E0000}"/>
    <cellStyle name="40% - Accent2 3 2 2 2" xfId="4864" xr:uid="{00000000-0005-0000-0000-0000D22E0000}"/>
    <cellStyle name="40% - Accent2 3 2 2 3" xfId="4865" xr:uid="{00000000-0005-0000-0000-0000D32E0000}"/>
    <cellStyle name="40% - Accent2 3 2 3" xfId="4866" xr:uid="{00000000-0005-0000-0000-0000D42E0000}"/>
    <cellStyle name="40% - Accent2 3 2 3 2" xfId="4867" xr:uid="{00000000-0005-0000-0000-0000D52E0000}"/>
    <cellStyle name="40% - Accent2 3 2 3 3" xfId="4868" xr:uid="{00000000-0005-0000-0000-0000D62E0000}"/>
    <cellStyle name="40% - Accent2 3 2 4" xfId="4869" xr:uid="{00000000-0005-0000-0000-0000D72E0000}"/>
    <cellStyle name="40% - Accent2 3 2 4 2" xfId="4870" xr:uid="{00000000-0005-0000-0000-0000D82E0000}"/>
    <cellStyle name="40% - Accent2 3 2 4 3" xfId="4871" xr:uid="{00000000-0005-0000-0000-0000D92E0000}"/>
    <cellStyle name="40% - Accent2 3 2 5" xfId="4872" xr:uid="{00000000-0005-0000-0000-0000DA2E0000}"/>
    <cellStyle name="40% - Accent2 3 2 6" xfId="4873" xr:uid="{00000000-0005-0000-0000-0000DB2E0000}"/>
    <cellStyle name="40% - Accent2 3 2_Volatility" xfId="4874" xr:uid="{00000000-0005-0000-0000-0000DC2E0000}"/>
    <cellStyle name="40% - Accent2 3 3" xfId="4875" xr:uid="{00000000-0005-0000-0000-0000DD2E0000}"/>
    <cellStyle name="40% - Accent2 3 3 2" xfId="4876" xr:uid="{00000000-0005-0000-0000-0000DE2E0000}"/>
    <cellStyle name="40% - Accent2 3 3 2 2" xfId="4877" xr:uid="{00000000-0005-0000-0000-0000DF2E0000}"/>
    <cellStyle name="40% - Accent2 3 3 2 3" xfId="4878" xr:uid="{00000000-0005-0000-0000-0000E02E0000}"/>
    <cellStyle name="40% - Accent2 3 3 3" xfId="4879" xr:uid="{00000000-0005-0000-0000-0000E12E0000}"/>
    <cellStyle name="40% - Accent2 3 3 3 2" xfId="4880" xr:uid="{00000000-0005-0000-0000-0000E22E0000}"/>
    <cellStyle name="40% - Accent2 3 3 3 3" xfId="4881" xr:uid="{00000000-0005-0000-0000-0000E32E0000}"/>
    <cellStyle name="40% - Accent2 3 3 4" xfId="4882" xr:uid="{00000000-0005-0000-0000-0000E42E0000}"/>
    <cellStyle name="40% - Accent2 3 3 5" xfId="4883" xr:uid="{00000000-0005-0000-0000-0000E52E0000}"/>
    <cellStyle name="40% - Accent2 3 3_Volatility" xfId="4884" xr:uid="{00000000-0005-0000-0000-0000E62E0000}"/>
    <cellStyle name="40% - Accent2 3 4" xfId="4885" xr:uid="{00000000-0005-0000-0000-0000E72E0000}"/>
    <cellStyle name="40% - Accent2 3 4 2" xfId="4886" xr:uid="{00000000-0005-0000-0000-0000E82E0000}"/>
    <cellStyle name="40% - Accent2 3 4 3" xfId="4887" xr:uid="{00000000-0005-0000-0000-0000E92E0000}"/>
    <cellStyle name="40% - Accent2 3 5" xfId="4888" xr:uid="{00000000-0005-0000-0000-0000EA2E0000}"/>
    <cellStyle name="40% - Accent2 3 5 2" xfId="4889" xr:uid="{00000000-0005-0000-0000-0000EB2E0000}"/>
    <cellStyle name="40% - Accent2 3 5 3" xfId="4890" xr:uid="{00000000-0005-0000-0000-0000EC2E0000}"/>
    <cellStyle name="40% - Accent2 3 6" xfId="4891" xr:uid="{00000000-0005-0000-0000-0000ED2E0000}"/>
    <cellStyle name="40% - Accent2 3 6 2" xfId="4892" xr:uid="{00000000-0005-0000-0000-0000EE2E0000}"/>
    <cellStyle name="40% - Accent2 3 6 3" xfId="4893" xr:uid="{00000000-0005-0000-0000-0000EF2E0000}"/>
    <cellStyle name="40% - Accent2 3 7" xfId="4894" xr:uid="{00000000-0005-0000-0000-0000F02E0000}"/>
    <cellStyle name="40% - Accent2 3 8" xfId="4895" xr:uid="{00000000-0005-0000-0000-0000F12E0000}"/>
    <cellStyle name="40% - Accent2 3_Volatility" xfId="4896" xr:uid="{00000000-0005-0000-0000-0000F22E0000}"/>
    <cellStyle name="40% - Accent2 4" xfId="4897" xr:uid="{00000000-0005-0000-0000-0000F32E0000}"/>
    <cellStyle name="40% - Accent2 4 2" xfId="4898" xr:uid="{00000000-0005-0000-0000-0000F42E0000}"/>
    <cellStyle name="40% - Accent2 4 2 2" xfId="4899" xr:uid="{00000000-0005-0000-0000-0000F52E0000}"/>
    <cellStyle name="40% - Accent2 4 2 2 2" xfId="4900" xr:uid="{00000000-0005-0000-0000-0000F62E0000}"/>
    <cellStyle name="40% - Accent2 4 2 2 3" xfId="4901" xr:uid="{00000000-0005-0000-0000-0000F72E0000}"/>
    <cellStyle name="40% - Accent2 4 2 3" xfId="4902" xr:uid="{00000000-0005-0000-0000-0000F82E0000}"/>
    <cellStyle name="40% - Accent2 4 2 3 2" xfId="4903" xr:uid="{00000000-0005-0000-0000-0000F92E0000}"/>
    <cellStyle name="40% - Accent2 4 2 3 3" xfId="4904" xr:uid="{00000000-0005-0000-0000-0000FA2E0000}"/>
    <cellStyle name="40% - Accent2 4 2 4" xfId="4905" xr:uid="{00000000-0005-0000-0000-0000FB2E0000}"/>
    <cellStyle name="40% - Accent2 4 2 4 2" xfId="4906" xr:uid="{00000000-0005-0000-0000-0000FC2E0000}"/>
    <cellStyle name="40% - Accent2 4 2 4 3" xfId="4907" xr:uid="{00000000-0005-0000-0000-0000FD2E0000}"/>
    <cellStyle name="40% - Accent2 4 2 5" xfId="4908" xr:uid="{00000000-0005-0000-0000-0000FE2E0000}"/>
    <cellStyle name="40% - Accent2 4 2 6" xfId="4909" xr:uid="{00000000-0005-0000-0000-0000FF2E0000}"/>
    <cellStyle name="40% - Accent2 4 2_Volatility" xfId="4910" xr:uid="{00000000-0005-0000-0000-0000002F0000}"/>
    <cellStyle name="40% - Accent2 4 3" xfId="4911" xr:uid="{00000000-0005-0000-0000-0000012F0000}"/>
    <cellStyle name="40% - Accent2 4 3 2" xfId="4912" xr:uid="{00000000-0005-0000-0000-0000022F0000}"/>
    <cellStyle name="40% - Accent2 4 3 2 2" xfId="4913" xr:uid="{00000000-0005-0000-0000-0000032F0000}"/>
    <cellStyle name="40% - Accent2 4 3 2 3" xfId="4914" xr:uid="{00000000-0005-0000-0000-0000042F0000}"/>
    <cellStyle name="40% - Accent2 4 3 3" xfId="4915" xr:uid="{00000000-0005-0000-0000-0000052F0000}"/>
    <cellStyle name="40% - Accent2 4 3 3 2" xfId="4916" xr:uid="{00000000-0005-0000-0000-0000062F0000}"/>
    <cellStyle name="40% - Accent2 4 3 3 3" xfId="4917" xr:uid="{00000000-0005-0000-0000-0000072F0000}"/>
    <cellStyle name="40% - Accent2 4 3 4" xfId="4918" xr:uid="{00000000-0005-0000-0000-0000082F0000}"/>
    <cellStyle name="40% - Accent2 4 3 5" xfId="4919" xr:uid="{00000000-0005-0000-0000-0000092F0000}"/>
    <cellStyle name="40% - Accent2 4 3_Volatility" xfId="4920" xr:uid="{00000000-0005-0000-0000-00000A2F0000}"/>
    <cellStyle name="40% - Accent2 4 4" xfId="4921" xr:uid="{00000000-0005-0000-0000-00000B2F0000}"/>
    <cellStyle name="40% - Accent2 4 4 2" xfId="4922" xr:uid="{00000000-0005-0000-0000-00000C2F0000}"/>
    <cellStyle name="40% - Accent2 4 4 3" xfId="4923" xr:uid="{00000000-0005-0000-0000-00000D2F0000}"/>
    <cellStyle name="40% - Accent2 4 5" xfId="4924" xr:uid="{00000000-0005-0000-0000-00000E2F0000}"/>
    <cellStyle name="40% - Accent2 4 5 2" xfId="4925" xr:uid="{00000000-0005-0000-0000-00000F2F0000}"/>
    <cellStyle name="40% - Accent2 4 5 3" xfId="4926" xr:uid="{00000000-0005-0000-0000-0000102F0000}"/>
    <cellStyle name="40% - Accent2 4 6" xfId="4927" xr:uid="{00000000-0005-0000-0000-0000112F0000}"/>
    <cellStyle name="40% - Accent2 4 6 2" xfId="4928" xr:uid="{00000000-0005-0000-0000-0000122F0000}"/>
    <cellStyle name="40% - Accent2 4 6 3" xfId="4929" xr:uid="{00000000-0005-0000-0000-0000132F0000}"/>
    <cellStyle name="40% - Accent2 4 7" xfId="4930" xr:uid="{00000000-0005-0000-0000-0000142F0000}"/>
    <cellStyle name="40% - Accent2 4 8" xfId="4931" xr:uid="{00000000-0005-0000-0000-0000152F0000}"/>
    <cellStyle name="40% - Accent2 4_Volatility" xfId="4932" xr:uid="{00000000-0005-0000-0000-0000162F0000}"/>
    <cellStyle name="40% - Accent2 5" xfId="4933" xr:uid="{00000000-0005-0000-0000-0000172F0000}"/>
    <cellStyle name="40% - Accent2 5 2" xfId="4934" xr:uid="{00000000-0005-0000-0000-0000182F0000}"/>
    <cellStyle name="40% - Accent2 5 2 2" xfId="4935" xr:uid="{00000000-0005-0000-0000-0000192F0000}"/>
    <cellStyle name="40% - Accent2 5 2 2 2" xfId="4936" xr:uid="{00000000-0005-0000-0000-00001A2F0000}"/>
    <cellStyle name="40% - Accent2 5 2 2 3" xfId="4937" xr:uid="{00000000-0005-0000-0000-00001B2F0000}"/>
    <cellStyle name="40% - Accent2 5 2 3" xfId="4938" xr:uid="{00000000-0005-0000-0000-00001C2F0000}"/>
    <cellStyle name="40% - Accent2 5 2 3 2" xfId="4939" xr:uid="{00000000-0005-0000-0000-00001D2F0000}"/>
    <cellStyle name="40% - Accent2 5 2 3 3" xfId="4940" xr:uid="{00000000-0005-0000-0000-00001E2F0000}"/>
    <cellStyle name="40% - Accent2 5 2 4" xfId="4941" xr:uid="{00000000-0005-0000-0000-00001F2F0000}"/>
    <cellStyle name="40% - Accent2 5 2 4 2" xfId="4942" xr:uid="{00000000-0005-0000-0000-0000202F0000}"/>
    <cellStyle name="40% - Accent2 5 2 4 3" xfId="4943" xr:uid="{00000000-0005-0000-0000-0000212F0000}"/>
    <cellStyle name="40% - Accent2 5 2 5" xfId="4944" xr:uid="{00000000-0005-0000-0000-0000222F0000}"/>
    <cellStyle name="40% - Accent2 5 2 6" xfId="4945" xr:uid="{00000000-0005-0000-0000-0000232F0000}"/>
    <cellStyle name="40% - Accent2 5 2_Volatility" xfId="4946" xr:uid="{00000000-0005-0000-0000-0000242F0000}"/>
    <cellStyle name="40% - Accent2 5 3" xfId="4947" xr:uid="{00000000-0005-0000-0000-0000252F0000}"/>
    <cellStyle name="40% - Accent2 5 3 2" xfId="4948" xr:uid="{00000000-0005-0000-0000-0000262F0000}"/>
    <cellStyle name="40% - Accent2 5 3 2 2" xfId="4949" xr:uid="{00000000-0005-0000-0000-0000272F0000}"/>
    <cellStyle name="40% - Accent2 5 3 2 3" xfId="4950" xr:uid="{00000000-0005-0000-0000-0000282F0000}"/>
    <cellStyle name="40% - Accent2 5 3 3" xfId="4951" xr:uid="{00000000-0005-0000-0000-0000292F0000}"/>
    <cellStyle name="40% - Accent2 5 3 3 2" xfId="4952" xr:uid="{00000000-0005-0000-0000-00002A2F0000}"/>
    <cellStyle name="40% - Accent2 5 3 3 3" xfId="4953" xr:uid="{00000000-0005-0000-0000-00002B2F0000}"/>
    <cellStyle name="40% - Accent2 5 3 4" xfId="4954" xr:uid="{00000000-0005-0000-0000-00002C2F0000}"/>
    <cellStyle name="40% - Accent2 5 3 5" xfId="4955" xr:uid="{00000000-0005-0000-0000-00002D2F0000}"/>
    <cellStyle name="40% - Accent2 5 3_Volatility" xfId="4956" xr:uid="{00000000-0005-0000-0000-00002E2F0000}"/>
    <cellStyle name="40% - Accent2 5 4" xfId="4957" xr:uid="{00000000-0005-0000-0000-00002F2F0000}"/>
    <cellStyle name="40% - Accent2 5 4 2" xfId="4958" xr:uid="{00000000-0005-0000-0000-0000302F0000}"/>
    <cellStyle name="40% - Accent2 5 4 3" xfId="4959" xr:uid="{00000000-0005-0000-0000-0000312F0000}"/>
    <cellStyle name="40% - Accent2 5 5" xfId="4960" xr:uid="{00000000-0005-0000-0000-0000322F0000}"/>
    <cellStyle name="40% - Accent2 5 5 2" xfId="4961" xr:uid="{00000000-0005-0000-0000-0000332F0000}"/>
    <cellStyle name="40% - Accent2 5 5 3" xfId="4962" xr:uid="{00000000-0005-0000-0000-0000342F0000}"/>
    <cellStyle name="40% - Accent2 5 6" xfId="4963" xr:uid="{00000000-0005-0000-0000-0000352F0000}"/>
    <cellStyle name="40% - Accent2 5 6 2" xfId="4964" xr:uid="{00000000-0005-0000-0000-0000362F0000}"/>
    <cellStyle name="40% - Accent2 5 6 3" xfId="4965" xr:uid="{00000000-0005-0000-0000-0000372F0000}"/>
    <cellStyle name="40% - Accent2 5 7" xfId="4966" xr:uid="{00000000-0005-0000-0000-0000382F0000}"/>
    <cellStyle name="40% - Accent2 5 8" xfId="4967" xr:uid="{00000000-0005-0000-0000-0000392F0000}"/>
    <cellStyle name="40% - Accent2 5_Volatility" xfId="4968" xr:uid="{00000000-0005-0000-0000-00003A2F0000}"/>
    <cellStyle name="40% - Accent2 6" xfId="4969" xr:uid="{00000000-0005-0000-0000-00003B2F0000}"/>
    <cellStyle name="40% - Accent2 6 2" xfId="4970" xr:uid="{00000000-0005-0000-0000-00003C2F0000}"/>
    <cellStyle name="40% - Accent2 6 2 2" xfId="4971" xr:uid="{00000000-0005-0000-0000-00003D2F0000}"/>
    <cellStyle name="40% - Accent2 6 2 2 2" xfId="4972" xr:uid="{00000000-0005-0000-0000-00003E2F0000}"/>
    <cellStyle name="40% - Accent2 6 2 2 3" xfId="4973" xr:uid="{00000000-0005-0000-0000-00003F2F0000}"/>
    <cellStyle name="40% - Accent2 6 2 3" xfId="4974" xr:uid="{00000000-0005-0000-0000-0000402F0000}"/>
    <cellStyle name="40% - Accent2 6 2 3 2" xfId="4975" xr:uid="{00000000-0005-0000-0000-0000412F0000}"/>
    <cellStyle name="40% - Accent2 6 2 3 3" xfId="4976" xr:uid="{00000000-0005-0000-0000-0000422F0000}"/>
    <cellStyle name="40% - Accent2 6 2 4" xfId="4977" xr:uid="{00000000-0005-0000-0000-0000432F0000}"/>
    <cellStyle name="40% - Accent2 6 2 4 2" xfId="4978" xr:uid="{00000000-0005-0000-0000-0000442F0000}"/>
    <cellStyle name="40% - Accent2 6 2 4 3" xfId="4979" xr:uid="{00000000-0005-0000-0000-0000452F0000}"/>
    <cellStyle name="40% - Accent2 6 2 5" xfId="4980" xr:uid="{00000000-0005-0000-0000-0000462F0000}"/>
    <cellStyle name="40% - Accent2 6 2 6" xfId="4981" xr:uid="{00000000-0005-0000-0000-0000472F0000}"/>
    <cellStyle name="40% - Accent2 6 2_Volatility" xfId="4982" xr:uid="{00000000-0005-0000-0000-0000482F0000}"/>
    <cellStyle name="40% - Accent2 6 3" xfId="4983" xr:uid="{00000000-0005-0000-0000-0000492F0000}"/>
    <cellStyle name="40% - Accent2 6 3 2" xfId="4984" xr:uid="{00000000-0005-0000-0000-00004A2F0000}"/>
    <cellStyle name="40% - Accent2 6 3 2 2" xfId="4985" xr:uid="{00000000-0005-0000-0000-00004B2F0000}"/>
    <cellStyle name="40% - Accent2 6 3 2 3" xfId="4986" xr:uid="{00000000-0005-0000-0000-00004C2F0000}"/>
    <cellStyle name="40% - Accent2 6 3 3" xfId="4987" xr:uid="{00000000-0005-0000-0000-00004D2F0000}"/>
    <cellStyle name="40% - Accent2 6 3 3 2" xfId="4988" xr:uid="{00000000-0005-0000-0000-00004E2F0000}"/>
    <cellStyle name="40% - Accent2 6 3 3 3" xfId="4989" xr:uid="{00000000-0005-0000-0000-00004F2F0000}"/>
    <cellStyle name="40% - Accent2 6 3 4" xfId="4990" xr:uid="{00000000-0005-0000-0000-0000502F0000}"/>
    <cellStyle name="40% - Accent2 6 3 5" xfId="4991" xr:uid="{00000000-0005-0000-0000-0000512F0000}"/>
    <cellStyle name="40% - Accent2 6 3_Volatility" xfId="4992" xr:uid="{00000000-0005-0000-0000-0000522F0000}"/>
    <cellStyle name="40% - Accent2 6 4" xfId="4993" xr:uid="{00000000-0005-0000-0000-0000532F0000}"/>
    <cellStyle name="40% - Accent2 6 4 2" xfId="4994" xr:uid="{00000000-0005-0000-0000-0000542F0000}"/>
    <cellStyle name="40% - Accent2 6 4 3" xfId="4995" xr:uid="{00000000-0005-0000-0000-0000552F0000}"/>
    <cellStyle name="40% - Accent2 6 5" xfId="4996" xr:uid="{00000000-0005-0000-0000-0000562F0000}"/>
    <cellStyle name="40% - Accent2 6 5 2" xfId="4997" xr:uid="{00000000-0005-0000-0000-0000572F0000}"/>
    <cellStyle name="40% - Accent2 6 5 3" xfId="4998" xr:uid="{00000000-0005-0000-0000-0000582F0000}"/>
    <cellStyle name="40% - Accent2 6 6" xfId="4999" xr:uid="{00000000-0005-0000-0000-0000592F0000}"/>
    <cellStyle name="40% - Accent2 6 6 2" xfId="5000" xr:uid="{00000000-0005-0000-0000-00005A2F0000}"/>
    <cellStyle name="40% - Accent2 6 6 3" xfId="5001" xr:uid="{00000000-0005-0000-0000-00005B2F0000}"/>
    <cellStyle name="40% - Accent2 6 7" xfId="5002" xr:uid="{00000000-0005-0000-0000-00005C2F0000}"/>
    <cellStyle name="40% - Accent2 6 8" xfId="5003" xr:uid="{00000000-0005-0000-0000-00005D2F0000}"/>
    <cellStyle name="40% - Accent2 6_Volatility" xfId="5004" xr:uid="{00000000-0005-0000-0000-00005E2F0000}"/>
    <cellStyle name="40% - Accent2 7" xfId="5005" xr:uid="{00000000-0005-0000-0000-00005F2F0000}"/>
    <cellStyle name="40% - Accent2 7 2" xfId="5006" xr:uid="{00000000-0005-0000-0000-0000602F0000}"/>
    <cellStyle name="40% - Accent2 7 2 2" xfId="5007" xr:uid="{00000000-0005-0000-0000-0000612F0000}"/>
    <cellStyle name="40% - Accent2 7 2 2 2" xfId="5008" xr:uid="{00000000-0005-0000-0000-0000622F0000}"/>
    <cellStyle name="40% - Accent2 7 2 2 3" xfId="5009" xr:uid="{00000000-0005-0000-0000-0000632F0000}"/>
    <cellStyle name="40% - Accent2 7 2 3" xfId="5010" xr:uid="{00000000-0005-0000-0000-0000642F0000}"/>
    <cellStyle name="40% - Accent2 7 2 3 2" xfId="5011" xr:uid="{00000000-0005-0000-0000-0000652F0000}"/>
    <cellStyle name="40% - Accent2 7 2 3 3" xfId="5012" xr:uid="{00000000-0005-0000-0000-0000662F0000}"/>
    <cellStyle name="40% - Accent2 7 2 4" xfId="5013" xr:uid="{00000000-0005-0000-0000-0000672F0000}"/>
    <cellStyle name="40% - Accent2 7 2 4 2" xfId="5014" xr:uid="{00000000-0005-0000-0000-0000682F0000}"/>
    <cellStyle name="40% - Accent2 7 2 4 3" xfId="5015" xr:uid="{00000000-0005-0000-0000-0000692F0000}"/>
    <cellStyle name="40% - Accent2 7 2 5" xfId="5016" xr:uid="{00000000-0005-0000-0000-00006A2F0000}"/>
    <cellStyle name="40% - Accent2 7 2 6" xfId="5017" xr:uid="{00000000-0005-0000-0000-00006B2F0000}"/>
    <cellStyle name="40% - Accent2 7 2_Volatility" xfId="5018" xr:uid="{00000000-0005-0000-0000-00006C2F0000}"/>
    <cellStyle name="40% - Accent2 7 3" xfId="5019" xr:uid="{00000000-0005-0000-0000-00006D2F0000}"/>
    <cellStyle name="40% - Accent2 7 3 2" xfId="5020" xr:uid="{00000000-0005-0000-0000-00006E2F0000}"/>
    <cellStyle name="40% - Accent2 7 3 2 2" xfId="5021" xr:uid="{00000000-0005-0000-0000-00006F2F0000}"/>
    <cellStyle name="40% - Accent2 7 3 2 3" xfId="5022" xr:uid="{00000000-0005-0000-0000-0000702F0000}"/>
    <cellStyle name="40% - Accent2 7 3 3" xfId="5023" xr:uid="{00000000-0005-0000-0000-0000712F0000}"/>
    <cellStyle name="40% - Accent2 7 3 3 2" xfId="5024" xr:uid="{00000000-0005-0000-0000-0000722F0000}"/>
    <cellStyle name="40% - Accent2 7 3 3 3" xfId="5025" xr:uid="{00000000-0005-0000-0000-0000732F0000}"/>
    <cellStyle name="40% - Accent2 7 3 4" xfId="5026" xr:uid="{00000000-0005-0000-0000-0000742F0000}"/>
    <cellStyle name="40% - Accent2 7 3 5" xfId="5027" xr:uid="{00000000-0005-0000-0000-0000752F0000}"/>
    <cellStyle name="40% - Accent2 7 3_Volatility" xfId="5028" xr:uid="{00000000-0005-0000-0000-0000762F0000}"/>
    <cellStyle name="40% - Accent2 7 4" xfId="5029" xr:uid="{00000000-0005-0000-0000-0000772F0000}"/>
    <cellStyle name="40% - Accent2 7 4 2" xfId="5030" xr:uid="{00000000-0005-0000-0000-0000782F0000}"/>
    <cellStyle name="40% - Accent2 7 4 3" xfId="5031" xr:uid="{00000000-0005-0000-0000-0000792F0000}"/>
    <cellStyle name="40% - Accent2 7 5" xfId="5032" xr:uid="{00000000-0005-0000-0000-00007A2F0000}"/>
    <cellStyle name="40% - Accent2 7 5 2" xfId="5033" xr:uid="{00000000-0005-0000-0000-00007B2F0000}"/>
    <cellStyle name="40% - Accent2 7 5 3" xfId="5034" xr:uid="{00000000-0005-0000-0000-00007C2F0000}"/>
    <cellStyle name="40% - Accent2 7 6" xfId="5035" xr:uid="{00000000-0005-0000-0000-00007D2F0000}"/>
    <cellStyle name="40% - Accent2 7 6 2" xfId="5036" xr:uid="{00000000-0005-0000-0000-00007E2F0000}"/>
    <cellStyle name="40% - Accent2 7 6 3" xfId="5037" xr:uid="{00000000-0005-0000-0000-00007F2F0000}"/>
    <cellStyle name="40% - Accent2 7 7" xfId="5038" xr:uid="{00000000-0005-0000-0000-0000802F0000}"/>
    <cellStyle name="40% - Accent2 7 8" xfId="5039" xr:uid="{00000000-0005-0000-0000-0000812F0000}"/>
    <cellStyle name="40% - Accent2 7_Volatility" xfId="5040" xr:uid="{00000000-0005-0000-0000-0000822F0000}"/>
    <cellStyle name="40% - Accent2 8" xfId="5041" xr:uid="{00000000-0005-0000-0000-0000832F0000}"/>
    <cellStyle name="40% - Accent2 8 2" xfId="5042" xr:uid="{00000000-0005-0000-0000-0000842F0000}"/>
    <cellStyle name="40% - Accent2 8 2 2" xfId="5043" xr:uid="{00000000-0005-0000-0000-0000852F0000}"/>
    <cellStyle name="40% - Accent2 8 2 2 2" xfId="5044" xr:uid="{00000000-0005-0000-0000-0000862F0000}"/>
    <cellStyle name="40% - Accent2 8 2 2 3" xfId="5045" xr:uid="{00000000-0005-0000-0000-0000872F0000}"/>
    <cellStyle name="40% - Accent2 8 2 3" xfId="5046" xr:uid="{00000000-0005-0000-0000-0000882F0000}"/>
    <cellStyle name="40% - Accent2 8 2 3 2" xfId="5047" xr:uid="{00000000-0005-0000-0000-0000892F0000}"/>
    <cellStyle name="40% - Accent2 8 2 3 3" xfId="5048" xr:uid="{00000000-0005-0000-0000-00008A2F0000}"/>
    <cellStyle name="40% - Accent2 8 2 4" xfId="5049" xr:uid="{00000000-0005-0000-0000-00008B2F0000}"/>
    <cellStyle name="40% - Accent2 8 2 4 2" xfId="5050" xr:uid="{00000000-0005-0000-0000-00008C2F0000}"/>
    <cellStyle name="40% - Accent2 8 2 4 3" xfId="5051" xr:uid="{00000000-0005-0000-0000-00008D2F0000}"/>
    <cellStyle name="40% - Accent2 8 2 5" xfId="5052" xr:uid="{00000000-0005-0000-0000-00008E2F0000}"/>
    <cellStyle name="40% - Accent2 8 2 6" xfId="5053" xr:uid="{00000000-0005-0000-0000-00008F2F0000}"/>
    <cellStyle name="40% - Accent2 8 2_Volatility" xfId="5054" xr:uid="{00000000-0005-0000-0000-0000902F0000}"/>
    <cellStyle name="40% - Accent2 8 3" xfId="5055" xr:uid="{00000000-0005-0000-0000-0000912F0000}"/>
    <cellStyle name="40% - Accent2 8 3 2" xfId="5056" xr:uid="{00000000-0005-0000-0000-0000922F0000}"/>
    <cellStyle name="40% - Accent2 8 3 2 2" xfId="5057" xr:uid="{00000000-0005-0000-0000-0000932F0000}"/>
    <cellStyle name="40% - Accent2 8 3 2 3" xfId="5058" xr:uid="{00000000-0005-0000-0000-0000942F0000}"/>
    <cellStyle name="40% - Accent2 8 3 3" xfId="5059" xr:uid="{00000000-0005-0000-0000-0000952F0000}"/>
    <cellStyle name="40% - Accent2 8 3 3 2" xfId="5060" xr:uid="{00000000-0005-0000-0000-0000962F0000}"/>
    <cellStyle name="40% - Accent2 8 3 3 3" xfId="5061" xr:uid="{00000000-0005-0000-0000-0000972F0000}"/>
    <cellStyle name="40% - Accent2 8 3 4" xfId="5062" xr:uid="{00000000-0005-0000-0000-0000982F0000}"/>
    <cellStyle name="40% - Accent2 8 3 5" xfId="5063" xr:uid="{00000000-0005-0000-0000-0000992F0000}"/>
    <cellStyle name="40% - Accent2 8 3_Volatility" xfId="5064" xr:uid="{00000000-0005-0000-0000-00009A2F0000}"/>
    <cellStyle name="40% - Accent2 8 4" xfId="5065" xr:uid="{00000000-0005-0000-0000-00009B2F0000}"/>
    <cellStyle name="40% - Accent2 8 4 2" xfId="5066" xr:uid="{00000000-0005-0000-0000-00009C2F0000}"/>
    <cellStyle name="40% - Accent2 8 4 3" xfId="5067" xr:uid="{00000000-0005-0000-0000-00009D2F0000}"/>
    <cellStyle name="40% - Accent2 8 5" xfId="5068" xr:uid="{00000000-0005-0000-0000-00009E2F0000}"/>
    <cellStyle name="40% - Accent2 8 5 2" xfId="5069" xr:uid="{00000000-0005-0000-0000-00009F2F0000}"/>
    <cellStyle name="40% - Accent2 8 5 3" xfId="5070" xr:uid="{00000000-0005-0000-0000-0000A02F0000}"/>
    <cellStyle name="40% - Accent2 8 6" xfId="5071" xr:uid="{00000000-0005-0000-0000-0000A12F0000}"/>
    <cellStyle name="40% - Accent2 8 6 2" xfId="5072" xr:uid="{00000000-0005-0000-0000-0000A22F0000}"/>
    <cellStyle name="40% - Accent2 8 6 3" xfId="5073" xr:uid="{00000000-0005-0000-0000-0000A32F0000}"/>
    <cellStyle name="40% - Accent2 8 7" xfId="5074" xr:uid="{00000000-0005-0000-0000-0000A42F0000}"/>
    <cellStyle name="40% - Accent2 8 8" xfId="5075" xr:uid="{00000000-0005-0000-0000-0000A52F0000}"/>
    <cellStyle name="40% - Accent2 8_Volatility" xfId="5076" xr:uid="{00000000-0005-0000-0000-0000A62F0000}"/>
    <cellStyle name="40% - Accent2 9" xfId="5077" xr:uid="{00000000-0005-0000-0000-0000A72F0000}"/>
    <cellStyle name="40% - Accent2 9 2" xfId="5078" xr:uid="{00000000-0005-0000-0000-0000A82F0000}"/>
    <cellStyle name="40% - Accent2 9 2 2" xfId="5079" xr:uid="{00000000-0005-0000-0000-0000A92F0000}"/>
    <cellStyle name="40% - Accent2 9 2 2 2" xfId="5080" xr:uid="{00000000-0005-0000-0000-0000AA2F0000}"/>
    <cellStyle name="40% - Accent2 9 2 2 3" xfId="5081" xr:uid="{00000000-0005-0000-0000-0000AB2F0000}"/>
    <cellStyle name="40% - Accent2 9 2 3" xfId="5082" xr:uid="{00000000-0005-0000-0000-0000AC2F0000}"/>
    <cellStyle name="40% - Accent2 9 2 3 2" xfId="5083" xr:uid="{00000000-0005-0000-0000-0000AD2F0000}"/>
    <cellStyle name="40% - Accent2 9 2 3 3" xfId="5084" xr:uid="{00000000-0005-0000-0000-0000AE2F0000}"/>
    <cellStyle name="40% - Accent2 9 2 4" xfId="5085" xr:uid="{00000000-0005-0000-0000-0000AF2F0000}"/>
    <cellStyle name="40% - Accent2 9 2 4 2" xfId="5086" xr:uid="{00000000-0005-0000-0000-0000B02F0000}"/>
    <cellStyle name="40% - Accent2 9 2 4 3" xfId="5087" xr:uid="{00000000-0005-0000-0000-0000B12F0000}"/>
    <cellStyle name="40% - Accent2 9 2 5" xfId="5088" xr:uid="{00000000-0005-0000-0000-0000B22F0000}"/>
    <cellStyle name="40% - Accent2 9 2 6" xfId="5089" xr:uid="{00000000-0005-0000-0000-0000B32F0000}"/>
    <cellStyle name="40% - Accent2 9 2_Volatility" xfId="5090" xr:uid="{00000000-0005-0000-0000-0000B42F0000}"/>
    <cellStyle name="40% - Accent2 9 3" xfId="5091" xr:uid="{00000000-0005-0000-0000-0000B52F0000}"/>
    <cellStyle name="40% - Accent2 9 3 2" xfId="5092" xr:uid="{00000000-0005-0000-0000-0000B62F0000}"/>
    <cellStyle name="40% - Accent2 9 3 2 2" xfId="5093" xr:uid="{00000000-0005-0000-0000-0000B72F0000}"/>
    <cellStyle name="40% - Accent2 9 3 2 3" xfId="5094" xr:uid="{00000000-0005-0000-0000-0000B82F0000}"/>
    <cellStyle name="40% - Accent2 9 3 3" xfId="5095" xr:uid="{00000000-0005-0000-0000-0000B92F0000}"/>
    <cellStyle name="40% - Accent2 9 3 3 2" xfId="5096" xr:uid="{00000000-0005-0000-0000-0000BA2F0000}"/>
    <cellStyle name="40% - Accent2 9 3 3 3" xfId="5097" xr:uid="{00000000-0005-0000-0000-0000BB2F0000}"/>
    <cellStyle name="40% - Accent2 9 3 4" xfId="5098" xr:uid="{00000000-0005-0000-0000-0000BC2F0000}"/>
    <cellStyle name="40% - Accent2 9 3 5" xfId="5099" xr:uid="{00000000-0005-0000-0000-0000BD2F0000}"/>
    <cellStyle name="40% - Accent2 9 3_Volatility" xfId="5100" xr:uid="{00000000-0005-0000-0000-0000BE2F0000}"/>
    <cellStyle name="40% - Accent2 9 4" xfId="5101" xr:uid="{00000000-0005-0000-0000-0000BF2F0000}"/>
    <cellStyle name="40% - Accent2 9 4 2" xfId="5102" xr:uid="{00000000-0005-0000-0000-0000C02F0000}"/>
    <cellStyle name="40% - Accent2 9 4 3" xfId="5103" xr:uid="{00000000-0005-0000-0000-0000C12F0000}"/>
    <cellStyle name="40% - Accent2 9 5" xfId="5104" xr:uid="{00000000-0005-0000-0000-0000C22F0000}"/>
    <cellStyle name="40% - Accent2 9 5 2" xfId="5105" xr:uid="{00000000-0005-0000-0000-0000C32F0000}"/>
    <cellStyle name="40% - Accent2 9 5 3" xfId="5106" xr:uid="{00000000-0005-0000-0000-0000C42F0000}"/>
    <cellStyle name="40% - Accent2 9 6" xfId="5107" xr:uid="{00000000-0005-0000-0000-0000C52F0000}"/>
    <cellStyle name="40% - Accent2 9 6 2" xfId="5108" xr:uid="{00000000-0005-0000-0000-0000C62F0000}"/>
    <cellStyle name="40% - Accent2 9 6 3" xfId="5109" xr:uid="{00000000-0005-0000-0000-0000C72F0000}"/>
    <cellStyle name="40% - Accent2 9 7" xfId="5110" xr:uid="{00000000-0005-0000-0000-0000C82F0000}"/>
    <cellStyle name="40% - Accent2 9 8" xfId="5111" xr:uid="{00000000-0005-0000-0000-0000C92F0000}"/>
    <cellStyle name="40% - Accent2 9_Volatility" xfId="5112" xr:uid="{00000000-0005-0000-0000-0000CA2F0000}"/>
    <cellStyle name="40% - Accent3 10" xfId="5113" xr:uid="{00000000-0005-0000-0000-0000CB2F0000}"/>
    <cellStyle name="40% - Accent3 10 2" xfId="5114" xr:uid="{00000000-0005-0000-0000-0000CC2F0000}"/>
    <cellStyle name="40% - Accent3 10 2 2" xfId="5115" xr:uid="{00000000-0005-0000-0000-0000CD2F0000}"/>
    <cellStyle name="40% - Accent3 10 2 2 2" xfId="5116" xr:uid="{00000000-0005-0000-0000-0000CE2F0000}"/>
    <cellStyle name="40% - Accent3 10 2 2 3" xfId="5117" xr:uid="{00000000-0005-0000-0000-0000CF2F0000}"/>
    <cellStyle name="40% - Accent3 10 2 3" xfId="5118" xr:uid="{00000000-0005-0000-0000-0000D02F0000}"/>
    <cellStyle name="40% - Accent3 10 2 3 2" xfId="5119" xr:uid="{00000000-0005-0000-0000-0000D12F0000}"/>
    <cellStyle name="40% - Accent3 10 2 3 3" xfId="5120" xr:uid="{00000000-0005-0000-0000-0000D22F0000}"/>
    <cellStyle name="40% - Accent3 10 2 4" xfId="5121" xr:uid="{00000000-0005-0000-0000-0000D32F0000}"/>
    <cellStyle name="40% - Accent3 10 2 4 2" xfId="5122" xr:uid="{00000000-0005-0000-0000-0000D42F0000}"/>
    <cellStyle name="40% - Accent3 10 2 4 3" xfId="5123" xr:uid="{00000000-0005-0000-0000-0000D52F0000}"/>
    <cellStyle name="40% - Accent3 10 2 5" xfId="5124" xr:uid="{00000000-0005-0000-0000-0000D62F0000}"/>
    <cellStyle name="40% - Accent3 10 2 6" xfId="5125" xr:uid="{00000000-0005-0000-0000-0000D72F0000}"/>
    <cellStyle name="40% - Accent3 10 2_Volatility" xfId="5126" xr:uid="{00000000-0005-0000-0000-0000D82F0000}"/>
    <cellStyle name="40% - Accent3 10 3" xfId="5127" xr:uid="{00000000-0005-0000-0000-0000D92F0000}"/>
    <cellStyle name="40% - Accent3 10 3 2" xfId="5128" xr:uid="{00000000-0005-0000-0000-0000DA2F0000}"/>
    <cellStyle name="40% - Accent3 10 3 2 2" xfId="5129" xr:uid="{00000000-0005-0000-0000-0000DB2F0000}"/>
    <cellStyle name="40% - Accent3 10 3 2 3" xfId="5130" xr:uid="{00000000-0005-0000-0000-0000DC2F0000}"/>
    <cellStyle name="40% - Accent3 10 3 3" xfId="5131" xr:uid="{00000000-0005-0000-0000-0000DD2F0000}"/>
    <cellStyle name="40% - Accent3 10 3 3 2" xfId="5132" xr:uid="{00000000-0005-0000-0000-0000DE2F0000}"/>
    <cellStyle name="40% - Accent3 10 3 3 3" xfId="5133" xr:uid="{00000000-0005-0000-0000-0000DF2F0000}"/>
    <cellStyle name="40% - Accent3 10 3 4" xfId="5134" xr:uid="{00000000-0005-0000-0000-0000E02F0000}"/>
    <cellStyle name="40% - Accent3 10 3 5" xfId="5135" xr:uid="{00000000-0005-0000-0000-0000E12F0000}"/>
    <cellStyle name="40% - Accent3 10 3_Volatility" xfId="5136" xr:uid="{00000000-0005-0000-0000-0000E22F0000}"/>
    <cellStyle name="40% - Accent3 10 4" xfId="5137" xr:uid="{00000000-0005-0000-0000-0000E32F0000}"/>
    <cellStyle name="40% - Accent3 10 4 2" xfId="5138" xr:uid="{00000000-0005-0000-0000-0000E42F0000}"/>
    <cellStyle name="40% - Accent3 10 4 3" xfId="5139" xr:uid="{00000000-0005-0000-0000-0000E52F0000}"/>
    <cellStyle name="40% - Accent3 10 5" xfId="5140" xr:uid="{00000000-0005-0000-0000-0000E62F0000}"/>
    <cellStyle name="40% - Accent3 10 5 2" xfId="5141" xr:uid="{00000000-0005-0000-0000-0000E72F0000}"/>
    <cellStyle name="40% - Accent3 10 5 3" xfId="5142" xr:uid="{00000000-0005-0000-0000-0000E82F0000}"/>
    <cellStyle name="40% - Accent3 10 6" xfId="5143" xr:uid="{00000000-0005-0000-0000-0000E92F0000}"/>
    <cellStyle name="40% - Accent3 10 6 2" xfId="5144" xr:uid="{00000000-0005-0000-0000-0000EA2F0000}"/>
    <cellStyle name="40% - Accent3 10 6 3" xfId="5145" xr:uid="{00000000-0005-0000-0000-0000EB2F0000}"/>
    <cellStyle name="40% - Accent3 10 7" xfId="5146" xr:uid="{00000000-0005-0000-0000-0000EC2F0000}"/>
    <cellStyle name="40% - Accent3 10 8" xfId="5147" xr:uid="{00000000-0005-0000-0000-0000ED2F0000}"/>
    <cellStyle name="40% - Accent3 10_Volatility" xfId="5148" xr:uid="{00000000-0005-0000-0000-0000EE2F0000}"/>
    <cellStyle name="40% - Accent3 11" xfId="5149" xr:uid="{00000000-0005-0000-0000-0000EF2F0000}"/>
    <cellStyle name="40% - Accent3 11 2" xfId="5150" xr:uid="{00000000-0005-0000-0000-0000F02F0000}"/>
    <cellStyle name="40% - Accent3 11 2 2" xfId="5151" xr:uid="{00000000-0005-0000-0000-0000F12F0000}"/>
    <cellStyle name="40% - Accent3 11 2 2 2" xfId="5152" xr:uid="{00000000-0005-0000-0000-0000F22F0000}"/>
    <cellStyle name="40% - Accent3 11 2 2 3" xfId="5153" xr:uid="{00000000-0005-0000-0000-0000F32F0000}"/>
    <cellStyle name="40% - Accent3 11 2 3" xfId="5154" xr:uid="{00000000-0005-0000-0000-0000F42F0000}"/>
    <cellStyle name="40% - Accent3 11 2 3 2" xfId="5155" xr:uid="{00000000-0005-0000-0000-0000F52F0000}"/>
    <cellStyle name="40% - Accent3 11 2 3 3" xfId="5156" xr:uid="{00000000-0005-0000-0000-0000F62F0000}"/>
    <cellStyle name="40% - Accent3 11 2 4" xfId="5157" xr:uid="{00000000-0005-0000-0000-0000F72F0000}"/>
    <cellStyle name="40% - Accent3 11 2 4 2" xfId="5158" xr:uid="{00000000-0005-0000-0000-0000F82F0000}"/>
    <cellStyle name="40% - Accent3 11 2 4 3" xfId="5159" xr:uid="{00000000-0005-0000-0000-0000F92F0000}"/>
    <cellStyle name="40% - Accent3 11 2 5" xfId="5160" xr:uid="{00000000-0005-0000-0000-0000FA2F0000}"/>
    <cellStyle name="40% - Accent3 11 2 6" xfId="5161" xr:uid="{00000000-0005-0000-0000-0000FB2F0000}"/>
    <cellStyle name="40% - Accent3 11 2_Volatility" xfId="5162" xr:uid="{00000000-0005-0000-0000-0000FC2F0000}"/>
    <cellStyle name="40% - Accent3 11 3" xfId="5163" xr:uid="{00000000-0005-0000-0000-0000FD2F0000}"/>
    <cellStyle name="40% - Accent3 11 3 2" xfId="5164" xr:uid="{00000000-0005-0000-0000-0000FE2F0000}"/>
    <cellStyle name="40% - Accent3 11 3 2 2" xfId="5165" xr:uid="{00000000-0005-0000-0000-0000FF2F0000}"/>
    <cellStyle name="40% - Accent3 11 3 2 3" xfId="5166" xr:uid="{00000000-0005-0000-0000-000000300000}"/>
    <cellStyle name="40% - Accent3 11 3 3" xfId="5167" xr:uid="{00000000-0005-0000-0000-000001300000}"/>
    <cellStyle name="40% - Accent3 11 3 3 2" xfId="5168" xr:uid="{00000000-0005-0000-0000-000002300000}"/>
    <cellStyle name="40% - Accent3 11 3 3 3" xfId="5169" xr:uid="{00000000-0005-0000-0000-000003300000}"/>
    <cellStyle name="40% - Accent3 11 3 4" xfId="5170" xr:uid="{00000000-0005-0000-0000-000004300000}"/>
    <cellStyle name="40% - Accent3 11 3 5" xfId="5171" xr:uid="{00000000-0005-0000-0000-000005300000}"/>
    <cellStyle name="40% - Accent3 11 3_Volatility" xfId="5172" xr:uid="{00000000-0005-0000-0000-000006300000}"/>
    <cellStyle name="40% - Accent3 11 4" xfId="5173" xr:uid="{00000000-0005-0000-0000-000007300000}"/>
    <cellStyle name="40% - Accent3 11 4 2" xfId="5174" xr:uid="{00000000-0005-0000-0000-000008300000}"/>
    <cellStyle name="40% - Accent3 11 4 3" xfId="5175" xr:uid="{00000000-0005-0000-0000-000009300000}"/>
    <cellStyle name="40% - Accent3 11 5" xfId="5176" xr:uid="{00000000-0005-0000-0000-00000A300000}"/>
    <cellStyle name="40% - Accent3 11 5 2" xfId="5177" xr:uid="{00000000-0005-0000-0000-00000B300000}"/>
    <cellStyle name="40% - Accent3 11 5 3" xfId="5178" xr:uid="{00000000-0005-0000-0000-00000C300000}"/>
    <cellStyle name="40% - Accent3 11 6" xfId="5179" xr:uid="{00000000-0005-0000-0000-00000D300000}"/>
    <cellStyle name="40% - Accent3 11 6 2" xfId="5180" xr:uid="{00000000-0005-0000-0000-00000E300000}"/>
    <cellStyle name="40% - Accent3 11 6 3" xfId="5181" xr:uid="{00000000-0005-0000-0000-00000F300000}"/>
    <cellStyle name="40% - Accent3 11 7" xfId="5182" xr:uid="{00000000-0005-0000-0000-000010300000}"/>
    <cellStyle name="40% - Accent3 11 8" xfId="5183" xr:uid="{00000000-0005-0000-0000-000011300000}"/>
    <cellStyle name="40% - Accent3 11_Volatility" xfId="5184" xr:uid="{00000000-0005-0000-0000-000012300000}"/>
    <cellStyle name="40% - Accent3 12" xfId="5185" xr:uid="{00000000-0005-0000-0000-000013300000}"/>
    <cellStyle name="40% - Accent3 12 2" xfId="5186" xr:uid="{00000000-0005-0000-0000-000014300000}"/>
    <cellStyle name="40% - Accent3 12 2 2" xfId="5187" xr:uid="{00000000-0005-0000-0000-000015300000}"/>
    <cellStyle name="40% - Accent3 12 2 2 2" xfId="5188" xr:uid="{00000000-0005-0000-0000-000016300000}"/>
    <cellStyle name="40% - Accent3 12 2 2 3" xfId="5189" xr:uid="{00000000-0005-0000-0000-000017300000}"/>
    <cellStyle name="40% - Accent3 12 2 3" xfId="5190" xr:uid="{00000000-0005-0000-0000-000018300000}"/>
    <cellStyle name="40% - Accent3 12 2 3 2" xfId="5191" xr:uid="{00000000-0005-0000-0000-000019300000}"/>
    <cellStyle name="40% - Accent3 12 2 3 3" xfId="5192" xr:uid="{00000000-0005-0000-0000-00001A300000}"/>
    <cellStyle name="40% - Accent3 12 2 4" xfId="5193" xr:uid="{00000000-0005-0000-0000-00001B300000}"/>
    <cellStyle name="40% - Accent3 12 2 4 2" xfId="5194" xr:uid="{00000000-0005-0000-0000-00001C300000}"/>
    <cellStyle name="40% - Accent3 12 2 4 3" xfId="5195" xr:uid="{00000000-0005-0000-0000-00001D300000}"/>
    <cellStyle name="40% - Accent3 12 2 5" xfId="5196" xr:uid="{00000000-0005-0000-0000-00001E300000}"/>
    <cellStyle name="40% - Accent3 12 2 6" xfId="5197" xr:uid="{00000000-0005-0000-0000-00001F300000}"/>
    <cellStyle name="40% - Accent3 12 2_Volatility" xfId="5198" xr:uid="{00000000-0005-0000-0000-000020300000}"/>
    <cellStyle name="40% - Accent3 12 3" xfId="5199" xr:uid="{00000000-0005-0000-0000-000021300000}"/>
    <cellStyle name="40% - Accent3 12 3 2" xfId="5200" xr:uid="{00000000-0005-0000-0000-000022300000}"/>
    <cellStyle name="40% - Accent3 12 3 2 2" xfId="5201" xr:uid="{00000000-0005-0000-0000-000023300000}"/>
    <cellStyle name="40% - Accent3 12 3 2 3" xfId="5202" xr:uid="{00000000-0005-0000-0000-000024300000}"/>
    <cellStyle name="40% - Accent3 12 3 3" xfId="5203" xr:uid="{00000000-0005-0000-0000-000025300000}"/>
    <cellStyle name="40% - Accent3 12 3 3 2" xfId="5204" xr:uid="{00000000-0005-0000-0000-000026300000}"/>
    <cellStyle name="40% - Accent3 12 3 3 3" xfId="5205" xr:uid="{00000000-0005-0000-0000-000027300000}"/>
    <cellStyle name="40% - Accent3 12 3 4" xfId="5206" xr:uid="{00000000-0005-0000-0000-000028300000}"/>
    <cellStyle name="40% - Accent3 12 3 5" xfId="5207" xr:uid="{00000000-0005-0000-0000-000029300000}"/>
    <cellStyle name="40% - Accent3 12 3_Volatility" xfId="5208" xr:uid="{00000000-0005-0000-0000-00002A300000}"/>
    <cellStyle name="40% - Accent3 12 4" xfId="5209" xr:uid="{00000000-0005-0000-0000-00002B300000}"/>
    <cellStyle name="40% - Accent3 12 4 2" xfId="5210" xr:uid="{00000000-0005-0000-0000-00002C300000}"/>
    <cellStyle name="40% - Accent3 12 4 3" xfId="5211" xr:uid="{00000000-0005-0000-0000-00002D300000}"/>
    <cellStyle name="40% - Accent3 12 5" xfId="5212" xr:uid="{00000000-0005-0000-0000-00002E300000}"/>
    <cellStyle name="40% - Accent3 12 5 2" xfId="5213" xr:uid="{00000000-0005-0000-0000-00002F300000}"/>
    <cellStyle name="40% - Accent3 12 5 3" xfId="5214" xr:uid="{00000000-0005-0000-0000-000030300000}"/>
    <cellStyle name="40% - Accent3 12 6" xfId="5215" xr:uid="{00000000-0005-0000-0000-000031300000}"/>
    <cellStyle name="40% - Accent3 12 6 2" xfId="5216" xr:uid="{00000000-0005-0000-0000-000032300000}"/>
    <cellStyle name="40% - Accent3 12 6 3" xfId="5217" xr:uid="{00000000-0005-0000-0000-000033300000}"/>
    <cellStyle name="40% - Accent3 12 7" xfId="5218" xr:uid="{00000000-0005-0000-0000-000034300000}"/>
    <cellStyle name="40% - Accent3 12 8" xfId="5219" xr:uid="{00000000-0005-0000-0000-000035300000}"/>
    <cellStyle name="40% - Accent3 12_Volatility" xfId="5220" xr:uid="{00000000-0005-0000-0000-000036300000}"/>
    <cellStyle name="40% - Accent3 13" xfId="5221" xr:uid="{00000000-0005-0000-0000-000037300000}"/>
    <cellStyle name="40% - Accent3 13 2" xfId="5222" xr:uid="{00000000-0005-0000-0000-000038300000}"/>
    <cellStyle name="40% - Accent3 13 2 2" xfId="5223" xr:uid="{00000000-0005-0000-0000-000039300000}"/>
    <cellStyle name="40% - Accent3 13 2 2 2" xfId="5224" xr:uid="{00000000-0005-0000-0000-00003A300000}"/>
    <cellStyle name="40% - Accent3 13 2 2 3" xfId="5225" xr:uid="{00000000-0005-0000-0000-00003B300000}"/>
    <cellStyle name="40% - Accent3 13 2 3" xfId="5226" xr:uid="{00000000-0005-0000-0000-00003C300000}"/>
    <cellStyle name="40% - Accent3 13 2 3 2" xfId="5227" xr:uid="{00000000-0005-0000-0000-00003D300000}"/>
    <cellStyle name="40% - Accent3 13 2 3 3" xfId="5228" xr:uid="{00000000-0005-0000-0000-00003E300000}"/>
    <cellStyle name="40% - Accent3 13 2 4" xfId="5229" xr:uid="{00000000-0005-0000-0000-00003F300000}"/>
    <cellStyle name="40% - Accent3 13 2 4 2" xfId="5230" xr:uid="{00000000-0005-0000-0000-000040300000}"/>
    <cellStyle name="40% - Accent3 13 2 4 3" xfId="5231" xr:uid="{00000000-0005-0000-0000-000041300000}"/>
    <cellStyle name="40% - Accent3 13 2 5" xfId="5232" xr:uid="{00000000-0005-0000-0000-000042300000}"/>
    <cellStyle name="40% - Accent3 13 2 6" xfId="5233" xr:uid="{00000000-0005-0000-0000-000043300000}"/>
    <cellStyle name="40% - Accent3 13 2_Volatility" xfId="5234" xr:uid="{00000000-0005-0000-0000-000044300000}"/>
    <cellStyle name="40% - Accent3 13 3" xfId="5235" xr:uid="{00000000-0005-0000-0000-000045300000}"/>
    <cellStyle name="40% - Accent3 13 3 2" xfId="5236" xr:uid="{00000000-0005-0000-0000-000046300000}"/>
    <cellStyle name="40% - Accent3 13 3 2 2" xfId="5237" xr:uid="{00000000-0005-0000-0000-000047300000}"/>
    <cellStyle name="40% - Accent3 13 3 2 3" xfId="5238" xr:uid="{00000000-0005-0000-0000-000048300000}"/>
    <cellStyle name="40% - Accent3 13 3 3" xfId="5239" xr:uid="{00000000-0005-0000-0000-000049300000}"/>
    <cellStyle name="40% - Accent3 13 3 3 2" xfId="5240" xr:uid="{00000000-0005-0000-0000-00004A300000}"/>
    <cellStyle name="40% - Accent3 13 3 3 3" xfId="5241" xr:uid="{00000000-0005-0000-0000-00004B300000}"/>
    <cellStyle name="40% - Accent3 13 3 4" xfId="5242" xr:uid="{00000000-0005-0000-0000-00004C300000}"/>
    <cellStyle name="40% - Accent3 13 3 5" xfId="5243" xr:uid="{00000000-0005-0000-0000-00004D300000}"/>
    <cellStyle name="40% - Accent3 13 3_Volatility" xfId="5244" xr:uid="{00000000-0005-0000-0000-00004E300000}"/>
    <cellStyle name="40% - Accent3 13 4" xfId="5245" xr:uid="{00000000-0005-0000-0000-00004F300000}"/>
    <cellStyle name="40% - Accent3 13 4 2" xfId="5246" xr:uid="{00000000-0005-0000-0000-000050300000}"/>
    <cellStyle name="40% - Accent3 13 4 3" xfId="5247" xr:uid="{00000000-0005-0000-0000-000051300000}"/>
    <cellStyle name="40% - Accent3 13 5" xfId="5248" xr:uid="{00000000-0005-0000-0000-000052300000}"/>
    <cellStyle name="40% - Accent3 13 5 2" xfId="5249" xr:uid="{00000000-0005-0000-0000-000053300000}"/>
    <cellStyle name="40% - Accent3 13 5 3" xfId="5250" xr:uid="{00000000-0005-0000-0000-000054300000}"/>
    <cellStyle name="40% - Accent3 13 6" xfId="5251" xr:uid="{00000000-0005-0000-0000-000055300000}"/>
    <cellStyle name="40% - Accent3 13 6 2" xfId="5252" xr:uid="{00000000-0005-0000-0000-000056300000}"/>
    <cellStyle name="40% - Accent3 13 6 3" xfId="5253" xr:uid="{00000000-0005-0000-0000-000057300000}"/>
    <cellStyle name="40% - Accent3 13 7" xfId="5254" xr:uid="{00000000-0005-0000-0000-000058300000}"/>
    <cellStyle name="40% - Accent3 13 8" xfId="5255" xr:uid="{00000000-0005-0000-0000-000059300000}"/>
    <cellStyle name="40% - Accent3 13_Volatility" xfId="5256" xr:uid="{00000000-0005-0000-0000-00005A300000}"/>
    <cellStyle name="40% - Accent3 14" xfId="5257" xr:uid="{00000000-0005-0000-0000-00005B300000}"/>
    <cellStyle name="40% - Accent3 14 2" xfId="5258" xr:uid="{00000000-0005-0000-0000-00005C300000}"/>
    <cellStyle name="40% - Accent3 14 2 2" xfId="5259" xr:uid="{00000000-0005-0000-0000-00005D300000}"/>
    <cellStyle name="40% - Accent3 14 2 2 2" xfId="5260" xr:uid="{00000000-0005-0000-0000-00005E300000}"/>
    <cellStyle name="40% - Accent3 14 2 2 3" xfId="5261" xr:uid="{00000000-0005-0000-0000-00005F300000}"/>
    <cellStyle name="40% - Accent3 14 2 3" xfId="5262" xr:uid="{00000000-0005-0000-0000-000060300000}"/>
    <cellStyle name="40% - Accent3 14 2 3 2" xfId="5263" xr:uid="{00000000-0005-0000-0000-000061300000}"/>
    <cellStyle name="40% - Accent3 14 2 3 3" xfId="5264" xr:uid="{00000000-0005-0000-0000-000062300000}"/>
    <cellStyle name="40% - Accent3 14 2 4" xfId="5265" xr:uid="{00000000-0005-0000-0000-000063300000}"/>
    <cellStyle name="40% - Accent3 14 2 4 2" xfId="5266" xr:uid="{00000000-0005-0000-0000-000064300000}"/>
    <cellStyle name="40% - Accent3 14 2 4 3" xfId="5267" xr:uid="{00000000-0005-0000-0000-000065300000}"/>
    <cellStyle name="40% - Accent3 14 2 5" xfId="5268" xr:uid="{00000000-0005-0000-0000-000066300000}"/>
    <cellStyle name="40% - Accent3 14 2 6" xfId="5269" xr:uid="{00000000-0005-0000-0000-000067300000}"/>
    <cellStyle name="40% - Accent3 14 2_Volatility" xfId="5270" xr:uid="{00000000-0005-0000-0000-000068300000}"/>
    <cellStyle name="40% - Accent3 14 3" xfId="5271" xr:uid="{00000000-0005-0000-0000-000069300000}"/>
    <cellStyle name="40% - Accent3 14 3 2" xfId="5272" xr:uid="{00000000-0005-0000-0000-00006A300000}"/>
    <cellStyle name="40% - Accent3 14 3 2 2" xfId="5273" xr:uid="{00000000-0005-0000-0000-00006B300000}"/>
    <cellStyle name="40% - Accent3 14 3 2 3" xfId="5274" xr:uid="{00000000-0005-0000-0000-00006C300000}"/>
    <cellStyle name="40% - Accent3 14 3 3" xfId="5275" xr:uid="{00000000-0005-0000-0000-00006D300000}"/>
    <cellStyle name="40% - Accent3 14 3 3 2" xfId="5276" xr:uid="{00000000-0005-0000-0000-00006E300000}"/>
    <cellStyle name="40% - Accent3 14 3 3 3" xfId="5277" xr:uid="{00000000-0005-0000-0000-00006F300000}"/>
    <cellStyle name="40% - Accent3 14 3 4" xfId="5278" xr:uid="{00000000-0005-0000-0000-000070300000}"/>
    <cellStyle name="40% - Accent3 14 3 5" xfId="5279" xr:uid="{00000000-0005-0000-0000-000071300000}"/>
    <cellStyle name="40% - Accent3 14 3_Volatility" xfId="5280" xr:uid="{00000000-0005-0000-0000-000072300000}"/>
    <cellStyle name="40% - Accent3 14 4" xfId="5281" xr:uid="{00000000-0005-0000-0000-000073300000}"/>
    <cellStyle name="40% - Accent3 14 4 2" xfId="5282" xr:uid="{00000000-0005-0000-0000-000074300000}"/>
    <cellStyle name="40% - Accent3 14 4 3" xfId="5283" xr:uid="{00000000-0005-0000-0000-000075300000}"/>
    <cellStyle name="40% - Accent3 14 5" xfId="5284" xr:uid="{00000000-0005-0000-0000-000076300000}"/>
    <cellStyle name="40% - Accent3 14 5 2" xfId="5285" xr:uid="{00000000-0005-0000-0000-000077300000}"/>
    <cellStyle name="40% - Accent3 14 5 3" xfId="5286" xr:uid="{00000000-0005-0000-0000-000078300000}"/>
    <cellStyle name="40% - Accent3 14 6" xfId="5287" xr:uid="{00000000-0005-0000-0000-000079300000}"/>
    <cellStyle name="40% - Accent3 14 6 2" xfId="5288" xr:uid="{00000000-0005-0000-0000-00007A300000}"/>
    <cellStyle name="40% - Accent3 14 6 3" xfId="5289" xr:uid="{00000000-0005-0000-0000-00007B300000}"/>
    <cellStyle name="40% - Accent3 14 7" xfId="5290" xr:uid="{00000000-0005-0000-0000-00007C300000}"/>
    <cellStyle name="40% - Accent3 14 8" xfId="5291" xr:uid="{00000000-0005-0000-0000-00007D300000}"/>
    <cellStyle name="40% - Accent3 14_Volatility" xfId="5292" xr:uid="{00000000-0005-0000-0000-00007E300000}"/>
    <cellStyle name="40% - Accent3 15" xfId="5293" xr:uid="{00000000-0005-0000-0000-00007F300000}"/>
    <cellStyle name="40% - Accent3 15 2" xfId="5294" xr:uid="{00000000-0005-0000-0000-000080300000}"/>
    <cellStyle name="40% - Accent3 15 2 2" xfId="5295" xr:uid="{00000000-0005-0000-0000-000081300000}"/>
    <cellStyle name="40% - Accent3 15 2 2 2" xfId="5296" xr:uid="{00000000-0005-0000-0000-000082300000}"/>
    <cellStyle name="40% - Accent3 15 2 2 3" xfId="5297" xr:uid="{00000000-0005-0000-0000-000083300000}"/>
    <cellStyle name="40% - Accent3 15 2 3" xfId="5298" xr:uid="{00000000-0005-0000-0000-000084300000}"/>
    <cellStyle name="40% - Accent3 15 2 3 2" xfId="5299" xr:uid="{00000000-0005-0000-0000-000085300000}"/>
    <cellStyle name="40% - Accent3 15 2 3 3" xfId="5300" xr:uid="{00000000-0005-0000-0000-000086300000}"/>
    <cellStyle name="40% - Accent3 15 2 4" xfId="5301" xr:uid="{00000000-0005-0000-0000-000087300000}"/>
    <cellStyle name="40% - Accent3 15 2 4 2" xfId="5302" xr:uid="{00000000-0005-0000-0000-000088300000}"/>
    <cellStyle name="40% - Accent3 15 2 4 3" xfId="5303" xr:uid="{00000000-0005-0000-0000-000089300000}"/>
    <cellStyle name="40% - Accent3 15 2 5" xfId="5304" xr:uid="{00000000-0005-0000-0000-00008A300000}"/>
    <cellStyle name="40% - Accent3 15 2 6" xfId="5305" xr:uid="{00000000-0005-0000-0000-00008B300000}"/>
    <cellStyle name="40% - Accent3 15 2_Volatility" xfId="5306" xr:uid="{00000000-0005-0000-0000-00008C300000}"/>
    <cellStyle name="40% - Accent3 15 3" xfId="5307" xr:uid="{00000000-0005-0000-0000-00008D300000}"/>
    <cellStyle name="40% - Accent3 15 3 2" xfId="5308" xr:uid="{00000000-0005-0000-0000-00008E300000}"/>
    <cellStyle name="40% - Accent3 15 3 2 2" xfId="5309" xr:uid="{00000000-0005-0000-0000-00008F300000}"/>
    <cellStyle name="40% - Accent3 15 3 2 3" xfId="5310" xr:uid="{00000000-0005-0000-0000-000090300000}"/>
    <cellStyle name="40% - Accent3 15 3 3" xfId="5311" xr:uid="{00000000-0005-0000-0000-000091300000}"/>
    <cellStyle name="40% - Accent3 15 3 3 2" xfId="5312" xr:uid="{00000000-0005-0000-0000-000092300000}"/>
    <cellStyle name="40% - Accent3 15 3 3 3" xfId="5313" xr:uid="{00000000-0005-0000-0000-000093300000}"/>
    <cellStyle name="40% - Accent3 15 3 4" xfId="5314" xr:uid="{00000000-0005-0000-0000-000094300000}"/>
    <cellStyle name="40% - Accent3 15 3 5" xfId="5315" xr:uid="{00000000-0005-0000-0000-000095300000}"/>
    <cellStyle name="40% - Accent3 15 3_Volatility" xfId="5316" xr:uid="{00000000-0005-0000-0000-000096300000}"/>
    <cellStyle name="40% - Accent3 15 4" xfId="5317" xr:uid="{00000000-0005-0000-0000-000097300000}"/>
    <cellStyle name="40% - Accent3 15 4 2" xfId="5318" xr:uid="{00000000-0005-0000-0000-000098300000}"/>
    <cellStyle name="40% - Accent3 15 4 3" xfId="5319" xr:uid="{00000000-0005-0000-0000-000099300000}"/>
    <cellStyle name="40% - Accent3 15 5" xfId="5320" xr:uid="{00000000-0005-0000-0000-00009A300000}"/>
    <cellStyle name="40% - Accent3 15 5 2" xfId="5321" xr:uid="{00000000-0005-0000-0000-00009B300000}"/>
    <cellStyle name="40% - Accent3 15 5 3" xfId="5322" xr:uid="{00000000-0005-0000-0000-00009C300000}"/>
    <cellStyle name="40% - Accent3 15 6" xfId="5323" xr:uid="{00000000-0005-0000-0000-00009D300000}"/>
    <cellStyle name="40% - Accent3 15 6 2" xfId="5324" xr:uid="{00000000-0005-0000-0000-00009E300000}"/>
    <cellStyle name="40% - Accent3 15 6 3" xfId="5325" xr:uid="{00000000-0005-0000-0000-00009F300000}"/>
    <cellStyle name="40% - Accent3 15 7" xfId="5326" xr:uid="{00000000-0005-0000-0000-0000A0300000}"/>
    <cellStyle name="40% - Accent3 15 8" xfId="5327" xr:uid="{00000000-0005-0000-0000-0000A1300000}"/>
    <cellStyle name="40% - Accent3 15_Volatility" xfId="5328" xr:uid="{00000000-0005-0000-0000-0000A2300000}"/>
    <cellStyle name="40% - Accent3 16" xfId="5329" xr:uid="{00000000-0005-0000-0000-0000A3300000}"/>
    <cellStyle name="40% - Accent3 16 2" xfId="15933" xr:uid="{00000000-0005-0000-0000-0000A4300000}"/>
    <cellStyle name="40% - Accent3 16 3" xfId="19884" xr:uid="{00000000-0005-0000-0000-0000A5300000}"/>
    <cellStyle name="40% - Accent3 17" xfId="5330" xr:uid="{00000000-0005-0000-0000-0000A6300000}"/>
    <cellStyle name="40% - Accent3 17 2" xfId="15934" xr:uid="{00000000-0005-0000-0000-0000A7300000}"/>
    <cellStyle name="40% - Accent3 17 3" xfId="19885" xr:uid="{00000000-0005-0000-0000-0000A8300000}"/>
    <cellStyle name="40% - Accent3 18" xfId="5331" xr:uid="{00000000-0005-0000-0000-0000A9300000}"/>
    <cellStyle name="40% - Accent3 18 2" xfId="15935" xr:uid="{00000000-0005-0000-0000-0000AA300000}"/>
    <cellStyle name="40% - Accent3 18 3" xfId="19886" xr:uid="{00000000-0005-0000-0000-0000AB300000}"/>
    <cellStyle name="40% - Accent3 19" xfId="5332" xr:uid="{00000000-0005-0000-0000-0000AC300000}"/>
    <cellStyle name="40% - Accent3 19 2" xfId="15936" xr:uid="{00000000-0005-0000-0000-0000AD300000}"/>
    <cellStyle name="40% - Accent3 19 3" xfId="19887" xr:uid="{00000000-0005-0000-0000-0000AE300000}"/>
    <cellStyle name="40% - Accent3 2" xfId="5333" xr:uid="{00000000-0005-0000-0000-0000AF300000}"/>
    <cellStyle name="40% - Accent3 2 2" xfId="5334" xr:uid="{00000000-0005-0000-0000-0000B0300000}"/>
    <cellStyle name="40% - Accent3 2 2 2" xfId="5335" xr:uid="{00000000-0005-0000-0000-0000B1300000}"/>
    <cellStyle name="40% - Accent3 2 2 2 2" xfId="5336" xr:uid="{00000000-0005-0000-0000-0000B2300000}"/>
    <cellStyle name="40% - Accent3 2 2 2 3" xfId="5337" xr:uid="{00000000-0005-0000-0000-0000B3300000}"/>
    <cellStyle name="40% - Accent3 2 2 3" xfId="5338" xr:uid="{00000000-0005-0000-0000-0000B4300000}"/>
    <cellStyle name="40% - Accent3 2 2 3 2" xfId="5339" xr:uid="{00000000-0005-0000-0000-0000B5300000}"/>
    <cellStyle name="40% - Accent3 2 2 3 3" xfId="5340" xr:uid="{00000000-0005-0000-0000-0000B6300000}"/>
    <cellStyle name="40% - Accent3 2 2 4" xfId="5341" xr:uid="{00000000-0005-0000-0000-0000B7300000}"/>
    <cellStyle name="40% - Accent3 2 2 4 2" xfId="5342" xr:uid="{00000000-0005-0000-0000-0000B8300000}"/>
    <cellStyle name="40% - Accent3 2 2 4 3" xfId="5343" xr:uid="{00000000-0005-0000-0000-0000B9300000}"/>
    <cellStyle name="40% - Accent3 2 2 5" xfId="5344" xr:uid="{00000000-0005-0000-0000-0000BA300000}"/>
    <cellStyle name="40% - Accent3 2 2 6" xfId="5345" xr:uid="{00000000-0005-0000-0000-0000BB300000}"/>
    <cellStyle name="40% - Accent3 2 2_Volatility" xfId="5346" xr:uid="{00000000-0005-0000-0000-0000BC300000}"/>
    <cellStyle name="40% - Accent3 2 3" xfId="5347" xr:uid="{00000000-0005-0000-0000-0000BD300000}"/>
    <cellStyle name="40% - Accent3 2 3 2" xfId="5348" xr:uid="{00000000-0005-0000-0000-0000BE300000}"/>
    <cellStyle name="40% - Accent3 2 3 2 2" xfId="5349" xr:uid="{00000000-0005-0000-0000-0000BF300000}"/>
    <cellStyle name="40% - Accent3 2 3 2 3" xfId="5350" xr:uid="{00000000-0005-0000-0000-0000C0300000}"/>
    <cellStyle name="40% - Accent3 2 3 3" xfId="5351" xr:uid="{00000000-0005-0000-0000-0000C1300000}"/>
    <cellStyle name="40% - Accent3 2 3 3 2" xfId="5352" xr:uid="{00000000-0005-0000-0000-0000C2300000}"/>
    <cellStyle name="40% - Accent3 2 3 3 3" xfId="5353" xr:uid="{00000000-0005-0000-0000-0000C3300000}"/>
    <cellStyle name="40% - Accent3 2 3 4" xfId="5354" xr:uid="{00000000-0005-0000-0000-0000C4300000}"/>
    <cellStyle name="40% - Accent3 2 3 5" xfId="5355" xr:uid="{00000000-0005-0000-0000-0000C5300000}"/>
    <cellStyle name="40% - Accent3 2 3_Volatility" xfId="5356" xr:uid="{00000000-0005-0000-0000-0000C6300000}"/>
    <cellStyle name="40% - Accent3 2 4" xfId="5357" xr:uid="{00000000-0005-0000-0000-0000C7300000}"/>
    <cellStyle name="40% - Accent3 2 4 2" xfId="5358" xr:uid="{00000000-0005-0000-0000-0000C8300000}"/>
    <cellStyle name="40% - Accent3 2 4 3" xfId="5359" xr:uid="{00000000-0005-0000-0000-0000C9300000}"/>
    <cellStyle name="40% - Accent3 2 5" xfId="5360" xr:uid="{00000000-0005-0000-0000-0000CA300000}"/>
    <cellStyle name="40% - Accent3 2 5 2" xfId="5361" xr:uid="{00000000-0005-0000-0000-0000CB300000}"/>
    <cellStyle name="40% - Accent3 2 5 3" xfId="5362" xr:uid="{00000000-0005-0000-0000-0000CC300000}"/>
    <cellStyle name="40% - Accent3 2 6" xfId="5363" xr:uid="{00000000-0005-0000-0000-0000CD300000}"/>
    <cellStyle name="40% - Accent3 2 6 2" xfId="5364" xr:uid="{00000000-0005-0000-0000-0000CE300000}"/>
    <cellStyle name="40% - Accent3 2 6 3" xfId="5365" xr:uid="{00000000-0005-0000-0000-0000CF300000}"/>
    <cellStyle name="40% - Accent3 2 7" xfId="5366" xr:uid="{00000000-0005-0000-0000-0000D0300000}"/>
    <cellStyle name="40% - Accent3 2 8" xfId="5367" xr:uid="{00000000-0005-0000-0000-0000D1300000}"/>
    <cellStyle name="40% - Accent3 2_Volatility" xfId="5368" xr:uid="{00000000-0005-0000-0000-0000D2300000}"/>
    <cellStyle name="40% - Accent3 3" xfId="5369" xr:uid="{00000000-0005-0000-0000-0000D3300000}"/>
    <cellStyle name="40% - Accent3 3 2" xfId="5370" xr:uid="{00000000-0005-0000-0000-0000D4300000}"/>
    <cellStyle name="40% - Accent3 3 2 2" xfId="5371" xr:uid="{00000000-0005-0000-0000-0000D5300000}"/>
    <cellStyle name="40% - Accent3 3 2 2 2" xfId="5372" xr:uid="{00000000-0005-0000-0000-0000D6300000}"/>
    <cellStyle name="40% - Accent3 3 2 2 3" xfId="5373" xr:uid="{00000000-0005-0000-0000-0000D7300000}"/>
    <cellStyle name="40% - Accent3 3 2 3" xfId="5374" xr:uid="{00000000-0005-0000-0000-0000D8300000}"/>
    <cellStyle name="40% - Accent3 3 2 3 2" xfId="5375" xr:uid="{00000000-0005-0000-0000-0000D9300000}"/>
    <cellStyle name="40% - Accent3 3 2 3 3" xfId="5376" xr:uid="{00000000-0005-0000-0000-0000DA300000}"/>
    <cellStyle name="40% - Accent3 3 2 4" xfId="5377" xr:uid="{00000000-0005-0000-0000-0000DB300000}"/>
    <cellStyle name="40% - Accent3 3 2 4 2" xfId="5378" xr:uid="{00000000-0005-0000-0000-0000DC300000}"/>
    <cellStyle name="40% - Accent3 3 2 4 3" xfId="5379" xr:uid="{00000000-0005-0000-0000-0000DD300000}"/>
    <cellStyle name="40% - Accent3 3 2 5" xfId="5380" xr:uid="{00000000-0005-0000-0000-0000DE300000}"/>
    <cellStyle name="40% - Accent3 3 2 6" xfId="5381" xr:uid="{00000000-0005-0000-0000-0000DF300000}"/>
    <cellStyle name="40% - Accent3 3 2_Volatility" xfId="5382" xr:uid="{00000000-0005-0000-0000-0000E0300000}"/>
    <cellStyle name="40% - Accent3 3 3" xfId="5383" xr:uid="{00000000-0005-0000-0000-0000E1300000}"/>
    <cellStyle name="40% - Accent3 3 3 2" xfId="5384" xr:uid="{00000000-0005-0000-0000-0000E2300000}"/>
    <cellStyle name="40% - Accent3 3 3 2 2" xfId="5385" xr:uid="{00000000-0005-0000-0000-0000E3300000}"/>
    <cellStyle name="40% - Accent3 3 3 2 3" xfId="5386" xr:uid="{00000000-0005-0000-0000-0000E4300000}"/>
    <cellStyle name="40% - Accent3 3 3 3" xfId="5387" xr:uid="{00000000-0005-0000-0000-0000E5300000}"/>
    <cellStyle name="40% - Accent3 3 3 3 2" xfId="5388" xr:uid="{00000000-0005-0000-0000-0000E6300000}"/>
    <cellStyle name="40% - Accent3 3 3 3 3" xfId="5389" xr:uid="{00000000-0005-0000-0000-0000E7300000}"/>
    <cellStyle name="40% - Accent3 3 3 4" xfId="5390" xr:uid="{00000000-0005-0000-0000-0000E8300000}"/>
    <cellStyle name="40% - Accent3 3 3 5" xfId="5391" xr:uid="{00000000-0005-0000-0000-0000E9300000}"/>
    <cellStyle name="40% - Accent3 3 3_Volatility" xfId="5392" xr:uid="{00000000-0005-0000-0000-0000EA300000}"/>
    <cellStyle name="40% - Accent3 3 4" xfId="5393" xr:uid="{00000000-0005-0000-0000-0000EB300000}"/>
    <cellStyle name="40% - Accent3 3 4 2" xfId="5394" xr:uid="{00000000-0005-0000-0000-0000EC300000}"/>
    <cellStyle name="40% - Accent3 3 4 3" xfId="5395" xr:uid="{00000000-0005-0000-0000-0000ED300000}"/>
    <cellStyle name="40% - Accent3 3 5" xfId="5396" xr:uid="{00000000-0005-0000-0000-0000EE300000}"/>
    <cellStyle name="40% - Accent3 3 5 2" xfId="5397" xr:uid="{00000000-0005-0000-0000-0000EF300000}"/>
    <cellStyle name="40% - Accent3 3 5 3" xfId="5398" xr:uid="{00000000-0005-0000-0000-0000F0300000}"/>
    <cellStyle name="40% - Accent3 3 6" xfId="5399" xr:uid="{00000000-0005-0000-0000-0000F1300000}"/>
    <cellStyle name="40% - Accent3 3 6 2" xfId="5400" xr:uid="{00000000-0005-0000-0000-0000F2300000}"/>
    <cellStyle name="40% - Accent3 3 6 3" xfId="5401" xr:uid="{00000000-0005-0000-0000-0000F3300000}"/>
    <cellStyle name="40% - Accent3 3 7" xfId="5402" xr:uid="{00000000-0005-0000-0000-0000F4300000}"/>
    <cellStyle name="40% - Accent3 3 8" xfId="5403" xr:uid="{00000000-0005-0000-0000-0000F5300000}"/>
    <cellStyle name="40% - Accent3 3_Volatility" xfId="5404" xr:uid="{00000000-0005-0000-0000-0000F6300000}"/>
    <cellStyle name="40% - Accent3 4" xfId="5405" xr:uid="{00000000-0005-0000-0000-0000F7300000}"/>
    <cellStyle name="40% - Accent3 4 2" xfId="5406" xr:uid="{00000000-0005-0000-0000-0000F8300000}"/>
    <cellStyle name="40% - Accent3 4 2 2" xfId="5407" xr:uid="{00000000-0005-0000-0000-0000F9300000}"/>
    <cellStyle name="40% - Accent3 4 2 2 2" xfId="5408" xr:uid="{00000000-0005-0000-0000-0000FA300000}"/>
    <cellStyle name="40% - Accent3 4 2 2 3" xfId="5409" xr:uid="{00000000-0005-0000-0000-0000FB300000}"/>
    <cellStyle name="40% - Accent3 4 2 3" xfId="5410" xr:uid="{00000000-0005-0000-0000-0000FC300000}"/>
    <cellStyle name="40% - Accent3 4 2 3 2" xfId="5411" xr:uid="{00000000-0005-0000-0000-0000FD300000}"/>
    <cellStyle name="40% - Accent3 4 2 3 3" xfId="5412" xr:uid="{00000000-0005-0000-0000-0000FE300000}"/>
    <cellStyle name="40% - Accent3 4 2 4" xfId="5413" xr:uid="{00000000-0005-0000-0000-0000FF300000}"/>
    <cellStyle name="40% - Accent3 4 2 4 2" xfId="5414" xr:uid="{00000000-0005-0000-0000-000000310000}"/>
    <cellStyle name="40% - Accent3 4 2 4 3" xfId="5415" xr:uid="{00000000-0005-0000-0000-000001310000}"/>
    <cellStyle name="40% - Accent3 4 2 5" xfId="5416" xr:uid="{00000000-0005-0000-0000-000002310000}"/>
    <cellStyle name="40% - Accent3 4 2 6" xfId="5417" xr:uid="{00000000-0005-0000-0000-000003310000}"/>
    <cellStyle name="40% - Accent3 4 2_Volatility" xfId="5418" xr:uid="{00000000-0005-0000-0000-000004310000}"/>
    <cellStyle name="40% - Accent3 4 3" xfId="5419" xr:uid="{00000000-0005-0000-0000-000005310000}"/>
    <cellStyle name="40% - Accent3 4 3 2" xfId="5420" xr:uid="{00000000-0005-0000-0000-000006310000}"/>
    <cellStyle name="40% - Accent3 4 3 2 2" xfId="5421" xr:uid="{00000000-0005-0000-0000-000007310000}"/>
    <cellStyle name="40% - Accent3 4 3 2 3" xfId="5422" xr:uid="{00000000-0005-0000-0000-000008310000}"/>
    <cellStyle name="40% - Accent3 4 3 3" xfId="5423" xr:uid="{00000000-0005-0000-0000-000009310000}"/>
    <cellStyle name="40% - Accent3 4 3 3 2" xfId="5424" xr:uid="{00000000-0005-0000-0000-00000A310000}"/>
    <cellStyle name="40% - Accent3 4 3 3 3" xfId="5425" xr:uid="{00000000-0005-0000-0000-00000B310000}"/>
    <cellStyle name="40% - Accent3 4 3 4" xfId="5426" xr:uid="{00000000-0005-0000-0000-00000C310000}"/>
    <cellStyle name="40% - Accent3 4 3 5" xfId="5427" xr:uid="{00000000-0005-0000-0000-00000D310000}"/>
    <cellStyle name="40% - Accent3 4 3_Volatility" xfId="5428" xr:uid="{00000000-0005-0000-0000-00000E310000}"/>
    <cellStyle name="40% - Accent3 4 4" xfId="5429" xr:uid="{00000000-0005-0000-0000-00000F310000}"/>
    <cellStyle name="40% - Accent3 4 4 2" xfId="5430" xr:uid="{00000000-0005-0000-0000-000010310000}"/>
    <cellStyle name="40% - Accent3 4 4 3" xfId="5431" xr:uid="{00000000-0005-0000-0000-000011310000}"/>
    <cellStyle name="40% - Accent3 4 5" xfId="5432" xr:uid="{00000000-0005-0000-0000-000012310000}"/>
    <cellStyle name="40% - Accent3 4 5 2" xfId="5433" xr:uid="{00000000-0005-0000-0000-000013310000}"/>
    <cellStyle name="40% - Accent3 4 5 3" xfId="5434" xr:uid="{00000000-0005-0000-0000-000014310000}"/>
    <cellStyle name="40% - Accent3 4 6" xfId="5435" xr:uid="{00000000-0005-0000-0000-000015310000}"/>
    <cellStyle name="40% - Accent3 4 6 2" xfId="5436" xr:uid="{00000000-0005-0000-0000-000016310000}"/>
    <cellStyle name="40% - Accent3 4 6 3" xfId="5437" xr:uid="{00000000-0005-0000-0000-000017310000}"/>
    <cellStyle name="40% - Accent3 4 7" xfId="5438" xr:uid="{00000000-0005-0000-0000-000018310000}"/>
    <cellStyle name="40% - Accent3 4 8" xfId="5439" xr:uid="{00000000-0005-0000-0000-000019310000}"/>
    <cellStyle name="40% - Accent3 4_Volatility" xfId="5440" xr:uid="{00000000-0005-0000-0000-00001A310000}"/>
    <cellStyle name="40% - Accent3 5" xfId="5441" xr:uid="{00000000-0005-0000-0000-00001B310000}"/>
    <cellStyle name="40% - Accent3 5 2" xfId="5442" xr:uid="{00000000-0005-0000-0000-00001C310000}"/>
    <cellStyle name="40% - Accent3 5 2 2" xfId="5443" xr:uid="{00000000-0005-0000-0000-00001D310000}"/>
    <cellStyle name="40% - Accent3 5 2 2 2" xfId="5444" xr:uid="{00000000-0005-0000-0000-00001E310000}"/>
    <cellStyle name="40% - Accent3 5 2 2 3" xfId="5445" xr:uid="{00000000-0005-0000-0000-00001F310000}"/>
    <cellStyle name="40% - Accent3 5 2 3" xfId="5446" xr:uid="{00000000-0005-0000-0000-000020310000}"/>
    <cellStyle name="40% - Accent3 5 2 3 2" xfId="5447" xr:uid="{00000000-0005-0000-0000-000021310000}"/>
    <cellStyle name="40% - Accent3 5 2 3 3" xfId="5448" xr:uid="{00000000-0005-0000-0000-000022310000}"/>
    <cellStyle name="40% - Accent3 5 2 4" xfId="5449" xr:uid="{00000000-0005-0000-0000-000023310000}"/>
    <cellStyle name="40% - Accent3 5 2 4 2" xfId="5450" xr:uid="{00000000-0005-0000-0000-000024310000}"/>
    <cellStyle name="40% - Accent3 5 2 4 3" xfId="5451" xr:uid="{00000000-0005-0000-0000-000025310000}"/>
    <cellStyle name="40% - Accent3 5 2 5" xfId="5452" xr:uid="{00000000-0005-0000-0000-000026310000}"/>
    <cellStyle name="40% - Accent3 5 2 6" xfId="5453" xr:uid="{00000000-0005-0000-0000-000027310000}"/>
    <cellStyle name="40% - Accent3 5 2_Volatility" xfId="5454" xr:uid="{00000000-0005-0000-0000-000028310000}"/>
    <cellStyle name="40% - Accent3 5 3" xfId="5455" xr:uid="{00000000-0005-0000-0000-000029310000}"/>
    <cellStyle name="40% - Accent3 5 3 2" xfId="5456" xr:uid="{00000000-0005-0000-0000-00002A310000}"/>
    <cellStyle name="40% - Accent3 5 3 2 2" xfId="5457" xr:uid="{00000000-0005-0000-0000-00002B310000}"/>
    <cellStyle name="40% - Accent3 5 3 2 3" xfId="5458" xr:uid="{00000000-0005-0000-0000-00002C310000}"/>
    <cellStyle name="40% - Accent3 5 3 3" xfId="5459" xr:uid="{00000000-0005-0000-0000-00002D310000}"/>
    <cellStyle name="40% - Accent3 5 3 3 2" xfId="5460" xr:uid="{00000000-0005-0000-0000-00002E310000}"/>
    <cellStyle name="40% - Accent3 5 3 3 3" xfId="5461" xr:uid="{00000000-0005-0000-0000-00002F310000}"/>
    <cellStyle name="40% - Accent3 5 3 4" xfId="5462" xr:uid="{00000000-0005-0000-0000-000030310000}"/>
    <cellStyle name="40% - Accent3 5 3 5" xfId="5463" xr:uid="{00000000-0005-0000-0000-000031310000}"/>
    <cellStyle name="40% - Accent3 5 3_Volatility" xfId="5464" xr:uid="{00000000-0005-0000-0000-000032310000}"/>
    <cellStyle name="40% - Accent3 5 4" xfId="5465" xr:uid="{00000000-0005-0000-0000-000033310000}"/>
    <cellStyle name="40% - Accent3 5 4 2" xfId="5466" xr:uid="{00000000-0005-0000-0000-000034310000}"/>
    <cellStyle name="40% - Accent3 5 4 3" xfId="5467" xr:uid="{00000000-0005-0000-0000-000035310000}"/>
    <cellStyle name="40% - Accent3 5 5" xfId="5468" xr:uid="{00000000-0005-0000-0000-000036310000}"/>
    <cellStyle name="40% - Accent3 5 5 2" xfId="5469" xr:uid="{00000000-0005-0000-0000-000037310000}"/>
    <cellStyle name="40% - Accent3 5 5 3" xfId="5470" xr:uid="{00000000-0005-0000-0000-000038310000}"/>
    <cellStyle name="40% - Accent3 5 6" xfId="5471" xr:uid="{00000000-0005-0000-0000-000039310000}"/>
    <cellStyle name="40% - Accent3 5 6 2" xfId="5472" xr:uid="{00000000-0005-0000-0000-00003A310000}"/>
    <cellStyle name="40% - Accent3 5 6 3" xfId="5473" xr:uid="{00000000-0005-0000-0000-00003B310000}"/>
    <cellStyle name="40% - Accent3 5 7" xfId="5474" xr:uid="{00000000-0005-0000-0000-00003C310000}"/>
    <cellStyle name="40% - Accent3 5 8" xfId="5475" xr:uid="{00000000-0005-0000-0000-00003D310000}"/>
    <cellStyle name="40% - Accent3 5_Volatility" xfId="5476" xr:uid="{00000000-0005-0000-0000-00003E310000}"/>
    <cellStyle name="40% - Accent3 6" xfId="5477" xr:uid="{00000000-0005-0000-0000-00003F310000}"/>
    <cellStyle name="40% - Accent3 6 2" xfId="5478" xr:uid="{00000000-0005-0000-0000-000040310000}"/>
    <cellStyle name="40% - Accent3 6 2 2" xfId="5479" xr:uid="{00000000-0005-0000-0000-000041310000}"/>
    <cellStyle name="40% - Accent3 6 2 2 2" xfId="5480" xr:uid="{00000000-0005-0000-0000-000042310000}"/>
    <cellStyle name="40% - Accent3 6 2 2 3" xfId="5481" xr:uid="{00000000-0005-0000-0000-000043310000}"/>
    <cellStyle name="40% - Accent3 6 2 3" xfId="5482" xr:uid="{00000000-0005-0000-0000-000044310000}"/>
    <cellStyle name="40% - Accent3 6 2 3 2" xfId="5483" xr:uid="{00000000-0005-0000-0000-000045310000}"/>
    <cellStyle name="40% - Accent3 6 2 3 3" xfId="5484" xr:uid="{00000000-0005-0000-0000-000046310000}"/>
    <cellStyle name="40% - Accent3 6 2 4" xfId="5485" xr:uid="{00000000-0005-0000-0000-000047310000}"/>
    <cellStyle name="40% - Accent3 6 2 4 2" xfId="5486" xr:uid="{00000000-0005-0000-0000-000048310000}"/>
    <cellStyle name="40% - Accent3 6 2 4 3" xfId="5487" xr:uid="{00000000-0005-0000-0000-000049310000}"/>
    <cellStyle name="40% - Accent3 6 2 5" xfId="5488" xr:uid="{00000000-0005-0000-0000-00004A310000}"/>
    <cellStyle name="40% - Accent3 6 2 6" xfId="5489" xr:uid="{00000000-0005-0000-0000-00004B310000}"/>
    <cellStyle name="40% - Accent3 6 2_Volatility" xfId="5490" xr:uid="{00000000-0005-0000-0000-00004C310000}"/>
    <cellStyle name="40% - Accent3 6 3" xfId="5491" xr:uid="{00000000-0005-0000-0000-00004D310000}"/>
    <cellStyle name="40% - Accent3 6 3 2" xfId="5492" xr:uid="{00000000-0005-0000-0000-00004E310000}"/>
    <cellStyle name="40% - Accent3 6 3 2 2" xfId="5493" xr:uid="{00000000-0005-0000-0000-00004F310000}"/>
    <cellStyle name="40% - Accent3 6 3 2 3" xfId="5494" xr:uid="{00000000-0005-0000-0000-000050310000}"/>
    <cellStyle name="40% - Accent3 6 3 3" xfId="5495" xr:uid="{00000000-0005-0000-0000-000051310000}"/>
    <cellStyle name="40% - Accent3 6 3 3 2" xfId="5496" xr:uid="{00000000-0005-0000-0000-000052310000}"/>
    <cellStyle name="40% - Accent3 6 3 3 3" xfId="5497" xr:uid="{00000000-0005-0000-0000-000053310000}"/>
    <cellStyle name="40% - Accent3 6 3 4" xfId="5498" xr:uid="{00000000-0005-0000-0000-000054310000}"/>
    <cellStyle name="40% - Accent3 6 3 5" xfId="5499" xr:uid="{00000000-0005-0000-0000-000055310000}"/>
    <cellStyle name="40% - Accent3 6 3_Volatility" xfId="5500" xr:uid="{00000000-0005-0000-0000-000056310000}"/>
    <cellStyle name="40% - Accent3 6 4" xfId="5501" xr:uid="{00000000-0005-0000-0000-000057310000}"/>
    <cellStyle name="40% - Accent3 6 4 2" xfId="5502" xr:uid="{00000000-0005-0000-0000-000058310000}"/>
    <cellStyle name="40% - Accent3 6 4 3" xfId="5503" xr:uid="{00000000-0005-0000-0000-000059310000}"/>
    <cellStyle name="40% - Accent3 6 5" xfId="5504" xr:uid="{00000000-0005-0000-0000-00005A310000}"/>
    <cellStyle name="40% - Accent3 6 5 2" xfId="5505" xr:uid="{00000000-0005-0000-0000-00005B310000}"/>
    <cellStyle name="40% - Accent3 6 5 3" xfId="5506" xr:uid="{00000000-0005-0000-0000-00005C310000}"/>
    <cellStyle name="40% - Accent3 6 6" xfId="5507" xr:uid="{00000000-0005-0000-0000-00005D310000}"/>
    <cellStyle name="40% - Accent3 6 6 2" xfId="5508" xr:uid="{00000000-0005-0000-0000-00005E310000}"/>
    <cellStyle name="40% - Accent3 6 6 3" xfId="5509" xr:uid="{00000000-0005-0000-0000-00005F310000}"/>
    <cellStyle name="40% - Accent3 6 7" xfId="5510" xr:uid="{00000000-0005-0000-0000-000060310000}"/>
    <cellStyle name="40% - Accent3 6 8" xfId="5511" xr:uid="{00000000-0005-0000-0000-000061310000}"/>
    <cellStyle name="40% - Accent3 6_Volatility" xfId="5512" xr:uid="{00000000-0005-0000-0000-000062310000}"/>
    <cellStyle name="40% - Accent3 7" xfId="5513" xr:uid="{00000000-0005-0000-0000-000063310000}"/>
    <cellStyle name="40% - Accent3 7 2" xfId="5514" xr:uid="{00000000-0005-0000-0000-000064310000}"/>
    <cellStyle name="40% - Accent3 7 2 2" xfId="5515" xr:uid="{00000000-0005-0000-0000-000065310000}"/>
    <cellStyle name="40% - Accent3 7 2 2 2" xfId="5516" xr:uid="{00000000-0005-0000-0000-000066310000}"/>
    <cellStyle name="40% - Accent3 7 2 2 3" xfId="5517" xr:uid="{00000000-0005-0000-0000-000067310000}"/>
    <cellStyle name="40% - Accent3 7 2 3" xfId="5518" xr:uid="{00000000-0005-0000-0000-000068310000}"/>
    <cellStyle name="40% - Accent3 7 2 3 2" xfId="5519" xr:uid="{00000000-0005-0000-0000-000069310000}"/>
    <cellStyle name="40% - Accent3 7 2 3 3" xfId="5520" xr:uid="{00000000-0005-0000-0000-00006A310000}"/>
    <cellStyle name="40% - Accent3 7 2 4" xfId="5521" xr:uid="{00000000-0005-0000-0000-00006B310000}"/>
    <cellStyle name="40% - Accent3 7 2 4 2" xfId="5522" xr:uid="{00000000-0005-0000-0000-00006C310000}"/>
    <cellStyle name="40% - Accent3 7 2 4 3" xfId="5523" xr:uid="{00000000-0005-0000-0000-00006D310000}"/>
    <cellStyle name="40% - Accent3 7 2 5" xfId="5524" xr:uid="{00000000-0005-0000-0000-00006E310000}"/>
    <cellStyle name="40% - Accent3 7 2 6" xfId="5525" xr:uid="{00000000-0005-0000-0000-00006F310000}"/>
    <cellStyle name="40% - Accent3 7 2_Volatility" xfId="5526" xr:uid="{00000000-0005-0000-0000-000070310000}"/>
    <cellStyle name="40% - Accent3 7 3" xfId="5527" xr:uid="{00000000-0005-0000-0000-000071310000}"/>
    <cellStyle name="40% - Accent3 7 3 2" xfId="5528" xr:uid="{00000000-0005-0000-0000-000072310000}"/>
    <cellStyle name="40% - Accent3 7 3 2 2" xfId="5529" xr:uid="{00000000-0005-0000-0000-000073310000}"/>
    <cellStyle name="40% - Accent3 7 3 2 3" xfId="5530" xr:uid="{00000000-0005-0000-0000-000074310000}"/>
    <cellStyle name="40% - Accent3 7 3 3" xfId="5531" xr:uid="{00000000-0005-0000-0000-000075310000}"/>
    <cellStyle name="40% - Accent3 7 3 3 2" xfId="5532" xr:uid="{00000000-0005-0000-0000-000076310000}"/>
    <cellStyle name="40% - Accent3 7 3 3 3" xfId="5533" xr:uid="{00000000-0005-0000-0000-000077310000}"/>
    <cellStyle name="40% - Accent3 7 3 4" xfId="5534" xr:uid="{00000000-0005-0000-0000-000078310000}"/>
    <cellStyle name="40% - Accent3 7 3 5" xfId="5535" xr:uid="{00000000-0005-0000-0000-000079310000}"/>
    <cellStyle name="40% - Accent3 7 3_Volatility" xfId="5536" xr:uid="{00000000-0005-0000-0000-00007A310000}"/>
    <cellStyle name="40% - Accent3 7 4" xfId="5537" xr:uid="{00000000-0005-0000-0000-00007B310000}"/>
    <cellStyle name="40% - Accent3 7 4 2" xfId="5538" xr:uid="{00000000-0005-0000-0000-00007C310000}"/>
    <cellStyle name="40% - Accent3 7 4 3" xfId="5539" xr:uid="{00000000-0005-0000-0000-00007D310000}"/>
    <cellStyle name="40% - Accent3 7 5" xfId="5540" xr:uid="{00000000-0005-0000-0000-00007E310000}"/>
    <cellStyle name="40% - Accent3 7 5 2" xfId="5541" xr:uid="{00000000-0005-0000-0000-00007F310000}"/>
    <cellStyle name="40% - Accent3 7 5 3" xfId="5542" xr:uid="{00000000-0005-0000-0000-000080310000}"/>
    <cellStyle name="40% - Accent3 7 6" xfId="5543" xr:uid="{00000000-0005-0000-0000-000081310000}"/>
    <cellStyle name="40% - Accent3 7 6 2" xfId="5544" xr:uid="{00000000-0005-0000-0000-000082310000}"/>
    <cellStyle name="40% - Accent3 7 6 3" xfId="5545" xr:uid="{00000000-0005-0000-0000-000083310000}"/>
    <cellStyle name="40% - Accent3 7 7" xfId="5546" xr:uid="{00000000-0005-0000-0000-000084310000}"/>
    <cellStyle name="40% - Accent3 7 8" xfId="5547" xr:uid="{00000000-0005-0000-0000-000085310000}"/>
    <cellStyle name="40% - Accent3 7_Volatility" xfId="5548" xr:uid="{00000000-0005-0000-0000-000086310000}"/>
    <cellStyle name="40% - Accent3 8" xfId="5549" xr:uid="{00000000-0005-0000-0000-000087310000}"/>
    <cellStyle name="40% - Accent3 8 2" xfId="5550" xr:uid="{00000000-0005-0000-0000-000088310000}"/>
    <cellStyle name="40% - Accent3 8 2 2" xfId="5551" xr:uid="{00000000-0005-0000-0000-000089310000}"/>
    <cellStyle name="40% - Accent3 8 2 2 2" xfId="5552" xr:uid="{00000000-0005-0000-0000-00008A310000}"/>
    <cellStyle name="40% - Accent3 8 2 2 3" xfId="5553" xr:uid="{00000000-0005-0000-0000-00008B310000}"/>
    <cellStyle name="40% - Accent3 8 2 3" xfId="5554" xr:uid="{00000000-0005-0000-0000-00008C310000}"/>
    <cellStyle name="40% - Accent3 8 2 3 2" xfId="5555" xr:uid="{00000000-0005-0000-0000-00008D310000}"/>
    <cellStyle name="40% - Accent3 8 2 3 3" xfId="5556" xr:uid="{00000000-0005-0000-0000-00008E310000}"/>
    <cellStyle name="40% - Accent3 8 2 4" xfId="5557" xr:uid="{00000000-0005-0000-0000-00008F310000}"/>
    <cellStyle name="40% - Accent3 8 2 4 2" xfId="5558" xr:uid="{00000000-0005-0000-0000-000090310000}"/>
    <cellStyle name="40% - Accent3 8 2 4 3" xfId="5559" xr:uid="{00000000-0005-0000-0000-000091310000}"/>
    <cellStyle name="40% - Accent3 8 2 5" xfId="5560" xr:uid="{00000000-0005-0000-0000-000092310000}"/>
    <cellStyle name="40% - Accent3 8 2 6" xfId="5561" xr:uid="{00000000-0005-0000-0000-000093310000}"/>
    <cellStyle name="40% - Accent3 8 2_Volatility" xfId="5562" xr:uid="{00000000-0005-0000-0000-000094310000}"/>
    <cellStyle name="40% - Accent3 8 3" xfId="5563" xr:uid="{00000000-0005-0000-0000-000095310000}"/>
    <cellStyle name="40% - Accent3 8 3 2" xfId="5564" xr:uid="{00000000-0005-0000-0000-000096310000}"/>
    <cellStyle name="40% - Accent3 8 3 2 2" xfId="5565" xr:uid="{00000000-0005-0000-0000-000097310000}"/>
    <cellStyle name="40% - Accent3 8 3 2 3" xfId="5566" xr:uid="{00000000-0005-0000-0000-000098310000}"/>
    <cellStyle name="40% - Accent3 8 3 3" xfId="5567" xr:uid="{00000000-0005-0000-0000-000099310000}"/>
    <cellStyle name="40% - Accent3 8 3 3 2" xfId="5568" xr:uid="{00000000-0005-0000-0000-00009A310000}"/>
    <cellStyle name="40% - Accent3 8 3 3 3" xfId="5569" xr:uid="{00000000-0005-0000-0000-00009B310000}"/>
    <cellStyle name="40% - Accent3 8 3 4" xfId="5570" xr:uid="{00000000-0005-0000-0000-00009C310000}"/>
    <cellStyle name="40% - Accent3 8 3 5" xfId="5571" xr:uid="{00000000-0005-0000-0000-00009D310000}"/>
    <cellStyle name="40% - Accent3 8 3_Volatility" xfId="5572" xr:uid="{00000000-0005-0000-0000-00009E310000}"/>
    <cellStyle name="40% - Accent3 8 4" xfId="5573" xr:uid="{00000000-0005-0000-0000-00009F310000}"/>
    <cellStyle name="40% - Accent3 8 4 2" xfId="5574" xr:uid="{00000000-0005-0000-0000-0000A0310000}"/>
    <cellStyle name="40% - Accent3 8 4 3" xfId="5575" xr:uid="{00000000-0005-0000-0000-0000A1310000}"/>
    <cellStyle name="40% - Accent3 8 5" xfId="5576" xr:uid="{00000000-0005-0000-0000-0000A2310000}"/>
    <cellStyle name="40% - Accent3 8 5 2" xfId="5577" xr:uid="{00000000-0005-0000-0000-0000A3310000}"/>
    <cellStyle name="40% - Accent3 8 5 3" xfId="5578" xr:uid="{00000000-0005-0000-0000-0000A4310000}"/>
    <cellStyle name="40% - Accent3 8 6" xfId="5579" xr:uid="{00000000-0005-0000-0000-0000A5310000}"/>
    <cellStyle name="40% - Accent3 8 6 2" xfId="5580" xr:uid="{00000000-0005-0000-0000-0000A6310000}"/>
    <cellStyle name="40% - Accent3 8 6 3" xfId="5581" xr:uid="{00000000-0005-0000-0000-0000A7310000}"/>
    <cellStyle name="40% - Accent3 8 7" xfId="5582" xr:uid="{00000000-0005-0000-0000-0000A8310000}"/>
    <cellStyle name="40% - Accent3 8 8" xfId="5583" xr:uid="{00000000-0005-0000-0000-0000A9310000}"/>
    <cellStyle name="40% - Accent3 8_Volatility" xfId="5584" xr:uid="{00000000-0005-0000-0000-0000AA310000}"/>
    <cellStyle name="40% - Accent3 9" xfId="5585" xr:uid="{00000000-0005-0000-0000-0000AB310000}"/>
    <cellStyle name="40% - Accent3 9 2" xfId="5586" xr:uid="{00000000-0005-0000-0000-0000AC310000}"/>
    <cellStyle name="40% - Accent3 9 2 2" xfId="5587" xr:uid="{00000000-0005-0000-0000-0000AD310000}"/>
    <cellStyle name="40% - Accent3 9 2 2 2" xfId="5588" xr:uid="{00000000-0005-0000-0000-0000AE310000}"/>
    <cellStyle name="40% - Accent3 9 2 2 3" xfId="5589" xr:uid="{00000000-0005-0000-0000-0000AF310000}"/>
    <cellStyle name="40% - Accent3 9 2 3" xfId="5590" xr:uid="{00000000-0005-0000-0000-0000B0310000}"/>
    <cellStyle name="40% - Accent3 9 2 3 2" xfId="5591" xr:uid="{00000000-0005-0000-0000-0000B1310000}"/>
    <cellStyle name="40% - Accent3 9 2 3 3" xfId="5592" xr:uid="{00000000-0005-0000-0000-0000B2310000}"/>
    <cellStyle name="40% - Accent3 9 2 4" xfId="5593" xr:uid="{00000000-0005-0000-0000-0000B3310000}"/>
    <cellStyle name="40% - Accent3 9 2 4 2" xfId="5594" xr:uid="{00000000-0005-0000-0000-0000B4310000}"/>
    <cellStyle name="40% - Accent3 9 2 4 3" xfId="5595" xr:uid="{00000000-0005-0000-0000-0000B5310000}"/>
    <cellStyle name="40% - Accent3 9 2 5" xfId="5596" xr:uid="{00000000-0005-0000-0000-0000B6310000}"/>
    <cellStyle name="40% - Accent3 9 2 6" xfId="5597" xr:uid="{00000000-0005-0000-0000-0000B7310000}"/>
    <cellStyle name="40% - Accent3 9 2_Volatility" xfId="5598" xr:uid="{00000000-0005-0000-0000-0000B8310000}"/>
    <cellStyle name="40% - Accent3 9 3" xfId="5599" xr:uid="{00000000-0005-0000-0000-0000B9310000}"/>
    <cellStyle name="40% - Accent3 9 3 2" xfId="5600" xr:uid="{00000000-0005-0000-0000-0000BA310000}"/>
    <cellStyle name="40% - Accent3 9 3 2 2" xfId="5601" xr:uid="{00000000-0005-0000-0000-0000BB310000}"/>
    <cellStyle name="40% - Accent3 9 3 2 3" xfId="5602" xr:uid="{00000000-0005-0000-0000-0000BC310000}"/>
    <cellStyle name="40% - Accent3 9 3 3" xfId="5603" xr:uid="{00000000-0005-0000-0000-0000BD310000}"/>
    <cellStyle name="40% - Accent3 9 3 3 2" xfId="5604" xr:uid="{00000000-0005-0000-0000-0000BE310000}"/>
    <cellStyle name="40% - Accent3 9 3 3 3" xfId="5605" xr:uid="{00000000-0005-0000-0000-0000BF310000}"/>
    <cellStyle name="40% - Accent3 9 3 4" xfId="5606" xr:uid="{00000000-0005-0000-0000-0000C0310000}"/>
    <cellStyle name="40% - Accent3 9 3 5" xfId="5607" xr:uid="{00000000-0005-0000-0000-0000C1310000}"/>
    <cellStyle name="40% - Accent3 9 3_Volatility" xfId="5608" xr:uid="{00000000-0005-0000-0000-0000C2310000}"/>
    <cellStyle name="40% - Accent3 9 4" xfId="5609" xr:uid="{00000000-0005-0000-0000-0000C3310000}"/>
    <cellStyle name="40% - Accent3 9 4 2" xfId="5610" xr:uid="{00000000-0005-0000-0000-0000C4310000}"/>
    <cellStyle name="40% - Accent3 9 4 3" xfId="5611" xr:uid="{00000000-0005-0000-0000-0000C5310000}"/>
    <cellStyle name="40% - Accent3 9 5" xfId="5612" xr:uid="{00000000-0005-0000-0000-0000C6310000}"/>
    <cellStyle name="40% - Accent3 9 5 2" xfId="5613" xr:uid="{00000000-0005-0000-0000-0000C7310000}"/>
    <cellStyle name="40% - Accent3 9 5 3" xfId="5614" xr:uid="{00000000-0005-0000-0000-0000C8310000}"/>
    <cellStyle name="40% - Accent3 9 6" xfId="5615" xr:uid="{00000000-0005-0000-0000-0000C9310000}"/>
    <cellStyle name="40% - Accent3 9 6 2" xfId="5616" xr:uid="{00000000-0005-0000-0000-0000CA310000}"/>
    <cellStyle name="40% - Accent3 9 6 3" xfId="5617" xr:uid="{00000000-0005-0000-0000-0000CB310000}"/>
    <cellStyle name="40% - Accent3 9 7" xfId="5618" xr:uid="{00000000-0005-0000-0000-0000CC310000}"/>
    <cellStyle name="40% - Accent3 9 8" xfId="5619" xr:uid="{00000000-0005-0000-0000-0000CD310000}"/>
    <cellStyle name="40% - Accent3 9_Volatility" xfId="5620" xr:uid="{00000000-0005-0000-0000-0000CE310000}"/>
    <cellStyle name="40% - Accent4 10" xfId="5621" xr:uid="{00000000-0005-0000-0000-0000CF310000}"/>
    <cellStyle name="40% - Accent4 10 2" xfId="5622" xr:uid="{00000000-0005-0000-0000-0000D0310000}"/>
    <cellStyle name="40% - Accent4 10 2 2" xfId="5623" xr:uid="{00000000-0005-0000-0000-0000D1310000}"/>
    <cellStyle name="40% - Accent4 10 2 2 2" xfId="5624" xr:uid="{00000000-0005-0000-0000-0000D2310000}"/>
    <cellStyle name="40% - Accent4 10 2 2 3" xfId="5625" xr:uid="{00000000-0005-0000-0000-0000D3310000}"/>
    <cellStyle name="40% - Accent4 10 2 3" xfId="5626" xr:uid="{00000000-0005-0000-0000-0000D4310000}"/>
    <cellStyle name="40% - Accent4 10 2 3 2" xfId="5627" xr:uid="{00000000-0005-0000-0000-0000D5310000}"/>
    <cellStyle name="40% - Accent4 10 2 3 3" xfId="5628" xr:uid="{00000000-0005-0000-0000-0000D6310000}"/>
    <cellStyle name="40% - Accent4 10 2 4" xfId="5629" xr:uid="{00000000-0005-0000-0000-0000D7310000}"/>
    <cellStyle name="40% - Accent4 10 2 4 2" xfId="5630" xr:uid="{00000000-0005-0000-0000-0000D8310000}"/>
    <cellStyle name="40% - Accent4 10 2 4 3" xfId="5631" xr:uid="{00000000-0005-0000-0000-0000D9310000}"/>
    <cellStyle name="40% - Accent4 10 2 5" xfId="5632" xr:uid="{00000000-0005-0000-0000-0000DA310000}"/>
    <cellStyle name="40% - Accent4 10 2 6" xfId="5633" xr:uid="{00000000-0005-0000-0000-0000DB310000}"/>
    <cellStyle name="40% - Accent4 10 2_Volatility" xfId="5634" xr:uid="{00000000-0005-0000-0000-0000DC310000}"/>
    <cellStyle name="40% - Accent4 10 3" xfId="5635" xr:uid="{00000000-0005-0000-0000-0000DD310000}"/>
    <cellStyle name="40% - Accent4 10 3 2" xfId="5636" xr:uid="{00000000-0005-0000-0000-0000DE310000}"/>
    <cellStyle name="40% - Accent4 10 3 2 2" xfId="5637" xr:uid="{00000000-0005-0000-0000-0000DF310000}"/>
    <cellStyle name="40% - Accent4 10 3 2 3" xfId="5638" xr:uid="{00000000-0005-0000-0000-0000E0310000}"/>
    <cellStyle name="40% - Accent4 10 3 3" xfId="5639" xr:uid="{00000000-0005-0000-0000-0000E1310000}"/>
    <cellStyle name="40% - Accent4 10 3 3 2" xfId="5640" xr:uid="{00000000-0005-0000-0000-0000E2310000}"/>
    <cellStyle name="40% - Accent4 10 3 3 3" xfId="5641" xr:uid="{00000000-0005-0000-0000-0000E3310000}"/>
    <cellStyle name="40% - Accent4 10 3 4" xfId="5642" xr:uid="{00000000-0005-0000-0000-0000E4310000}"/>
    <cellStyle name="40% - Accent4 10 3 5" xfId="5643" xr:uid="{00000000-0005-0000-0000-0000E5310000}"/>
    <cellStyle name="40% - Accent4 10 3_Volatility" xfId="5644" xr:uid="{00000000-0005-0000-0000-0000E6310000}"/>
    <cellStyle name="40% - Accent4 10 4" xfId="5645" xr:uid="{00000000-0005-0000-0000-0000E7310000}"/>
    <cellStyle name="40% - Accent4 10 4 2" xfId="5646" xr:uid="{00000000-0005-0000-0000-0000E8310000}"/>
    <cellStyle name="40% - Accent4 10 4 3" xfId="5647" xr:uid="{00000000-0005-0000-0000-0000E9310000}"/>
    <cellStyle name="40% - Accent4 10 5" xfId="5648" xr:uid="{00000000-0005-0000-0000-0000EA310000}"/>
    <cellStyle name="40% - Accent4 10 5 2" xfId="5649" xr:uid="{00000000-0005-0000-0000-0000EB310000}"/>
    <cellStyle name="40% - Accent4 10 5 3" xfId="5650" xr:uid="{00000000-0005-0000-0000-0000EC310000}"/>
    <cellStyle name="40% - Accent4 10 6" xfId="5651" xr:uid="{00000000-0005-0000-0000-0000ED310000}"/>
    <cellStyle name="40% - Accent4 10 6 2" xfId="5652" xr:uid="{00000000-0005-0000-0000-0000EE310000}"/>
    <cellStyle name="40% - Accent4 10 6 3" xfId="5653" xr:uid="{00000000-0005-0000-0000-0000EF310000}"/>
    <cellStyle name="40% - Accent4 10 7" xfId="5654" xr:uid="{00000000-0005-0000-0000-0000F0310000}"/>
    <cellStyle name="40% - Accent4 10 8" xfId="5655" xr:uid="{00000000-0005-0000-0000-0000F1310000}"/>
    <cellStyle name="40% - Accent4 10_Volatility" xfId="5656" xr:uid="{00000000-0005-0000-0000-0000F2310000}"/>
    <cellStyle name="40% - Accent4 11" xfId="5657" xr:uid="{00000000-0005-0000-0000-0000F3310000}"/>
    <cellStyle name="40% - Accent4 11 2" xfId="5658" xr:uid="{00000000-0005-0000-0000-0000F4310000}"/>
    <cellStyle name="40% - Accent4 11 2 2" xfId="5659" xr:uid="{00000000-0005-0000-0000-0000F5310000}"/>
    <cellStyle name="40% - Accent4 11 2 2 2" xfId="5660" xr:uid="{00000000-0005-0000-0000-0000F6310000}"/>
    <cellStyle name="40% - Accent4 11 2 2 3" xfId="5661" xr:uid="{00000000-0005-0000-0000-0000F7310000}"/>
    <cellStyle name="40% - Accent4 11 2 3" xfId="5662" xr:uid="{00000000-0005-0000-0000-0000F8310000}"/>
    <cellStyle name="40% - Accent4 11 2 3 2" xfId="5663" xr:uid="{00000000-0005-0000-0000-0000F9310000}"/>
    <cellStyle name="40% - Accent4 11 2 3 3" xfId="5664" xr:uid="{00000000-0005-0000-0000-0000FA310000}"/>
    <cellStyle name="40% - Accent4 11 2 4" xfId="5665" xr:uid="{00000000-0005-0000-0000-0000FB310000}"/>
    <cellStyle name="40% - Accent4 11 2 4 2" xfId="5666" xr:uid="{00000000-0005-0000-0000-0000FC310000}"/>
    <cellStyle name="40% - Accent4 11 2 4 3" xfId="5667" xr:uid="{00000000-0005-0000-0000-0000FD310000}"/>
    <cellStyle name="40% - Accent4 11 2 5" xfId="5668" xr:uid="{00000000-0005-0000-0000-0000FE310000}"/>
    <cellStyle name="40% - Accent4 11 2 6" xfId="5669" xr:uid="{00000000-0005-0000-0000-0000FF310000}"/>
    <cellStyle name="40% - Accent4 11 2_Volatility" xfId="5670" xr:uid="{00000000-0005-0000-0000-000000320000}"/>
    <cellStyle name="40% - Accent4 11 3" xfId="5671" xr:uid="{00000000-0005-0000-0000-000001320000}"/>
    <cellStyle name="40% - Accent4 11 3 2" xfId="5672" xr:uid="{00000000-0005-0000-0000-000002320000}"/>
    <cellStyle name="40% - Accent4 11 3 2 2" xfId="5673" xr:uid="{00000000-0005-0000-0000-000003320000}"/>
    <cellStyle name="40% - Accent4 11 3 2 3" xfId="5674" xr:uid="{00000000-0005-0000-0000-000004320000}"/>
    <cellStyle name="40% - Accent4 11 3 3" xfId="5675" xr:uid="{00000000-0005-0000-0000-000005320000}"/>
    <cellStyle name="40% - Accent4 11 3 3 2" xfId="5676" xr:uid="{00000000-0005-0000-0000-000006320000}"/>
    <cellStyle name="40% - Accent4 11 3 3 3" xfId="5677" xr:uid="{00000000-0005-0000-0000-000007320000}"/>
    <cellStyle name="40% - Accent4 11 3 4" xfId="5678" xr:uid="{00000000-0005-0000-0000-000008320000}"/>
    <cellStyle name="40% - Accent4 11 3 5" xfId="5679" xr:uid="{00000000-0005-0000-0000-000009320000}"/>
    <cellStyle name="40% - Accent4 11 3_Volatility" xfId="5680" xr:uid="{00000000-0005-0000-0000-00000A320000}"/>
    <cellStyle name="40% - Accent4 11 4" xfId="5681" xr:uid="{00000000-0005-0000-0000-00000B320000}"/>
    <cellStyle name="40% - Accent4 11 4 2" xfId="5682" xr:uid="{00000000-0005-0000-0000-00000C320000}"/>
    <cellStyle name="40% - Accent4 11 4 3" xfId="5683" xr:uid="{00000000-0005-0000-0000-00000D320000}"/>
    <cellStyle name="40% - Accent4 11 5" xfId="5684" xr:uid="{00000000-0005-0000-0000-00000E320000}"/>
    <cellStyle name="40% - Accent4 11 5 2" xfId="5685" xr:uid="{00000000-0005-0000-0000-00000F320000}"/>
    <cellStyle name="40% - Accent4 11 5 3" xfId="5686" xr:uid="{00000000-0005-0000-0000-000010320000}"/>
    <cellStyle name="40% - Accent4 11 6" xfId="5687" xr:uid="{00000000-0005-0000-0000-000011320000}"/>
    <cellStyle name="40% - Accent4 11 6 2" xfId="5688" xr:uid="{00000000-0005-0000-0000-000012320000}"/>
    <cellStyle name="40% - Accent4 11 6 3" xfId="5689" xr:uid="{00000000-0005-0000-0000-000013320000}"/>
    <cellStyle name="40% - Accent4 11 7" xfId="5690" xr:uid="{00000000-0005-0000-0000-000014320000}"/>
    <cellStyle name="40% - Accent4 11 8" xfId="5691" xr:uid="{00000000-0005-0000-0000-000015320000}"/>
    <cellStyle name="40% - Accent4 11_Volatility" xfId="5692" xr:uid="{00000000-0005-0000-0000-000016320000}"/>
    <cellStyle name="40% - Accent4 12" xfId="5693" xr:uid="{00000000-0005-0000-0000-000017320000}"/>
    <cellStyle name="40% - Accent4 12 2" xfId="5694" xr:uid="{00000000-0005-0000-0000-000018320000}"/>
    <cellStyle name="40% - Accent4 12 2 2" xfId="5695" xr:uid="{00000000-0005-0000-0000-000019320000}"/>
    <cellStyle name="40% - Accent4 12 2 2 2" xfId="5696" xr:uid="{00000000-0005-0000-0000-00001A320000}"/>
    <cellStyle name="40% - Accent4 12 2 2 3" xfId="5697" xr:uid="{00000000-0005-0000-0000-00001B320000}"/>
    <cellStyle name="40% - Accent4 12 2 3" xfId="5698" xr:uid="{00000000-0005-0000-0000-00001C320000}"/>
    <cellStyle name="40% - Accent4 12 2 3 2" xfId="5699" xr:uid="{00000000-0005-0000-0000-00001D320000}"/>
    <cellStyle name="40% - Accent4 12 2 3 3" xfId="5700" xr:uid="{00000000-0005-0000-0000-00001E320000}"/>
    <cellStyle name="40% - Accent4 12 2 4" xfId="5701" xr:uid="{00000000-0005-0000-0000-00001F320000}"/>
    <cellStyle name="40% - Accent4 12 2 4 2" xfId="5702" xr:uid="{00000000-0005-0000-0000-000020320000}"/>
    <cellStyle name="40% - Accent4 12 2 4 3" xfId="5703" xr:uid="{00000000-0005-0000-0000-000021320000}"/>
    <cellStyle name="40% - Accent4 12 2 5" xfId="5704" xr:uid="{00000000-0005-0000-0000-000022320000}"/>
    <cellStyle name="40% - Accent4 12 2 6" xfId="5705" xr:uid="{00000000-0005-0000-0000-000023320000}"/>
    <cellStyle name="40% - Accent4 12 2_Volatility" xfId="5706" xr:uid="{00000000-0005-0000-0000-000024320000}"/>
    <cellStyle name="40% - Accent4 12 3" xfId="5707" xr:uid="{00000000-0005-0000-0000-000025320000}"/>
    <cellStyle name="40% - Accent4 12 3 2" xfId="5708" xr:uid="{00000000-0005-0000-0000-000026320000}"/>
    <cellStyle name="40% - Accent4 12 3 2 2" xfId="5709" xr:uid="{00000000-0005-0000-0000-000027320000}"/>
    <cellStyle name="40% - Accent4 12 3 2 3" xfId="5710" xr:uid="{00000000-0005-0000-0000-000028320000}"/>
    <cellStyle name="40% - Accent4 12 3 3" xfId="5711" xr:uid="{00000000-0005-0000-0000-000029320000}"/>
    <cellStyle name="40% - Accent4 12 3 3 2" xfId="5712" xr:uid="{00000000-0005-0000-0000-00002A320000}"/>
    <cellStyle name="40% - Accent4 12 3 3 3" xfId="5713" xr:uid="{00000000-0005-0000-0000-00002B320000}"/>
    <cellStyle name="40% - Accent4 12 3 4" xfId="5714" xr:uid="{00000000-0005-0000-0000-00002C320000}"/>
    <cellStyle name="40% - Accent4 12 3 5" xfId="5715" xr:uid="{00000000-0005-0000-0000-00002D320000}"/>
    <cellStyle name="40% - Accent4 12 3_Volatility" xfId="5716" xr:uid="{00000000-0005-0000-0000-00002E320000}"/>
    <cellStyle name="40% - Accent4 12 4" xfId="5717" xr:uid="{00000000-0005-0000-0000-00002F320000}"/>
    <cellStyle name="40% - Accent4 12 4 2" xfId="5718" xr:uid="{00000000-0005-0000-0000-000030320000}"/>
    <cellStyle name="40% - Accent4 12 4 3" xfId="5719" xr:uid="{00000000-0005-0000-0000-000031320000}"/>
    <cellStyle name="40% - Accent4 12 5" xfId="5720" xr:uid="{00000000-0005-0000-0000-000032320000}"/>
    <cellStyle name="40% - Accent4 12 5 2" xfId="5721" xr:uid="{00000000-0005-0000-0000-000033320000}"/>
    <cellStyle name="40% - Accent4 12 5 3" xfId="5722" xr:uid="{00000000-0005-0000-0000-000034320000}"/>
    <cellStyle name="40% - Accent4 12 6" xfId="5723" xr:uid="{00000000-0005-0000-0000-000035320000}"/>
    <cellStyle name="40% - Accent4 12 6 2" xfId="5724" xr:uid="{00000000-0005-0000-0000-000036320000}"/>
    <cellStyle name="40% - Accent4 12 6 3" xfId="5725" xr:uid="{00000000-0005-0000-0000-000037320000}"/>
    <cellStyle name="40% - Accent4 12 7" xfId="5726" xr:uid="{00000000-0005-0000-0000-000038320000}"/>
    <cellStyle name="40% - Accent4 12 8" xfId="5727" xr:uid="{00000000-0005-0000-0000-000039320000}"/>
    <cellStyle name="40% - Accent4 12_Volatility" xfId="5728" xr:uid="{00000000-0005-0000-0000-00003A320000}"/>
    <cellStyle name="40% - Accent4 13" xfId="5729" xr:uid="{00000000-0005-0000-0000-00003B320000}"/>
    <cellStyle name="40% - Accent4 13 2" xfId="5730" xr:uid="{00000000-0005-0000-0000-00003C320000}"/>
    <cellStyle name="40% - Accent4 13 2 2" xfId="5731" xr:uid="{00000000-0005-0000-0000-00003D320000}"/>
    <cellStyle name="40% - Accent4 13 2 2 2" xfId="5732" xr:uid="{00000000-0005-0000-0000-00003E320000}"/>
    <cellStyle name="40% - Accent4 13 2 2 3" xfId="5733" xr:uid="{00000000-0005-0000-0000-00003F320000}"/>
    <cellStyle name="40% - Accent4 13 2 3" xfId="5734" xr:uid="{00000000-0005-0000-0000-000040320000}"/>
    <cellStyle name="40% - Accent4 13 2 3 2" xfId="5735" xr:uid="{00000000-0005-0000-0000-000041320000}"/>
    <cellStyle name="40% - Accent4 13 2 3 3" xfId="5736" xr:uid="{00000000-0005-0000-0000-000042320000}"/>
    <cellStyle name="40% - Accent4 13 2 4" xfId="5737" xr:uid="{00000000-0005-0000-0000-000043320000}"/>
    <cellStyle name="40% - Accent4 13 2 4 2" xfId="5738" xr:uid="{00000000-0005-0000-0000-000044320000}"/>
    <cellStyle name="40% - Accent4 13 2 4 3" xfId="5739" xr:uid="{00000000-0005-0000-0000-000045320000}"/>
    <cellStyle name="40% - Accent4 13 2 5" xfId="5740" xr:uid="{00000000-0005-0000-0000-000046320000}"/>
    <cellStyle name="40% - Accent4 13 2 6" xfId="5741" xr:uid="{00000000-0005-0000-0000-000047320000}"/>
    <cellStyle name="40% - Accent4 13 2_Volatility" xfId="5742" xr:uid="{00000000-0005-0000-0000-000048320000}"/>
    <cellStyle name="40% - Accent4 13 3" xfId="5743" xr:uid="{00000000-0005-0000-0000-000049320000}"/>
    <cellStyle name="40% - Accent4 13 3 2" xfId="5744" xr:uid="{00000000-0005-0000-0000-00004A320000}"/>
    <cellStyle name="40% - Accent4 13 3 2 2" xfId="5745" xr:uid="{00000000-0005-0000-0000-00004B320000}"/>
    <cellStyle name="40% - Accent4 13 3 2 3" xfId="5746" xr:uid="{00000000-0005-0000-0000-00004C320000}"/>
    <cellStyle name="40% - Accent4 13 3 3" xfId="5747" xr:uid="{00000000-0005-0000-0000-00004D320000}"/>
    <cellStyle name="40% - Accent4 13 3 3 2" xfId="5748" xr:uid="{00000000-0005-0000-0000-00004E320000}"/>
    <cellStyle name="40% - Accent4 13 3 3 3" xfId="5749" xr:uid="{00000000-0005-0000-0000-00004F320000}"/>
    <cellStyle name="40% - Accent4 13 3 4" xfId="5750" xr:uid="{00000000-0005-0000-0000-000050320000}"/>
    <cellStyle name="40% - Accent4 13 3 5" xfId="5751" xr:uid="{00000000-0005-0000-0000-000051320000}"/>
    <cellStyle name="40% - Accent4 13 3_Volatility" xfId="5752" xr:uid="{00000000-0005-0000-0000-000052320000}"/>
    <cellStyle name="40% - Accent4 13 4" xfId="5753" xr:uid="{00000000-0005-0000-0000-000053320000}"/>
    <cellStyle name="40% - Accent4 13 4 2" xfId="5754" xr:uid="{00000000-0005-0000-0000-000054320000}"/>
    <cellStyle name="40% - Accent4 13 4 3" xfId="5755" xr:uid="{00000000-0005-0000-0000-000055320000}"/>
    <cellStyle name="40% - Accent4 13 5" xfId="5756" xr:uid="{00000000-0005-0000-0000-000056320000}"/>
    <cellStyle name="40% - Accent4 13 5 2" xfId="5757" xr:uid="{00000000-0005-0000-0000-000057320000}"/>
    <cellStyle name="40% - Accent4 13 5 3" xfId="5758" xr:uid="{00000000-0005-0000-0000-000058320000}"/>
    <cellStyle name="40% - Accent4 13 6" xfId="5759" xr:uid="{00000000-0005-0000-0000-000059320000}"/>
    <cellStyle name="40% - Accent4 13 6 2" xfId="5760" xr:uid="{00000000-0005-0000-0000-00005A320000}"/>
    <cellStyle name="40% - Accent4 13 6 3" xfId="5761" xr:uid="{00000000-0005-0000-0000-00005B320000}"/>
    <cellStyle name="40% - Accent4 13 7" xfId="5762" xr:uid="{00000000-0005-0000-0000-00005C320000}"/>
    <cellStyle name="40% - Accent4 13 8" xfId="5763" xr:uid="{00000000-0005-0000-0000-00005D320000}"/>
    <cellStyle name="40% - Accent4 13_Volatility" xfId="5764" xr:uid="{00000000-0005-0000-0000-00005E320000}"/>
    <cellStyle name="40% - Accent4 14" xfId="5765" xr:uid="{00000000-0005-0000-0000-00005F320000}"/>
    <cellStyle name="40% - Accent4 14 2" xfId="5766" xr:uid="{00000000-0005-0000-0000-000060320000}"/>
    <cellStyle name="40% - Accent4 14 2 2" xfId="5767" xr:uid="{00000000-0005-0000-0000-000061320000}"/>
    <cellStyle name="40% - Accent4 14 2 2 2" xfId="5768" xr:uid="{00000000-0005-0000-0000-000062320000}"/>
    <cellStyle name="40% - Accent4 14 2 2 3" xfId="5769" xr:uid="{00000000-0005-0000-0000-000063320000}"/>
    <cellStyle name="40% - Accent4 14 2 3" xfId="5770" xr:uid="{00000000-0005-0000-0000-000064320000}"/>
    <cellStyle name="40% - Accent4 14 2 3 2" xfId="5771" xr:uid="{00000000-0005-0000-0000-000065320000}"/>
    <cellStyle name="40% - Accent4 14 2 3 3" xfId="5772" xr:uid="{00000000-0005-0000-0000-000066320000}"/>
    <cellStyle name="40% - Accent4 14 2 4" xfId="5773" xr:uid="{00000000-0005-0000-0000-000067320000}"/>
    <cellStyle name="40% - Accent4 14 2 4 2" xfId="5774" xr:uid="{00000000-0005-0000-0000-000068320000}"/>
    <cellStyle name="40% - Accent4 14 2 4 3" xfId="5775" xr:uid="{00000000-0005-0000-0000-000069320000}"/>
    <cellStyle name="40% - Accent4 14 2 5" xfId="5776" xr:uid="{00000000-0005-0000-0000-00006A320000}"/>
    <cellStyle name="40% - Accent4 14 2 6" xfId="5777" xr:uid="{00000000-0005-0000-0000-00006B320000}"/>
    <cellStyle name="40% - Accent4 14 2_Volatility" xfId="5778" xr:uid="{00000000-0005-0000-0000-00006C320000}"/>
    <cellStyle name="40% - Accent4 14 3" xfId="5779" xr:uid="{00000000-0005-0000-0000-00006D320000}"/>
    <cellStyle name="40% - Accent4 14 3 2" xfId="5780" xr:uid="{00000000-0005-0000-0000-00006E320000}"/>
    <cellStyle name="40% - Accent4 14 3 2 2" xfId="5781" xr:uid="{00000000-0005-0000-0000-00006F320000}"/>
    <cellStyle name="40% - Accent4 14 3 2 3" xfId="5782" xr:uid="{00000000-0005-0000-0000-000070320000}"/>
    <cellStyle name="40% - Accent4 14 3 3" xfId="5783" xr:uid="{00000000-0005-0000-0000-000071320000}"/>
    <cellStyle name="40% - Accent4 14 3 3 2" xfId="5784" xr:uid="{00000000-0005-0000-0000-000072320000}"/>
    <cellStyle name="40% - Accent4 14 3 3 3" xfId="5785" xr:uid="{00000000-0005-0000-0000-000073320000}"/>
    <cellStyle name="40% - Accent4 14 3 4" xfId="5786" xr:uid="{00000000-0005-0000-0000-000074320000}"/>
    <cellStyle name="40% - Accent4 14 3 5" xfId="5787" xr:uid="{00000000-0005-0000-0000-000075320000}"/>
    <cellStyle name="40% - Accent4 14 3_Volatility" xfId="5788" xr:uid="{00000000-0005-0000-0000-000076320000}"/>
    <cellStyle name="40% - Accent4 14 4" xfId="5789" xr:uid="{00000000-0005-0000-0000-000077320000}"/>
    <cellStyle name="40% - Accent4 14 4 2" xfId="5790" xr:uid="{00000000-0005-0000-0000-000078320000}"/>
    <cellStyle name="40% - Accent4 14 4 3" xfId="5791" xr:uid="{00000000-0005-0000-0000-000079320000}"/>
    <cellStyle name="40% - Accent4 14 5" xfId="5792" xr:uid="{00000000-0005-0000-0000-00007A320000}"/>
    <cellStyle name="40% - Accent4 14 5 2" xfId="5793" xr:uid="{00000000-0005-0000-0000-00007B320000}"/>
    <cellStyle name="40% - Accent4 14 5 3" xfId="5794" xr:uid="{00000000-0005-0000-0000-00007C320000}"/>
    <cellStyle name="40% - Accent4 14 6" xfId="5795" xr:uid="{00000000-0005-0000-0000-00007D320000}"/>
    <cellStyle name="40% - Accent4 14 6 2" xfId="5796" xr:uid="{00000000-0005-0000-0000-00007E320000}"/>
    <cellStyle name="40% - Accent4 14 6 3" xfId="5797" xr:uid="{00000000-0005-0000-0000-00007F320000}"/>
    <cellStyle name="40% - Accent4 14 7" xfId="5798" xr:uid="{00000000-0005-0000-0000-000080320000}"/>
    <cellStyle name="40% - Accent4 14 8" xfId="5799" xr:uid="{00000000-0005-0000-0000-000081320000}"/>
    <cellStyle name="40% - Accent4 14_Volatility" xfId="5800" xr:uid="{00000000-0005-0000-0000-000082320000}"/>
    <cellStyle name="40% - Accent4 15" xfId="5801" xr:uid="{00000000-0005-0000-0000-000083320000}"/>
    <cellStyle name="40% - Accent4 15 2" xfId="5802" xr:uid="{00000000-0005-0000-0000-000084320000}"/>
    <cellStyle name="40% - Accent4 15 2 2" xfId="5803" xr:uid="{00000000-0005-0000-0000-000085320000}"/>
    <cellStyle name="40% - Accent4 15 2 2 2" xfId="5804" xr:uid="{00000000-0005-0000-0000-000086320000}"/>
    <cellStyle name="40% - Accent4 15 2 2 3" xfId="5805" xr:uid="{00000000-0005-0000-0000-000087320000}"/>
    <cellStyle name="40% - Accent4 15 2 3" xfId="5806" xr:uid="{00000000-0005-0000-0000-000088320000}"/>
    <cellStyle name="40% - Accent4 15 2 3 2" xfId="5807" xr:uid="{00000000-0005-0000-0000-000089320000}"/>
    <cellStyle name="40% - Accent4 15 2 3 3" xfId="5808" xr:uid="{00000000-0005-0000-0000-00008A320000}"/>
    <cellStyle name="40% - Accent4 15 2 4" xfId="5809" xr:uid="{00000000-0005-0000-0000-00008B320000}"/>
    <cellStyle name="40% - Accent4 15 2 4 2" xfId="5810" xr:uid="{00000000-0005-0000-0000-00008C320000}"/>
    <cellStyle name="40% - Accent4 15 2 4 3" xfId="5811" xr:uid="{00000000-0005-0000-0000-00008D320000}"/>
    <cellStyle name="40% - Accent4 15 2 5" xfId="5812" xr:uid="{00000000-0005-0000-0000-00008E320000}"/>
    <cellStyle name="40% - Accent4 15 2 6" xfId="5813" xr:uid="{00000000-0005-0000-0000-00008F320000}"/>
    <cellStyle name="40% - Accent4 15 2_Volatility" xfId="5814" xr:uid="{00000000-0005-0000-0000-000090320000}"/>
    <cellStyle name="40% - Accent4 15 3" xfId="5815" xr:uid="{00000000-0005-0000-0000-000091320000}"/>
    <cellStyle name="40% - Accent4 15 3 2" xfId="5816" xr:uid="{00000000-0005-0000-0000-000092320000}"/>
    <cellStyle name="40% - Accent4 15 3 2 2" xfId="5817" xr:uid="{00000000-0005-0000-0000-000093320000}"/>
    <cellStyle name="40% - Accent4 15 3 2 3" xfId="5818" xr:uid="{00000000-0005-0000-0000-000094320000}"/>
    <cellStyle name="40% - Accent4 15 3 3" xfId="5819" xr:uid="{00000000-0005-0000-0000-000095320000}"/>
    <cellStyle name="40% - Accent4 15 3 3 2" xfId="5820" xr:uid="{00000000-0005-0000-0000-000096320000}"/>
    <cellStyle name="40% - Accent4 15 3 3 3" xfId="5821" xr:uid="{00000000-0005-0000-0000-000097320000}"/>
    <cellStyle name="40% - Accent4 15 3 4" xfId="5822" xr:uid="{00000000-0005-0000-0000-000098320000}"/>
    <cellStyle name="40% - Accent4 15 3 5" xfId="5823" xr:uid="{00000000-0005-0000-0000-000099320000}"/>
    <cellStyle name="40% - Accent4 15 3_Volatility" xfId="5824" xr:uid="{00000000-0005-0000-0000-00009A320000}"/>
    <cellStyle name="40% - Accent4 15 4" xfId="5825" xr:uid="{00000000-0005-0000-0000-00009B320000}"/>
    <cellStyle name="40% - Accent4 15 4 2" xfId="5826" xr:uid="{00000000-0005-0000-0000-00009C320000}"/>
    <cellStyle name="40% - Accent4 15 4 3" xfId="5827" xr:uid="{00000000-0005-0000-0000-00009D320000}"/>
    <cellStyle name="40% - Accent4 15 5" xfId="5828" xr:uid="{00000000-0005-0000-0000-00009E320000}"/>
    <cellStyle name="40% - Accent4 15 5 2" xfId="5829" xr:uid="{00000000-0005-0000-0000-00009F320000}"/>
    <cellStyle name="40% - Accent4 15 5 3" xfId="5830" xr:uid="{00000000-0005-0000-0000-0000A0320000}"/>
    <cellStyle name="40% - Accent4 15 6" xfId="5831" xr:uid="{00000000-0005-0000-0000-0000A1320000}"/>
    <cellStyle name="40% - Accent4 15 6 2" xfId="5832" xr:uid="{00000000-0005-0000-0000-0000A2320000}"/>
    <cellStyle name="40% - Accent4 15 6 3" xfId="5833" xr:uid="{00000000-0005-0000-0000-0000A3320000}"/>
    <cellStyle name="40% - Accent4 15 7" xfId="5834" xr:uid="{00000000-0005-0000-0000-0000A4320000}"/>
    <cellStyle name="40% - Accent4 15 8" xfId="5835" xr:uid="{00000000-0005-0000-0000-0000A5320000}"/>
    <cellStyle name="40% - Accent4 15_Volatility" xfId="5836" xr:uid="{00000000-0005-0000-0000-0000A6320000}"/>
    <cellStyle name="40% - Accent4 16" xfId="5837" xr:uid="{00000000-0005-0000-0000-0000A7320000}"/>
    <cellStyle name="40% - Accent4 16 2" xfId="15937" xr:uid="{00000000-0005-0000-0000-0000A8320000}"/>
    <cellStyle name="40% - Accent4 16 3" xfId="19888" xr:uid="{00000000-0005-0000-0000-0000A9320000}"/>
    <cellStyle name="40% - Accent4 17" xfId="5838" xr:uid="{00000000-0005-0000-0000-0000AA320000}"/>
    <cellStyle name="40% - Accent4 17 2" xfId="15938" xr:uid="{00000000-0005-0000-0000-0000AB320000}"/>
    <cellStyle name="40% - Accent4 17 3" xfId="19889" xr:uid="{00000000-0005-0000-0000-0000AC320000}"/>
    <cellStyle name="40% - Accent4 18" xfId="5839" xr:uid="{00000000-0005-0000-0000-0000AD320000}"/>
    <cellStyle name="40% - Accent4 18 2" xfId="15939" xr:uid="{00000000-0005-0000-0000-0000AE320000}"/>
    <cellStyle name="40% - Accent4 18 3" xfId="19890" xr:uid="{00000000-0005-0000-0000-0000AF320000}"/>
    <cellStyle name="40% - Accent4 19" xfId="5840" xr:uid="{00000000-0005-0000-0000-0000B0320000}"/>
    <cellStyle name="40% - Accent4 19 2" xfId="15940" xr:uid="{00000000-0005-0000-0000-0000B1320000}"/>
    <cellStyle name="40% - Accent4 19 3" xfId="19891" xr:uid="{00000000-0005-0000-0000-0000B2320000}"/>
    <cellStyle name="40% - Accent4 2" xfId="5841" xr:uid="{00000000-0005-0000-0000-0000B3320000}"/>
    <cellStyle name="40% - Accent4 2 2" xfId="5842" xr:uid="{00000000-0005-0000-0000-0000B4320000}"/>
    <cellStyle name="40% - Accent4 2 2 2" xfId="5843" xr:uid="{00000000-0005-0000-0000-0000B5320000}"/>
    <cellStyle name="40% - Accent4 2 2 2 2" xfId="5844" xr:uid="{00000000-0005-0000-0000-0000B6320000}"/>
    <cellStyle name="40% - Accent4 2 2 2 3" xfId="5845" xr:uid="{00000000-0005-0000-0000-0000B7320000}"/>
    <cellStyle name="40% - Accent4 2 2 3" xfId="5846" xr:uid="{00000000-0005-0000-0000-0000B8320000}"/>
    <cellStyle name="40% - Accent4 2 2 3 2" xfId="5847" xr:uid="{00000000-0005-0000-0000-0000B9320000}"/>
    <cellStyle name="40% - Accent4 2 2 3 3" xfId="5848" xr:uid="{00000000-0005-0000-0000-0000BA320000}"/>
    <cellStyle name="40% - Accent4 2 2 4" xfId="5849" xr:uid="{00000000-0005-0000-0000-0000BB320000}"/>
    <cellStyle name="40% - Accent4 2 2 4 2" xfId="5850" xr:uid="{00000000-0005-0000-0000-0000BC320000}"/>
    <cellStyle name="40% - Accent4 2 2 4 3" xfId="5851" xr:uid="{00000000-0005-0000-0000-0000BD320000}"/>
    <cellStyle name="40% - Accent4 2 2 5" xfId="5852" xr:uid="{00000000-0005-0000-0000-0000BE320000}"/>
    <cellStyle name="40% - Accent4 2 2 6" xfId="5853" xr:uid="{00000000-0005-0000-0000-0000BF320000}"/>
    <cellStyle name="40% - Accent4 2 2_Volatility" xfId="5854" xr:uid="{00000000-0005-0000-0000-0000C0320000}"/>
    <cellStyle name="40% - Accent4 2 3" xfId="5855" xr:uid="{00000000-0005-0000-0000-0000C1320000}"/>
    <cellStyle name="40% - Accent4 2 3 2" xfId="5856" xr:uid="{00000000-0005-0000-0000-0000C2320000}"/>
    <cellStyle name="40% - Accent4 2 3 2 2" xfId="5857" xr:uid="{00000000-0005-0000-0000-0000C3320000}"/>
    <cellStyle name="40% - Accent4 2 3 2 3" xfId="5858" xr:uid="{00000000-0005-0000-0000-0000C4320000}"/>
    <cellStyle name="40% - Accent4 2 3 3" xfId="5859" xr:uid="{00000000-0005-0000-0000-0000C5320000}"/>
    <cellStyle name="40% - Accent4 2 3 3 2" xfId="5860" xr:uid="{00000000-0005-0000-0000-0000C6320000}"/>
    <cellStyle name="40% - Accent4 2 3 3 3" xfId="5861" xr:uid="{00000000-0005-0000-0000-0000C7320000}"/>
    <cellStyle name="40% - Accent4 2 3 4" xfId="5862" xr:uid="{00000000-0005-0000-0000-0000C8320000}"/>
    <cellStyle name="40% - Accent4 2 3 5" xfId="5863" xr:uid="{00000000-0005-0000-0000-0000C9320000}"/>
    <cellStyle name="40% - Accent4 2 3_Volatility" xfId="5864" xr:uid="{00000000-0005-0000-0000-0000CA320000}"/>
    <cellStyle name="40% - Accent4 2 4" xfId="5865" xr:uid="{00000000-0005-0000-0000-0000CB320000}"/>
    <cellStyle name="40% - Accent4 2 4 2" xfId="5866" xr:uid="{00000000-0005-0000-0000-0000CC320000}"/>
    <cellStyle name="40% - Accent4 2 4 3" xfId="5867" xr:uid="{00000000-0005-0000-0000-0000CD320000}"/>
    <cellStyle name="40% - Accent4 2 5" xfId="5868" xr:uid="{00000000-0005-0000-0000-0000CE320000}"/>
    <cellStyle name="40% - Accent4 2 5 2" xfId="5869" xr:uid="{00000000-0005-0000-0000-0000CF320000}"/>
    <cellStyle name="40% - Accent4 2 5 3" xfId="5870" xr:uid="{00000000-0005-0000-0000-0000D0320000}"/>
    <cellStyle name="40% - Accent4 2 6" xfId="5871" xr:uid="{00000000-0005-0000-0000-0000D1320000}"/>
    <cellStyle name="40% - Accent4 2 6 2" xfId="5872" xr:uid="{00000000-0005-0000-0000-0000D2320000}"/>
    <cellStyle name="40% - Accent4 2 6 3" xfId="5873" xr:uid="{00000000-0005-0000-0000-0000D3320000}"/>
    <cellStyle name="40% - Accent4 2 7" xfId="5874" xr:uid="{00000000-0005-0000-0000-0000D4320000}"/>
    <cellStyle name="40% - Accent4 2 8" xfId="5875" xr:uid="{00000000-0005-0000-0000-0000D5320000}"/>
    <cellStyle name="40% - Accent4 2_Volatility" xfId="5876" xr:uid="{00000000-0005-0000-0000-0000D6320000}"/>
    <cellStyle name="40% - Accent4 3" xfId="5877" xr:uid="{00000000-0005-0000-0000-0000D7320000}"/>
    <cellStyle name="40% - Accent4 3 2" xfId="5878" xr:uid="{00000000-0005-0000-0000-0000D8320000}"/>
    <cellStyle name="40% - Accent4 3 2 2" xfId="5879" xr:uid="{00000000-0005-0000-0000-0000D9320000}"/>
    <cellStyle name="40% - Accent4 3 2 2 2" xfId="5880" xr:uid="{00000000-0005-0000-0000-0000DA320000}"/>
    <cellStyle name="40% - Accent4 3 2 2 3" xfId="5881" xr:uid="{00000000-0005-0000-0000-0000DB320000}"/>
    <cellStyle name="40% - Accent4 3 2 3" xfId="5882" xr:uid="{00000000-0005-0000-0000-0000DC320000}"/>
    <cellStyle name="40% - Accent4 3 2 3 2" xfId="5883" xr:uid="{00000000-0005-0000-0000-0000DD320000}"/>
    <cellStyle name="40% - Accent4 3 2 3 3" xfId="5884" xr:uid="{00000000-0005-0000-0000-0000DE320000}"/>
    <cellStyle name="40% - Accent4 3 2 4" xfId="5885" xr:uid="{00000000-0005-0000-0000-0000DF320000}"/>
    <cellStyle name="40% - Accent4 3 2 4 2" xfId="5886" xr:uid="{00000000-0005-0000-0000-0000E0320000}"/>
    <cellStyle name="40% - Accent4 3 2 4 3" xfId="5887" xr:uid="{00000000-0005-0000-0000-0000E1320000}"/>
    <cellStyle name="40% - Accent4 3 2 5" xfId="5888" xr:uid="{00000000-0005-0000-0000-0000E2320000}"/>
    <cellStyle name="40% - Accent4 3 2 6" xfId="5889" xr:uid="{00000000-0005-0000-0000-0000E3320000}"/>
    <cellStyle name="40% - Accent4 3 2_Volatility" xfId="5890" xr:uid="{00000000-0005-0000-0000-0000E4320000}"/>
    <cellStyle name="40% - Accent4 3 3" xfId="5891" xr:uid="{00000000-0005-0000-0000-0000E5320000}"/>
    <cellStyle name="40% - Accent4 3 3 2" xfId="5892" xr:uid="{00000000-0005-0000-0000-0000E6320000}"/>
    <cellStyle name="40% - Accent4 3 3 2 2" xfId="5893" xr:uid="{00000000-0005-0000-0000-0000E7320000}"/>
    <cellStyle name="40% - Accent4 3 3 2 3" xfId="5894" xr:uid="{00000000-0005-0000-0000-0000E8320000}"/>
    <cellStyle name="40% - Accent4 3 3 3" xfId="5895" xr:uid="{00000000-0005-0000-0000-0000E9320000}"/>
    <cellStyle name="40% - Accent4 3 3 3 2" xfId="5896" xr:uid="{00000000-0005-0000-0000-0000EA320000}"/>
    <cellStyle name="40% - Accent4 3 3 3 3" xfId="5897" xr:uid="{00000000-0005-0000-0000-0000EB320000}"/>
    <cellStyle name="40% - Accent4 3 3 4" xfId="5898" xr:uid="{00000000-0005-0000-0000-0000EC320000}"/>
    <cellStyle name="40% - Accent4 3 3 5" xfId="5899" xr:uid="{00000000-0005-0000-0000-0000ED320000}"/>
    <cellStyle name="40% - Accent4 3 3_Volatility" xfId="5900" xr:uid="{00000000-0005-0000-0000-0000EE320000}"/>
    <cellStyle name="40% - Accent4 3 4" xfId="5901" xr:uid="{00000000-0005-0000-0000-0000EF320000}"/>
    <cellStyle name="40% - Accent4 3 4 2" xfId="5902" xr:uid="{00000000-0005-0000-0000-0000F0320000}"/>
    <cellStyle name="40% - Accent4 3 4 3" xfId="5903" xr:uid="{00000000-0005-0000-0000-0000F1320000}"/>
    <cellStyle name="40% - Accent4 3 5" xfId="5904" xr:uid="{00000000-0005-0000-0000-0000F2320000}"/>
    <cellStyle name="40% - Accent4 3 5 2" xfId="5905" xr:uid="{00000000-0005-0000-0000-0000F3320000}"/>
    <cellStyle name="40% - Accent4 3 5 3" xfId="5906" xr:uid="{00000000-0005-0000-0000-0000F4320000}"/>
    <cellStyle name="40% - Accent4 3 6" xfId="5907" xr:uid="{00000000-0005-0000-0000-0000F5320000}"/>
    <cellStyle name="40% - Accent4 3 6 2" xfId="5908" xr:uid="{00000000-0005-0000-0000-0000F6320000}"/>
    <cellStyle name="40% - Accent4 3 6 3" xfId="5909" xr:uid="{00000000-0005-0000-0000-0000F7320000}"/>
    <cellStyle name="40% - Accent4 3 7" xfId="5910" xr:uid="{00000000-0005-0000-0000-0000F8320000}"/>
    <cellStyle name="40% - Accent4 3 8" xfId="5911" xr:uid="{00000000-0005-0000-0000-0000F9320000}"/>
    <cellStyle name="40% - Accent4 3_Volatility" xfId="5912" xr:uid="{00000000-0005-0000-0000-0000FA320000}"/>
    <cellStyle name="40% - Accent4 4" xfId="5913" xr:uid="{00000000-0005-0000-0000-0000FB320000}"/>
    <cellStyle name="40% - Accent4 4 2" xfId="5914" xr:uid="{00000000-0005-0000-0000-0000FC320000}"/>
    <cellStyle name="40% - Accent4 4 2 2" xfId="5915" xr:uid="{00000000-0005-0000-0000-0000FD320000}"/>
    <cellStyle name="40% - Accent4 4 2 2 2" xfId="5916" xr:uid="{00000000-0005-0000-0000-0000FE320000}"/>
    <cellStyle name="40% - Accent4 4 2 2 3" xfId="5917" xr:uid="{00000000-0005-0000-0000-0000FF320000}"/>
    <cellStyle name="40% - Accent4 4 2 3" xfId="5918" xr:uid="{00000000-0005-0000-0000-000000330000}"/>
    <cellStyle name="40% - Accent4 4 2 3 2" xfId="5919" xr:uid="{00000000-0005-0000-0000-000001330000}"/>
    <cellStyle name="40% - Accent4 4 2 3 3" xfId="5920" xr:uid="{00000000-0005-0000-0000-000002330000}"/>
    <cellStyle name="40% - Accent4 4 2 4" xfId="5921" xr:uid="{00000000-0005-0000-0000-000003330000}"/>
    <cellStyle name="40% - Accent4 4 2 4 2" xfId="5922" xr:uid="{00000000-0005-0000-0000-000004330000}"/>
    <cellStyle name="40% - Accent4 4 2 4 3" xfId="5923" xr:uid="{00000000-0005-0000-0000-000005330000}"/>
    <cellStyle name="40% - Accent4 4 2 5" xfId="5924" xr:uid="{00000000-0005-0000-0000-000006330000}"/>
    <cellStyle name="40% - Accent4 4 2 6" xfId="5925" xr:uid="{00000000-0005-0000-0000-000007330000}"/>
    <cellStyle name="40% - Accent4 4 2_Volatility" xfId="5926" xr:uid="{00000000-0005-0000-0000-000008330000}"/>
    <cellStyle name="40% - Accent4 4 3" xfId="5927" xr:uid="{00000000-0005-0000-0000-000009330000}"/>
    <cellStyle name="40% - Accent4 4 3 2" xfId="5928" xr:uid="{00000000-0005-0000-0000-00000A330000}"/>
    <cellStyle name="40% - Accent4 4 3 2 2" xfId="5929" xr:uid="{00000000-0005-0000-0000-00000B330000}"/>
    <cellStyle name="40% - Accent4 4 3 2 3" xfId="5930" xr:uid="{00000000-0005-0000-0000-00000C330000}"/>
    <cellStyle name="40% - Accent4 4 3 3" xfId="5931" xr:uid="{00000000-0005-0000-0000-00000D330000}"/>
    <cellStyle name="40% - Accent4 4 3 3 2" xfId="5932" xr:uid="{00000000-0005-0000-0000-00000E330000}"/>
    <cellStyle name="40% - Accent4 4 3 3 3" xfId="5933" xr:uid="{00000000-0005-0000-0000-00000F330000}"/>
    <cellStyle name="40% - Accent4 4 3 4" xfId="5934" xr:uid="{00000000-0005-0000-0000-000010330000}"/>
    <cellStyle name="40% - Accent4 4 3 5" xfId="5935" xr:uid="{00000000-0005-0000-0000-000011330000}"/>
    <cellStyle name="40% - Accent4 4 3_Volatility" xfId="5936" xr:uid="{00000000-0005-0000-0000-000012330000}"/>
    <cellStyle name="40% - Accent4 4 4" xfId="5937" xr:uid="{00000000-0005-0000-0000-000013330000}"/>
    <cellStyle name="40% - Accent4 4 4 2" xfId="5938" xr:uid="{00000000-0005-0000-0000-000014330000}"/>
    <cellStyle name="40% - Accent4 4 4 3" xfId="5939" xr:uid="{00000000-0005-0000-0000-000015330000}"/>
    <cellStyle name="40% - Accent4 4 5" xfId="5940" xr:uid="{00000000-0005-0000-0000-000016330000}"/>
    <cellStyle name="40% - Accent4 4 5 2" xfId="5941" xr:uid="{00000000-0005-0000-0000-000017330000}"/>
    <cellStyle name="40% - Accent4 4 5 3" xfId="5942" xr:uid="{00000000-0005-0000-0000-000018330000}"/>
    <cellStyle name="40% - Accent4 4 6" xfId="5943" xr:uid="{00000000-0005-0000-0000-000019330000}"/>
    <cellStyle name="40% - Accent4 4 6 2" xfId="5944" xr:uid="{00000000-0005-0000-0000-00001A330000}"/>
    <cellStyle name="40% - Accent4 4 6 3" xfId="5945" xr:uid="{00000000-0005-0000-0000-00001B330000}"/>
    <cellStyle name="40% - Accent4 4 7" xfId="5946" xr:uid="{00000000-0005-0000-0000-00001C330000}"/>
    <cellStyle name="40% - Accent4 4 8" xfId="5947" xr:uid="{00000000-0005-0000-0000-00001D330000}"/>
    <cellStyle name="40% - Accent4 4_Volatility" xfId="5948" xr:uid="{00000000-0005-0000-0000-00001E330000}"/>
    <cellStyle name="40% - Accent4 5" xfId="5949" xr:uid="{00000000-0005-0000-0000-00001F330000}"/>
    <cellStyle name="40% - Accent4 5 2" xfId="5950" xr:uid="{00000000-0005-0000-0000-000020330000}"/>
    <cellStyle name="40% - Accent4 5 2 2" xfId="5951" xr:uid="{00000000-0005-0000-0000-000021330000}"/>
    <cellStyle name="40% - Accent4 5 2 2 2" xfId="5952" xr:uid="{00000000-0005-0000-0000-000022330000}"/>
    <cellStyle name="40% - Accent4 5 2 2 3" xfId="5953" xr:uid="{00000000-0005-0000-0000-000023330000}"/>
    <cellStyle name="40% - Accent4 5 2 3" xfId="5954" xr:uid="{00000000-0005-0000-0000-000024330000}"/>
    <cellStyle name="40% - Accent4 5 2 3 2" xfId="5955" xr:uid="{00000000-0005-0000-0000-000025330000}"/>
    <cellStyle name="40% - Accent4 5 2 3 3" xfId="5956" xr:uid="{00000000-0005-0000-0000-000026330000}"/>
    <cellStyle name="40% - Accent4 5 2 4" xfId="5957" xr:uid="{00000000-0005-0000-0000-000027330000}"/>
    <cellStyle name="40% - Accent4 5 2 4 2" xfId="5958" xr:uid="{00000000-0005-0000-0000-000028330000}"/>
    <cellStyle name="40% - Accent4 5 2 4 3" xfId="5959" xr:uid="{00000000-0005-0000-0000-000029330000}"/>
    <cellStyle name="40% - Accent4 5 2 5" xfId="5960" xr:uid="{00000000-0005-0000-0000-00002A330000}"/>
    <cellStyle name="40% - Accent4 5 2 6" xfId="5961" xr:uid="{00000000-0005-0000-0000-00002B330000}"/>
    <cellStyle name="40% - Accent4 5 2_Volatility" xfId="5962" xr:uid="{00000000-0005-0000-0000-00002C330000}"/>
    <cellStyle name="40% - Accent4 5 3" xfId="5963" xr:uid="{00000000-0005-0000-0000-00002D330000}"/>
    <cellStyle name="40% - Accent4 5 3 2" xfId="5964" xr:uid="{00000000-0005-0000-0000-00002E330000}"/>
    <cellStyle name="40% - Accent4 5 3 2 2" xfId="5965" xr:uid="{00000000-0005-0000-0000-00002F330000}"/>
    <cellStyle name="40% - Accent4 5 3 2 3" xfId="5966" xr:uid="{00000000-0005-0000-0000-000030330000}"/>
    <cellStyle name="40% - Accent4 5 3 3" xfId="5967" xr:uid="{00000000-0005-0000-0000-000031330000}"/>
    <cellStyle name="40% - Accent4 5 3 3 2" xfId="5968" xr:uid="{00000000-0005-0000-0000-000032330000}"/>
    <cellStyle name="40% - Accent4 5 3 3 3" xfId="5969" xr:uid="{00000000-0005-0000-0000-000033330000}"/>
    <cellStyle name="40% - Accent4 5 3 4" xfId="5970" xr:uid="{00000000-0005-0000-0000-000034330000}"/>
    <cellStyle name="40% - Accent4 5 3 5" xfId="5971" xr:uid="{00000000-0005-0000-0000-000035330000}"/>
    <cellStyle name="40% - Accent4 5 3_Volatility" xfId="5972" xr:uid="{00000000-0005-0000-0000-000036330000}"/>
    <cellStyle name="40% - Accent4 5 4" xfId="5973" xr:uid="{00000000-0005-0000-0000-000037330000}"/>
    <cellStyle name="40% - Accent4 5 4 2" xfId="5974" xr:uid="{00000000-0005-0000-0000-000038330000}"/>
    <cellStyle name="40% - Accent4 5 4 3" xfId="5975" xr:uid="{00000000-0005-0000-0000-000039330000}"/>
    <cellStyle name="40% - Accent4 5 5" xfId="5976" xr:uid="{00000000-0005-0000-0000-00003A330000}"/>
    <cellStyle name="40% - Accent4 5 5 2" xfId="5977" xr:uid="{00000000-0005-0000-0000-00003B330000}"/>
    <cellStyle name="40% - Accent4 5 5 3" xfId="5978" xr:uid="{00000000-0005-0000-0000-00003C330000}"/>
    <cellStyle name="40% - Accent4 5 6" xfId="5979" xr:uid="{00000000-0005-0000-0000-00003D330000}"/>
    <cellStyle name="40% - Accent4 5 6 2" xfId="5980" xr:uid="{00000000-0005-0000-0000-00003E330000}"/>
    <cellStyle name="40% - Accent4 5 6 3" xfId="5981" xr:uid="{00000000-0005-0000-0000-00003F330000}"/>
    <cellStyle name="40% - Accent4 5 7" xfId="5982" xr:uid="{00000000-0005-0000-0000-000040330000}"/>
    <cellStyle name="40% - Accent4 5 8" xfId="5983" xr:uid="{00000000-0005-0000-0000-000041330000}"/>
    <cellStyle name="40% - Accent4 5_Volatility" xfId="5984" xr:uid="{00000000-0005-0000-0000-000042330000}"/>
    <cellStyle name="40% - Accent4 6" xfId="5985" xr:uid="{00000000-0005-0000-0000-000043330000}"/>
    <cellStyle name="40% - Accent4 6 2" xfId="5986" xr:uid="{00000000-0005-0000-0000-000044330000}"/>
    <cellStyle name="40% - Accent4 6 2 2" xfId="5987" xr:uid="{00000000-0005-0000-0000-000045330000}"/>
    <cellStyle name="40% - Accent4 6 2 2 2" xfId="5988" xr:uid="{00000000-0005-0000-0000-000046330000}"/>
    <cellStyle name="40% - Accent4 6 2 2 3" xfId="5989" xr:uid="{00000000-0005-0000-0000-000047330000}"/>
    <cellStyle name="40% - Accent4 6 2 3" xfId="5990" xr:uid="{00000000-0005-0000-0000-000048330000}"/>
    <cellStyle name="40% - Accent4 6 2 3 2" xfId="5991" xr:uid="{00000000-0005-0000-0000-000049330000}"/>
    <cellStyle name="40% - Accent4 6 2 3 3" xfId="5992" xr:uid="{00000000-0005-0000-0000-00004A330000}"/>
    <cellStyle name="40% - Accent4 6 2 4" xfId="5993" xr:uid="{00000000-0005-0000-0000-00004B330000}"/>
    <cellStyle name="40% - Accent4 6 2 4 2" xfId="5994" xr:uid="{00000000-0005-0000-0000-00004C330000}"/>
    <cellStyle name="40% - Accent4 6 2 4 3" xfId="5995" xr:uid="{00000000-0005-0000-0000-00004D330000}"/>
    <cellStyle name="40% - Accent4 6 2 5" xfId="5996" xr:uid="{00000000-0005-0000-0000-00004E330000}"/>
    <cellStyle name="40% - Accent4 6 2 6" xfId="5997" xr:uid="{00000000-0005-0000-0000-00004F330000}"/>
    <cellStyle name="40% - Accent4 6 2_Volatility" xfId="5998" xr:uid="{00000000-0005-0000-0000-000050330000}"/>
    <cellStyle name="40% - Accent4 6 3" xfId="5999" xr:uid="{00000000-0005-0000-0000-000051330000}"/>
    <cellStyle name="40% - Accent4 6 3 2" xfId="6000" xr:uid="{00000000-0005-0000-0000-000052330000}"/>
    <cellStyle name="40% - Accent4 6 3 2 2" xfId="6001" xr:uid="{00000000-0005-0000-0000-000053330000}"/>
    <cellStyle name="40% - Accent4 6 3 2 3" xfId="6002" xr:uid="{00000000-0005-0000-0000-000054330000}"/>
    <cellStyle name="40% - Accent4 6 3 3" xfId="6003" xr:uid="{00000000-0005-0000-0000-000055330000}"/>
    <cellStyle name="40% - Accent4 6 3 3 2" xfId="6004" xr:uid="{00000000-0005-0000-0000-000056330000}"/>
    <cellStyle name="40% - Accent4 6 3 3 3" xfId="6005" xr:uid="{00000000-0005-0000-0000-000057330000}"/>
    <cellStyle name="40% - Accent4 6 3 4" xfId="6006" xr:uid="{00000000-0005-0000-0000-000058330000}"/>
    <cellStyle name="40% - Accent4 6 3 5" xfId="6007" xr:uid="{00000000-0005-0000-0000-000059330000}"/>
    <cellStyle name="40% - Accent4 6 3_Volatility" xfId="6008" xr:uid="{00000000-0005-0000-0000-00005A330000}"/>
    <cellStyle name="40% - Accent4 6 4" xfId="6009" xr:uid="{00000000-0005-0000-0000-00005B330000}"/>
    <cellStyle name="40% - Accent4 6 4 2" xfId="6010" xr:uid="{00000000-0005-0000-0000-00005C330000}"/>
    <cellStyle name="40% - Accent4 6 4 3" xfId="6011" xr:uid="{00000000-0005-0000-0000-00005D330000}"/>
    <cellStyle name="40% - Accent4 6 5" xfId="6012" xr:uid="{00000000-0005-0000-0000-00005E330000}"/>
    <cellStyle name="40% - Accent4 6 5 2" xfId="6013" xr:uid="{00000000-0005-0000-0000-00005F330000}"/>
    <cellStyle name="40% - Accent4 6 5 3" xfId="6014" xr:uid="{00000000-0005-0000-0000-000060330000}"/>
    <cellStyle name="40% - Accent4 6 6" xfId="6015" xr:uid="{00000000-0005-0000-0000-000061330000}"/>
    <cellStyle name="40% - Accent4 6 6 2" xfId="6016" xr:uid="{00000000-0005-0000-0000-000062330000}"/>
    <cellStyle name="40% - Accent4 6 6 3" xfId="6017" xr:uid="{00000000-0005-0000-0000-000063330000}"/>
    <cellStyle name="40% - Accent4 6 7" xfId="6018" xr:uid="{00000000-0005-0000-0000-000064330000}"/>
    <cellStyle name="40% - Accent4 6 8" xfId="6019" xr:uid="{00000000-0005-0000-0000-000065330000}"/>
    <cellStyle name="40% - Accent4 6_Volatility" xfId="6020" xr:uid="{00000000-0005-0000-0000-000066330000}"/>
    <cellStyle name="40% - Accent4 7" xfId="6021" xr:uid="{00000000-0005-0000-0000-000067330000}"/>
    <cellStyle name="40% - Accent4 7 2" xfId="6022" xr:uid="{00000000-0005-0000-0000-000068330000}"/>
    <cellStyle name="40% - Accent4 7 2 2" xfId="6023" xr:uid="{00000000-0005-0000-0000-000069330000}"/>
    <cellStyle name="40% - Accent4 7 2 2 2" xfId="6024" xr:uid="{00000000-0005-0000-0000-00006A330000}"/>
    <cellStyle name="40% - Accent4 7 2 2 3" xfId="6025" xr:uid="{00000000-0005-0000-0000-00006B330000}"/>
    <cellStyle name="40% - Accent4 7 2 3" xfId="6026" xr:uid="{00000000-0005-0000-0000-00006C330000}"/>
    <cellStyle name="40% - Accent4 7 2 3 2" xfId="6027" xr:uid="{00000000-0005-0000-0000-00006D330000}"/>
    <cellStyle name="40% - Accent4 7 2 3 3" xfId="6028" xr:uid="{00000000-0005-0000-0000-00006E330000}"/>
    <cellStyle name="40% - Accent4 7 2 4" xfId="6029" xr:uid="{00000000-0005-0000-0000-00006F330000}"/>
    <cellStyle name="40% - Accent4 7 2 4 2" xfId="6030" xr:uid="{00000000-0005-0000-0000-000070330000}"/>
    <cellStyle name="40% - Accent4 7 2 4 3" xfId="6031" xr:uid="{00000000-0005-0000-0000-000071330000}"/>
    <cellStyle name="40% - Accent4 7 2 5" xfId="6032" xr:uid="{00000000-0005-0000-0000-000072330000}"/>
    <cellStyle name="40% - Accent4 7 2 6" xfId="6033" xr:uid="{00000000-0005-0000-0000-000073330000}"/>
    <cellStyle name="40% - Accent4 7 2_Volatility" xfId="6034" xr:uid="{00000000-0005-0000-0000-000074330000}"/>
    <cellStyle name="40% - Accent4 7 3" xfId="6035" xr:uid="{00000000-0005-0000-0000-000075330000}"/>
    <cellStyle name="40% - Accent4 7 3 2" xfId="6036" xr:uid="{00000000-0005-0000-0000-000076330000}"/>
    <cellStyle name="40% - Accent4 7 3 2 2" xfId="6037" xr:uid="{00000000-0005-0000-0000-000077330000}"/>
    <cellStyle name="40% - Accent4 7 3 2 3" xfId="6038" xr:uid="{00000000-0005-0000-0000-000078330000}"/>
    <cellStyle name="40% - Accent4 7 3 3" xfId="6039" xr:uid="{00000000-0005-0000-0000-000079330000}"/>
    <cellStyle name="40% - Accent4 7 3 3 2" xfId="6040" xr:uid="{00000000-0005-0000-0000-00007A330000}"/>
    <cellStyle name="40% - Accent4 7 3 3 3" xfId="6041" xr:uid="{00000000-0005-0000-0000-00007B330000}"/>
    <cellStyle name="40% - Accent4 7 3 4" xfId="6042" xr:uid="{00000000-0005-0000-0000-00007C330000}"/>
    <cellStyle name="40% - Accent4 7 3 5" xfId="6043" xr:uid="{00000000-0005-0000-0000-00007D330000}"/>
    <cellStyle name="40% - Accent4 7 3_Volatility" xfId="6044" xr:uid="{00000000-0005-0000-0000-00007E330000}"/>
    <cellStyle name="40% - Accent4 7 4" xfId="6045" xr:uid="{00000000-0005-0000-0000-00007F330000}"/>
    <cellStyle name="40% - Accent4 7 4 2" xfId="6046" xr:uid="{00000000-0005-0000-0000-000080330000}"/>
    <cellStyle name="40% - Accent4 7 4 3" xfId="6047" xr:uid="{00000000-0005-0000-0000-000081330000}"/>
    <cellStyle name="40% - Accent4 7 5" xfId="6048" xr:uid="{00000000-0005-0000-0000-000082330000}"/>
    <cellStyle name="40% - Accent4 7 5 2" xfId="6049" xr:uid="{00000000-0005-0000-0000-000083330000}"/>
    <cellStyle name="40% - Accent4 7 5 3" xfId="6050" xr:uid="{00000000-0005-0000-0000-000084330000}"/>
    <cellStyle name="40% - Accent4 7 6" xfId="6051" xr:uid="{00000000-0005-0000-0000-000085330000}"/>
    <cellStyle name="40% - Accent4 7 6 2" xfId="6052" xr:uid="{00000000-0005-0000-0000-000086330000}"/>
    <cellStyle name="40% - Accent4 7 6 3" xfId="6053" xr:uid="{00000000-0005-0000-0000-000087330000}"/>
    <cellStyle name="40% - Accent4 7 7" xfId="6054" xr:uid="{00000000-0005-0000-0000-000088330000}"/>
    <cellStyle name="40% - Accent4 7 8" xfId="6055" xr:uid="{00000000-0005-0000-0000-000089330000}"/>
    <cellStyle name="40% - Accent4 7_Volatility" xfId="6056" xr:uid="{00000000-0005-0000-0000-00008A330000}"/>
    <cellStyle name="40% - Accent4 8" xfId="6057" xr:uid="{00000000-0005-0000-0000-00008B330000}"/>
    <cellStyle name="40% - Accent4 8 2" xfId="6058" xr:uid="{00000000-0005-0000-0000-00008C330000}"/>
    <cellStyle name="40% - Accent4 8 2 2" xfId="6059" xr:uid="{00000000-0005-0000-0000-00008D330000}"/>
    <cellStyle name="40% - Accent4 8 2 2 2" xfId="6060" xr:uid="{00000000-0005-0000-0000-00008E330000}"/>
    <cellStyle name="40% - Accent4 8 2 2 3" xfId="6061" xr:uid="{00000000-0005-0000-0000-00008F330000}"/>
    <cellStyle name="40% - Accent4 8 2 3" xfId="6062" xr:uid="{00000000-0005-0000-0000-000090330000}"/>
    <cellStyle name="40% - Accent4 8 2 3 2" xfId="6063" xr:uid="{00000000-0005-0000-0000-000091330000}"/>
    <cellStyle name="40% - Accent4 8 2 3 3" xfId="6064" xr:uid="{00000000-0005-0000-0000-000092330000}"/>
    <cellStyle name="40% - Accent4 8 2 4" xfId="6065" xr:uid="{00000000-0005-0000-0000-000093330000}"/>
    <cellStyle name="40% - Accent4 8 2 4 2" xfId="6066" xr:uid="{00000000-0005-0000-0000-000094330000}"/>
    <cellStyle name="40% - Accent4 8 2 4 3" xfId="6067" xr:uid="{00000000-0005-0000-0000-000095330000}"/>
    <cellStyle name="40% - Accent4 8 2 5" xfId="6068" xr:uid="{00000000-0005-0000-0000-000096330000}"/>
    <cellStyle name="40% - Accent4 8 2 6" xfId="6069" xr:uid="{00000000-0005-0000-0000-000097330000}"/>
    <cellStyle name="40% - Accent4 8 2_Volatility" xfId="6070" xr:uid="{00000000-0005-0000-0000-000098330000}"/>
    <cellStyle name="40% - Accent4 8 3" xfId="6071" xr:uid="{00000000-0005-0000-0000-000099330000}"/>
    <cellStyle name="40% - Accent4 8 3 2" xfId="6072" xr:uid="{00000000-0005-0000-0000-00009A330000}"/>
    <cellStyle name="40% - Accent4 8 3 2 2" xfId="6073" xr:uid="{00000000-0005-0000-0000-00009B330000}"/>
    <cellStyle name="40% - Accent4 8 3 2 3" xfId="6074" xr:uid="{00000000-0005-0000-0000-00009C330000}"/>
    <cellStyle name="40% - Accent4 8 3 3" xfId="6075" xr:uid="{00000000-0005-0000-0000-00009D330000}"/>
    <cellStyle name="40% - Accent4 8 3 3 2" xfId="6076" xr:uid="{00000000-0005-0000-0000-00009E330000}"/>
    <cellStyle name="40% - Accent4 8 3 3 3" xfId="6077" xr:uid="{00000000-0005-0000-0000-00009F330000}"/>
    <cellStyle name="40% - Accent4 8 3 4" xfId="6078" xr:uid="{00000000-0005-0000-0000-0000A0330000}"/>
    <cellStyle name="40% - Accent4 8 3 5" xfId="6079" xr:uid="{00000000-0005-0000-0000-0000A1330000}"/>
    <cellStyle name="40% - Accent4 8 3_Volatility" xfId="6080" xr:uid="{00000000-0005-0000-0000-0000A2330000}"/>
    <cellStyle name="40% - Accent4 8 4" xfId="6081" xr:uid="{00000000-0005-0000-0000-0000A3330000}"/>
    <cellStyle name="40% - Accent4 8 4 2" xfId="6082" xr:uid="{00000000-0005-0000-0000-0000A4330000}"/>
    <cellStyle name="40% - Accent4 8 4 3" xfId="6083" xr:uid="{00000000-0005-0000-0000-0000A5330000}"/>
    <cellStyle name="40% - Accent4 8 5" xfId="6084" xr:uid="{00000000-0005-0000-0000-0000A6330000}"/>
    <cellStyle name="40% - Accent4 8 5 2" xfId="6085" xr:uid="{00000000-0005-0000-0000-0000A7330000}"/>
    <cellStyle name="40% - Accent4 8 5 3" xfId="6086" xr:uid="{00000000-0005-0000-0000-0000A8330000}"/>
    <cellStyle name="40% - Accent4 8 6" xfId="6087" xr:uid="{00000000-0005-0000-0000-0000A9330000}"/>
    <cellStyle name="40% - Accent4 8 6 2" xfId="6088" xr:uid="{00000000-0005-0000-0000-0000AA330000}"/>
    <cellStyle name="40% - Accent4 8 6 3" xfId="6089" xr:uid="{00000000-0005-0000-0000-0000AB330000}"/>
    <cellStyle name="40% - Accent4 8 7" xfId="6090" xr:uid="{00000000-0005-0000-0000-0000AC330000}"/>
    <cellStyle name="40% - Accent4 8 8" xfId="6091" xr:uid="{00000000-0005-0000-0000-0000AD330000}"/>
    <cellStyle name="40% - Accent4 8_Volatility" xfId="6092" xr:uid="{00000000-0005-0000-0000-0000AE330000}"/>
    <cellStyle name="40% - Accent4 9" xfId="6093" xr:uid="{00000000-0005-0000-0000-0000AF330000}"/>
    <cellStyle name="40% - Accent4 9 2" xfId="6094" xr:uid="{00000000-0005-0000-0000-0000B0330000}"/>
    <cellStyle name="40% - Accent4 9 2 2" xfId="6095" xr:uid="{00000000-0005-0000-0000-0000B1330000}"/>
    <cellStyle name="40% - Accent4 9 2 2 2" xfId="6096" xr:uid="{00000000-0005-0000-0000-0000B2330000}"/>
    <cellStyle name="40% - Accent4 9 2 2 3" xfId="6097" xr:uid="{00000000-0005-0000-0000-0000B3330000}"/>
    <cellStyle name="40% - Accent4 9 2 3" xfId="6098" xr:uid="{00000000-0005-0000-0000-0000B4330000}"/>
    <cellStyle name="40% - Accent4 9 2 3 2" xfId="6099" xr:uid="{00000000-0005-0000-0000-0000B5330000}"/>
    <cellStyle name="40% - Accent4 9 2 3 3" xfId="6100" xr:uid="{00000000-0005-0000-0000-0000B6330000}"/>
    <cellStyle name="40% - Accent4 9 2 4" xfId="6101" xr:uid="{00000000-0005-0000-0000-0000B7330000}"/>
    <cellStyle name="40% - Accent4 9 2 4 2" xfId="6102" xr:uid="{00000000-0005-0000-0000-0000B8330000}"/>
    <cellStyle name="40% - Accent4 9 2 4 3" xfId="6103" xr:uid="{00000000-0005-0000-0000-0000B9330000}"/>
    <cellStyle name="40% - Accent4 9 2 5" xfId="6104" xr:uid="{00000000-0005-0000-0000-0000BA330000}"/>
    <cellStyle name="40% - Accent4 9 2 6" xfId="6105" xr:uid="{00000000-0005-0000-0000-0000BB330000}"/>
    <cellStyle name="40% - Accent4 9 2_Volatility" xfId="6106" xr:uid="{00000000-0005-0000-0000-0000BC330000}"/>
    <cellStyle name="40% - Accent4 9 3" xfId="6107" xr:uid="{00000000-0005-0000-0000-0000BD330000}"/>
    <cellStyle name="40% - Accent4 9 3 2" xfId="6108" xr:uid="{00000000-0005-0000-0000-0000BE330000}"/>
    <cellStyle name="40% - Accent4 9 3 2 2" xfId="6109" xr:uid="{00000000-0005-0000-0000-0000BF330000}"/>
    <cellStyle name="40% - Accent4 9 3 2 3" xfId="6110" xr:uid="{00000000-0005-0000-0000-0000C0330000}"/>
    <cellStyle name="40% - Accent4 9 3 3" xfId="6111" xr:uid="{00000000-0005-0000-0000-0000C1330000}"/>
    <cellStyle name="40% - Accent4 9 3 3 2" xfId="6112" xr:uid="{00000000-0005-0000-0000-0000C2330000}"/>
    <cellStyle name="40% - Accent4 9 3 3 3" xfId="6113" xr:uid="{00000000-0005-0000-0000-0000C3330000}"/>
    <cellStyle name="40% - Accent4 9 3 4" xfId="6114" xr:uid="{00000000-0005-0000-0000-0000C4330000}"/>
    <cellStyle name="40% - Accent4 9 3 5" xfId="6115" xr:uid="{00000000-0005-0000-0000-0000C5330000}"/>
    <cellStyle name="40% - Accent4 9 3_Volatility" xfId="6116" xr:uid="{00000000-0005-0000-0000-0000C6330000}"/>
    <cellStyle name="40% - Accent4 9 4" xfId="6117" xr:uid="{00000000-0005-0000-0000-0000C7330000}"/>
    <cellStyle name="40% - Accent4 9 4 2" xfId="6118" xr:uid="{00000000-0005-0000-0000-0000C8330000}"/>
    <cellStyle name="40% - Accent4 9 4 3" xfId="6119" xr:uid="{00000000-0005-0000-0000-0000C9330000}"/>
    <cellStyle name="40% - Accent4 9 5" xfId="6120" xr:uid="{00000000-0005-0000-0000-0000CA330000}"/>
    <cellStyle name="40% - Accent4 9 5 2" xfId="6121" xr:uid="{00000000-0005-0000-0000-0000CB330000}"/>
    <cellStyle name="40% - Accent4 9 5 3" xfId="6122" xr:uid="{00000000-0005-0000-0000-0000CC330000}"/>
    <cellStyle name="40% - Accent4 9 6" xfId="6123" xr:uid="{00000000-0005-0000-0000-0000CD330000}"/>
    <cellStyle name="40% - Accent4 9 6 2" xfId="6124" xr:uid="{00000000-0005-0000-0000-0000CE330000}"/>
    <cellStyle name="40% - Accent4 9 6 3" xfId="6125" xr:uid="{00000000-0005-0000-0000-0000CF330000}"/>
    <cellStyle name="40% - Accent4 9 7" xfId="6126" xr:uid="{00000000-0005-0000-0000-0000D0330000}"/>
    <cellStyle name="40% - Accent4 9 8" xfId="6127" xr:uid="{00000000-0005-0000-0000-0000D1330000}"/>
    <cellStyle name="40% - Accent4 9_Volatility" xfId="6128" xr:uid="{00000000-0005-0000-0000-0000D2330000}"/>
    <cellStyle name="40% - Accent5 10" xfId="6129" xr:uid="{00000000-0005-0000-0000-0000D3330000}"/>
    <cellStyle name="40% - Accent5 10 2" xfId="6130" xr:uid="{00000000-0005-0000-0000-0000D4330000}"/>
    <cellStyle name="40% - Accent5 10 2 2" xfId="6131" xr:uid="{00000000-0005-0000-0000-0000D5330000}"/>
    <cellStyle name="40% - Accent5 10 2 2 2" xfId="6132" xr:uid="{00000000-0005-0000-0000-0000D6330000}"/>
    <cellStyle name="40% - Accent5 10 2 2 3" xfId="6133" xr:uid="{00000000-0005-0000-0000-0000D7330000}"/>
    <cellStyle name="40% - Accent5 10 2 3" xfId="6134" xr:uid="{00000000-0005-0000-0000-0000D8330000}"/>
    <cellStyle name="40% - Accent5 10 2 3 2" xfId="6135" xr:uid="{00000000-0005-0000-0000-0000D9330000}"/>
    <cellStyle name="40% - Accent5 10 2 3 3" xfId="6136" xr:uid="{00000000-0005-0000-0000-0000DA330000}"/>
    <cellStyle name="40% - Accent5 10 2 4" xfId="6137" xr:uid="{00000000-0005-0000-0000-0000DB330000}"/>
    <cellStyle name="40% - Accent5 10 2 4 2" xfId="6138" xr:uid="{00000000-0005-0000-0000-0000DC330000}"/>
    <cellStyle name="40% - Accent5 10 2 4 3" xfId="6139" xr:uid="{00000000-0005-0000-0000-0000DD330000}"/>
    <cellStyle name="40% - Accent5 10 2 5" xfId="6140" xr:uid="{00000000-0005-0000-0000-0000DE330000}"/>
    <cellStyle name="40% - Accent5 10 2 6" xfId="6141" xr:uid="{00000000-0005-0000-0000-0000DF330000}"/>
    <cellStyle name="40% - Accent5 10 2_Volatility" xfId="6142" xr:uid="{00000000-0005-0000-0000-0000E0330000}"/>
    <cellStyle name="40% - Accent5 10 3" xfId="6143" xr:uid="{00000000-0005-0000-0000-0000E1330000}"/>
    <cellStyle name="40% - Accent5 10 3 2" xfId="6144" xr:uid="{00000000-0005-0000-0000-0000E2330000}"/>
    <cellStyle name="40% - Accent5 10 3 2 2" xfId="6145" xr:uid="{00000000-0005-0000-0000-0000E3330000}"/>
    <cellStyle name="40% - Accent5 10 3 2 3" xfId="6146" xr:uid="{00000000-0005-0000-0000-0000E4330000}"/>
    <cellStyle name="40% - Accent5 10 3 3" xfId="6147" xr:uid="{00000000-0005-0000-0000-0000E5330000}"/>
    <cellStyle name="40% - Accent5 10 3 3 2" xfId="6148" xr:uid="{00000000-0005-0000-0000-0000E6330000}"/>
    <cellStyle name="40% - Accent5 10 3 3 3" xfId="6149" xr:uid="{00000000-0005-0000-0000-0000E7330000}"/>
    <cellStyle name="40% - Accent5 10 3 4" xfId="6150" xr:uid="{00000000-0005-0000-0000-0000E8330000}"/>
    <cellStyle name="40% - Accent5 10 3 5" xfId="6151" xr:uid="{00000000-0005-0000-0000-0000E9330000}"/>
    <cellStyle name="40% - Accent5 10 3_Volatility" xfId="6152" xr:uid="{00000000-0005-0000-0000-0000EA330000}"/>
    <cellStyle name="40% - Accent5 10 4" xfId="6153" xr:uid="{00000000-0005-0000-0000-0000EB330000}"/>
    <cellStyle name="40% - Accent5 10 4 2" xfId="6154" xr:uid="{00000000-0005-0000-0000-0000EC330000}"/>
    <cellStyle name="40% - Accent5 10 4 3" xfId="6155" xr:uid="{00000000-0005-0000-0000-0000ED330000}"/>
    <cellStyle name="40% - Accent5 10 5" xfId="6156" xr:uid="{00000000-0005-0000-0000-0000EE330000}"/>
    <cellStyle name="40% - Accent5 10 5 2" xfId="6157" xr:uid="{00000000-0005-0000-0000-0000EF330000}"/>
    <cellStyle name="40% - Accent5 10 5 3" xfId="6158" xr:uid="{00000000-0005-0000-0000-0000F0330000}"/>
    <cellStyle name="40% - Accent5 10 6" xfId="6159" xr:uid="{00000000-0005-0000-0000-0000F1330000}"/>
    <cellStyle name="40% - Accent5 10 6 2" xfId="6160" xr:uid="{00000000-0005-0000-0000-0000F2330000}"/>
    <cellStyle name="40% - Accent5 10 6 3" xfId="6161" xr:uid="{00000000-0005-0000-0000-0000F3330000}"/>
    <cellStyle name="40% - Accent5 10 7" xfId="6162" xr:uid="{00000000-0005-0000-0000-0000F4330000}"/>
    <cellStyle name="40% - Accent5 10 8" xfId="6163" xr:uid="{00000000-0005-0000-0000-0000F5330000}"/>
    <cellStyle name="40% - Accent5 10_Volatility" xfId="6164" xr:uid="{00000000-0005-0000-0000-0000F6330000}"/>
    <cellStyle name="40% - Accent5 11" xfId="6165" xr:uid="{00000000-0005-0000-0000-0000F7330000}"/>
    <cellStyle name="40% - Accent5 11 2" xfId="6166" xr:uid="{00000000-0005-0000-0000-0000F8330000}"/>
    <cellStyle name="40% - Accent5 11 2 2" xfId="6167" xr:uid="{00000000-0005-0000-0000-0000F9330000}"/>
    <cellStyle name="40% - Accent5 11 2 2 2" xfId="6168" xr:uid="{00000000-0005-0000-0000-0000FA330000}"/>
    <cellStyle name="40% - Accent5 11 2 2 3" xfId="6169" xr:uid="{00000000-0005-0000-0000-0000FB330000}"/>
    <cellStyle name="40% - Accent5 11 2 3" xfId="6170" xr:uid="{00000000-0005-0000-0000-0000FC330000}"/>
    <cellStyle name="40% - Accent5 11 2 3 2" xfId="6171" xr:uid="{00000000-0005-0000-0000-0000FD330000}"/>
    <cellStyle name="40% - Accent5 11 2 3 3" xfId="6172" xr:uid="{00000000-0005-0000-0000-0000FE330000}"/>
    <cellStyle name="40% - Accent5 11 2 4" xfId="6173" xr:uid="{00000000-0005-0000-0000-0000FF330000}"/>
    <cellStyle name="40% - Accent5 11 2 4 2" xfId="6174" xr:uid="{00000000-0005-0000-0000-000000340000}"/>
    <cellStyle name="40% - Accent5 11 2 4 3" xfId="6175" xr:uid="{00000000-0005-0000-0000-000001340000}"/>
    <cellStyle name="40% - Accent5 11 2 5" xfId="6176" xr:uid="{00000000-0005-0000-0000-000002340000}"/>
    <cellStyle name="40% - Accent5 11 2 6" xfId="6177" xr:uid="{00000000-0005-0000-0000-000003340000}"/>
    <cellStyle name="40% - Accent5 11 2_Volatility" xfId="6178" xr:uid="{00000000-0005-0000-0000-000004340000}"/>
    <cellStyle name="40% - Accent5 11 3" xfId="6179" xr:uid="{00000000-0005-0000-0000-000005340000}"/>
    <cellStyle name="40% - Accent5 11 3 2" xfId="6180" xr:uid="{00000000-0005-0000-0000-000006340000}"/>
    <cellStyle name="40% - Accent5 11 3 2 2" xfId="6181" xr:uid="{00000000-0005-0000-0000-000007340000}"/>
    <cellStyle name="40% - Accent5 11 3 2 3" xfId="6182" xr:uid="{00000000-0005-0000-0000-000008340000}"/>
    <cellStyle name="40% - Accent5 11 3 3" xfId="6183" xr:uid="{00000000-0005-0000-0000-000009340000}"/>
    <cellStyle name="40% - Accent5 11 3 3 2" xfId="6184" xr:uid="{00000000-0005-0000-0000-00000A340000}"/>
    <cellStyle name="40% - Accent5 11 3 3 3" xfId="6185" xr:uid="{00000000-0005-0000-0000-00000B340000}"/>
    <cellStyle name="40% - Accent5 11 3 4" xfId="6186" xr:uid="{00000000-0005-0000-0000-00000C340000}"/>
    <cellStyle name="40% - Accent5 11 3 5" xfId="6187" xr:uid="{00000000-0005-0000-0000-00000D340000}"/>
    <cellStyle name="40% - Accent5 11 3_Volatility" xfId="6188" xr:uid="{00000000-0005-0000-0000-00000E340000}"/>
    <cellStyle name="40% - Accent5 11 4" xfId="6189" xr:uid="{00000000-0005-0000-0000-00000F340000}"/>
    <cellStyle name="40% - Accent5 11 4 2" xfId="6190" xr:uid="{00000000-0005-0000-0000-000010340000}"/>
    <cellStyle name="40% - Accent5 11 4 3" xfId="6191" xr:uid="{00000000-0005-0000-0000-000011340000}"/>
    <cellStyle name="40% - Accent5 11 5" xfId="6192" xr:uid="{00000000-0005-0000-0000-000012340000}"/>
    <cellStyle name="40% - Accent5 11 5 2" xfId="6193" xr:uid="{00000000-0005-0000-0000-000013340000}"/>
    <cellStyle name="40% - Accent5 11 5 3" xfId="6194" xr:uid="{00000000-0005-0000-0000-000014340000}"/>
    <cellStyle name="40% - Accent5 11 6" xfId="6195" xr:uid="{00000000-0005-0000-0000-000015340000}"/>
    <cellStyle name="40% - Accent5 11 6 2" xfId="6196" xr:uid="{00000000-0005-0000-0000-000016340000}"/>
    <cellStyle name="40% - Accent5 11 6 3" xfId="6197" xr:uid="{00000000-0005-0000-0000-000017340000}"/>
    <cellStyle name="40% - Accent5 11 7" xfId="6198" xr:uid="{00000000-0005-0000-0000-000018340000}"/>
    <cellStyle name="40% - Accent5 11 8" xfId="6199" xr:uid="{00000000-0005-0000-0000-000019340000}"/>
    <cellStyle name="40% - Accent5 11_Volatility" xfId="6200" xr:uid="{00000000-0005-0000-0000-00001A340000}"/>
    <cellStyle name="40% - Accent5 12" xfId="6201" xr:uid="{00000000-0005-0000-0000-00001B340000}"/>
    <cellStyle name="40% - Accent5 12 2" xfId="6202" xr:uid="{00000000-0005-0000-0000-00001C340000}"/>
    <cellStyle name="40% - Accent5 12 2 2" xfId="6203" xr:uid="{00000000-0005-0000-0000-00001D340000}"/>
    <cellStyle name="40% - Accent5 12 2 2 2" xfId="6204" xr:uid="{00000000-0005-0000-0000-00001E340000}"/>
    <cellStyle name="40% - Accent5 12 2 2 3" xfId="6205" xr:uid="{00000000-0005-0000-0000-00001F340000}"/>
    <cellStyle name="40% - Accent5 12 2 3" xfId="6206" xr:uid="{00000000-0005-0000-0000-000020340000}"/>
    <cellStyle name="40% - Accent5 12 2 3 2" xfId="6207" xr:uid="{00000000-0005-0000-0000-000021340000}"/>
    <cellStyle name="40% - Accent5 12 2 3 3" xfId="6208" xr:uid="{00000000-0005-0000-0000-000022340000}"/>
    <cellStyle name="40% - Accent5 12 2 4" xfId="6209" xr:uid="{00000000-0005-0000-0000-000023340000}"/>
    <cellStyle name="40% - Accent5 12 2 4 2" xfId="6210" xr:uid="{00000000-0005-0000-0000-000024340000}"/>
    <cellStyle name="40% - Accent5 12 2 4 3" xfId="6211" xr:uid="{00000000-0005-0000-0000-000025340000}"/>
    <cellStyle name="40% - Accent5 12 2 5" xfId="6212" xr:uid="{00000000-0005-0000-0000-000026340000}"/>
    <cellStyle name="40% - Accent5 12 2 6" xfId="6213" xr:uid="{00000000-0005-0000-0000-000027340000}"/>
    <cellStyle name="40% - Accent5 12 2_Volatility" xfId="6214" xr:uid="{00000000-0005-0000-0000-000028340000}"/>
    <cellStyle name="40% - Accent5 12 3" xfId="6215" xr:uid="{00000000-0005-0000-0000-000029340000}"/>
    <cellStyle name="40% - Accent5 12 3 2" xfId="6216" xr:uid="{00000000-0005-0000-0000-00002A340000}"/>
    <cellStyle name="40% - Accent5 12 3 2 2" xfId="6217" xr:uid="{00000000-0005-0000-0000-00002B340000}"/>
    <cellStyle name="40% - Accent5 12 3 2 3" xfId="6218" xr:uid="{00000000-0005-0000-0000-00002C340000}"/>
    <cellStyle name="40% - Accent5 12 3 3" xfId="6219" xr:uid="{00000000-0005-0000-0000-00002D340000}"/>
    <cellStyle name="40% - Accent5 12 3 3 2" xfId="6220" xr:uid="{00000000-0005-0000-0000-00002E340000}"/>
    <cellStyle name="40% - Accent5 12 3 3 3" xfId="6221" xr:uid="{00000000-0005-0000-0000-00002F340000}"/>
    <cellStyle name="40% - Accent5 12 3 4" xfId="6222" xr:uid="{00000000-0005-0000-0000-000030340000}"/>
    <cellStyle name="40% - Accent5 12 3 5" xfId="6223" xr:uid="{00000000-0005-0000-0000-000031340000}"/>
    <cellStyle name="40% - Accent5 12 3_Volatility" xfId="6224" xr:uid="{00000000-0005-0000-0000-000032340000}"/>
    <cellStyle name="40% - Accent5 12 4" xfId="6225" xr:uid="{00000000-0005-0000-0000-000033340000}"/>
    <cellStyle name="40% - Accent5 12 4 2" xfId="6226" xr:uid="{00000000-0005-0000-0000-000034340000}"/>
    <cellStyle name="40% - Accent5 12 4 3" xfId="6227" xr:uid="{00000000-0005-0000-0000-000035340000}"/>
    <cellStyle name="40% - Accent5 12 5" xfId="6228" xr:uid="{00000000-0005-0000-0000-000036340000}"/>
    <cellStyle name="40% - Accent5 12 5 2" xfId="6229" xr:uid="{00000000-0005-0000-0000-000037340000}"/>
    <cellStyle name="40% - Accent5 12 5 3" xfId="6230" xr:uid="{00000000-0005-0000-0000-000038340000}"/>
    <cellStyle name="40% - Accent5 12 6" xfId="6231" xr:uid="{00000000-0005-0000-0000-000039340000}"/>
    <cellStyle name="40% - Accent5 12 6 2" xfId="6232" xr:uid="{00000000-0005-0000-0000-00003A340000}"/>
    <cellStyle name="40% - Accent5 12 6 3" xfId="6233" xr:uid="{00000000-0005-0000-0000-00003B340000}"/>
    <cellStyle name="40% - Accent5 12 7" xfId="6234" xr:uid="{00000000-0005-0000-0000-00003C340000}"/>
    <cellStyle name="40% - Accent5 12 8" xfId="6235" xr:uid="{00000000-0005-0000-0000-00003D340000}"/>
    <cellStyle name="40% - Accent5 12_Volatility" xfId="6236" xr:uid="{00000000-0005-0000-0000-00003E340000}"/>
    <cellStyle name="40% - Accent5 13" xfId="6237" xr:uid="{00000000-0005-0000-0000-00003F340000}"/>
    <cellStyle name="40% - Accent5 13 2" xfId="6238" xr:uid="{00000000-0005-0000-0000-000040340000}"/>
    <cellStyle name="40% - Accent5 13 2 2" xfId="6239" xr:uid="{00000000-0005-0000-0000-000041340000}"/>
    <cellStyle name="40% - Accent5 13 2 2 2" xfId="6240" xr:uid="{00000000-0005-0000-0000-000042340000}"/>
    <cellStyle name="40% - Accent5 13 2 2 3" xfId="6241" xr:uid="{00000000-0005-0000-0000-000043340000}"/>
    <cellStyle name="40% - Accent5 13 2 3" xfId="6242" xr:uid="{00000000-0005-0000-0000-000044340000}"/>
    <cellStyle name="40% - Accent5 13 2 3 2" xfId="6243" xr:uid="{00000000-0005-0000-0000-000045340000}"/>
    <cellStyle name="40% - Accent5 13 2 3 3" xfId="6244" xr:uid="{00000000-0005-0000-0000-000046340000}"/>
    <cellStyle name="40% - Accent5 13 2 4" xfId="6245" xr:uid="{00000000-0005-0000-0000-000047340000}"/>
    <cellStyle name="40% - Accent5 13 2 4 2" xfId="6246" xr:uid="{00000000-0005-0000-0000-000048340000}"/>
    <cellStyle name="40% - Accent5 13 2 4 3" xfId="6247" xr:uid="{00000000-0005-0000-0000-000049340000}"/>
    <cellStyle name="40% - Accent5 13 2 5" xfId="6248" xr:uid="{00000000-0005-0000-0000-00004A340000}"/>
    <cellStyle name="40% - Accent5 13 2 6" xfId="6249" xr:uid="{00000000-0005-0000-0000-00004B340000}"/>
    <cellStyle name="40% - Accent5 13 2_Volatility" xfId="6250" xr:uid="{00000000-0005-0000-0000-00004C340000}"/>
    <cellStyle name="40% - Accent5 13 3" xfId="6251" xr:uid="{00000000-0005-0000-0000-00004D340000}"/>
    <cellStyle name="40% - Accent5 13 3 2" xfId="6252" xr:uid="{00000000-0005-0000-0000-00004E340000}"/>
    <cellStyle name="40% - Accent5 13 3 2 2" xfId="6253" xr:uid="{00000000-0005-0000-0000-00004F340000}"/>
    <cellStyle name="40% - Accent5 13 3 2 3" xfId="6254" xr:uid="{00000000-0005-0000-0000-000050340000}"/>
    <cellStyle name="40% - Accent5 13 3 3" xfId="6255" xr:uid="{00000000-0005-0000-0000-000051340000}"/>
    <cellStyle name="40% - Accent5 13 3 3 2" xfId="6256" xr:uid="{00000000-0005-0000-0000-000052340000}"/>
    <cellStyle name="40% - Accent5 13 3 3 3" xfId="6257" xr:uid="{00000000-0005-0000-0000-000053340000}"/>
    <cellStyle name="40% - Accent5 13 3 4" xfId="6258" xr:uid="{00000000-0005-0000-0000-000054340000}"/>
    <cellStyle name="40% - Accent5 13 3 5" xfId="6259" xr:uid="{00000000-0005-0000-0000-000055340000}"/>
    <cellStyle name="40% - Accent5 13 3_Volatility" xfId="6260" xr:uid="{00000000-0005-0000-0000-000056340000}"/>
    <cellStyle name="40% - Accent5 13 4" xfId="6261" xr:uid="{00000000-0005-0000-0000-000057340000}"/>
    <cellStyle name="40% - Accent5 13 4 2" xfId="6262" xr:uid="{00000000-0005-0000-0000-000058340000}"/>
    <cellStyle name="40% - Accent5 13 4 3" xfId="6263" xr:uid="{00000000-0005-0000-0000-000059340000}"/>
    <cellStyle name="40% - Accent5 13 5" xfId="6264" xr:uid="{00000000-0005-0000-0000-00005A340000}"/>
    <cellStyle name="40% - Accent5 13 5 2" xfId="6265" xr:uid="{00000000-0005-0000-0000-00005B340000}"/>
    <cellStyle name="40% - Accent5 13 5 3" xfId="6266" xr:uid="{00000000-0005-0000-0000-00005C340000}"/>
    <cellStyle name="40% - Accent5 13 6" xfId="6267" xr:uid="{00000000-0005-0000-0000-00005D340000}"/>
    <cellStyle name="40% - Accent5 13 6 2" xfId="6268" xr:uid="{00000000-0005-0000-0000-00005E340000}"/>
    <cellStyle name="40% - Accent5 13 6 3" xfId="6269" xr:uid="{00000000-0005-0000-0000-00005F340000}"/>
    <cellStyle name="40% - Accent5 13 7" xfId="6270" xr:uid="{00000000-0005-0000-0000-000060340000}"/>
    <cellStyle name="40% - Accent5 13 8" xfId="6271" xr:uid="{00000000-0005-0000-0000-000061340000}"/>
    <cellStyle name="40% - Accent5 13_Volatility" xfId="6272" xr:uid="{00000000-0005-0000-0000-000062340000}"/>
    <cellStyle name="40% - Accent5 14" xfId="6273" xr:uid="{00000000-0005-0000-0000-000063340000}"/>
    <cellStyle name="40% - Accent5 14 2" xfId="6274" xr:uid="{00000000-0005-0000-0000-000064340000}"/>
    <cellStyle name="40% - Accent5 14 2 2" xfId="6275" xr:uid="{00000000-0005-0000-0000-000065340000}"/>
    <cellStyle name="40% - Accent5 14 2 2 2" xfId="6276" xr:uid="{00000000-0005-0000-0000-000066340000}"/>
    <cellStyle name="40% - Accent5 14 2 2 3" xfId="6277" xr:uid="{00000000-0005-0000-0000-000067340000}"/>
    <cellStyle name="40% - Accent5 14 2 3" xfId="6278" xr:uid="{00000000-0005-0000-0000-000068340000}"/>
    <cellStyle name="40% - Accent5 14 2 3 2" xfId="6279" xr:uid="{00000000-0005-0000-0000-000069340000}"/>
    <cellStyle name="40% - Accent5 14 2 3 3" xfId="6280" xr:uid="{00000000-0005-0000-0000-00006A340000}"/>
    <cellStyle name="40% - Accent5 14 2 4" xfId="6281" xr:uid="{00000000-0005-0000-0000-00006B340000}"/>
    <cellStyle name="40% - Accent5 14 2 4 2" xfId="6282" xr:uid="{00000000-0005-0000-0000-00006C340000}"/>
    <cellStyle name="40% - Accent5 14 2 4 3" xfId="6283" xr:uid="{00000000-0005-0000-0000-00006D340000}"/>
    <cellStyle name="40% - Accent5 14 2 5" xfId="6284" xr:uid="{00000000-0005-0000-0000-00006E340000}"/>
    <cellStyle name="40% - Accent5 14 2 6" xfId="6285" xr:uid="{00000000-0005-0000-0000-00006F340000}"/>
    <cellStyle name="40% - Accent5 14 2_Volatility" xfId="6286" xr:uid="{00000000-0005-0000-0000-000070340000}"/>
    <cellStyle name="40% - Accent5 14 3" xfId="6287" xr:uid="{00000000-0005-0000-0000-000071340000}"/>
    <cellStyle name="40% - Accent5 14 3 2" xfId="6288" xr:uid="{00000000-0005-0000-0000-000072340000}"/>
    <cellStyle name="40% - Accent5 14 3 2 2" xfId="6289" xr:uid="{00000000-0005-0000-0000-000073340000}"/>
    <cellStyle name="40% - Accent5 14 3 2 3" xfId="6290" xr:uid="{00000000-0005-0000-0000-000074340000}"/>
    <cellStyle name="40% - Accent5 14 3 3" xfId="6291" xr:uid="{00000000-0005-0000-0000-000075340000}"/>
    <cellStyle name="40% - Accent5 14 3 3 2" xfId="6292" xr:uid="{00000000-0005-0000-0000-000076340000}"/>
    <cellStyle name="40% - Accent5 14 3 3 3" xfId="6293" xr:uid="{00000000-0005-0000-0000-000077340000}"/>
    <cellStyle name="40% - Accent5 14 3 4" xfId="6294" xr:uid="{00000000-0005-0000-0000-000078340000}"/>
    <cellStyle name="40% - Accent5 14 3 5" xfId="6295" xr:uid="{00000000-0005-0000-0000-000079340000}"/>
    <cellStyle name="40% - Accent5 14 3_Volatility" xfId="6296" xr:uid="{00000000-0005-0000-0000-00007A340000}"/>
    <cellStyle name="40% - Accent5 14 4" xfId="6297" xr:uid="{00000000-0005-0000-0000-00007B340000}"/>
    <cellStyle name="40% - Accent5 14 4 2" xfId="6298" xr:uid="{00000000-0005-0000-0000-00007C340000}"/>
    <cellStyle name="40% - Accent5 14 4 3" xfId="6299" xr:uid="{00000000-0005-0000-0000-00007D340000}"/>
    <cellStyle name="40% - Accent5 14 5" xfId="6300" xr:uid="{00000000-0005-0000-0000-00007E340000}"/>
    <cellStyle name="40% - Accent5 14 5 2" xfId="6301" xr:uid="{00000000-0005-0000-0000-00007F340000}"/>
    <cellStyle name="40% - Accent5 14 5 3" xfId="6302" xr:uid="{00000000-0005-0000-0000-000080340000}"/>
    <cellStyle name="40% - Accent5 14 6" xfId="6303" xr:uid="{00000000-0005-0000-0000-000081340000}"/>
    <cellStyle name="40% - Accent5 14 6 2" xfId="6304" xr:uid="{00000000-0005-0000-0000-000082340000}"/>
    <cellStyle name="40% - Accent5 14 6 3" xfId="6305" xr:uid="{00000000-0005-0000-0000-000083340000}"/>
    <cellStyle name="40% - Accent5 14 7" xfId="6306" xr:uid="{00000000-0005-0000-0000-000084340000}"/>
    <cellStyle name="40% - Accent5 14 8" xfId="6307" xr:uid="{00000000-0005-0000-0000-000085340000}"/>
    <cellStyle name="40% - Accent5 14_Volatility" xfId="6308" xr:uid="{00000000-0005-0000-0000-000086340000}"/>
    <cellStyle name="40% - Accent5 15" xfId="6309" xr:uid="{00000000-0005-0000-0000-000087340000}"/>
    <cellStyle name="40% - Accent5 15 2" xfId="6310" xr:uid="{00000000-0005-0000-0000-000088340000}"/>
    <cellStyle name="40% - Accent5 15 2 2" xfId="6311" xr:uid="{00000000-0005-0000-0000-000089340000}"/>
    <cellStyle name="40% - Accent5 15 2 2 2" xfId="6312" xr:uid="{00000000-0005-0000-0000-00008A340000}"/>
    <cellStyle name="40% - Accent5 15 2 2 3" xfId="6313" xr:uid="{00000000-0005-0000-0000-00008B340000}"/>
    <cellStyle name="40% - Accent5 15 2 3" xfId="6314" xr:uid="{00000000-0005-0000-0000-00008C340000}"/>
    <cellStyle name="40% - Accent5 15 2 3 2" xfId="6315" xr:uid="{00000000-0005-0000-0000-00008D340000}"/>
    <cellStyle name="40% - Accent5 15 2 3 3" xfId="6316" xr:uid="{00000000-0005-0000-0000-00008E340000}"/>
    <cellStyle name="40% - Accent5 15 2 4" xfId="6317" xr:uid="{00000000-0005-0000-0000-00008F340000}"/>
    <cellStyle name="40% - Accent5 15 2 4 2" xfId="6318" xr:uid="{00000000-0005-0000-0000-000090340000}"/>
    <cellStyle name="40% - Accent5 15 2 4 3" xfId="6319" xr:uid="{00000000-0005-0000-0000-000091340000}"/>
    <cellStyle name="40% - Accent5 15 2 5" xfId="6320" xr:uid="{00000000-0005-0000-0000-000092340000}"/>
    <cellStyle name="40% - Accent5 15 2 6" xfId="6321" xr:uid="{00000000-0005-0000-0000-000093340000}"/>
    <cellStyle name="40% - Accent5 15 2_Volatility" xfId="6322" xr:uid="{00000000-0005-0000-0000-000094340000}"/>
    <cellStyle name="40% - Accent5 15 3" xfId="6323" xr:uid="{00000000-0005-0000-0000-000095340000}"/>
    <cellStyle name="40% - Accent5 15 3 2" xfId="6324" xr:uid="{00000000-0005-0000-0000-000096340000}"/>
    <cellStyle name="40% - Accent5 15 3 2 2" xfId="6325" xr:uid="{00000000-0005-0000-0000-000097340000}"/>
    <cellStyle name="40% - Accent5 15 3 2 3" xfId="6326" xr:uid="{00000000-0005-0000-0000-000098340000}"/>
    <cellStyle name="40% - Accent5 15 3 3" xfId="6327" xr:uid="{00000000-0005-0000-0000-000099340000}"/>
    <cellStyle name="40% - Accent5 15 3 3 2" xfId="6328" xr:uid="{00000000-0005-0000-0000-00009A340000}"/>
    <cellStyle name="40% - Accent5 15 3 3 3" xfId="6329" xr:uid="{00000000-0005-0000-0000-00009B340000}"/>
    <cellStyle name="40% - Accent5 15 3 4" xfId="6330" xr:uid="{00000000-0005-0000-0000-00009C340000}"/>
    <cellStyle name="40% - Accent5 15 3 5" xfId="6331" xr:uid="{00000000-0005-0000-0000-00009D340000}"/>
    <cellStyle name="40% - Accent5 15 3_Volatility" xfId="6332" xr:uid="{00000000-0005-0000-0000-00009E340000}"/>
    <cellStyle name="40% - Accent5 15 4" xfId="6333" xr:uid="{00000000-0005-0000-0000-00009F340000}"/>
    <cellStyle name="40% - Accent5 15 4 2" xfId="6334" xr:uid="{00000000-0005-0000-0000-0000A0340000}"/>
    <cellStyle name="40% - Accent5 15 4 3" xfId="6335" xr:uid="{00000000-0005-0000-0000-0000A1340000}"/>
    <cellStyle name="40% - Accent5 15 5" xfId="6336" xr:uid="{00000000-0005-0000-0000-0000A2340000}"/>
    <cellStyle name="40% - Accent5 15 5 2" xfId="6337" xr:uid="{00000000-0005-0000-0000-0000A3340000}"/>
    <cellStyle name="40% - Accent5 15 5 3" xfId="6338" xr:uid="{00000000-0005-0000-0000-0000A4340000}"/>
    <cellStyle name="40% - Accent5 15 6" xfId="6339" xr:uid="{00000000-0005-0000-0000-0000A5340000}"/>
    <cellStyle name="40% - Accent5 15 6 2" xfId="6340" xr:uid="{00000000-0005-0000-0000-0000A6340000}"/>
    <cellStyle name="40% - Accent5 15 6 3" xfId="6341" xr:uid="{00000000-0005-0000-0000-0000A7340000}"/>
    <cellStyle name="40% - Accent5 15 7" xfId="6342" xr:uid="{00000000-0005-0000-0000-0000A8340000}"/>
    <cellStyle name="40% - Accent5 15 8" xfId="6343" xr:uid="{00000000-0005-0000-0000-0000A9340000}"/>
    <cellStyle name="40% - Accent5 15_Volatility" xfId="6344" xr:uid="{00000000-0005-0000-0000-0000AA340000}"/>
    <cellStyle name="40% - Accent5 16" xfId="6345" xr:uid="{00000000-0005-0000-0000-0000AB340000}"/>
    <cellStyle name="40% - Accent5 16 2" xfId="15941" xr:uid="{00000000-0005-0000-0000-0000AC340000}"/>
    <cellStyle name="40% - Accent5 16 3" xfId="19892" xr:uid="{00000000-0005-0000-0000-0000AD340000}"/>
    <cellStyle name="40% - Accent5 17" xfId="6346" xr:uid="{00000000-0005-0000-0000-0000AE340000}"/>
    <cellStyle name="40% - Accent5 17 2" xfId="15942" xr:uid="{00000000-0005-0000-0000-0000AF340000}"/>
    <cellStyle name="40% - Accent5 17 3" xfId="19893" xr:uid="{00000000-0005-0000-0000-0000B0340000}"/>
    <cellStyle name="40% - Accent5 18" xfId="6347" xr:uid="{00000000-0005-0000-0000-0000B1340000}"/>
    <cellStyle name="40% - Accent5 18 2" xfId="15943" xr:uid="{00000000-0005-0000-0000-0000B2340000}"/>
    <cellStyle name="40% - Accent5 18 3" xfId="19894" xr:uid="{00000000-0005-0000-0000-0000B3340000}"/>
    <cellStyle name="40% - Accent5 19" xfId="6348" xr:uid="{00000000-0005-0000-0000-0000B4340000}"/>
    <cellStyle name="40% - Accent5 19 2" xfId="15944" xr:uid="{00000000-0005-0000-0000-0000B5340000}"/>
    <cellStyle name="40% - Accent5 19 3" xfId="19895" xr:uid="{00000000-0005-0000-0000-0000B6340000}"/>
    <cellStyle name="40% - Accent5 2" xfId="6349" xr:uid="{00000000-0005-0000-0000-0000B7340000}"/>
    <cellStyle name="40% - Accent5 2 2" xfId="6350" xr:uid="{00000000-0005-0000-0000-0000B8340000}"/>
    <cellStyle name="40% - Accent5 2 2 2" xfId="6351" xr:uid="{00000000-0005-0000-0000-0000B9340000}"/>
    <cellStyle name="40% - Accent5 2 2 2 2" xfId="6352" xr:uid="{00000000-0005-0000-0000-0000BA340000}"/>
    <cellStyle name="40% - Accent5 2 2 2 3" xfId="6353" xr:uid="{00000000-0005-0000-0000-0000BB340000}"/>
    <cellStyle name="40% - Accent5 2 2 3" xfId="6354" xr:uid="{00000000-0005-0000-0000-0000BC340000}"/>
    <cellStyle name="40% - Accent5 2 2 3 2" xfId="6355" xr:uid="{00000000-0005-0000-0000-0000BD340000}"/>
    <cellStyle name="40% - Accent5 2 2 3 3" xfId="6356" xr:uid="{00000000-0005-0000-0000-0000BE340000}"/>
    <cellStyle name="40% - Accent5 2 2 4" xfId="6357" xr:uid="{00000000-0005-0000-0000-0000BF340000}"/>
    <cellStyle name="40% - Accent5 2 2 4 2" xfId="6358" xr:uid="{00000000-0005-0000-0000-0000C0340000}"/>
    <cellStyle name="40% - Accent5 2 2 4 3" xfId="6359" xr:uid="{00000000-0005-0000-0000-0000C1340000}"/>
    <cellStyle name="40% - Accent5 2 2 5" xfId="6360" xr:uid="{00000000-0005-0000-0000-0000C2340000}"/>
    <cellStyle name="40% - Accent5 2 2 6" xfId="6361" xr:uid="{00000000-0005-0000-0000-0000C3340000}"/>
    <cellStyle name="40% - Accent5 2 2_Volatility" xfId="6362" xr:uid="{00000000-0005-0000-0000-0000C4340000}"/>
    <cellStyle name="40% - Accent5 2 3" xfId="6363" xr:uid="{00000000-0005-0000-0000-0000C5340000}"/>
    <cellStyle name="40% - Accent5 2 3 2" xfId="6364" xr:uid="{00000000-0005-0000-0000-0000C6340000}"/>
    <cellStyle name="40% - Accent5 2 3 2 2" xfId="6365" xr:uid="{00000000-0005-0000-0000-0000C7340000}"/>
    <cellStyle name="40% - Accent5 2 3 2 3" xfId="6366" xr:uid="{00000000-0005-0000-0000-0000C8340000}"/>
    <cellStyle name="40% - Accent5 2 3 3" xfId="6367" xr:uid="{00000000-0005-0000-0000-0000C9340000}"/>
    <cellStyle name="40% - Accent5 2 3 3 2" xfId="6368" xr:uid="{00000000-0005-0000-0000-0000CA340000}"/>
    <cellStyle name="40% - Accent5 2 3 3 3" xfId="6369" xr:uid="{00000000-0005-0000-0000-0000CB340000}"/>
    <cellStyle name="40% - Accent5 2 3 4" xfId="6370" xr:uid="{00000000-0005-0000-0000-0000CC340000}"/>
    <cellStyle name="40% - Accent5 2 3 5" xfId="6371" xr:uid="{00000000-0005-0000-0000-0000CD340000}"/>
    <cellStyle name="40% - Accent5 2 3_Volatility" xfId="6372" xr:uid="{00000000-0005-0000-0000-0000CE340000}"/>
    <cellStyle name="40% - Accent5 2 4" xfId="6373" xr:uid="{00000000-0005-0000-0000-0000CF340000}"/>
    <cellStyle name="40% - Accent5 2 4 2" xfId="6374" xr:uid="{00000000-0005-0000-0000-0000D0340000}"/>
    <cellStyle name="40% - Accent5 2 4 3" xfId="6375" xr:uid="{00000000-0005-0000-0000-0000D1340000}"/>
    <cellStyle name="40% - Accent5 2 5" xfId="6376" xr:uid="{00000000-0005-0000-0000-0000D2340000}"/>
    <cellStyle name="40% - Accent5 2 5 2" xfId="6377" xr:uid="{00000000-0005-0000-0000-0000D3340000}"/>
    <cellStyle name="40% - Accent5 2 5 3" xfId="6378" xr:uid="{00000000-0005-0000-0000-0000D4340000}"/>
    <cellStyle name="40% - Accent5 2 6" xfId="6379" xr:uid="{00000000-0005-0000-0000-0000D5340000}"/>
    <cellStyle name="40% - Accent5 2 6 2" xfId="6380" xr:uid="{00000000-0005-0000-0000-0000D6340000}"/>
    <cellStyle name="40% - Accent5 2 6 3" xfId="6381" xr:uid="{00000000-0005-0000-0000-0000D7340000}"/>
    <cellStyle name="40% - Accent5 2 7" xfId="6382" xr:uid="{00000000-0005-0000-0000-0000D8340000}"/>
    <cellStyle name="40% - Accent5 2 8" xfId="6383" xr:uid="{00000000-0005-0000-0000-0000D9340000}"/>
    <cellStyle name="40% - Accent5 2_Volatility" xfId="6384" xr:uid="{00000000-0005-0000-0000-0000DA340000}"/>
    <cellStyle name="40% - Accent5 3" xfId="6385" xr:uid="{00000000-0005-0000-0000-0000DB340000}"/>
    <cellStyle name="40% - Accent5 3 2" xfId="6386" xr:uid="{00000000-0005-0000-0000-0000DC340000}"/>
    <cellStyle name="40% - Accent5 3 2 2" xfId="6387" xr:uid="{00000000-0005-0000-0000-0000DD340000}"/>
    <cellStyle name="40% - Accent5 3 2 2 2" xfId="6388" xr:uid="{00000000-0005-0000-0000-0000DE340000}"/>
    <cellStyle name="40% - Accent5 3 2 2 3" xfId="6389" xr:uid="{00000000-0005-0000-0000-0000DF340000}"/>
    <cellStyle name="40% - Accent5 3 2 3" xfId="6390" xr:uid="{00000000-0005-0000-0000-0000E0340000}"/>
    <cellStyle name="40% - Accent5 3 2 3 2" xfId="6391" xr:uid="{00000000-0005-0000-0000-0000E1340000}"/>
    <cellStyle name="40% - Accent5 3 2 3 3" xfId="6392" xr:uid="{00000000-0005-0000-0000-0000E2340000}"/>
    <cellStyle name="40% - Accent5 3 2 4" xfId="6393" xr:uid="{00000000-0005-0000-0000-0000E3340000}"/>
    <cellStyle name="40% - Accent5 3 2 4 2" xfId="6394" xr:uid="{00000000-0005-0000-0000-0000E4340000}"/>
    <cellStyle name="40% - Accent5 3 2 4 3" xfId="6395" xr:uid="{00000000-0005-0000-0000-0000E5340000}"/>
    <cellStyle name="40% - Accent5 3 2 5" xfId="6396" xr:uid="{00000000-0005-0000-0000-0000E6340000}"/>
    <cellStyle name="40% - Accent5 3 2 6" xfId="6397" xr:uid="{00000000-0005-0000-0000-0000E7340000}"/>
    <cellStyle name="40% - Accent5 3 2_Volatility" xfId="6398" xr:uid="{00000000-0005-0000-0000-0000E8340000}"/>
    <cellStyle name="40% - Accent5 3 3" xfId="6399" xr:uid="{00000000-0005-0000-0000-0000E9340000}"/>
    <cellStyle name="40% - Accent5 3 3 2" xfId="6400" xr:uid="{00000000-0005-0000-0000-0000EA340000}"/>
    <cellStyle name="40% - Accent5 3 3 2 2" xfId="6401" xr:uid="{00000000-0005-0000-0000-0000EB340000}"/>
    <cellStyle name="40% - Accent5 3 3 2 3" xfId="6402" xr:uid="{00000000-0005-0000-0000-0000EC340000}"/>
    <cellStyle name="40% - Accent5 3 3 3" xfId="6403" xr:uid="{00000000-0005-0000-0000-0000ED340000}"/>
    <cellStyle name="40% - Accent5 3 3 3 2" xfId="6404" xr:uid="{00000000-0005-0000-0000-0000EE340000}"/>
    <cellStyle name="40% - Accent5 3 3 3 3" xfId="6405" xr:uid="{00000000-0005-0000-0000-0000EF340000}"/>
    <cellStyle name="40% - Accent5 3 3 4" xfId="6406" xr:uid="{00000000-0005-0000-0000-0000F0340000}"/>
    <cellStyle name="40% - Accent5 3 3 5" xfId="6407" xr:uid="{00000000-0005-0000-0000-0000F1340000}"/>
    <cellStyle name="40% - Accent5 3 3_Volatility" xfId="6408" xr:uid="{00000000-0005-0000-0000-0000F2340000}"/>
    <cellStyle name="40% - Accent5 3 4" xfId="6409" xr:uid="{00000000-0005-0000-0000-0000F3340000}"/>
    <cellStyle name="40% - Accent5 3 4 2" xfId="6410" xr:uid="{00000000-0005-0000-0000-0000F4340000}"/>
    <cellStyle name="40% - Accent5 3 4 3" xfId="6411" xr:uid="{00000000-0005-0000-0000-0000F5340000}"/>
    <cellStyle name="40% - Accent5 3 5" xfId="6412" xr:uid="{00000000-0005-0000-0000-0000F6340000}"/>
    <cellStyle name="40% - Accent5 3 5 2" xfId="6413" xr:uid="{00000000-0005-0000-0000-0000F7340000}"/>
    <cellStyle name="40% - Accent5 3 5 3" xfId="6414" xr:uid="{00000000-0005-0000-0000-0000F8340000}"/>
    <cellStyle name="40% - Accent5 3 6" xfId="6415" xr:uid="{00000000-0005-0000-0000-0000F9340000}"/>
    <cellStyle name="40% - Accent5 3 6 2" xfId="6416" xr:uid="{00000000-0005-0000-0000-0000FA340000}"/>
    <cellStyle name="40% - Accent5 3 6 3" xfId="6417" xr:uid="{00000000-0005-0000-0000-0000FB340000}"/>
    <cellStyle name="40% - Accent5 3 7" xfId="6418" xr:uid="{00000000-0005-0000-0000-0000FC340000}"/>
    <cellStyle name="40% - Accent5 3 8" xfId="6419" xr:uid="{00000000-0005-0000-0000-0000FD340000}"/>
    <cellStyle name="40% - Accent5 3_Volatility" xfId="6420" xr:uid="{00000000-0005-0000-0000-0000FE340000}"/>
    <cellStyle name="40% - Accent5 4" xfId="6421" xr:uid="{00000000-0005-0000-0000-0000FF340000}"/>
    <cellStyle name="40% - Accent5 4 2" xfId="6422" xr:uid="{00000000-0005-0000-0000-000000350000}"/>
    <cellStyle name="40% - Accent5 4 2 2" xfId="6423" xr:uid="{00000000-0005-0000-0000-000001350000}"/>
    <cellStyle name="40% - Accent5 4 2 2 2" xfId="6424" xr:uid="{00000000-0005-0000-0000-000002350000}"/>
    <cellStyle name="40% - Accent5 4 2 2 3" xfId="6425" xr:uid="{00000000-0005-0000-0000-000003350000}"/>
    <cellStyle name="40% - Accent5 4 2 3" xfId="6426" xr:uid="{00000000-0005-0000-0000-000004350000}"/>
    <cellStyle name="40% - Accent5 4 2 3 2" xfId="6427" xr:uid="{00000000-0005-0000-0000-000005350000}"/>
    <cellStyle name="40% - Accent5 4 2 3 3" xfId="6428" xr:uid="{00000000-0005-0000-0000-000006350000}"/>
    <cellStyle name="40% - Accent5 4 2 4" xfId="6429" xr:uid="{00000000-0005-0000-0000-000007350000}"/>
    <cellStyle name="40% - Accent5 4 2 4 2" xfId="6430" xr:uid="{00000000-0005-0000-0000-000008350000}"/>
    <cellStyle name="40% - Accent5 4 2 4 3" xfId="6431" xr:uid="{00000000-0005-0000-0000-000009350000}"/>
    <cellStyle name="40% - Accent5 4 2 5" xfId="6432" xr:uid="{00000000-0005-0000-0000-00000A350000}"/>
    <cellStyle name="40% - Accent5 4 2 6" xfId="6433" xr:uid="{00000000-0005-0000-0000-00000B350000}"/>
    <cellStyle name="40% - Accent5 4 2_Volatility" xfId="6434" xr:uid="{00000000-0005-0000-0000-00000C350000}"/>
    <cellStyle name="40% - Accent5 4 3" xfId="6435" xr:uid="{00000000-0005-0000-0000-00000D350000}"/>
    <cellStyle name="40% - Accent5 4 3 2" xfId="6436" xr:uid="{00000000-0005-0000-0000-00000E350000}"/>
    <cellStyle name="40% - Accent5 4 3 2 2" xfId="6437" xr:uid="{00000000-0005-0000-0000-00000F350000}"/>
    <cellStyle name="40% - Accent5 4 3 2 3" xfId="6438" xr:uid="{00000000-0005-0000-0000-000010350000}"/>
    <cellStyle name="40% - Accent5 4 3 3" xfId="6439" xr:uid="{00000000-0005-0000-0000-000011350000}"/>
    <cellStyle name="40% - Accent5 4 3 3 2" xfId="6440" xr:uid="{00000000-0005-0000-0000-000012350000}"/>
    <cellStyle name="40% - Accent5 4 3 3 3" xfId="6441" xr:uid="{00000000-0005-0000-0000-000013350000}"/>
    <cellStyle name="40% - Accent5 4 3 4" xfId="6442" xr:uid="{00000000-0005-0000-0000-000014350000}"/>
    <cellStyle name="40% - Accent5 4 3 5" xfId="6443" xr:uid="{00000000-0005-0000-0000-000015350000}"/>
    <cellStyle name="40% - Accent5 4 3_Volatility" xfId="6444" xr:uid="{00000000-0005-0000-0000-000016350000}"/>
    <cellStyle name="40% - Accent5 4 4" xfId="6445" xr:uid="{00000000-0005-0000-0000-000017350000}"/>
    <cellStyle name="40% - Accent5 4 4 2" xfId="6446" xr:uid="{00000000-0005-0000-0000-000018350000}"/>
    <cellStyle name="40% - Accent5 4 4 3" xfId="6447" xr:uid="{00000000-0005-0000-0000-000019350000}"/>
    <cellStyle name="40% - Accent5 4 5" xfId="6448" xr:uid="{00000000-0005-0000-0000-00001A350000}"/>
    <cellStyle name="40% - Accent5 4 5 2" xfId="6449" xr:uid="{00000000-0005-0000-0000-00001B350000}"/>
    <cellStyle name="40% - Accent5 4 5 3" xfId="6450" xr:uid="{00000000-0005-0000-0000-00001C350000}"/>
    <cellStyle name="40% - Accent5 4 6" xfId="6451" xr:uid="{00000000-0005-0000-0000-00001D350000}"/>
    <cellStyle name="40% - Accent5 4 6 2" xfId="6452" xr:uid="{00000000-0005-0000-0000-00001E350000}"/>
    <cellStyle name="40% - Accent5 4 6 3" xfId="6453" xr:uid="{00000000-0005-0000-0000-00001F350000}"/>
    <cellStyle name="40% - Accent5 4 7" xfId="6454" xr:uid="{00000000-0005-0000-0000-000020350000}"/>
    <cellStyle name="40% - Accent5 4 8" xfId="6455" xr:uid="{00000000-0005-0000-0000-000021350000}"/>
    <cellStyle name="40% - Accent5 4_Volatility" xfId="6456" xr:uid="{00000000-0005-0000-0000-000022350000}"/>
    <cellStyle name="40% - Accent5 5" xfId="6457" xr:uid="{00000000-0005-0000-0000-000023350000}"/>
    <cellStyle name="40% - Accent5 5 2" xfId="6458" xr:uid="{00000000-0005-0000-0000-000024350000}"/>
    <cellStyle name="40% - Accent5 5 2 2" xfId="6459" xr:uid="{00000000-0005-0000-0000-000025350000}"/>
    <cellStyle name="40% - Accent5 5 2 2 2" xfId="6460" xr:uid="{00000000-0005-0000-0000-000026350000}"/>
    <cellStyle name="40% - Accent5 5 2 2 3" xfId="6461" xr:uid="{00000000-0005-0000-0000-000027350000}"/>
    <cellStyle name="40% - Accent5 5 2 3" xfId="6462" xr:uid="{00000000-0005-0000-0000-000028350000}"/>
    <cellStyle name="40% - Accent5 5 2 3 2" xfId="6463" xr:uid="{00000000-0005-0000-0000-000029350000}"/>
    <cellStyle name="40% - Accent5 5 2 3 3" xfId="6464" xr:uid="{00000000-0005-0000-0000-00002A350000}"/>
    <cellStyle name="40% - Accent5 5 2 4" xfId="6465" xr:uid="{00000000-0005-0000-0000-00002B350000}"/>
    <cellStyle name="40% - Accent5 5 2 4 2" xfId="6466" xr:uid="{00000000-0005-0000-0000-00002C350000}"/>
    <cellStyle name="40% - Accent5 5 2 4 3" xfId="6467" xr:uid="{00000000-0005-0000-0000-00002D350000}"/>
    <cellStyle name="40% - Accent5 5 2 5" xfId="6468" xr:uid="{00000000-0005-0000-0000-00002E350000}"/>
    <cellStyle name="40% - Accent5 5 2 6" xfId="6469" xr:uid="{00000000-0005-0000-0000-00002F350000}"/>
    <cellStyle name="40% - Accent5 5 2_Volatility" xfId="6470" xr:uid="{00000000-0005-0000-0000-000030350000}"/>
    <cellStyle name="40% - Accent5 5 3" xfId="6471" xr:uid="{00000000-0005-0000-0000-000031350000}"/>
    <cellStyle name="40% - Accent5 5 3 2" xfId="6472" xr:uid="{00000000-0005-0000-0000-000032350000}"/>
    <cellStyle name="40% - Accent5 5 3 2 2" xfId="6473" xr:uid="{00000000-0005-0000-0000-000033350000}"/>
    <cellStyle name="40% - Accent5 5 3 2 3" xfId="6474" xr:uid="{00000000-0005-0000-0000-000034350000}"/>
    <cellStyle name="40% - Accent5 5 3 3" xfId="6475" xr:uid="{00000000-0005-0000-0000-000035350000}"/>
    <cellStyle name="40% - Accent5 5 3 3 2" xfId="6476" xr:uid="{00000000-0005-0000-0000-000036350000}"/>
    <cellStyle name="40% - Accent5 5 3 3 3" xfId="6477" xr:uid="{00000000-0005-0000-0000-000037350000}"/>
    <cellStyle name="40% - Accent5 5 3 4" xfId="6478" xr:uid="{00000000-0005-0000-0000-000038350000}"/>
    <cellStyle name="40% - Accent5 5 3 5" xfId="6479" xr:uid="{00000000-0005-0000-0000-000039350000}"/>
    <cellStyle name="40% - Accent5 5 3_Volatility" xfId="6480" xr:uid="{00000000-0005-0000-0000-00003A350000}"/>
    <cellStyle name="40% - Accent5 5 4" xfId="6481" xr:uid="{00000000-0005-0000-0000-00003B350000}"/>
    <cellStyle name="40% - Accent5 5 4 2" xfId="6482" xr:uid="{00000000-0005-0000-0000-00003C350000}"/>
    <cellStyle name="40% - Accent5 5 4 3" xfId="6483" xr:uid="{00000000-0005-0000-0000-00003D350000}"/>
    <cellStyle name="40% - Accent5 5 5" xfId="6484" xr:uid="{00000000-0005-0000-0000-00003E350000}"/>
    <cellStyle name="40% - Accent5 5 5 2" xfId="6485" xr:uid="{00000000-0005-0000-0000-00003F350000}"/>
    <cellStyle name="40% - Accent5 5 5 3" xfId="6486" xr:uid="{00000000-0005-0000-0000-000040350000}"/>
    <cellStyle name="40% - Accent5 5 6" xfId="6487" xr:uid="{00000000-0005-0000-0000-000041350000}"/>
    <cellStyle name="40% - Accent5 5 6 2" xfId="6488" xr:uid="{00000000-0005-0000-0000-000042350000}"/>
    <cellStyle name="40% - Accent5 5 6 3" xfId="6489" xr:uid="{00000000-0005-0000-0000-000043350000}"/>
    <cellStyle name="40% - Accent5 5 7" xfId="6490" xr:uid="{00000000-0005-0000-0000-000044350000}"/>
    <cellStyle name="40% - Accent5 5 8" xfId="6491" xr:uid="{00000000-0005-0000-0000-000045350000}"/>
    <cellStyle name="40% - Accent5 5_Volatility" xfId="6492" xr:uid="{00000000-0005-0000-0000-000046350000}"/>
    <cellStyle name="40% - Accent5 6" xfId="6493" xr:uid="{00000000-0005-0000-0000-000047350000}"/>
    <cellStyle name="40% - Accent5 6 2" xfId="6494" xr:uid="{00000000-0005-0000-0000-000048350000}"/>
    <cellStyle name="40% - Accent5 6 2 2" xfId="6495" xr:uid="{00000000-0005-0000-0000-000049350000}"/>
    <cellStyle name="40% - Accent5 6 2 2 2" xfId="6496" xr:uid="{00000000-0005-0000-0000-00004A350000}"/>
    <cellStyle name="40% - Accent5 6 2 2 3" xfId="6497" xr:uid="{00000000-0005-0000-0000-00004B350000}"/>
    <cellStyle name="40% - Accent5 6 2 3" xfId="6498" xr:uid="{00000000-0005-0000-0000-00004C350000}"/>
    <cellStyle name="40% - Accent5 6 2 3 2" xfId="6499" xr:uid="{00000000-0005-0000-0000-00004D350000}"/>
    <cellStyle name="40% - Accent5 6 2 3 3" xfId="6500" xr:uid="{00000000-0005-0000-0000-00004E350000}"/>
    <cellStyle name="40% - Accent5 6 2 4" xfId="6501" xr:uid="{00000000-0005-0000-0000-00004F350000}"/>
    <cellStyle name="40% - Accent5 6 2 4 2" xfId="6502" xr:uid="{00000000-0005-0000-0000-000050350000}"/>
    <cellStyle name="40% - Accent5 6 2 4 3" xfId="6503" xr:uid="{00000000-0005-0000-0000-000051350000}"/>
    <cellStyle name="40% - Accent5 6 2 5" xfId="6504" xr:uid="{00000000-0005-0000-0000-000052350000}"/>
    <cellStyle name="40% - Accent5 6 2 6" xfId="6505" xr:uid="{00000000-0005-0000-0000-000053350000}"/>
    <cellStyle name="40% - Accent5 6 2_Volatility" xfId="6506" xr:uid="{00000000-0005-0000-0000-000054350000}"/>
    <cellStyle name="40% - Accent5 6 3" xfId="6507" xr:uid="{00000000-0005-0000-0000-000055350000}"/>
    <cellStyle name="40% - Accent5 6 3 2" xfId="6508" xr:uid="{00000000-0005-0000-0000-000056350000}"/>
    <cellStyle name="40% - Accent5 6 3 2 2" xfId="6509" xr:uid="{00000000-0005-0000-0000-000057350000}"/>
    <cellStyle name="40% - Accent5 6 3 2 3" xfId="6510" xr:uid="{00000000-0005-0000-0000-000058350000}"/>
    <cellStyle name="40% - Accent5 6 3 3" xfId="6511" xr:uid="{00000000-0005-0000-0000-000059350000}"/>
    <cellStyle name="40% - Accent5 6 3 3 2" xfId="6512" xr:uid="{00000000-0005-0000-0000-00005A350000}"/>
    <cellStyle name="40% - Accent5 6 3 3 3" xfId="6513" xr:uid="{00000000-0005-0000-0000-00005B350000}"/>
    <cellStyle name="40% - Accent5 6 3 4" xfId="6514" xr:uid="{00000000-0005-0000-0000-00005C350000}"/>
    <cellStyle name="40% - Accent5 6 3 5" xfId="6515" xr:uid="{00000000-0005-0000-0000-00005D350000}"/>
    <cellStyle name="40% - Accent5 6 3_Volatility" xfId="6516" xr:uid="{00000000-0005-0000-0000-00005E350000}"/>
    <cellStyle name="40% - Accent5 6 4" xfId="6517" xr:uid="{00000000-0005-0000-0000-00005F350000}"/>
    <cellStyle name="40% - Accent5 6 4 2" xfId="6518" xr:uid="{00000000-0005-0000-0000-000060350000}"/>
    <cellStyle name="40% - Accent5 6 4 3" xfId="6519" xr:uid="{00000000-0005-0000-0000-000061350000}"/>
    <cellStyle name="40% - Accent5 6 5" xfId="6520" xr:uid="{00000000-0005-0000-0000-000062350000}"/>
    <cellStyle name="40% - Accent5 6 5 2" xfId="6521" xr:uid="{00000000-0005-0000-0000-000063350000}"/>
    <cellStyle name="40% - Accent5 6 5 3" xfId="6522" xr:uid="{00000000-0005-0000-0000-000064350000}"/>
    <cellStyle name="40% - Accent5 6 6" xfId="6523" xr:uid="{00000000-0005-0000-0000-000065350000}"/>
    <cellStyle name="40% - Accent5 6 6 2" xfId="6524" xr:uid="{00000000-0005-0000-0000-000066350000}"/>
    <cellStyle name="40% - Accent5 6 6 3" xfId="6525" xr:uid="{00000000-0005-0000-0000-000067350000}"/>
    <cellStyle name="40% - Accent5 6 7" xfId="6526" xr:uid="{00000000-0005-0000-0000-000068350000}"/>
    <cellStyle name="40% - Accent5 6 8" xfId="6527" xr:uid="{00000000-0005-0000-0000-000069350000}"/>
    <cellStyle name="40% - Accent5 6_Volatility" xfId="6528" xr:uid="{00000000-0005-0000-0000-00006A350000}"/>
    <cellStyle name="40% - Accent5 7" xfId="6529" xr:uid="{00000000-0005-0000-0000-00006B350000}"/>
    <cellStyle name="40% - Accent5 7 2" xfId="6530" xr:uid="{00000000-0005-0000-0000-00006C350000}"/>
    <cellStyle name="40% - Accent5 7 2 2" xfId="6531" xr:uid="{00000000-0005-0000-0000-00006D350000}"/>
    <cellStyle name="40% - Accent5 7 2 2 2" xfId="6532" xr:uid="{00000000-0005-0000-0000-00006E350000}"/>
    <cellStyle name="40% - Accent5 7 2 2 3" xfId="6533" xr:uid="{00000000-0005-0000-0000-00006F350000}"/>
    <cellStyle name="40% - Accent5 7 2 3" xfId="6534" xr:uid="{00000000-0005-0000-0000-000070350000}"/>
    <cellStyle name="40% - Accent5 7 2 3 2" xfId="6535" xr:uid="{00000000-0005-0000-0000-000071350000}"/>
    <cellStyle name="40% - Accent5 7 2 3 3" xfId="6536" xr:uid="{00000000-0005-0000-0000-000072350000}"/>
    <cellStyle name="40% - Accent5 7 2 4" xfId="6537" xr:uid="{00000000-0005-0000-0000-000073350000}"/>
    <cellStyle name="40% - Accent5 7 2 4 2" xfId="6538" xr:uid="{00000000-0005-0000-0000-000074350000}"/>
    <cellStyle name="40% - Accent5 7 2 4 3" xfId="6539" xr:uid="{00000000-0005-0000-0000-000075350000}"/>
    <cellStyle name="40% - Accent5 7 2 5" xfId="6540" xr:uid="{00000000-0005-0000-0000-000076350000}"/>
    <cellStyle name="40% - Accent5 7 2 6" xfId="6541" xr:uid="{00000000-0005-0000-0000-000077350000}"/>
    <cellStyle name="40% - Accent5 7 2_Volatility" xfId="6542" xr:uid="{00000000-0005-0000-0000-000078350000}"/>
    <cellStyle name="40% - Accent5 7 3" xfId="6543" xr:uid="{00000000-0005-0000-0000-000079350000}"/>
    <cellStyle name="40% - Accent5 7 3 2" xfId="6544" xr:uid="{00000000-0005-0000-0000-00007A350000}"/>
    <cellStyle name="40% - Accent5 7 3 2 2" xfId="6545" xr:uid="{00000000-0005-0000-0000-00007B350000}"/>
    <cellStyle name="40% - Accent5 7 3 2 3" xfId="6546" xr:uid="{00000000-0005-0000-0000-00007C350000}"/>
    <cellStyle name="40% - Accent5 7 3 3" xfId="6547" xr:uid="{00000000-0005-0000-0000-00007D350000}"/>
    <cellStyle name="40% - Accent5 7 3 3 2" xfId="6548" xr:uid="{00000000-0005-0000-0000-00007E350000}"/>
    <cellStyle name="40% - Accent5 7 3 3 3" xfId="6549" xr:uid="{00000000-0005-0000-0000-00007F350000}"/>
    <cellStyle name="40% - Accent5 7 3 4" xfId="6550" xr:uid="{00000000-0005-0000-0000-000080350000}"/>
    <cellStyle name="40% - Accent5 7 3 5" xfId="6551" xr:uid="{00000000-0005-0000-0000-000081350000}"/>
    <cellStyle name="40% - Accent5 7 3_Volatility" xfId="6552" xr:uid="{00000000-0005-0000-0000-000082350000}"/>
    <cellStyle name="40% - Accent5 7 4" xfId="6553" xr:uid="{00000000-0005-0000-0000-000083350000}"/>
    <cellStyle name="40% - Accent5 7 4 2" xfId="6554" xr:uid="{00000000-0005-0000-0000-000084350000}"/>
    <cellStyle name="40% - Accent5 7 4 3" xfId="6555" xr:uid="{00000000-0005-0000-0000-000085350000}"/>
    <cellStyle name="40% - Accent5 7 5" xfId="6556" xr:uid="{00000000-0005-0000-0000-000086350000}"/>
    <cellStyle name="40% - Accent5 7 5 2" xfId="6557" xr:uid="{00000000-0005-0000-0000-000087350000}"/>
    <cellStyle name="40% - Accent5 7 5 3" xfId="6558" xr:uid="{00000000-0005-0000-0000-000088350000}"/>
    <cellStyle name="40% - Accent5 7 6" xfId="6559" xr:uid="{00000000-0005-0000-0000-000089350000}"/>
    <cellStyle name="40% - Accent5 7 6 2" xfId="6560" xr:uid="{00000000-0005-0000-0000-00008A350000}"/>
    <cellStyle name="40% - Accent5 7 6 3" xfId="6561" xr:uid="{00000000-0005-0000-0000-00008B350000}"/>
    <cellStyle name="40% - Accent5 7 7" xfId="6562" xr:uid="{00000000-0005-0000-0000-00008C350000}"/>
    <cellStyle name="40% - Accent5 7 8" xfId="6563" xr:uid="{00000000-0005-0000-0000-00008D350000}"/>
    <cellStyle name="40% - Accent5 7_Volatility" xfId="6564" xr:uid="{00000000-0005-0000-0000-00008E350000}"/>
    <cellStyle name="40% - Accent5 8" xfId="6565" xr:uid="{00000000-0005-0000-0000-00008F350000}"/>
    <cellStyle name="40% - Accent5 8 2" xfId="6566" xr:uid="{00000000-0005-0000-0000-000090350000}"/>
    <cellStyle name="40% - Accent5 8 2 2" xfId="6567" xr:uid="{00000000-0005-0000-0000-000091350000}"/>
    <cellStyle name="40% - Accent5 8 2 2 2" xfId="6568" xr:uid="{00000000-0005-0000-0000-000092350000}"/>
    <cellStyle name="40% - Accent5 8 2 2 3" xfId="6569" xr:uid="{00000000-0005-0000-0000-000093350000}"/>
    <cellStyle name="40% - Accent5 8 2 3" xfId="6570" xr:uid="{00000000-0005-0000-0000-000094350000}"/>
    <cellStyle name="40% - Accent5 8 2 3 2" xfId="6571" xr:uid="{00000000-0005-0000-0000-000095350000}"/>
    <cellStyle name="40% - Accent5 8 2 3 3" xfId="6572" xr:uid="{00000000-0005-0000-0000-000096350000}"/>
    <cellStyle name="40% - Accent5 8 2 4" xfId="6573" xr:uid="{00000000-0005-0000-0000-000097350000}"/>
    <cellStyle name="40% - Accent5 8 2 4 2" xfId="6574" xr:uid="{00000000-0005-0000-0000-000098350000}"/>
    <cellStyle name="40% - Accent5 8 2 4 3" xfId="6575" xr:uid="{00000000-0005-0000-0000-000099350000}"/>
    <cellStyle name="40% - Accent5 8 2 5" xfId="6576" xr:uid="{00000000-0005-0000-0000-00009A350000}"/>
    <cellStyle name="40% - Accent5 8 2 6" xfId="6577" xr:uid="{00000000-0005-0000-0000-00009B350000}"/>
    <cellStyle name="40% - Accent5 8 2_Volatility" xfId="6578" xr:uid="{00000000-0005-0000-0000-00009C350000}"/>
    <cellStyle name="40% - Accent5 8 3" xfId="6579" xr:uid="{00000000-0005-0000-0000-00009D350000}"/>
    <cellStyle name="40% - Accent5 8 3 2" xfId="6580" xr:uid="{00000000-0005-0000-0000-00009E350000}"/>
    <cellStyle name="40% - Accent5 8 3 2 2" xfId="6581" xr:uid="{00000000-0005-0000-0000-00009F350000}"/>
    <cellStyle name="40% - Accent5 8 3 2 3" xfId="6582" xr:uid="{00000000-0005-0000-0000-0000A0350000}"/>
    <cellStyle name="40% - Accent5 8 3 3" xfId="6583" xr:uid="{00000000-0005-0000-0000-0000A1350000}"/>
    <cellStyle name="40% - Accent5 8 3 3 2" xfId="6584" xr:uid="{00000000-0005-0000-0000-0000A2350000}"/>
    <cellStyle name="40% - Accent5 8 3 3 3" xfId="6585" xr:uid="{00000000-0005-0000-0000-0000A3350000}"/>
    <cellStyle name="40% - Accent5 8 3 4" xfId="6586" xr:uid="{00000000-0005-0000-0000-0000A4350000}"/>
    <cellStyle name="40% - Accent5 8 3 5" xfId="6587" xr:uid="{00000000-0005-0000-0000-0000A5350000}"/>
    <cellStyle name="40% - Accent5 8 3_Volatility" xfId="6588" xr:uid="{00000000-0005-0000-0000-0000A6350000}"/>
    <cellStyle name="40% - Accent5 8 4" xfId="6589" xr:uid="{00000000-0005-0000-0000-0000A7350000}"/>
    <cellStyle name="40% - Accent5 8 4 2" xfId="6590" xr:uid="{00000000-0005-0000-0000-0000A8350000}"/>
    <cellStyle name="40% - Accent5 8 4 3" xfId="6591" xr:uid="{00000000-0005-0000-0000-0000A9350000}"/>
    <cellStyle name="40% - Accent5 8 5" xfId="6592" xr:uid="{00000000-0005-0000-0000-0000AA350000}"/>
    <cellStyle name="40% - Accent5 8 5 2" xfId="6593" xr:uid="{00000000-0005-0000-0000-0000AB350000}"/>
    <cellStyle name="40% - Accent5 8 5 3" xfId="6594" xr:uid="{00000000-0005-0000-0000-0000AC350000}"/>
    <cellStyle name="40% - Accent5 8 6" xfId="6595" xr:uid="{00000000-0005-0000-0000-0000AD350000}"/>
    <cellStyle name="40% - Accent5 8 6 2" xfId="6596" xr:uid="{00000000-0005-0000-0000-0000AE350000}"/>
    <cellStyle name="40% - Accent5 8 6 3" xfId="6597" xr:uid="{00000000-0005-0000-0000-0000AF350000}"/>
    <cellStyle name="40% - Accent5 8 7" xfId="6598" xr:uid="{00000000-0005-0000-0000-0000B0350000}"/>
    <cellStyle name="40% - Accent5 8 8" xfId="6599" xr:uid="{00000000-0005-0000-0000-0000B1350000}"/>
    <cellStyle name="40% - Accent5 8_Volatility" xfId="6600" xr:uid="{00000000-0005-0000-0000-0000B2350000}"/>
    <cellStyle name="40% - Accent5 9" xfId="6601" xr:uid="{00000000-0005-0000-0000-0000B3350000}"/>
    <cellStyle name="40% - Accent5 9 2" xfId="6602" xr:uid="{00000000-0005-0000-0000-0000B4350000}"/>
    <cellStyle name="40% - Accent5 9 2 2" xfId="6603" xr:uid="{00000000-0005-0000-0000-0000B5350000}"/>
    <cellStyle name="40% - Accent5 9 2 2 2" xfId="6604" xr:uid="{00000000-0005-0000-0000-0000B6350000}"/>
    <cellStyle name="40% - Accent5 9 2 2 3" xfId="6605" xr:uid="{00000000-0005-0000-0000-0000B7350000}"/>
    <cellStyle name="40% - Accent5 9 2 3" xfId="6606" xr:uid="{00000000-0005-0000-0000-0000B8350000}"/>
    <cellStyle name="40% - Accent5 9 2 3 2" xfId="6607" xr:uid="{00000000-0005-0000-0000-0000B9350000}"/>
    <cellStyle name="40% - Accent5 9 2 3 3" xfId="6608" xr:uid="{00000000-0005-0000-0000-0000BA350000}"/>
    <cellStyle name="40% - Accent5 9 2 4" xfId="6609" xr:uid="{00000000-0005-0000-0000-0000BB350000}"/>
    <cellStyle name="40% - Accent5 9 2 4 2" xfId="6610" xr:uid="{00000000-0005-0000-0000-0000BC350000}"/>
    <cellStyle name="40% - Accent5 9 2 4 3" xfId="6611" xr:uid="{00000000-0005-0000-0000-0000BD350000}"/>
    <cellStyle name="40% - Accent5 9 2 5" xfId="6612" xr:uid="{00000000-0005-0000-0000-0000BE350000}"/>
    <cellStyle name="40% - Accent5 9 2 6" xfId="6613" xr:uid="{00000000-0005-0000-0000-0000BF350000}"/>
    <cellStyle name="40% - Accent5 9 2_Volatility" xfId="6614" xr:uid="{00000000-0005-0000-0000-0000C0350000}"/>
    <cellStyle name="40% - Accent5 9 3" xfId="6615" xr:uid="{00000000-0005-0000-0000-0000C1350000}"/>
    <cellStyle name="40% - Accent5 9 3 2" xfId="6616" xr:uid="{00000000-0005-0000-0000-0000C2350000}"/>
    <cellStyle name="40% - Accent5 9 3 2 2" xfId="6617" xr:uid="{00000000-0005-0000-0000-0000C3350000}"/>
    <cellStyle name="40% - Accent5 9 3 2 3" xfId="6618" xr:uid="{00000000-0005-0000-0000-0000C4350000}"/>
    <cellStyle name="40% - Accent5 9 3 3" xfId="6619" xr:uid="{00000000-0005-0000-0000-0000C5350000}"/>
    <cellStyle name="40% - Accent5 9 3 3 2" xfId="6620" xr:uid="{00000000-0005-0000-0000-0000C6350000}"/>
    <cellStyle name="40% - Accent5 9 3 3 3" xfId="6621" xr:uid="{00000000-0005-0000-0000-0000C7350000}"/>
    <cellStyle name="40% - Accent5 9 3 4" xfId="6622" xr:uid="{00000000-0005-0000-0000-0000C8350000}"/>
    <cellStyle name="40% - Accent5 9 3 5" xfId="6623" xr:uid="{00000000-0005-0000-0000-0000C9350000}"/>
    <cellStyle name="40% - Accent5 9 3_Volatility" xfId="6624" xr:uid="{00000000-0005-0000-0000-0000CA350000}"/>
    <cellStyle name="40% - Accent5 9 4" xfId="6625" xr:uid="{00000000-0005-0000-0000-0000CB350000}"/>
    <cellStyle name="40% - Accent5 9 4 2" xfId="6626" xr:uid="{00000000-0005-0000-0000-0000CC350000}"/>
    <cellStyle name="40% - Accent5 9 4 3" xfId="6627" xr:uid="{00000000-0005-0000-0000-0000CD350000}"/>
    <cellStyle name="40% - Accent5 9 5" xfId="6628" xr:uid="{00000000-0005-0000-0000-0000CE350000}"/>
    <cellStyle name="40% - Accent5 9 5 2" xfId="6629" xr:uid="{00000000-0005-0000-0000-0000CF350000}"/>
    <cellStyle name="40% - Accent5 9 5 3" xfId="6630" xr:uid="{00000000-0005-0000-0000-0000D0350000}"/>
    <cellStyle name="40% - Accent5 9 6" xfId="6631" xr:uid="{00000000-0005-0000-0000-0000D1350000}"/>
    <cellStyle name="40% - Accent5 9 6 2" xfId="6632" xr:uid="{00000000-0005-0000-0000-0000D2350000}"/>
    <cellStyle name="40% - Accent5 9 6 3" xfId="6633" xr:uid="{00000000-0005-0000-0000-0000D3350000}"/>
    <cellStyle name="40% - Accent5 9 7" xfId="6634" xr:uid="{00000000-0005-0000-0000-0000D4350000}"/>
    <cellStyle name="40% - Accent5 9 8" xfId="6635" xr:uid="{00000000-0005-0000-0000-0000D5350000}"/>
    <cellStyle name="40% - Accent5 9_Volatility" xfId="6636" xr:uid="{00000000-0005-0000-0000-0000D6350000}"/>
    <cellStyle name="40% - Accent6 10" xfId="6637" xr:uid="{00000000-0005-0000-0000-0000D7350000}"/>
    <cellStyle name="40% - Accent6 10 2" xfId="6638" xr:uid="{00000000-0005-0000-0000-0000D8350000}"/>
    <cellStyle name="40% - Accent6 10 2 2" xfId="6639" xr:uid="{00000000-0005-0000-0000-0000D9350000}"/>
    <cellStyle name="40% - Accent6 10 2 2 2" xfId="6640" xr:uid="{00000000-0005-0000-0000-0000DA350000}"/>
    <cellStyle name="40% - Accent6 10 2 2 3" xfId="6641" xr:uid="{00000000-0005-0000-0000-0000DB350000}"/>
    <cellStyle name="40% - Accent6 10 2 3" xfId="6642" xr:uid="{00000000-0005-0000-0000-0000DC350000}"/>
    <cellStyle name="40% - Accent6 10 2 3 2" xfId="6643" xr:uid="{00000000-0005-0000-0000-0000DD350000}"/>
    <cellStyle name="40% - Accent6 10 2 3 3" xfId="6644" xr:uid="{00000000-0005-0000-0000-0000DE350000}"/>
    <cellStyle name="40% - Accent6 10 2 4" xfId="6645" xr:uid="{00000000-0005-0000-0000-0000DF350000}"/>
    <cellStyle name="40% - Accent6 10 2 4 2" xfId="6646" xr:uid="{00000000-0005-0000-0000-0000E0350000}"/>
    <cellStyle name="40% - Accent6 10 2 4 3" xfId="6647" xr:uid="{00000000-0005-0000-0000-0000E1350000}"/>
    <cellStyle name="40% - Accent6 10 2 5" xfId="6648" xr:uid="{00000000-0005-0000-0000-0000E2350000}"/>
    <cellStyle name="40% - Accent6 10 2 6" xfId="6649" xr:uid="{00000000-0005-0000-0000-0000E3350000}"/>
    <cellStyle name="40% - Accent6 10 2_Volatility" xfId="6650" xr:uid="{00000000-0005-0000-0000-0000E4350000}"/>
    <cellStyle name="40% - Accent6 10 3" xfId="6651" xr:uid="{00000000-0005-0000-0000-0000E5350000}"/>
    <cellStyle name="40% - Accent6 10 3 2" xfId="6652" xr:uid="{00000000-0005-0000-0000-0000E6350000}"/>
    <cellStyle name="40% - Accent6 10 3 2 2" xfId="6653" xr:uid="{00000000-0005-0000-0000-0000E7350000}"/>
    <cellStyle name="40% - Accent6 10 3 2 3" xfId="6654" xr:uid="{00000000-0005-0000-0000-0000E8350000}"/>
    <cellStyle name="40% - Accent6 10 3 3" xfId="6655" xr:uid="{00000000-0005-0000-0000-0000E9350000}"/>
    <cellStyle name="40% - Accent6 10 3 3 2" xfId="6656" xr:uid="{00000000-0005-0000-0000-0000EA350000}"/>
    <cellStyle name="40% - Accent6 10 3 3 3" xfId="6657" xr:uid="{00000000-0005-0000-0000-0000EB350000}"/>
    <cellStyle name="40% - Accent6 10 3 4" xfId="6658" xr:uid="{00000000-0005-0000-0000-0000EC350000}"/>
    <cellStyle name="40% - Accent6 10 3 5" xfId="6659" xr:uid="{00000000-0005-0000-0000-0000ED350000}"/>
    <cellStyle name="40% - Accent6 10 3_Volatility" xfId="6660" xr:uid="{00000000-0005-0000-0000-0000EE350000}"/>
    <cellStyle name="40% - Accent6 10 4" xfId="6661" xr:uid="{00000000-0005-0000-0000-0000EF350000}"/>
    <cellStyle name="40% - Accent6 10 4 2" xfId="6662" xr:uid="{00000000-0005-0000-0000-0000F0350000}"/>
    <cellStyle name="40% - Accent6 10 4 3" xfId="6663" xr:uid="{00000000-0005-0000-0000-0000F1350000}"/>
    <cellStyle name="40% - Accent6 10 5" xfId="6664" xr:uid="{00000000-0005-0000-0000-0000F2350000}"/>
    <cellStyle name="40% - Accent6 10 5 2" xfId="6665" xr:uid="{00000000-0005-0000-0000-0000F3350000}"/>
    <cellStyle name="40% - Accent6 10 5 3" xfId="6666" xr:uid="{00000000-0005-0000-0000-0000F4350000}"/>
    <cellStyle name="40% - Accent6 10 6" xfId="6667" xr:uid="{00000000-0005-0000-0000-0000F5350000}"/>
    <cellStyle name="40% - Accent6 10 6 2" xfId="6668" xr:uid="{00000000-0005-0000-0000-0000F6350000}"/>
    <cellStyle name="40% - Accent6 10 6 3" xfId="6669" xr:uid="{00000000-0005-0000-0000-0000F7350000}"/>
    <cellStyle name="40% - Accent6 10 7" xfId="6670" xr:uid="{00000000-0005-0000-0000-0000F8350000}"/>
    <cellStyle name="40% - Accent6 10 8" xfId="6671" xr:uid="{00000000-0005-0000-0000-0000F9350000}"/>
    <cellStyle name="40% - Accent6 10_Volatility" xfId="6672" xr:uid="{00000000-0005-0000-0000-0000FA350000}"/>
    <cellStyle name="40% - Accent6 11" xfId="6673" xr:uid="{00000000-0005-0000-0000-0000FB350000}"/>
    <cellStyle name="40% - Accent6 11 2" xfId="6674" xr:uid="{00000000-0005-0000-0000-0000FC350000}"/>
    <cellStyle name="40% - Accent6 11 2 2" xfId="6675" xr:uid="{00000000-0005-0000-0000-0000FD350000}"/>
    <cellStyle name="40% - Accent6 11 2 2 2" xfId="6676" xr:uid="{00000000-0005-0000-0000-0000FE350000}"/>
    <cellStyle name="40% - Accent6 11 2 2 3" xfId="6677" xr:uid="{00000000-0005-0000-0000-0000FF350000}"/>
    <cellStyle name="40% - Accent6 11 2 3" xfId="6678" xr:uid="{00000000-0005-0000-0000-000000360000}"/>
    <cellStyle name="40% - Accent6 11 2 3 2" xfId="6679" xr:uid="{00000000-0005-0000-0000-000001360000}"/>
    <cellStyle name="40% - Accent6 11 2 3 3" xfId="6680" xr:uid="{00000000-0005-0000-0000-000002360000}"/>
    <cellStyle name="40% - Accent6 11 2 4" xfId="6681" xr:uid="{00000000-0005-0000-0000-000003360000}"/>
    <cellStyle name="40% - Accent6 11 2 4 2" xfId="6682" xr:uid="{00000000-0005-0000-0000-000004360000}"/>
    <cellStyle name="40% - Accent6 11 2 4 3" xfId="6683" xr:uid="{00000000-0005-0000-0000-000005360000}"/>
    <cellStyle name="40% - Accent6 11 2 5" xfId="6684" xr:uid="{00000000-0005-0000-0000-000006360000}"/>
    <cellStyle name="40% - Accent6 11 2 6" xfId="6685" xr:uid="{00000000-0005-0000-0000-000007360000}"/>
    <cellStyle name="40% - Accent6 11 2_Volatility" xfId="6686" xr:uid="{00000000-0005-0000-0000-000008360000}"/>
    <cellStyle name="40% - Accent6 11 3" xfId="6687" xr:uid="{00000000-0005-0000-0000-000009360000}"/>
    <cellStyle name="40% - Accent6 11 3 2" xfId="6688" xr:uid="{00000000-0005-0000-0000-00000A360000}"/>
    <cellStyle name="40% - Accent6 11 3 2 2" xfId="6689" xr:uid="{00000000-0005-0000-0000-00000B360000}"/>
    <cellStyle name="40% - Accent6 11 3 2 3" xfId="6690" xr:uid="{00000000-0005-0000-0000-00000C360000}"/>
    <cellStyle name="40% - Accent6 11 3 3" xfId="6691" xr:uid="{00000000-0005-0000-0000-00000D360000}"/>
    <cellStyle name="40% - Accent6 11 3 3 2" xfId="6692" xr:uid="{00000000-0005-0000-0000-00000E360000}"/>
    <cellStyle name="40% - Accent6 11 3 3 3" xfId="6693" xr:uid="{00000000-0005-0000-0000-00000F360000}"/>
    <cellStyle name="40% - Accent6 11 3 4" xfId="6694" xr:uid="{00000000-0005-0000-0000-000010360000}"/>
    <cellStyle name="40% - Accent6 11 3 5" xfId="6695" xr:uid="{00000000-0005-0000-0000-000011360000}"/>
    <cellStyle name="40% - Accent6 11 3_Volatility" xfId="6696" xr:uid="{00000000-0005-0000-0000-000012360000}"/>
    <cellStyle name="40% - Accent6 11 4" xfId="6697" xr:uid="{00000000-0005-0000-0000-000013360000}"/>
    <cellStyle name="40% - Accent6 11 4 2" xfId="6698" xr:uid="{00000000-0005-0000-0000-000014360000}"/>
    <cellStyle name="40% - Accent6 11 4 3" xfId="6699" xr:uid="{00000000-0005-0000-0000-000015360000}"/>
    <cellStyle name="40% - Accent6 11 5" xfId="6700" xr:uid="{00000000-0005-0000-0000-000016360000}"/>
    <cellStyle name="40% - Accent6 11 5 2" xfId="6701" xr:uid="{00000000-0005-0000-0000-000017360000}"/>
    <cellStyle name="40% - Accent6 11 5 3" xfId="6702" xr:uid="{00000000-0005-0000-0000-000018360000}"/>
    <cellStyle name="40% - Accent6 11 6" xfId="6703" xr:uid="{00000000-0005-0000-0000-000019360000}"/>
    <cellStyle name="40% - Accent6 11 6 2" xfId="6704" xr:uid="{00000000-0005-0000-0000-00001A360000}"/>
    <cellStyle name="40% - Accent6 11 6 3" xfId="6705" xr:uid="{00000000-0005-0000-0000-00001B360000}"/>
    <cellStyle name="40% - Accent6 11 7" xfId="6706" xr:uid="{00000000-0005-0000-0000-00001C360000}"/>
    <cellStyle name="40% - Accent6 11 8" xfId="6707" xr:uid="{00000000-0005-0000-0000-00001D360000}"/>
    <cellStyle name="40% - Accent6 11_Volatility" xfId="6708" xr:uid="{00000000-0005-0000-0000-00001E360000}"/>
    <cellStyle name="40% - Accent6 12" xfId="6709" xr:uid="{00000000-0005-0000-0000-00001F360000}"/>
    <cellStyle name="40% - Accent6 12 2" xfId="6710" xr:uid="{00000000-0005-0000-0000-000020360000}"/>
    <cellStyle name="40% - Accent6 12 2 2" xfId="6711" xr:uid="{00000000-0005-0000-0000-000021360000}"/>
    <cellStyle name="40% - Accent6 12 2 2 2" xfId="6712" xr:uid="{00000000-0005-0000-0000-000022360000}"/>
    <cellStyle name="40% - Accent6 12 2 2 3" xfId="6713" xr:uid="{00000000-0005-0000-0000-000023360000}"/>
    <cellStyle name="40% - Accent6 12 2 3" xfId="6714" xr:uid="{00000000-0005-0000-0000-000024360000}"/>
    <cellStyle name="40% - Accent6 12 2 3 2" xfId="6715" xr:uid="{00000000-0005-0000-0000-000025360000}"/>
    <cellStyle name="40% - Accent6 12 2 3 3" xfId="6716" xr:uid="{00000000-0005-0000-0000-000026360000}"/>
    <cellStyle name="40% - Accent6 12 2 4" xfId="6717" xr:uid="{00000000-0005-0000-0000-000027360000}"/>
    <cellStyle name="40% - Accent6 12 2 4 2" xfId="6718" xr:uid="{00000000-0005-0000-0000-000028360000}"/>
    <cellStyle name="40% - Accent6 12 2 4 3" xfId="6719" xr:uid="{00000000-0005-0000-0000-000029360000}"/>
    <cellStyle name="40% - Accent6 12 2 5" xfId="6720" xr:uid="{00000000-0005-0000-0000-00002A360000}"/>
    <cellStyle name="40% - Accent6 12 2 6" xfId="6721" xr:uid="{00000000-0005-0000-0000-00002B360000}"/>
    <cellStyle name="40% - Accent6 12 2_Volatility" xfId="6722" xr:uid="{00000000-0005-0000-0000-00002C360000}"/>
    <cellStyle name="40% - Accent6 12 3" xfId="6723" xr:uid="{00000000-0005-0000-0000-00002D360000}"/>
    <cellStyle name="40% - Accent6 12 3 2" xfId="6724" xr:uid="{00000000-0005-0000-0000-00002E360000}"/>
    <cellStyle name="40% - Accent6 12 3 2 2" xfId="6725" xr:uid="{00000000-0005-0000-0000-00002F360000}"/>
    <cellStyle name="40% - Accent6 12 3 2 3" xfId="6726" xr:uid="{00000000-0005-0000-0000-000030360000}"/>
    <cellStyle name="40% - Accent6 12 3 3" xfId="6727" xr:uid="{00000000-0005-0000-0000-000031360000}"/>
    <cellStyle name="40% - Accent6 12 3 3 2" xfId="6728" xr:uid="{00000000-0005-0000-0000-000032360000}"/>
    <cellStyle name="40% - Accent6 12 3 3 3" xfId="6729" xr:uid="{00000000-0005-0000-0000-000033360000}"/>
    <cellStyle name="40% - Accent6 12 3 4" xfId="6730" xr:uid="{00000000-0005-0000-0000-000034360000}"/>
    <cellStyle name="40% - Accent6 12 3 5" xfId="6731" xr:uid="{00000000-0005-0000-0000-000035360000}"/>
    <cellStyle name="40% - Accent6 12 3_Volatility" xfId="6732" xr:uid="{00000000-0005-0000-0000-000036360000}"/>
    <cellStyle name="40% - Accent6 12 4" xfId="6733" xr:uid="{00000000-0005-0000-0000-000037360000}"/>
    <cellStyle name="40% - Accent6 12 4 2" xfId="6734" xr:uid="{00000000-0005-0000-0000-000038360000}"/>
    <cellStyle name="40% - Accent6 12 4 3" xfId="6735" xr:uid="{00000000-0005-0000-0000-000039360000}"/>
    <cellStyle name="40% - Accent6 12 5" xfId="6736" xr:uid="{00000000-0005-0000-0000-00003A360000}"/>
    <cellStyle name="40% - Accent6 12 5 2" xfId="6737" xr:uid="{00000000-0005-0000-0000-00003B360000}"/>
    <cellStyle name="40% - Accent6 12 5 3" xfId="6738" xr:uid="{00000000-0005-0000-0000-00003C360000}"/>
    <cellStyle name="40% - Accent6 12 6" xfId="6739" xr:uid="{00000000-0005-0000-0000-00003D360000}"/>
    <cellStyle name="40% - Accent6 12 6 2" xfId="6740" xr:uid="{00000000-0005-0000-0000-00003E360000}"/>
    <cellStyle name="40% - Accent6 12 6 3" xfId="6741" xr:uid="{00000000-0005-0000-0000-00003F360000}"/>
    <cellStyle name="40% - Accent6 12 7" xfId="6742" xr:uid="{00000000-0005-0000-0000-000040360000}"/>
    <cellStyle name="40% - Accent6 12 8" xfId="6743" xr:uid="{00000000-0005-0000-0000-000041360000}"/>
    <cellStyle name="40% - Accent6 12_Volatility" xfId="6744" xr:uid="{00000000-0005-0000-0000-000042360000}"/>
    <cellStyle name="40% - Accent6 13" xfId="6745" xr:uid="{00000000-0005-0000-0000-000043360000}"/>
    <cellStyle name="40% - Accent6 13 2" xfId="6746" xr:uid="{00000000-0005-0000-0000-000044360000}"/>
    <cellStyle name="40% - Accent6 13 2 2" xfId="6747" xr:uid="{00000000-0005-0000-0000-000045360000}"/>
    <cellStyle name="40% - Accent6 13 2 2 2" xfId="6748" xr:uid="{00000000-0005-0000-0000-000046360000}"/>
    <cellStyle name="40% - Accent6 13 2 2 3" xfId="6749" xr:uid="{00000000-0005-0000-0000-000047360000}"/>
    <cellStyle name="40% - Accent6 13 2 3" xfId="6750" xr:uid="{00000000-0005-0000-0000-000048360000}"/>
    <cellStyle name="40% - Accent6 13 2 3 2" xfId="6751" xr:uid="{00000000-0005-0000-0000-000049360000}"/>
    <cellStyle name="40% - Accent6 13 2 3 3" xfId="6752" xr:uid="{00000000-0005-0000-0000-00004A360000}"/>
    <cellStyle name="40% - Accent6 13 2 4" xfId="6753" xr:uid="{00000000-0005-0000-0000-00004B360000}"/>
    <cellStyle name="40% - Accent6 13 2 4 2" xfId="6754" xr:uid="{00000000-0005-0000-0000-00004C360000}"/>
    <cellStyle name="40% - Accent6 13 2 4 3" xfId="6755" xr:uid="{00000000-0005-0000-0000-00004D360000}"/>
    <cellStyle name="40% - Accent6 13 2 5" xfId="6756" xr:uid="{00000000-0005-0000-0000-00004E360000}"/>
    <cellStyle name="40% - Accent6 13 2 6" xfId="6757" xr:uid="{00000000-0005-0000-0000-00004F360000}"/>
    <cellStyle name="40% - Accent6 13 2_Volatility" xfId="6758" xr:uid="{00000000-0005-0000-0000-000050360000}"/>
    <cellStyle name="40% - Accent6 13 3" xfId="6759" xr:uid="{00000000-0005-0000-0000-000051360000}"/>
    <cellStyle name="40% - Accent6 13 3 2" xfId="6760" xr:uid="{00000000-0005-0000-0000-000052360000}"/>
    <cellStyle name="40% - Accent6 13 3 2 2" xfId="6761" xr:uid="{00000000-0005-0000-0000-000053360000}"/>
    <cellStyle name="40% - Accent6 13 3 2 3" xfId="6762" xr:uid="{00000000-0005-0000-0000-000054360000}"/>
    <cellStyle name="40% - Accent6 13 3 3" xfId="6763" xr:uid="{00000000-0005-0000-0000-000055360000}"/>
    <cellStyle name="40% - Accent6 13 3 3 2" xfId="6764" xr:uid="{00000000-0005-0000-0000-000056360000}"/>
    <cellStyle name="40% - Accent6 13 3 3 3" xfId="6765" xr:uid="{00000000-0005-0000-0000-000057360000}"/>
    <cellStyle name="40% - Accent6 13 3 4" xfId="6766" xr:uid="{00000000-0005-0000-0000-000058360000}"/>
    <cellStyle name="40% - Accent6 13 3 5" xfId="6767" xr:uid="{00000000-0005-0000-0000-000059360000}"/>
    <cellStyle name="40% - Accent6 13 3_Volatility" xfId="6768" xr:uid="{00000000-0005-0000-0000-00005A360000}"/>
    <cellStyle name="40% - Accent6 13 4" xfId="6769" xr:uid="{00000000-0005-0000-0000-00005B360000}"/>
    <cellStyle name="40% - Accent6 13 4 2" xfId="6770" xr:uid="{00000000-0005-0000-0000-00005C360000}"/>
    <cellStyle name="40% - Accent6 13 4 3" xfId="6771" xr:uid="{00000000-0005-0000-0000-00005D360000}"/>
    <cellStyle name="40% - Accent6 13 5" xfId="6772" xr:uid="{00000000-0005-0000-0000-00005E360000}"/>
    <cellStyle name="40% - Accent6 13 5 2" xfId="6773" xr:uid="{00000000-0005-0000-0000-00005F360000}"/>
    <cellStyle name="40% - Accent6 13 5 3" xfId="6774" xr:uid="{00000000-0005-0000-0000-000060360000}"/>
    <cellStyle name="40% - Accent6 13 6" xfId="6775" xr:uid="{00000000-0005-0000-0000-000061360000}"/>
    <cellStyle name="40% - Accent6 13 6 2" xfId="6776" xr:uid="{00000000-0005-0000-0000-000062360000}"/>
    <cellStyle name="40% - Accent6 13 6 3" xfId="6777" xr:uid="{00000000-0005-0000-0000-000063360000}"/>
    <cellStyle name="40% - Accent6 13 7" xfId="6778" xr:uid="{00000000-0005-0000-0000-000064360000}"/>
    <cellStyle name="40% - Accent6 13 8" xfId="6779" xr:uid="{00000000-0005-0000-0000-000065360000}"/>
    <cellStyle name="40% - Accent6 13_Volatility" xfId="6780" xr:uid="{00000000-0005-0000-0000-000066360000}"/>
    <cellStyle name="40% - Accent6 14" xfId="6781" xr:uid="{00000000-0005-0000-0000-000067360000}"/>
    <cellStyle name="40% - Accent6 14 2" xfId="6782" xr:uid="{00000000-0005-0000-0000-000068360000}"/>
    <cellStyle name="40% - Accent6 14 2 2" xfId="6783" xr:uid="{00000000-0005-0000-0000-000069360000}"/>
    <cellStyle name="40% - Accent6 14 2 2 2" xfId="6784" xr:uid="{00000000-0005-0000-0000-00006A360000}"/>
    <cellStyle name="40% - Accent6 14 2 2 3" xfId="6785" xr:uid="{00000000-0005-0000-0000-00006B360000}"/>
    <cellStyle name="40% - Accent6 14 2 3" xfId="6786" xr:uid="{00000000-0005-0000-0000-00006C360000}"/>
    <cellStyle name="40% - Accent6 14 2 3 2" xfId="6787" xr:uid="{00000000-0005-0000-0000-00006D360000}"/>
    <cellStyle name="40% - Accent6 14 2 3 3" xfId="6788" xr:uid="{00000000-0005-0000-0000-00006E360000}"/>
    <cellStyle name="40% - Accent6 14 2 4" xfId="6789" xr:uid="{00000000-0005-0000-0000-00006F360000}"/>
    <cellStyle name="40% - Accent6 14 2 4 2" xfId="6790" xr:uid="{00000000-0005-0000-0000-000070360000}"/>
    <cellStyle name="40% - Accent6 14 2 4 3" xfId="6791" xr:uid="{00000000-0005-0000-0000-000071360000}"/>
    <cellStyle name="40% - Accent6 14 2 5" xfId="6792" xr:uid="{00000000-0005-0000-0000-000072360000}"/>
    <cellStyle name="40% - Accent6 14 2 6" xfId="6793" xr:uid="{00000000-0005-0000-0000-000073360000}"/>
    <cellStyle name="40% - Accent6 14 2_Volatility" xfId="6794" xr:uid="{00000000-0005-0000-0000-000074360000}"/>
    <cellStyle name="40% - Accent6 14 3" xfId="6795" xr:uid="{00000000-0005-0000-0000-000075360000}"/>
    <cellStyle name="40% - Accent6 14 3 2" xfId="6796" xr:uid="{00000000-0005-0000-0000-000076360000}"/>
    <cellStyle name="40% - Accent6 14 3 2 2" xfId="6797" xr:uid="{00000000-0005-0000-0000-000077360000}"/>
    <cellStyle name="40% - Accent6 14 3 2 3" xfId="6798" xr:uid="{00000000-0005-0000-0000-000078360000}"/>
    <cellStyle name="40% - Accent6 14 3 3" xfId="6799" xr:uid="{00000000-0005-0000-0000-000079360000}"/>
    <cellStyle name="40% - Accent6 14 3 3 2" xfId="6800" xr:uid="{00000000-0005-0000-0000-00007A360000}"/>
    <cellStyle name="40% - Accent6 14 3 3 3" xfId="6801" xr:uid="{00000000-0005-0000-0000-00007B360000}"/>
    <cellStyle name="40% - Accent6 14 3 4" xfId="6802" xr:uid="{00000000-0005-0000-0000-00007C360000}"/>
    <cellStyle name="40% - Accent6 14 3 5" xfId="6803" xr:uid="{00000000-0005-0000-0000-00007D360000}"/>
    <cellStyle name="40% - Accent6 14 3_Volatility" xfId="6804" xr:uid="{00000000-0005-0000-0000-00007E360000}"/>
    <cellStyle name="40% - Accent6 14 4" xfId="6805" xr:uid="{00000000-0005-0000-0000-00007F360000}"/>
    <cellStyle name="40% - Accent6 14 4 2" xfId="6806" xr:uid="{00000000-0005-0000-0000-000080360000}"/>
    <cellStyle name="40% - Accent6 14 4 3" xfId="6807" xr:uid="{00000000-0005-0000-0000-000081360000}"/>
    <cellStyle name="40% - Accent6 14 5" xfId="6808" xr:uid="{00000000-0005-0000-0000-000082360000}"/>
    <cellStyle name="40% - Accent6 14 5 2" xfId="6809" xr:uid="{00000000-0005-0000-0000-000083360000}"/>
    <cellStyle name="40% - Accent6 14 5 3" xfId="6810" xr:uid="{00000000-0005-0000-0000-000084360000}"/>
    <cellStyle name="40% - Accent6 14 6" xfId="6811" xr:uid="{00000000-0005-0000-0000-000085360000}"/>
    <cellStyle name="40% - Accent6 14 6 2" xfId="6812" xr:uid="{00000000-0005-0000-0000-000086360000}"/>
    <cellStyle name="40% - Accent6 14 6 3" xfId="6813" xr:uid="{00000000-0005-0000-0000-000087360000}"/>
    <cellStyle name="40% - Accent6 14 7" xfId="6814" xr:uid="{00000000-0005-0000-0000-000088360000}"/>
    <cellStyle name="40% - Accent6 14 8" xfId="6815" xr:uid="{00000000-0005-0000-0000-000089360000}"/>
    <cellStyle name="40% - Accent6 14_Volatility" xfId="6816" xr:uid="{00000000-0005-0000-0000-00008A360000}"/>
    <cellStyle name="40% - Accent6 15" xfId="6817" xr:uid="{00000000-0005-0000-0000-00008B360000}"/>
    <cellStyle name="40% - Accent6 15 2" xfId="6818" xr:uid="{00000000-0005-0000-0000-00008C360000}"/>
    <cellStyle name="40% - Accent6 15 2 2" xfId="6819" xr:uid="{00000000-0005-0000-0000-00008D360000}"/>
    <cellStyle name="40% - Accent6 15 2 2 2" xfId="6820" xr:uid="{00000000-0005-0000-0000-00008E360000}"/>
    <cellStyle name="40% - Accent6 15 2 2 3" xfId="6821" xr:uid="{00000000-0005-0000-0000-00008F360000}"/>
    <cellStyle name="40% - Accent6 15 2 3" xfId="6822" xr:uid="{00000000-0005-0000-0000-000090360000}"/>
    <cellStyle name="40% - Accent6 15 2 3 2" xfId="6823" xr:uid="{00000000-0005-0000-0000-000091360000}"/>
    <cellStyle name="40% - Accent6 15 2 3 3" xfId="6824" xr:uid="{00000000-0005-0000-0000-000092360000}"/>
    <cellStyle name="40% - Accent6 15 2 4" xfId="6825" xr:uid="{00000000-0005-0000-0000-000093360000}"/>
    <cellStyle name="40% - Accent6 15 2 4 2" xfId="6826" xr:uid="{00000000-0005-0000-0000-000094360000}"/>
    <cellStyle name="40% - Accent6 15 2 4 3" xfId="6827" xr:uid="{00000000-0005-0000-0000-000095360000}"/>
    <cellStyle name="40% - Accent6 15 2 5" xfId="6828" xr:uid="{00000000-0005-0000-0000-000096360000}"/>
    <cellStyle name="40% - Accent6 15 2 6" xfId="6829" xr:uid="{00000000-0005-0000-0000-000097360000}"/>
    <cellStyle name="40% - Accent6 15 2_Volatility" xfId="6830" xr:uid="{00000000-0005-0000-0000-000098360000}"/>
    <cellStyle name="40% - Accent6 15 3" xfId="6831" xr:uid="{00000000-0005-0000-0000-000099360000}"/>
    <cellStyle name="40% - Accent6 15 3 2" xfId="6832" xr:uid="{00000000-0005-0000-0000-00009A360000}"/>
    <cellStyle name="40% - Accent6 15 3 2 2" xfId="6833" xr:uid="{00000000-0005-0000-0000-00009B360000}"/>
    <cellStyle name="40% - Accent6 15 3 2 3" xfId="6834" xr:uid="{00000000-0005-0000-0000-00009C360000}"/>
    <cellStyle name="40% - Accent6 15 3 3" xfId="6835" xr:uid="{00000000-0005-0000-0000-00009D360000}"/>
    <cellStyle name="40% - Accent6 15 3 3 2" xfId="6836" xr:uid="{00000000-0005-0000-0000-00009E360000}"/>
    <cellStyle name="40% - Accent6 15 3 3 3" xfId="6837" xr:uid="{00000000-0005-0000-0000-00009F360000}"/>
    <cellStyle name="40% - Accent6 15 3 4" xfId="6838" xr:uid="{00000000-0005-0000-0000-0000A0360000}"/>
    <cellStyle name="40% - Accent6 15 3 5" xfId="6839" xr:uid="{00000000-0005-0000-0000-0000A1360000}"/>
    <cellStyle name="40% - Accent6 15 3_Volatility" xfId="6840" xr:uid="{00000000-0005-0000-0000-0000A2360000}"/>
    <cellStyle name="40% - Accent6 15 4" xfId="6841" xr:uid="{00000000-0005-0000-0000-0000A3360000}"/>
    <cellStyle name="40% - Accent6 15 4 2" xfId="6842" xr:uid="{00000000-0005-0000-0000-0000A4360000}"/>
    <cellStyle name="40% - Accent6 15 4 3" xfId="6843" xr:uid="{00000000-0005-0000-0000-0000A5360000}"/>
    <cellStyle name="40% - Accent6 15 5" xfId="6844" xr:uid="{00000000-0005-0000-0000-0000A6360000}"/>
    <cellStyle name="40% - Accent6 15 5 2" xfId="6845" xr:uid="{00000000-0005-0000-0000-0000A7360000}"/>
    <cellStyle name="40% - Accent6 15 5 3" xfId="6846" xr:uid="{00000000-0005-0000-0000-0000A8360000}"/>
    <cellStyle name="40% - Accent6 15 6" xfId="6847" xr:uid="{00000000-0005-0000-0000-0000A9360000}"/>
    <cellStyle name="40% - Accent6 15 6 2" xfId="6848" xr:uid="{00000000-0005-0000-0000-0000AA360000}"/>
    <cellStyle name="40% - Accent6 15 6 3" xfId="6849" xr:uid="{00000000-0005-0000-0000-0000AB360000}"/>
    <cellStyle name="40% - Accent6 15 7" xfId="6850" xr:uid="{00000000-0005-0000-0000-0000AC360000}"/>
    <cellStyle name="40% - Accent6 15 8" xfId="6851" xr:uid="{00000000-0005-0000-0000-0000AD360000}"/>
    <cellStyle name="40% - Accent6 15_Volatility" xfId="6852" xr:uid="{00000000-0005-0000-0000-0000AE360000}"/>
    <cellStyle name="40% - Accent6 16" xfId="6853" xr:uid="{00000000-0005-0000-0000-0000AF360000}"/>
    <cellStyle name="40% - Accent6 16 2" xfId="15945" xr:uid="{00000000-0005-0000-0000-0000B0360000}"/>
    <cellStyle name="40% - Accent6 16 3" xfId="19896" xr:uid="{00000000-0005-0000-0000-0000B1360000}"/>
    <cellStyle name="40% - Accent6 17" xfId="6854" xr:uid="{00000000-0005-0000-0000-0000B2360000}"/>
    <cellStyle name="40% - Accent6 17 2" xfId="15946" xr:uid="{00000000-0005-0000-0000-0000B3360000}"/>
    <cellStyle name="40% - Accent6 17 3" xfId="19897" xr:uid="{00000000-0005-0000-0000-0000B4360000}"/>
    <cellStyle name="40% - Accent6 18" xfId="6855" xr:uid="{00000000-0005-0000-0000-0000B5360000}"/>
    <cellStyle name="40% - Accent6 18 2" xfId="15947" xr:uid="{00000000-0005-0000-0000-0000B6360000}"/>
    <cellStyle name="40% - Accent6 18 3" xfId="19898" xr:uid="{00000000-0005-0000-0000-0000B7360000}"/>
    <cellStyle name="40% - Accent6 19" xfId="6856" xr:uid="{00000000-0005-0000-0000-0000B8360000}"/>
    <cellStyle name="40% - Accent6 19 2" xfId="15948" xr:uid="{00000000-0005-0000-0000-0000B9360000}"/>
    <cellStyle name="40% - Accent6 19 3" xfId="19899" xr:uid="{00000000-0005-0000-0000-0000BA360000}"/>
    <cellStyle name="40% - Accent6 2" xfId="6857" xr:uid="{00000000-0005-0000-0000-0000BB360000}"/>
    <cellStyle name="40% - Accent6 2 2" xfId="6858" xr:uid="{00000000-0005-0000-0000-0000BC360000}"/>
    <cellStyle name="40% - Accent6 2 2 2" xfId="6859" xr:uid="{00000000-0005-0000-0000-0000BD360000}"/>
    <cellStyle name="40% - Accent6 2 2 2 2" xfId="6860" xr:uid="{00000000-0005-0000-0000-0000BE360000}"/>
    <cellStyle name="40% - Accent6 2 2 2 3" xfId="6861" xr:uid="{00000000-0005-0000-0000-0000BF360000}"/>
    <cellStyle name="40% - Accent6 2 2 3" xfId="6862" xr:uid="{00000000-0005-0000-0000-0000C0360000}"/>
    <cellStyle name="40% - Accent6 2 2 3 2" xfId="6863" xr:uid="{00000000-0005-0000-0000-0000C1360000}"/>
    <cellStyle name="40% - Accent6 2 2 3 3" xfId="6864" xr:uid="{00000000-0005-0000-0000-0000C2360000}"/>
    <cellStyle name="40% - Accent6 2 2 4" xfId="6865" xr:uid="{00000000-0005-0000-0000-0000C3360000}"/>
    <cellStyle name="40% - Accent6 2 2 4 2" xfId="6866" xr:uid="{00000000-0005-0000-0000-0000C4360000}"/>
    <cellStyle name="40% - Accent6 2 2 4 3" xfId="6867" xr:uid="{00000000-0005-0000-0000-0000C5360000}"/>
    <cellStyle name="40% - Accent6 2 2 5" xfId="6868" xr:uid="{00000000-0005-0000-0000-0000C6360000}"/>
    <cellStyle name="40% - Accent6 2 2 6" xfId="6869" xr:uid="{00000000-0005-0000-0000-0000C7360000}"/>
    <cellStyle name="40% - Accent6 2 2_Volatility" xfId="6870" xr:uid="{00000000-0005-0000-0000-0000C8360000}"/>
    <cellStyle name="40% - Accent6 2 3" xfId="6871" xr:uid="{00000000-0005-0000-0000-0000C9360000}"/>
    <cellStyle name="40% - Accent6 2 3 2" xfId="6872" xr:uid="{00000000-0005-0000-0000-0000CA360000}"/>
    <cellStyle name="40% - Accent6 2 3 2 2" xfId="6873" xr:uid="{00000000-0005-0000-0000-0000CB360000}"/>
    <cellStyle name="40% - Accent6 2 3 2 3" xfId="6874" xr:uid="{00000000-0005-0000-0000-0000CC360000}"/>
    <cellStyle name="40% - Accent6 2 3 3" xfId="6875" xr:uid="{00000000-0005-0000-0000-0000CD360000}"/>
    <cellStyle name="40% - Accent6 2 3 3 2" xfId="6876" xr:uid="{00000000-0005-0000-0000-0000CE360000}"/>
    <cellStyle name="40% - Accent6 2 3 3 3" xfId="6877" xr:uid="{00000000-0005-0000-0000-0000CF360000}"/>
    <cellStyle name="40% - Accent6 2 3 4" xfId="6878" xr:uid="{00000000-0005-0000-0000-0000D0360000}"/>
    <cellStyle name="40% - Accent6 2 3 5" xfId="6879" xr:uid="{00000000-0005-0000-0000-0000D1360000}"/>
    <cellStyle name="40% - Accent6 2 3_Volatility" xfId="6880" xr:uid="{00000000-0005-0000-0000-0000D2360000}"/>
    <cellStyle name="40% - Accent6 2 4" xfId="6881" xr:uid="{00000000-0005-0000-0000-0000D3360000}"/>
    <cellStyle name="40% - Accent6 2 4 2" xfId="6882" xr:uid="{00000000-0005-0000-0000-0000D4360000}"/>
    <cellStyle name="40% - Accent6 2 4 3" xfId="6883" xr:uid="{00000000-0005-0000-0000-0000D5360000}"/>
    <cellStyle name="40% - Accent6 2 5" xfId="6884" xr:uid="{00000000-0005-0000-0000-0000D6360000}"/>
    <cellStyle name="40% - Accent6 2 5 2" xfId="6885" xr:uid="{00000000-0005-0000-0000-0000D7360000}"/>
    <cellStyle name="40% - Accent6 2 5 3" xfId="6886" xr:uid="{00000000-0005-0000-0000-0000D8360000}"/>
    <cellStyle name="40% - Accent6 2 6" xfId="6887" xr:uid="{00000000-0005-0000-0000-0000D9360000}"/>
    <cellStyle name="40% - Accent6 2 6 2" xfId="6888" xr:uid="{00000000-0005-0000-0000-0000DA360000}"/>
    <cellStyle name="40% - Accent6 2 6 3" xfId="6889" xr:uid="{00000000-0005-0000-0000-0000DB360000}"/>
    <cellStyle name="40% - Accent6 2 7" xfId="6890" xr:uid="{00000000-0005-0000-0000-0000DC360000}"/>
    <cellStyle name="40% - Accent6 2 8" xfId="6891" xr:uid="{00000000-0005-0000-0000-0000DD360000}"/>
    <cellStyle name="40% - Accent6 2_Volatility" xfId="6892" xr:uid="{00000000-0005-0000-0000-0000DE360000}"/>
    <cellStyle name="40% - Accent6 3" xfId="6893" xr:uid="{00000000-0005-0000-0000-0000DF360000}"/>
    <cellStyle name="40% - Accent6 3 2" xfId="6894" xr:uid="{00000000-0005-0000-0000-0000E0360000}"/>
    <cellStyle name="40% - Accent6 3 2 2" xfId="6895" xr:uid="{00000000-0005-0000-0000-0000E1360000}"/>
    <cellStyle name="40% - Accent6 3 2 2 2" xfId="6896" xr:uid="{00000000-0005-0000-0000-0000E2360000}"/>
    <cellStyle name="40% - Accent6 3 2 2 3" xfId="6897" xr:uid="{00000000-0005-0000-0000-0000E3360000}"/>
    <cellStyle name="40% - Accent6 3 2 3" xfId="6898" xr:uid="{00000000-0005-0000-0000-0000E4360000}"/>
    <cellStyle name="40% - Accent6 3 2 3 2" xfId="6899" xr:uid="{00000000-0005-0000-0000-0000E5360000}"/>
    <cellStyle name="40% - Accent6 3 2 3 3" xfId="6900" xr:uid="{00000000-0005-0000-0000-0000E6360000}"/>
    <cellStyle name="40% - Accent6 3 2 4" xfId="6901" xr:uid="{00000000-0005-0000-0000-0000E7360000}"/>
    <cellStyle name="40% - Accent6 3 2 4 2" xfId="6902" xr:uid="{00000000-0005-0000-0000-0000E8360000}"/>
    <cellStyle name="40% - Accent6 3 2 4 3" xfId="6903" xr:uid="{00000000-0005-0000-0000-0000E9360000}"/>
    <cellStyle name="40% - Accent6 3 2 5" xfId="6904" xr:uid="{00000000-0005-0000-0000-0000EA360000}"/>
    <cellStyle name="40% - Accent6 3 2 6" xfId="6905" xr:uid="{00000000-0005-0000-0000-0000EB360000}"/>
    <cellStyle name="40% - Accent6 3 2_Volatility" xfId="6906" xr:uid="{00000000-0005-0000-0000-0000EC360000}"/>
    <cellStyle name="40% - Accent6 3 3" xfId="6907" xr:uid="{00000000-0005-0000-0000-0000ED360000}"/>
    <cellStyle name="40% - Accent6 3 3 2" xfId="6908" xr:uid="{00000000-0005-0000-0000-0000EE360000}"/>
    <cellStyle name="40% - Accent6 3 3 2 2" xfId="6909" xr:uid="{00000000-0005-0000-0000-0000EF360000}"/>
    <cellStyle name="40% - Accent6 3 3 2 3" xfId="6910" xr:uid="{00000000-0005-0000-0000-0000F0360000}"/>
    <cellStyle name="40% - Accent6 3 3 3" xfId="6911" xr:uid="{00000000-0005-0000-0000-0000F1360000}"/>
    <cellStyle name="40% - Accent6 3 3 3 2" xfId="6912" xr:uid="{00000000-0005-0000-0000-0000F2360000}"/>
    <cellStyle name="40% - Accent6 3 3 3 3" xfId="6913" xr:uid="{00000000-0005-0000-0000-0000F3360000}"/>
    <cellStyle name="40% - Accent6 3 3 4" xfId="6914" xr:uid="{00000000-0005-0000-0000-0000F4360000}"/>
    <cellStyle name="40% - Accent6 3 3 5" xfId="6915" xr:uid="{00000000-0005-0000-0000-0000F5360000}"/>
    <cellStyle name="40% - Accent6 3 3_Volatility" xfId="6916" xr:uid="{00000000-0005-0000-0000-0000F6360000}"/>
    <cellStyle name="40% - Accent6 3 4" xfId="6917" xr:uid="{00000000-0005-0000-0000-0000F7360000}"/>
    <cellStyle name="40% - Accent6 3 4 2" xfId="6918" xr:uid="{00000000-0005-0000-0000-0000F8360000}"/>
    <cellStyle name="40% - Accent6 3 4 3" xfId="6919" xr:uid="{00000000-0005-0000-0000-0000F9360000}"/>
    <cellStyle name="40% - Accent6 3 5" xfId="6920" xr:uid="{00000000-0005-0000-0000-0000FA360000}"/>
    <cellStyle name="40% - Accent6 3 5 2" xfId="6921" xr:uid="{00000000-0005-0000-0000-0000FB360000}"/>
    <cellStyle name="40% - Accent6 3 5 3" xfId="6922" xr:uid="{00000000-0005-0000-0000-0000FC360000}"/>
    <cellStyle name="40% - Accent6 3 6" xfId="6923" xr:uid="{00000000-0005-0000-0000-0000FD360000}"/>
    <cellStyle name="40% - Accent6 3 6 2" xfId="6924" xr:uid="{00000000-0005-0000-0000-0000FE360000}"/>
    <cellStyle name="40% - Accent6 3 6 3" xfId="6925" xr:uid="{00000000-0005-0000-0000-0000FF360000}"/>
    <cellStyle name="40% - Accent6 3 7" xfId="6926" xr:uid="{00000000-0005-0000-0000-000000370000}"/>
    <cellStyle name="40% - Accent6 3 8" xfId="6927" xr:uid="{00000000-0005-0000-0000-000001370000}"/>
    <cellStyle name="40% - Accent6 3_Volatility" xfId="6928" xr:uid="{00000000-0005-0000-0000-000002370000}"/>
    <cellStyle name="40% - Accent6 4" xfId="6929" xr:uid="{00000000-0005-0000-0000-000003370000}"/>
    <cellStyle name="40% - Accent6 4 2" xfId="6930" xr:uid="{00000000-0005-0000-0000-000004370000}"/>
    <cellStyle name="40% - Accent6 4 2 2" xfId="6931" xr:uid="{00000000-0005-0000-0000-000005370000}"/>
    <cellStyle name="40% - Accent6 4 2 2 2" xfId="6932" xr:uid="{00000000-0005-0000-0000-000006370000}"/>
    <cellStyle name="40% - Accent6 4 2 2 3" xfId="6933" xr:uid="{00000000-0005-0000-0000-000007370000}"/>
    <cellStyle name="40% - Accent6 4 2 3" xfId="6934" xr:uid="{00000000-0005-0000-0000-000008370000}"/>
    <cellStyle name="40% - Accent6 4 2 3 2" xfId="6935" xr:uid="{00000000-0005-0000-0000-000009370000}"/>
    <cellStyle name="40% - Accent6 4 2 3 3" xfId="6936" xr:uid="{00000000-0005-0000-0000-00000A370000}"/>
    <cellStyle name="40% - Accent6 4 2 4" xfId="6937" xr:uid="{00000000-0005-0000-0000-00000B370000}"/>
    <cellStyle name="40% - Accent6 4 2 4 2" xfId="6938" xr:uid="{00000000-0005-0000-0000-00000C370000}"/>
    <cellStyle name="40% - Accent6 4 2 4 3" xfId="6939" xr:uid="{00000000-0005-0000-0000-00000D370000}"/>
    <cellStyle name="40% - Accent6 4 2 5" xfId="6940" xr:uid="{00000000-0005-0000-0000-00000E370000}"/>
    <cellStyle name="40% - Accent6 4 2 6" xfId="6941" xr:uid="{00000000-0005-0000-0000-00000F370000}"/>
    <cellStyle name="40% - Accent6 4 2_Volatility" xfId="6942" xr:uid="{00000000-0005-0000-0000-000010370000}"/>
    <cellStyle name="40% - Accent6 4 3" xfId="6943" xr:uid="{00000000-0005-0000-0000-000011370000}"/>
    <cellStyle name="40% - Accent6 4 3 2" xfId="6944" xr:uid="{00000000-0005-0000-0000-000012370000}"/>
    <cellStyle name="40% - Accent6 4 3 2 2" xfId="6945" xr:uid="{00000000-0005-0000-0000-000013370000}"/>
    <cellStyle name="40% - Accent6 4 3 2 3" xfId="6946" xr:uid="{00000000-0005-0000-0000-000014370000}"/>
    <cellStyle name="40% - Accent6 4 3 3" xfId="6947" xr:uid="{00000000-0005-0000-0000-000015370000}"/>
    <cellStyle name="40% - Accent6 4 3 3 2" xfId="6948" xr:uid="{00000000-0005-0000-0000-000016370000}"/>
    <cellStyle name="40% - Accent6 4 3 3 3" xfId="6949" xr:uid="{00000000-0005-0000-0000-000017370000}"/>
    <cellStyle name="40% - Accent6 4 3 4" xfId="6950" xr:uid="{00000000-0005-0000-0000-000018370000}"/>
    <cellStyle name="40% - Accent6 4 3 5" xfId="6951" xr:uid="{00000000-0005-0000-0000-000019370000}"/>
    <cellStyle name="40% - Accent6 4 3_Volatility" xfId="6952" xr:uid="{00000000-0005-0000-0000-00001A370000}"/>
    <cellStyle name="40% - Accent6 4 4" xfId="6953" xr:uid="{00000000-0005-0000-0000-00001B370000}"/>
    <cellStyle name="40% - Accent6 4 4 2" xfId="6954" xr:uid="{00000000-0005-0000-0000-00001C370000}"/>
    <cellStyle name="40% - Accent6 4 4 3" xfId="6955" xr:uid="{00000000-0005-0000-0000-00001D370000}"/>
    <cellStyle name="40% - Accent6 4 5" xfId="6956" xr:uid="{00000000-0005-0000-0000-00001E370000}"/>
    <cellStyle name="40% - Accent6 4 5 2" xfId="6957" xr:uid="{00000000-0005-0000-0000-00001F370000}"/>
    <cellStyle name="40% - Accent6 4 5 3" xfId="6958" xr:uid="{00000000-0005-0000-0000-000020370000}"/>
    <cellStyle name="40% - Accent6 4 6" xfId="6959" xr:uid="{00000000-0005-0000-0000-000021370000}"/>
    <cellStyle name="40% - Accent6 4 6 2" xfId="6960" xr:uid="{00000000-0005-0000-0000-000022370000}"/>
    <cellStyle name="40% - Accent6 4 6 3" xfId="6961" xr:uid="{00000000-0005-0000-0000-000023370000}"/>
    <cellStyle name="40% - Accent6 4 7" xfId="6962" xr:uid="{00000000-0005-0000-0000-000024370000}"/>
    <cellStyle name="40% - Accent6 4 8" xfId="6963" xr:uid="{00000000-0005-0000-0000-000025370000}"/>
    <cellStyle name="40% - Accent6 4_Volatility" xfId="6964" xr:uid="{00000000-0005-0000-0000-000026370000}"/>
    <cellStyle name="40% - Accent6 5" xfId="6965" xr:uid="{00000000-0005-0000-0000-000027370000}"/>
    <cellStyle name="40% - Accent6 5 2" xfId="6966" xr:uid="{00000000-0005-0000-0000-000028370000}"/>
    <cellStyle name="40% - Accent6 5 2 2" xfId="6967" xr:uid="{00000000-0005-0000-0000-000029370000}"/>
    <cellStyle name="40% - Accent6 5 2 2 2" xfId="6968" xr:uid="{00000000-0005-0000-0000-00002A370000}"/>
    <cellStyle name="40% - Accent6 5 2 2 3" xfId="6969" xr:uid="{00000000-0005-0000-0000-00002B370000}"/>
    <cellStyle name="40% - Accent6 5 2 3" xfId="6970" xr:uid="{00000000-0005-0000-0000-00002C370000}"/>
    <cellStyle name="40% - Accent6 5 2 3 2" xfId="6971" xr:uid="{00000000-0005-0000-0000-00002D370000}"/>
    <cellStyle name="40% - Accent6 5 2 3 3" xfId="6972" xr:uid="{00000000-0005-0000-0000-00002E370000}"/>
    <cellStyle name="40% - Accent6 5 2 4" xfId="6973" xr:uid="{00000000-0005-0000-0000-00002F370000}"/>
    <cellStyle name="40% - Accent6 5 2 4 2" xfId="6974" xr:uid="{00000000-0005-0000-0000-000030370000}"/>
    <cellStyle name="40% - Accent6 5 2 4 3" xfId="6975" xr:uid="{00000000-0005-0000-0000-000031370000}"/>
    <cellStyle name="40% - Accent6 5 2 5" xfId="6976" xr:uid="{00000000-0005-0000-0000-000032370000}"/>
    <cellStyle name="40% - Accent6 5 2 6" xfId="6977" xr:uid="{00000000-0005-0000-0000-000033370000}"/>
    <cellStyle name="40% - Accent6 5 2_Volatility" xfId="6978" xr:uid="{00000000-0005-0000-0000-000034370000}"/>
    <cellStyle name="40% - Accent6 5 3" xfId="6979" xr:uid="{00000000-0005-0000-0000-000035370000}"/>
    <cellStyle name="40% - Accent6 5 3 2" xfId="6980" xr:uid="{00000000-0005-0000-0000-000036370000}"/>
    <cellStyle name="40% - Accent6 5 3 2 2" xfId="6981" xr:uid="{00000000-0005-0000-0000-000037370000}"/>
    <cellStyle name="40% - Accent6 5 3 2 3" xfId="6982" xr:uid="{00000000-0005-0000-0000-000038370000}"/>
    <cellStyle name="40% - Accent6 5 3 3" xfId="6983" xr:uid="{00000000-0005-0000-0000-000039370000}"/>
    <cellStyle name="40% - Accent6 5 3 3 2" xfId="6984" xr:uid="{00000000-0005-0000-0000-00003A370000}"/>
    <cellStyle name="40% - Accent6 5 3 3 3" xfId="6985" xr:uid="{00000000-0005-0000-0000-00003B370000}"/>
    <cellStyle name="40% - Accent6 5 3 4" xfId="6986" xr:uid="{00000000-0005-0000-0000-00003C370000}"/>
    <cellStyle name="40% - Accent6 5 3 5" xfId="6987" xr:uid="{00000000-0005-0000-0000-00003D370000}"/>
    <cellStyle name="40% - Accent6 5 3_Volatility" xfId="6988" xr:uid="{00000000-0005-0000-0000-00003E370000}"/>
    <cellStyle name="40% - Accent6 5 4" xfId="6989" xr:uid="{00000000-0005-0000-0000-00003F370000}"/>
    <cellStyle name="40% - Accent6 5 4 2" xfId="6990" xr:uid="{00000000-0005-0000-0000-000040370000}"/>
    <cellStyle name="40% - Accent6 5 4 3" xfId="6991" xr:uid="{00000000-0005-0000-0000-000041370000}"/>
    <cellStyle name="40% - Accent6 5 5" xfId="6992" xr:uid="{00000000-0005-0000-0000-000042370000}"/>
    <cellStyle name="40% - Accent6 5 5 2" xfId="6993" xr:uid="{00000000-0005-0000-0000-000043370000}"/>
    <cellStyle name="40% - Accent6 5 5 3" xfId="6994" xr:uid="{00000000-0005-0000-0000-000044370000}"/>
    <cellStyle name="40% - Accent6 5 6" xfId="6995" xr:uid="{00000000-0005-0000-0000-000045370000}"/>
    <cellStyle name="40% - Accent6 5 6 2" xfId="6996" xr:uid="{00000000-0005-0000-0000-000046370000}"/>
    <cellStyle name="40% - Accent6 5 6 3" xfId="6997" xr:uid="{00000000-0005-0000-0000-000047370000}"/>
    <cellStyle name="40% - Accent6 5 7" xfId="6998" xr:uid="{00000000-0005-0000-0000-000048370000}"/>
    <cellStyle name="40% - Accent6 5 8" xfId="6999" xr:uid="{00000000-0005-0000-0000-000049370000}"/>
    <cellStyle name="40% - Accent6 5_Volatility" xfId="7000" xr:uid="{00000000-0005-0000-0000-00004A370000}"/>
    <cellStyle name="40% - Accent6 6" xfId="7001" xr:uid="{00000000-0005-0000-0000-00004B370000}"/>
    <cellStyle name="40% - Accent6 6 2" xfId="7002" xr:uid="{00000000-0005-0000-0000-00004C370000}"/>
    <cellStyle name="40% - Accent6 6 2 2" xfId="7003" xr:uid="{00000000-0005-0000-0000-00004D370000}"/>
    <cellStyle name="40% - Accent6 6 2 2 2" xfId="7004" xr:uid="{00000000-0005-0000-0000-00004E370000}"/>
    <cellStyle name="40% - Accent6 6 2 2 3" xfId="7005" xr:uid="{00000000-0005-0000-0000-00004F370000}"/>
    <cellStyle name="40% - Accent6 6 2 3" xfId="7006" xr:uid="{00000000-0005-0000-0000-000050370000}"/>
    <cellStyle name="40% - Accent6 6 2 3 2" xfId="7007" xr:uid="{00000000-0005-0000-0000-000051370000}"/>
    <cellStyle name="40% - Accent6 6 2 3 3" xfId="7008" xr:uid="{00000000-0005-0000-0000-000052370000}"/>
    <cellStyle name="40% - Accent6 6 2 4" xfId="7009" xr:uid="{00000000-0005-0000-0000-000053370000}"/>
    <cellStyle name="40% - Accent6 6 2 4 2" xfId="7010" xr:uid="{00000000-0005-0000-0000-000054370000}"/>
    <cellStyle name="40% - Accent6 6 2 4 3" xfId="7011" xr:uid="{00000000-0005-0000-0000-000055370000}"/>
    <cellStyle name="40% - Accent6 6 2 5" xfId="7012" xr:uid="{00000000-0005-0000-0000-000056370000}"/>
    <cellStyle name="40% - Accent6 6 2 6" xfId="7013" xr:uid="{00000000-0005-0000-0000-000057370000}"/>
    <cellStyle name="40% - Accent6 6 2_Volatility" xfId="7014" xr:uid="{00000000-0005-0000-0000-000058370000}"/>
    <cellStyle name="40% - Accent6 6 3" xfId="7015" xr:uid="{00000000-0005-0000-0000-000059370000}"/>
    <cellStyle name="40% - Accent6 6 3 2" xfId="7016" xr:uid="{00000000-0005-0000-0000-00005A370000}"/>
    <cellStyle name="40% - Accent6 6 3 2 2" xfId="7017" xr:uid="{00000000-0005-0000-0000-00005B370000}"/>
    <cellStyle name="40% - Accent6 6 3 2 3" xfId="7018" xr:uid="{00000000-0005-0000-0000-00005C370000}"/>
    <cellStyle name="40% - Accent6 6 3 3" xfId="7019" xr:uid="{00000000-0005-0000-0000-00005D370000}"/>
    <cellStyle name="40% - Accent6 6 3 3 2" xfId="7020" xr:uid="{00000000-0005-0000-0000-00005E370000}"/>
    <cellStyle name="40% - Accent6 6 3 3 3" xfId="7021" xr:uid="{00000000-0005-0000-0000-00005F370000}"/>
    <cellStyle name="40% - Accent6 6 3 4" xfId="7022" xr:uid="{00000000-0005-0000-0000-000060370000}"/>
    <cellStyle name="40% - Accent6 6 3 5" xfId="7023" xr:uid="{00000000-0005-0000-0000-000061370000}"/>
    <cellStyle name="40% - Accent6 6 3_Volatility" xfId="7024" xr:uid="{00000000-0005-0000-0000-000062370000}"/>
    <cellStyle name="40% - Accent6 6 4" xfId="7025" xr:uid="{00000000-0005-0000-0000-000063370000}"/>
    <cellStyle name="40% - Accent6 6 4 2" xfId="7026" xr:uid="{00000000-0005-0000-0000-000064370000}"/>
    <cellStyle name="40% - Accent6 6 4 3" xfId="7027" xr:uid="{00000000-0005-0000-0000-000065370000}"/>
    <cellStyle name="40% - Accent6 6 5" xfId="7028" xr:uid="{00000000-0005-0000-0000-000066370000}"/>
    <cellStyle name="40% - Accent6 6 5 2" xfId="7029" xr:uid="{00000000-0005-0000-0000-000067370000}"/>
    <cellStyle name="40% - Accent6 6 5 3" xfId="7030" xr:uid="{00000000-0005-0000-0000-000068370000}"/>
    <cellStyle name="40% - Accent6 6 6" xfId="7031" xr:uid="{00000000-0005-0000-0000-000069370000}"/>
    <cellStyle name="40% - Accent6 6 6 2" xfId="7032" xr:uid="{00000000-0005-0000-0000-00006A370000}"/>
    <cellStyle name="40% - Accent6 6 6 3" xfId="7033" xr:uid="{00000000-0005-0000-0000-00006B370000}"/>
    <cellStyle name="40% - Accent6 6 7" xfId="7034" xr:uid="{00000000-0005-0000-0000-00006C370000}"/>
    <cellStyle name="40% - Accent6 6 8" xfId="7035" xr:uid="{00000000-0005-0000-0000-00006D370000}"/>
    <cellStyle name="40% - Accent6 6_Volatility" xfId="7036" xr:uid="{00000000-0005-0000-0000-00006E370000}"/>
    <cellStyle name="40% - Accent6 7" xfId="7037" xr:uid="{00000000-0005-0000-0000-00006F370000}"/>
    <cellStyle name="40% - Accent6 7 2" xfId="7038" xr:uid="{00000000-0005-0000-0000-000070370000}"/>
    <cellStyle name="40% - Accent6 7 2 2" xfId="7039" xr:uid="{00000000-0005-0000-0000-000071370000}"/>
    <cellStyle name="40% - Accent6 7 2 2 2" xfId="7040" xr:uid="{00000000-0005-0000-0000-000072370000}"/>
    <cellStyle name="40% - Accent6 7 2 2 3" xfId="7041" xr:uid="{00000000-0005-0000-0000-000073370000}"/>
    <cellStyle name="40% - Accent6 7 2 3" xfId="7042" xr:uid="{00000000-0005-0000-0000-000074370000}"/>
    <cellStyle name="40% - Accent6 7 2 3 2" xfId="7043" xr:uid="{00000000-0005-0000-0000-000075370000}"/>
    <cellStyle name="40% - Accent6 7 2 3 3" xfId="7044" xr:uid="{00000000-0005-0000-0000-000076370000}"/>
    <cellStyle name="40% - Accent6 7 2 4" xfId="7045" xr:uid="{00000000-0005-0000-0000-000077370000}"/>
    <cellStyle name="40% - Accent6 7 2 4 2" xfId="7046" xr:uid="{00000000-0005-0000-0000-000078370000}"/>
    <cellStyle name="40% - Accent6 7 2 4 3" xfId="7047" xr:uid="{00000000-0005-0000-0000-000079370000}"/>
    <cellStyle name="40% - Accent6 7 2 5" xfId="7048" xr:uid="{00000000-0005-0000-0000-00007A370000}"/>
    <cellStyle name="40% - Accent6 7 2 6" xfId="7049" xr:uid="{00000000-0005-0000-0000-00007B370000}"/>
    <cellStyle name="40% - Accent6 7 2_Volatility" xfId="7050" xr:uid="{00000000-0005-0000-0000-00007C370000}"/>
    <cellStyle name="40% - Accent6 7 3" xfId="7051" xr:uid="{00000000-0005-0000-0000-00007D370000}"/>
    <cellStyle name="40% - Accent6 7 3 2" xfId="7052" xr:uid="{00000000-0005-0000-0000-00007E370000}"/>
    <cellStyle name="40% - Accent6 7 3 2 2" xfId="7053" xr:uid="{00000000-0005-0000-0000-00007F370000}"/>
    <cellStyle name="40% - Accent6 7 3 2 3" xfId="7054" xr:uid="{00000000-0005-0000-0000-000080370000}"/>
    <cellStyle name="40% - Accent6 7 3 3" xfId="7055" xr:uid="{00000000-0005-0000-0000-000081370000}"/>
    <cellStyle name="40% - Accent6 7 3 3 2" xfId="7056" xr:uid="{00000000-0005-0000-0000-000082370000}"/>
    <cellStyle name="40% - Accent6 7 3 3 3" xfId="7057" xr:uid="{00000000-0005-0000-0000-000083370000}"/>
    <cellStyle name="40% - Accent6 7 3 4" xfId="7058" xr:uid="{00000000-0005-0000-0000-000084370000}"/>
    <cellStyle name="40% - Accent6 7 3 5" xfId="7059" xr:uid="{00000000-0005-0000-0000-000085370000}"/>
    <cellStyle name="40% - Accent6 7 3_Volatility" xfId="7060" xr:uid="{00000000-0005-0000-0000-000086370000}"/>
    <cellStyle name="40% - Accent6 7 4" xfId="7061" xr:uid="{00000000-0005-0000-0000-000087370000}"/>
    <cellStyle name="40% - Accent6 7 4 2" xfId="7062" xr:uid="{00000000-0005-0000-0000-000088370000}"/>
    <cellStyle name="40% - Accent6 7 4 3" xfId="7063" xr:uid="{00000000-0005-0000-0000-000089370000}"/>
    <cellStyle name="40% - Accent6 7 5" xfId="7064" xr:uid="{00000000-0005-0000-0000-00008A370000}"/>
    <cellStyle name="40% - Accent6 7 5 2" xfId="7065" xr:uid="{00000000-0005-0000-0000-00008B370000}"/>
    <cellStyle name="40% - Accent6 7 5 3" xfId="7066" xr:uid="{00000000-0005-0000-0000-00008C370000}"/>
    <cellStyle name="40% - Accent6 7 6" xfId="7067" xr:uid="{00000000-0005-0000-0000-00008D370000}"/>
    <cellStyle name="40% - Accent6 7 6 2" xfId="7068" xr:uid="{00000000-0005-0000-0000-00008E370000}"/>
    <cellStyle name="40% - Accent6 7 6 3" xfId="7069" xr:uid="{00000000-0005-0000-0000-00008F370000}"/>
    <cellStyle name="40% - Accent6 7 7" xfId="7070" xr:uid="{00000000-0005-0000-0000-000090370000}"/>
    <cellStyle name="40% - Accent6 7 8" xfId="7071" xr:uid="{00000000-0005-0000-0000-000091370000}"/>
    <cellStyle name="40% - Accent6 7_Volatility" xfId="7072" xr:uid="{00000000-0005-0000-0000-000092370000}"/>
    <cellStyle name="40% - Accent6 8" xfId="7073" xr:uid="{00000000-0005-0000-0000-000093370000}"/>
    <cellStyle name="40% - Accent6 8 2" xfId="7074" xr:uid="{00000000-0005-0000-0000-000094370000}"/>
    <cellStyle name="40% - Accent6 8 2 2" xfId="7075" xr:uid="{00000000-0005-0000-0000-000095370000}"/>
    <cellStyle name="40% - Accent6 8 2 2 2" xfId="7076" xr:uid="{00000000-0005-0000-0000-000096370000}"/>
    <cellStyle name="40% - Accent6 8 2 2 3" xfId="7077" xr:uid="{00000000-0005-0000-0000-000097370000}"/>
    <cellStyle name="40% - Accent6 8 2 3" xfId="7078" xr:uid="{00000000-0005-0000-0000-000098370000}"/>
    <cellStyle name="40% - Accent6 8 2 3 2" xfId="7079" xr:uid="{00000000-0005-0000-0000-000099370000}"/>
    <cellStyle name="40% - Accent6 8 2 3 3" xfId="7080" xr:uid="{00000000-0005-0000-0000-00009A370000}"/>
    <cellStyle name="40% - Accent6 8 2 4" xfId="7081" xr:uid="{00000000-0005-0000-0000-00009B370000}"/>
    <cellStyle name="40% - Accent6 8 2 4 2" xfId="7082" xr:uid="{00000000-0005-0000-0000-00009C370000}"/>
    <cellStyle name="40% - Accent6 8 2 4 3" xfId="7083" xr:uid="{00000000-0005-0000-0000-00009D370000}"/>
    <cellStyle name="40% - Accent6 8 2 5" xfId="7084" xr:uid="{00000000-0005-0000-0000-00009E370000}"/>
    <cellStyle name="40% - Accent6 8 2 6" xfId="7085" xr:uid="{00000000-0005-0000-0000-00009F370000}"/>
    <cellStyle name="40% - Accent6 8 2_Volatility" xfId="7086" xr:uid="{00000000-0005-0000-0000-0000A0370000}"/>
    <cellStyle name="40% - Accent6 8 3" xfId="7087" xr:uid="{00000000-0005-0000-0000-0000A1370000}"/>
    <cellStyle name="40% - Accent6 8 3 2" xfId="7088" xr:uid="{00000000-0005-0000-0000-0000A2370000}"/>
    <cellStyle name="40% - Accent6 8 3 2 2" xfId="7089" xr:uid="{00000000-0005-0000-0000-0000A3370000}"/>
    <cellStyle name="40% - Accent6 8 3 2 3" xfId="7090" xr:uid="{00000000-0005-0000-0000-0000A4370000}"/>
    <cellStyle name="40% - Accent6 8 3 3" xfId="7091" xr:uid="{00000000-0005-0000-0000-0000A5370000}"/>
    <cellStyle name="40% - Accent6 8 3 3 2" xfId="7092" xr:uid="{00000000-0005-0000-0000-0000A6370000}"/>
    <cellStyle name="40% - Accent6 8 3 3 3" xfId="7093" xr:uid="{00000000-0005-0000-0000-0000A7370000}"/>
    <cellStyle name="40% - Accent6 8 3 4" xfId="7094" xr:uid="{00000000-0005-0000-0000-0000A8370000}"/>
    <cellStyle name="40% - Accent6 8 3 5" xfId="7095" xr:uid="{00000000-0005-0000-0000-0000A9370000}"/>
    <cellStyle name="40% - Accent6 8 3_Volatility" xfId="7096" xr:uid="{00000000-0005-0000-0000-0000AA370000}"/>
    <cellStyle name="40% - Accent6 8 4" xfId="7097" xr:uid="{00000000-0005-0000-0000-0000AB370000}"/>
    <cellStyle name="40% - Accent6 8 4 2" xfId="7098" xr:uid="{00000000-0005-0000-0000-0000AC370000}"/>
    <cellStyle name="40% - Accent6 8 4 3" xfId="7099" xr:uid="{00000000-0005-0000-0000-0000AD370000}"/>
    <cellStyle name="40% - Accent6 8 5" xfId="7100" xr:uid="{00000000-0005-0000-0000-0000AE370000}"/>
    <cellStyle name="40% - Accent6 8 5 2" xfId="7101" xr:uid="{00000000-0005-0000-0000-0000AF370000}"/>
    <cellStyle name="40% - Accent6 8 5 3" xfId="7102" xr:uid="{00000000-0005-0000-0000-0000B0370000}"/>
    <cellStyle name="40% - Accent6 8 6" xfId="7103" xr:uid="{00000000-0005-0000-0000-0000B1370000}"/>
    <cellStyle name="40% - Accent6 8 6 2" xfId="7104" xr:uid="{00000000-0005-0000-0000-0000B2370000}"/>
    <cellStyle name="40% - Accent6 8 6 3" xfId="7105" xr:uid="{00000000-0005-0000-0000-0000B3370000}"/>
    <cellStyle name="40% - Accent6 8 7" xfId="7106" xr:uid="{00000000-0005-0000-0000-0000B4370000}"/>
    <cellStyle name="40% - Accent6 8 8" xfId="7107" xr:uid="{00000000-0005-0000-0000-0000B5370000}"/>
    <cellStyle name="40% - Accent6 8_Volatility" xfId="7108" xr:uid="{00000000-0005-0000-0000-0000B6370000}"/>
    <cellStyle name="40% - Accent6 9" xfId="7109" xr:uid="{00000000-0005-0000-0000-0000B7370000}"/>
    <cellStyle name="40% - Accent6 9 2" xfId="7110" xr:uid="{00000000-0005-0000-0000-0000B8370000}"/>
    <cellStyle name="40% - Accent6 9 2 2" xfId="7111" xr:uid="{00000000-0005-0000-0000-0000B9370000}"/>
    <cellStyle name="40% - Accent6 9 2 2 2" xfId="7112" xr:uid="{00000000-0005-0000-0000-0000BA370000}"/>
    <cellStyle name="40% - Accent6 9 2 2 3" xfId="7113" xr:uid="{00000000-0005-0000-0000-0000BB370000}"/>
    <cellStyle name="40% - Accent6 9 2 3" xfId="7114" xr:uid="{00000000-0005-0000-0000-0000BC370000}"/>
    <cellStyle name="40% - Accent6 9 2 3 2" xfId="7115" xr:uid="{00000000-0005-0000-0000-0000BD370000}"/>
    <cellStyle name="40% - Accent6 9 2 3 3" xfId="7116" xr:uid="{00000000-0005-0000-0000-0000BE370000}"/>
    <cellStyle name="40% - Accent6 9 2 4" xfId="7117" xr:uid="{00000000-0005-0000-0000-0000BF370000}"/>
    <cellStyle name="40% - Accent6 9 2 4 2" xfId="7118" xr:uid="{00000000-0005-0000-0000-0000C0370000}"/>
    <cellStyle name="40% - Accent6 9 2 4 3" xfId="7119" xr:uid="{00000000-0005-0000-0000-0000C1370000}"/>
    <cellStyle name="40% - Accent6 9 2 5" xfId="7120" xr:uid="{00000000-0005-0000-0000-0000C2370000}"/>
    <cellStyle name="40% - Accent6 9 2 6" xfId="7121" xr:uid="{00000000-0005-0000-0000-0000C3370000}"/>
    <cellStyle name="40% - Accent6 9 2_Volatility" xfId="7122" xr:uid="{00000000-0005-0000-0000-0000C4370000}"/>
    <cellStyle name="40% - Accent6 9 3" xfId="7123" xr:uid="{00000000-0005-0000-0000-0000C5370000}"/>
    <cellStyle name="40% - Accent6 9 3 2" xfId="7124" xr:uid="{00000000-0005-0000-0000-0000C6370000}"/>
    <cellStyle name="40% - Accent6 9 3 2 2" xfId="7125" xr:uid="{00000000-0005-0000-0000-0000C7370000}"/>
    <cellStyle name="40% - Accent6 9 3 2 3" xfId="7126" xr:uid="{00000000-0005-0000-0000-0000C8370000}"/>
    <cellStyle name="40% - Accent6 9 3 3" xfId="7127" xr:uid="{00000000-0005-0000-0000-0000C9370000}"/>
    <cellStyle name="40% - Accent6 9 3 3 2" xfId="7128" xr:uid="{00000000-0005-0000-0000-0000CA370000}"/>
    <cellStyle name="40% - Accent6 9 3 3 3" xfId="7129" xr:uid="{00000000-0005-0000-0000-0000CB370000}"/>
    <cellStyle name="40% - Accent6 9 3 4" xfId="7130" xr:uid="{00000000-0005-0000-0000-0000CC370000}"/>
    <cellStyle name="40% - Accent6 9 3 5" xfId="7131" xr:uid="{00000000-0005-0000-0000-0000CD370000}"/>
    <cellStyle name="40% - Accent6 9 3_Volatility" xfId="7132" xr:uid="{00000000-0005-0000-0000-0000CE370000}"/>
    <cellStyle name="40% - Accent6 9 4" xfId="7133" xr:uid="{00000000-0005-0000-0000-0000CF370000}"/>
    <cellStyle name="40% - Accent6 9 4 2" xfId="7134" xr:uid="{00000000-0005-0000-0000-0000D0370000}"/>
    <cellStyle name="40% - Accent6 9 4 3" xfId="7135" xr:uid="{00000000-0005-0000-0000-0000D1370000}"/>
    <cellStyle name="40% - Accent6 9 5" xfId="7136" xr:uid="{00000000-0005-0000-0000-0000D2370000}"/>
    <cellStyle name="40% - Accent6 9 5 2" xfId="7137" xr:uid="{00000000-0005-0000-0000-0000D3370000}"/>
    <cellStyle name="40% - Accent6 9 5 3" xfId="7138" xr:uid="{00000000-0005-0000-0000-0000D4370000}"/>
    <cellStyle name="40% - Accent6 9 6" xfId="7139" xr:uid="{00000000-0005-0000-0000-0000D5370000}"/>
    <cellStyle name="40% - Accent6 9 6 2" xfId="7140" xr:uid="{00000000-0005-0000-0000-0000D6370000}"/>
    <cellStyle name="40% - Accent6 9 6 3" xfId="7141" xr:uid="{00000000-0005-0000-0000-0000D7370000}"/>
    <cellStyle name="40% - Accent6 9 7" xfId="7142" xr:uid="{00000000-0005-0000-0000-0000D8370000}"/>
    <cellStyle name="40% - Accent6 9 8" xfId="7143" xr:uid="{00000000-0005-0000-0000-0000D9370000}"/>
    <cellStyle name="40% - Accent6 9_Volatility" xfId="7144" xr:uid="{00000000-0005-0000-0000-0000DA370000}"/>
    <cellStyle name="40% - Ênfase1" xfId="7145" xr:uid="{00000000-0005-0000-0000-0000DB370000}"/>
    <cellStyle name="40% - Ênfase2" xfId="7146" xr:uid="{00000000-0005-0000-0000-0000DC370000}"/>
    <cellStyle name="40% - Ênfase3" xfId="7147" xr:uid="{00000000-0005-0000-0000-0000DD370000}"/>
    <cellStyle name="40% - Ênfase4" xfId="7148" xr:uid="{00000000-0005-0000-0000-0000DE370000}"/>
    <cellStyle name="40% - Ênfase5" xfId="7149" xr:uid="{00000000-0005-0000-0000-0000DF370000}"/>
    <cellStyle name="40% - Ênfase6" xfId="7150" xr:uid="{00000000-0005-0000-0000-0000E0370000}"/>
    <cellStyle name="40% - Énfasis1" xfId="7151" xr:uid="{00000000-0005-0000-0000-0000E1370000}"/>
    <cellStyle name="40% - Énfasis2" xfId="7152" xr:uid="{00000000-0005-0000-0000-0000E2370000}"/>
    <cellStyle name="40% - Énfasis3" xfId="7153" xr:uid="{00000000-0005-0000-0000-0000E3370000}"/>
    <cellStyle name="40% - Énfasis4" xfId="7154" xr:uid="{00000000-0005-0000-0000-0000E4370000}"/>
    <cellStyle name="40% - Énfasis5" xfId="7155" xr:uid="{00000000-0005-0000-0000-0000E5370000}"/>
    <cellStyle name="40% - Énfasis6" xfId="7156" xr:uid="{00000000-0005-0000-0000-0000E6370000}"/>
    <cellStyle name="40% - 강조색1" xfId="7157" xr:uid="{00000000-0005-0000-0000-0000E7370000}"/>
    <cellStyle name="40% - 강조색1 2" xfId="7158" xr:uid="{00000000-0005-0000-0000-0000E8370000}"/>
    <cellStyle name="40% - 강조색2" xfId="7159" xr:uid="{00000000-0005-0000-0000-0000E9370000}"/>
    <cellStyle name="40% - 강조색2 2" xfId="7160" xr:uid="{00000000-0005-0000-0000-0000EA370000}"/>
    <cellStyle name="40% - 강조색3" xfId="7161" xr:uid="{00000000-0005-0000-0000-0000EB370000}"/>
    <cellStyle name="40% - 강조색3 2" xfId="7162" xr:uid="{00000000-0005-0000-0000-0000EC370000}"/>
    <cellStyle name="40% - 강조색4" xfId="7163" xr:uid="{00000000-0005-0000-0000-0000ED370000}"/>
    <cellStyle name="40% - 강조색4 2" xfId="7164" xr:uid="{00000000-0005-0000-0000-0000EE370000}"/>
    <cellStyle name="40% - 강조색5" xfId="7165" xr:uid="{00000000-0005-0000-0000-0000EF370000}"/>
    <cellStyle name="40% - 강조색5 2" xfId="7166" xr:uid="{00000000-0005-0000-0000-0000F0370000}"/>
    <cellStyle name="40% - 강조색6" xfId="7167" xr:uid="{00000000-0005-0000-0000-0000F1370000}"/>
    <cellStyle name="40% - 강조색6 2" xfId="7168" xr:uid="{00000000-0005-0000-0000-0000F2370000}"/>
    <cellStyle name="60% - Accent1 10" xfId="7169" xr:uid="{00000000-0005-0000-0000-0000F3370000}"/>
    <cellStyle name="60% - Accent1 11" xfId="7170" xr:uid="{00000000-0005-0000-0000-0000F4370000}"/>
    <cellStyle name="60% - Accent1 12" xfId="7171" xr:uid="{00000000-0005-0000-0000-0000F5370000}"/>
    <cellStyle name="60% - Accent1 13" xfId="7172" xr:uid="{00000000-0005-0000-0000-0000F6370000}"/>
    <cellStyle name="60% - Accent1 14" xfId="7173" xr:uid="{00000000-0005-0000-0000-0000F7370000}"/>
    <cellStyle name="60% - Accent1 15" xfId="7174" xr:uid="{00000000-0005-0000-0000-0000F8370000}"/>
    <cellStyle name="60% - Accent1 16" xfId="7175" xr:uid="{00000000-0005-0000-0000-0000F9370000}"/>
    <cellStyle name="60% - Accent1 17" xfId="7176" xr:uid="{00000000-0005-0000-0000-0000FA370000}"/>
    <cellStyle name="60% - Accent1 18" xfId="7177" xr:uid="{00000000-0005-0000-0000-0000FB370000}"/>
    <cellStyle name="60% - Accent1 19" xfId="7178" xr:uid="{00000000-0005-0000-0000-0000FC370000}"/>
    <cellStyle name="60% - Accent1 2" xfId="7179" xr:uid="{00000000-0005-0000-0000-0000FD370000}"/>
    <cellStyle name="60% - Accent1 2 2" xfId="7180" xr:uid="{00000000-0005-0000-0000-0000FE370000}"/>
    <cellStyle name="60% - Accent1 2 2 2" xfId="7181" xr:uid="{00000000-0005-0000-0000-0000FF370000}"/>
    <cellStyle name="60% - Accent1 2 3" xfId="7182" xr:uid="{00000000-0005-0000-0000-000000380000}"/>
    <cellStyle name="60% - Accent1 2 3 2" xfId="7183" xr:uid="{00000000-0005-0000-0000-000001380000}"/>
    <cellStyle name="60% - Accent1 2 4" xfId="7184" xr:uid="{00000000-0005-0000-0000-000002380000}"/>
    <cellStyle name="60% - Accent1 2 4 2" xfId="7185" xr:uid="{00000000-0005-0000-0000-000003380000}"/>
    <cellStyle name="60% - Accent1 2 4 3" xfId="7186" xr:uid="{00000000-0005-0000-0000-000004380000}"/>
    <cellStyle name="60% - Accent1 2 5" xfId="7187" xr:uid="{00000000-0005-0000-0000-000005380000}"/>
    <cellStyle name="60% - Accent1 2 6" xfId="7188" xr:uid="{00000000-0005-0000-0000-000006380000}"/>
    <cellStyle name="60% - Accent1 2 7" xfId="7189" xr:uid="{00000000-0005-0000-0000-000007380000}"/>
    <cellStyle name="60% - Accent1 2 8" xfId="7190" xr:uid="{00000000-0005-0000-0000-000008380000}"/>
    <cellStyle name="60% - Accent1 3" xfId="7191" xr:uid="{00000000-0005-0000-0000-000009380000}"/>
    <cellStyle name="60% - Accent1 3 2" xfId="7192" xr:uid="{00000000-0005-0000-0000-00000A380000}"/>
    <cellStyle name="60% - Accent1 3 2 2" xfId="7193" xr:uid="{00000000-0005-0000-0000-00000B380000}"/>
    <cellStyle name="60% - Accent1 3 2 3" xfId="7194" xr:uid="{00000000-0005-0000-0000-00000C380000}"/>
    <cellStyle name="60% - Accent1 3 3" xfId="7195" xr:uid="{00000000-0005-0000-0000-00000D380000}"/>
    <cellStyle name="60% - Accent1 3 4" xfId="7196" xr:uid="{00000000-0005-0000-0000-00000E380000}"/>
    <cellStyle name="60% - Accent1 3 5" xfId="7197" xr:uid="{00000000-0005-0000-0000-00000F380000}"/>
    <cellStyle name="60% - Accent1 4" xfId="7198" xr:uid="{00000000-0005-0000-0000-000010380000}"/>
    <cellStyle name="60% - Accent1 4 2" xfId="7199" xr:uid="{00000000-0005-0000-0000-000011380000}"/>
    <cellStyle name="60% - Accent1 4 2 2" xfId="7200" xr:uid="{00000000-0005-0000-0000-000012380000}"/>
    <cellStyle name="60% - Accent1 4 2 3" xfId="7201" xr:uid="{00000000-0005-0000-0000-000013380000}"/>
    <cellStyle name="60% - Accent1 4 3" xfId="7202" xr:uid="{00000000-0005-0000-0000-000014380000}"/>
    <cellStyle name="60% - Accent1 4 4" xfId="7203" xr:uid="{00000000-0005-0000-0000-000015380000}"/>
    <cellStyle name="60% - Accent1 4 5" xfId="7204" xr:uid="{00000000-0005-0000-0000-000016380000}"/>
    <cellStyle name="60% - Accent1 5" xfId="7205" xr:uid="{00000000-0005-0000-0000-000017380000}"/>
    <cellStyle name="60% - Accent1 5 2" xfId="7206" xr:uid="{00000000-0005-0000-0000-000018380000}"/>
    <cellStyle name="60% - Accent1 5 2 2" xfId="7207" xr:uid="{00000000-0005-0000-0000-000019380000}"/>
    <cellStyle name="60% - Accent1 5 2 3" xfId="7208" xr:uid="{00000000-0005-0000-0000-00001A380000}"/>
    <cellStyle name="60% - Accent1 5 3" xfId="7209" xr:uid="{00000000-0005-0000-0000-00001B380000}"/>
    <cellStyle name="60% - Accent1 5 4" xfId="7210" xr:uid="{00000000-0005-0000-0000-00001C380000}"/>
    <cellStyle name="60% - Accent1 5 5" xfId="7211" xr:uid="{00000000-0005-0000-0000-00001D380000}"/>
    <cellStyle name="60% - Accent1 6" xfId="7212" xr:uid="{00000000-0005-0000-0000-00001E380000}"/>
    <cellStyle name="60% - Accent1 6 2" xfId="7213" xr:uid="{00000000-0005-0000-0000-00001F380000}"/>
    <cellStyle name="60% - Accent1 6 3" xfId="7214" xr:uid="{00000000-0005-0000-0000-000020380000}"/>
    <cellStyle name="60% - Accent1 7" xfId="7215" xr:uid="{00000000-0005-0000-0000-000021380000}"/>
    <cellStyle name="60% - Accent1 8" xfId="7216" xr:uid="{00000000-0005-0000-0000-000022380000}"/>
    <cellStyle name="60% - Accent1 9" xfId="7217" xr:uid="{00000000-0005-0000-0000-000023380000}"/>
    <cellStyle name="60% - Accent2 10" xfId="7218" xr:uid="{00000000-0005-0000-0000-000024380000}"/>
    <cellStyle name="60% - Accent2 11" xfId="7219" xr:uid="{00000000-0005-0000-0000-000025380000}"/>
    <cellStyle name="60% - Accent2 12" xfId="7220" xr:uid="{00000000-0005-0000-0000-000026380000}"/>
    <cellStyle name="60% - Accent2 13" xfId="7221" xr:uid="{00000000-0005-0000-0000-000027380000}"/>
    <cellStyle name="60% - Accent2 14" xfId="7222" xr:uid="{00000000-0005-0000-0000-000028380000}"/>
    <cellStyle name="60% - Accent2 15" xfId="7223" xr:uid="{00000000-0005-0000-0000-000029380000}"/>
    <cellStyle name="60% - Accent2 16" xfId="7224" xr:uid="{00000000-0005-0000-0000-00002A380000}"/>
    <cellStyle name="60% - Accent2 17" xfId="7225" xr:uid="{00000000-0005-0000-0000-00002B380000}"/>
    <cellStyle name="60% - Accent2 18" xfId="7226" xr:uid="{00000000-0005-0000-0000-00002C380000}"/>
    <cellStyle name="60% - Accent2 19" xfId="7227" xr:uid="{00000000-0005-0000-0000-00002D380000}"/>
    <cellStyle name="60% - Accent2 2" xfId="7228" xr:uid="{00000000-0005-0000-0000-00002E380000}"/>
    <cellStyle name="60% - Accent2 2 2" xfId="7229" xr:uid="{00000000-0005-0000-0000-00002F380000}"/>
    <cellStyle name="60% - Accent2 2 2 2" xfId="7230" xr:uid="{00000000-0005-0000-0000-000030380000}"/>
    <cellStyle name="60% - Accent2 2 3" xfId="7231" xr:uid="{00000000-0005-0000-0000-000031380000}"/>
    <cellStyle name="60% - Accent2 2 3 2" xfId="7232" xr:uid="{00000000-0005-0000-0000-000032380000}"/>
    <cellStyle name="60% - Accent2 2 4" xfId="7233" xr:uid="{00000000-0005-0000-0000-000033380000}"/>
    <cellStyle name="60% - Accent2 2 4 2" xfId="7234" xr:uid="{00000000-0005-0000-0000-000034380000}"/>
    <cellStyle name="60% - Accent2 2 4 3" xfId="7235" xr:uid="{00000000-0005-0000-0000-000035380000}"/>
    <cellStyle name="60% - Accent2 2 5" xfId="7236" xr:uid="{00000000-0005-0000-0000-000036380000}"/>
    <cellStyle name="60% - Accent2 2 6" xfId="7237" xr:uid="{00000000-0005-0000-0000-000037380000}"/>
    <cellStyle name="60% - Accent2 2 7" xfId="7238" xr:uid="{00000000-0005-0000-0000-000038380000}"/>
    <cellStyle name="60% - Accent2 2 8" xfId="7239" xr:uid="{00000000-0005-0000-0000-000039380000}"/>
    <cellStyle name="60% - Accent2 3" xfId="7240" xr:uid="{00000000-0005-0000-0000-00003A380000}"/>
    <cellStyle name="60% - Accent2 3 2" xfId="7241" xr:uid="{00000000-0005-0000-0000-00003B380000}"/>
    <cellStyle name="60% - Accent2 3 2 2" xfId="7242" xr:uid="{00000000-0005-0000-0000-00003C380000}"/>
    <cellStyle name="60% - Accent2 3 2 3" xfId="7243" xr:uid="{00000000-0005-0000-0000-00003D380000}"/>
    <cellStyle name="60% - Accent2 3 3" xfId="7244" xr:uid="{00000000-0005-0000-0000-00003E380000}"/>
    <cellStyle name="60% - Accent2 3 4" xfId="7245" xr:uid="{00000000-0005-0000-0000-00003F380000}"/>
    <cellStyle name="60% - Accent2 3 5" xfId="7246" xr:uid="{00000000-0005-0000-0000-000040380000}"/>
    <cellStyle name="60% - Accent2 4" xfId="7247" xr:uid="{00000000-0005-0000-0000-000041380000}"/>
    <cellStyle name="60% - Accent2 4 2" xfId="7248" xr:uid="{00000000-0005-0000-0000-000042380000}"/>
    <cellStyle name="60% - Accent2 4 2 2" xfId="7249" xr:uid="{00000000-0005-0000-0000-000043380000}"/>
    <cellStyle name="60% - Accent2 4 2 3" xfId="7250" xr:uid="{00000000-0005-0000-0000-000044380000}"/>
    <cellStyle name="60% - Accent2 4 3" xfId="7251" xr:uid="{00000000-0005-0000-0000-000045380000}"/>
    <cellStyle name="60% - Accent2 4 4" xfId="7252" xr:uid="{00000000-0005-0000-0000-000046380000}"/>
    <cellStyle name="60% - Accent2 4 5" xfId="7253" xr:uid="{00000000-0005-0000-0000-000047380000}"/>
    <cellStyle name="60% - Accent2 5" xfId="7254" xr:uid="{00000000-0005-0000-0000-000048380000}"/>
    <cellStyle name="60% - Accent2 5 2" xfId="7255" xr:uid="{00000000-0005-0000-0000-000049380000}"/>
    <cellStyle name="60% - Accent2 5 2 2" xfId="7256" xr:uid="{00000000-0005-0000-0000-00004A380000}"/>
    <cellStyle name="60% - Accent2 5 2 3" xfId="7257" xr:uid="{00000000-0005-0000-0000-00004B380000}"/>
    <cellStyle name="60% - Accent2 5 3" xfId="7258" xr:uid="{00000000-0005-0000-0000-00004C380000}"/>
    <cellStyle name="60% - Accent2 5 4" xfId="7259" xr:uid="{00000000-0005-0000-0000-00004D380000}"/>
    <cellStyle name="60% - Accent2 5 5" xfId="7260" xr:uid="{00000000-0005-0000-0000-00004E380000}"/>
    <cellStyle name="60% - Accent2 6" xfId="7261" xr:uid="{00000000-0005-0000-0000-00004F380000}"/>
    <cellStyle name="60% - Accent2 6 2" xfId="7262" xr:uid="{00000000-0005-0000-0000-000050380000}"/>
    <cellStyle name="60% - Accent2 6 3" xfId="7263" xr:uid="{00000000-0005-0000-0000-000051380000}"/>
    <cellStyle name="60% - Accent2 7" xfId="7264" xr:uid="{00000000-0005-0000-0000-000052380000}"/>
    <cellStyle name="60% - Accent2 8" xfId="7265" xr:uid="{00000000-0005-0000-0000-000053380000}"/>
    <cellStyle name="60% - Accent2 9" xfId="7266" xr:uid="{00000000-0005-0000-0000-000054380000}"/>
    <cellStyle name="60% - Accent3 10" xfId="7267" xr:uid="{00000000-0005-0000-0000-000055380000}"/>
    <cellStyle name="60% - Accent3 11" xfId="7268" xr:uid="{00000000-0005-0000-0000-000056380000}"/>
    <cellStyle name="60% - Accent3 12" xfId="7269" xr:uid="{00000000-0005-0000-0000-000057380000}"/>
    <cellStyle name="60% - Accent3 13" xfId="7270" xr:uid="{00000000-0005-0000-0000-000058380000}"/>
    <cellStyle name="60% - Accent3 14" xfId="7271" xr:uid="{00000000-0005-0000-0000-000059380000}"/>
    <cellStyle name="60% - Accent3 15" xfId="7272" xr:uid="{00000000-0005-0000-0000-00005A380000}"/>
    <cellStyle name="60% - Accent3 16" xfId="7273" xr:uid="{00000000-0005-0000-0000-00005B380000}"/>
    <cellStyle name="60% - Accent3 17" xfId="7274" xr:uid="{00000000-0005-0000-0000-00005C380000}"/>
    <cellStyle name="60% - Accent3 18" xfId="7275" xr:uid="{00000000-0005-0000-0000-00005D380000}"/>
    <cellStyle name="60% - Accent3 19" xfId="7276" xr:uid="{00000000-0005-0000-0000-00005E380000}"/>
    <cellStyle name="60% - Accent3 2" xfId="7277" xr:uid="{00000000-0005-0000-0000-00005F380000}"/>
    <cellStyle name="60% - Accent3 2 2" xfId="7278" xr:uid="{00000000-0005-0000-0000-000060380000}"/>
    <cellStyle name="60% - Accent3 2 2 2" xfId="7279" xr:uid="{00000000-0005-0000-0000-000061380000}"/>
    <cellStyle name="60% - Accent3 2 3" xfId="7280" xr:uid="{00000000-0005-0000-0000-000062380000}"/>
    <cellStyle name="60% - Accent3 2 3 2" xfId="7281" xr:uid="{00000000-0005-0000-0000-000063380000}"/>
    <cellStyle name="60% - Accent3 2 4" xfId="7282" xr:uid="{00000000-0005-0000-0000-000064380000}"/>
    <cellStyle name="60% - Accent3 2 4 2" xfId="7283" xr:uid="{00000000-0005-0000-0000-000065380000}"/>
    <cellStyle name="60% - Accent3 2 4 3" xfId="7284" xr:uid="{00000000-0005-0000-0000-000066380000}"/>
    <cellStyle name="60% - Accent3 2 5" xfId="7285" xr:uid="{00000000-0005-0000-0000-000067380000}"/>
    <cellStyle name="60% - Accent3 2 6" xfId="7286" xr:uid="{00000000-0005-0000-0000-000068380000}"/>
    <cellStyle name="60% - Accent3 2 7" xfId="7287" xr:uid="{00000000-0005-0000-0000-000069380000}"/>
    <cellStyle name="60% - Accent3 2 8" xfId="7288" xr:uid="{00000000-0005-0000-0000-00006A380000}"/>
    <cellStyle name="60% - Accent3 3" xfId="7289" xr:uid="{00000000-0005-0000-0000-00006B380000}"/>
    <cellStyle name="60% - Accent3 3 2" xfId="7290" xr:uid="{00000000-0005-0000-0000-00006C380000}"/>
    <cellStyle name="60% - Accent3 3 2 2" xfId="7291" xr:uid="{00000000-0005-0000-0000-00006D380000}"/>
    <cellStyle name="60% - Accent3 3 2 3" xfId="7292" xr:uid="{00000000-0005-0000-0000-00006E380000}"/>
    <cellStyle name="60% - Accent3 3 3" xfId="7293" xr:uid="{00000000-0005-0000-0000-00006F380000}"/>
    <cellStyle name="60% - Accent3 3 4" xfId="7294" xr:uid="{00000000-0005-0000-0000-000070380000}"/>
    <cellStyle name="60% - Accent3 3 5" xfId="7295" xr:uid="{00000000-0005-0000-0000-000071380000}"/>
    <cellStyle name="60% - Accent3 4" xfId="7296" xr:uid="{00000000-0005-0000-0000-000072380000}"/>
    <cellStyle name="60% - Accent3 4 2" xfId="7297" xr:uid="{00000000-0005-0000-0000-000073380000}"/>
    <cellStyle name="60% - Accent3 4 2 2" xfId="7298" xr:uid="{00000000-0005-0000-0000-000074380000}"/>
    <cellStyle name="60% - Accent3 4 2 3" xfId="7299" xr:uid="{00000000-0005-0000-0000-000075380000}"/>
    <cellStyle name="60% - Accent3 4 3" xfId="7300" xr:uid="{00000000-0005-0000-0000-000076380000}"/>
    <cellStyle name="60% - Accent3 4 4" xfId="7301" xr:uid="{00000000-0005-0000-0000-000077380000}"/>
    <cellStyle name="60% - Accent3 4 5" xfId="7302" xr:uid="{00000000-0005-0000-0000-000078380000}"/>
    <cellStyle name="60% - Accent3 5" xfId="7303" xr:uid="{00000000-0005-0000-0000-000079380000}"/>
    <cellStyle name="60% - Accent3 5 2" xfId="7304" xr:uid="{00000000-0005-0000-0000-00007A380000}"/>
    <cellStyle name="60% - Accent3 5 2 2" xfId="7305" xr:uid="{00000000-0005-0000-0000-00007B380000}"/>
    <cellStyle name="60% - Accent3 5 2 3" xfId="7306" xr:uid="{00000000-0005-0000-0000-00007C380000}"/>
    <cellStyle name="60% - Accent3 5 3" xfId="7307" xr:uid="{00000000-0005-0000-0000-00007D380000}"/>
    <cellStyle name="60% - Accent3 5 4" xfId="7308" xr:uid="{00000000-0005-0000-0000-00007E380000}"/>
    <cellStyle name="60% - Accent3 5 5" xfId="7309" xr:uid="{00000000-0005-0000-0000-00007F380000}"/>
    <cellStyle name="60% - Accent3 6" xfId="7310" xr:uid="{00000000-0005-0000-0000-000080380000}"/>
    <cellStyle name="60% - Accent3 6 2" xfId="7311" xr:uid="{00000000-0005-0000-0000-000081380000}"/>
    <cellStyle name="60% - Accent3 6 3" xfId="7312" xr:uid="{00000000-0005-0000-0000-000082380000}"/>
    <cellStyle name="60% - Accent3 7" xfId="7313" xr:uid="{00000000-0005-0000-0000-000083380000}"/>
    <cellStyle name="60% - Accent3 8" xfId="7314" xr:uid="{00000000-0005-0000-0000-000084380000}"/>
    <cellStyle name="60% - Accent3 9" xfId="7315" xr:uid="{00000000-0005-0000-0000-000085380000}"/>
    <cellStyle name="60% - Accent4 10" xfId="7316" xr:uid="{00000000-0005-0000-0000-000086380000}"/>
    <cellStyle name="60% - Accent4 11" xfId="7317" xr:uid="{00000000-0005-0000-0000-000087380000}"/>
    <cellStyle name="60% - Accent4 12" xfId="7318" xr:uid="{00000000-0005-0000-0000-000088380000}"/>
    <cellStyle name="60% - Accent4 13" xfId="7319" xr:uid="{00000000-0005-0000-0000-000089380000}"/>
    <cellStyle name="60% - Accent4 14" xfId="7320" xr:uid="{00000000-0005-0000-0000-00008A380000}"/>
    <cellStyle name="60% - Accent4 15" xfId="7321" xr:uid="{00000000-0005-0000-0000-00008B380000}"/>
    <cellStyle name="60% - Accent4 16" xfId="7322" xr:uid="{00000000-0005-0000-0000-00008C380000}"/>
    <cellStyle name="60% - Accent4 17" xfId="7323" xr:uid="{00000000-0005-0000-0000-00008D380000}"/>
    <cellStyle name="60% - Accent4 18" xfId="7324" xr:uid="{00000000-0005-0000-0000-00008E380000}"/>
    <cellStyle name="60% - Accent4 19" xfId="7325" xr:uid="{00000000-0005-0000-0000-00008F380000}"/>
    <cellStyle name="60% - Accent4 2" xfId="7326" xr:uid="{00000000-0005-0000-0000-000090380000}"/>
    <cellStyle name="60% - Accent4 2 2" xfId="7327" xr:uid="{00000000-0005-0000-0000-000091380000}"/>
    <cellStyle name="60% - Accent4 2 2 2" xfId="7328" xr:uid="{00000000-0005-0000-0000-000092380000}"/>
    <cellStyle name="60% - Accent4 2 3" xfId="7329" xr:uid="{00000000-0005-0000-0000-000093380000}"/>
    <cellStyle name="60% - Accent4 2 3 2" xfId="7330" xr:uid="{00000000-0005-0000-0000-000094380000}"/>
    <cellStyle name="60% - Accent4 2 4" xfId="7331" xr:uid="{00000000-0005-0000-0000-000095380000}"/>
    <cellStyle name="60% - Accent4 2 4 2" xfId="7332" xr:uid="{00000000-0005-0000-0000-000096380000}"/>
    <cellStyle name="60% - Accent4 2 4 3" xfId="7333" xr:uid="{00000000-0005-0000-0000-000097380000}"/>
    <cellStyle name="60% - Accent4 2 5" xfId="7334" xr:uid="{00000000-0005-0000-0000-000098380000}"/>
    <cellStyle name="60% - Accent4 2 6" xfId="7335" xr:uid="{00000000-0005-0000-0000-000099380000}"/>
    <cellStyle name="60% - Accent4 2 7" xfId="7336" xr:uid="{00000000-0005-0000-0000-00009A380000}"/>
    <cellStyle name="60% - Accent4 2 8" xfId="7337" xr:uid="{00000000-0005-0000-0000-00009B380000}"/>
    <cellStyle name="60% - Accent4 3" xfId="7338" xr:uid="{00000000-0005-0000-0000-00009C380000}"/>
    <cellStyle name="60% - Accent4 3 2" xfId="7339" xr:uid="{00000000-0005-0000-0000-00009D380000}"/>
    <cellStyle name="60% - Accent4 3 2 2" xfId="7340" xr:uid="{00000000-0005-0000-0000-00009E380000}"/>
    <cellStyle name="60% - Accent4 3 2 3" xfId="7341" xr:uid="{00000000-0005-0000-0000-00009F380000}"/>
    <cellStyle name="60% - Accent4 3 3" xfId="7342" xr:uid="{00000000-0005-0000-0000-0000A0380000}"/>
    <cellStyle name="60% - Accent4 3 4" xfId="7343" xr:uid="{00000000-0005-0000-0000-0000A1380000}"/>
    <cellStyle name="60% - Accent4 3 5" xfId="7344" xr:uid="{00000000-0005-0000-0000-0000A2380000}"/>
    <cellStyle name="60% - Accent4 4" xfId="7345" xr:uid="{00000000-0005-0000-0000-0000A3380000}"/>
    <cellStyle name="60% - Accent4 4 2" xfId="7346" xr:uid="{00000000-0005-0000-0000-0000A4380000}"/>
    <cellStyle name="60% - Accent4 4 2 2" xfId="7347" xr:uid="{00000000-0005-0000-0000-0000A5380000}"/>
    <cellStyle name="60% - Accent4 4 2 3" xfId="7348" xr:uid="{00000000-0005-0000-0000-0000A6380000}"/>
    <cellStyle name="60% - Accent4 4 3" xfId="7349" xr:uid="{00000000-0005-0000-0000-0000A7380000}"/>
    <cellStyle name="60% - Accent4 4 4" xfId="7350" xr:uid="{00000000-0005-0000-0000-0000A8380000}"/>
    <cellStyle name="60% - Accent4 4 5" xfId="7351" xr:uid="{00000000-0005-0000-0000-0000A9380000}"/>
    <cellStyle name="60% - Accent4 5" xfId="7352" xr:uid="{00000000-0005-0000-0000-0000AA380000}"/>
    <cellStyle name="60% - Accent4 5 2" xfId="7353" xr:uid="{00000000-0005-0000-0000-0000AB380000}"/>
    <cellStyle name="60% - Accent4 5 2 2" xfId="7354" xr:uid="{00000000-0005-0000-0000-0000AC380000}"/>
    <cellStyle name="60% - Accent4 5 2 3" xfId="7355" xr:uid="{00000000-0005-0000-0000-0000AD380000}"/>
    <cellStyle name="60% - Accent4 5 3" xfId="7356" xr:uid="{00000000-0005-0000-0000-0000AE380000}"/>
    <cellStyle name="60% - Accent4 5 4" xfId="7357" xr:uid="{00000000-0005-0000-0000-0000AF380000}"/>
    <cellStyle name="60% - Accent4 5 5" xfId="7358" xr:uid="{00000000-0005-0000-0000-0000B0380000}"/>
    <cellStyle name="60% - Accent4 6" xfId="7359" xr:uid="{00000000-0005-0000-0000-0000B1380000}"/>
    <cellStyle name="60% - Accent4 6 2" xfId="7360" xr:uid="{00000000-0005-0000-0000-0000B2380000}"/>
    <cellStyle name="60% - Accent4 6 3" xfId="7361" xr:uid="{00000000-0005-0000-0000-0000B3380000}"/>
    <cellStyle name="60% - Accent4 7" xfId="7362" xr:uid="{00000000-0005-0000-0000-0000B4380000}"/>
    <cellStyle name="60% - Accent4 8" xfId="7363" xr:uid="{00000000-0005-0000-0000-0000B5380000}"/>
    <cellStyle name="60% - Accent4 9" xfId="7364" xr:uid="{00000000-0005-0000-0000-0000B6380000}"/>
    <cellStyle name="60% - Accent5 10" xfId="7365" xr:uid="{00000000-0005-0000-0000-0000B7380000}"/>
    <cellStyle name="60% - Accent5 11" xfId="7366" xr:uid="{00000000-0005-0000-0000-0000B8380000}"/>
    <cellStyle name="60% - Accent5 12" xfId="7367" xr:uid="{00000000-0005-0000-0000-0000B9380000}"/>
    <cellStyle name="60% - Accent5 13" xfId="7368" xr:uid="{00000000-0005-0000-0000-0000BA380000}"/>
    <cellStyle name="60% - Accent5 14" xfId="7369" xr:uid="{00000000-0005-0000-0000-0000BB380000}"/>
    <cellStyle name="60% - Accent5 15" xfId="7370" xr:uid="{00000000-0005-0000-0000-0000BC380000}"/>
    <cellStyle name="60% - Accent5 16" xfId="7371" xr:uid="{00000000-0005-0000-0000-0000BD380000}"/>
    <cellStyle name="60% - Accent5 17" xfId="7372" xr:uid="{00000000-0005-0000-0000-0000BE380000}"/>
    <cellStyle name="60% - Accent5 18" xfId="7373" xr:uid="{00000000-0005-0000-0000-0000BF380000}"/>
    <cellStyle name="60% - Accent5 19" xfId="7374" xr:uid="{00000000-0005-0000-0000-0000C0380000}"/>
    <cellStyle name="60% - Accent5 2" xfId="7375" xr:uid="{00000000-0005-0000-0000-0000C1380000}"/>
    <cellStyle name="60% - Accent5 2 2" xfId="7376" xr:uid="{00000000-0005-0000-0000-0000C2380000}"/>
    <cellStyle name="60% - Accent5 2 2 2" xfId="7377" xr:uid="{00000000-0005-0000-0000-0000C3380000}"/>
    <cellStyle name="60% - Accent5 2 3" xfId="7378" xr:uid="{00000000-0005-0000-0000-0000C4380000}"/>
    <cellStyle name="60% - Accent5 2 3 2" xfId="7379" xr:uid="{00000000-0005-0000-0000-0000C5380000}"/>
    <cellStyle name="60% - Accent5 2 4" xfId="7380" xr:uid="{00000000-0005-0000-0000-0000C6380000}"/>
    <cellStyle name="60% - Accent5 2 4 2" xfId="7381" xr:uid="{00000000-0005-0000-0000-0000C7380000}"/>
    <cellStyle name="60% - Accent5 2 4 3" xfId="7382" xr:uid="{00000000-0005-0000-0000-0000C8380000}"/>
    <cellStyle name="60% - Accent5 2 5" xfId="7383" xr:uid="{00000000-0005-0000-0000-0000C9380000}"/>
    <cellStyle name="60% - Accent5 2 6" xfId="7384" xr:uid="{00000000-0005-0000-0000-0000CA380000}"/>
    <cellStyle name="60% - Accent5 2 7" xfId="7385" xr:uid="{00000000-0005-0000-0000-0000CB380000}"/>
    <cellStyle name="60% - Accent5 2 8" xfId="7386" xr:uid="{00000000-0005-0000-0000-0000CC380000}"/>
    <cellStyle name="60% - Accent5 3" xfId="7387" xr:uid="{00000000-0005-0000-0000-0000CD380000}"/>
    <cellStyle name="60% - Accent5 3 2" xfId="7388" xr:uid="{00000000-0005-0000-0000-0000CE380000}"/>
    <cellStyle name="60% - Accent5 3 2 2" xfId="7389" xr:uid="{00000000-0005-0000-0000-0000CF380000}"/>
    <cellStyle name="60% - Accent5 3 2 3" xfId="7390" xr:uid="{00000000-0005-0000-0000-0000D0380000}"/>
    <cellStyle name="60% - Accent5 3 3" xfId="7391" xr:uid="{00000000-0005-0000-0000-0000D1380000}"/>
    <cellStyle name="60% - Accent5 3 4" xfId="7392" xr:uid="{00000000-0005-0000-0000-0000D2380000}"/>
    <cellStyle name="60% - Accent5 3 5" xfId="7393" xr:uid="{00000000-0005-0000-0000-0000D3380000}"/>
    <cellStyle name="60% - Accent5 4" xfId="7394" xr:uid="{00000000-0005-0000-0000-0000D4380000}"/>
    <cellStyle name="60% - Accent5 4 2" xfId="7395" xr:uid="{00000000-0005-0000-0000-0000D5380000}"/>
    <cellStyle name="60% - Accent5 4 2 2" xfId="7396" xr:uid="{00000000-0005-0000-0000-0000D6380000}"/>
    <cellStyle name="60% - Accent5 4 2 3" xfId="7397" xr:uid="{00000000-0005-0000-0000-0000D7380000}"/>
    <cellStyle name="60% - Accent5 4 3" xfId="7398" xr:uid="{00000000-0005-0000-0000-0000D8380000}"/>
    <cellStyle name="60% - Accent5 4 4" xfId="7399" xr:uid="{00000000-0005-0000-0000-0000D9380000}"/>
    <cellStyle name="60% - Accent5 4 5" xfId="7400" xr:uid="{00000000-0005-0000-0000-0000DA380000}"/>
    <cellStyle name="60% - Accent5 5" xfId="7401" xr:uid="{00000000-0005-0000-0000-0000DB380000}"/>
    <cellStyle name="60% - Accent5 5 2" xfId="7402" xr:uid="{00000000-0005-0000-0000-0000DC380000}"/>
    <cellStyle name="60% - Accent5 5 2 2" xfId="7403" xr:uid="{00000000-0005-0000-0000-0000DD380000}"/>
    <cellStyle name="60% - Accent5 5 2 3" xfId="7404" xr:uid="{00000000-0005-0000-0000-0000DE380000}"/>
    <cellStyle name="60% - Accent5 5 3" xfId="7405" xr:uid="{00000000-0005-0000-0000-0000DF380000}"/>
    <cellStyle name="60% - Accent5 5 4" xfId="7406" xr:uid="{00000000-0005-0000-0000-0000E0380000}"/>
    <cellStyle name="60% - Accent5 5 5" xfId="7407" xr:uid="{00000000-0005-0000-0000-0000E1380000}"/>
    <cellStyle name="60% - Accent5 6" xfId="7408" xr:uid="{00000000-0005-0000-0000-0000E2380000}"/>
    <cellStyle name="60% - Accent5 6 2" xfId="7409" xr:uid="{00000000-0005-0000-0000-0000E3380000}"/>
    <cellStyle name="60% - Accent5 6 3" xfId="7410" xr:uid="{00000000-0005-0000-0000-0000E4380000}"/>
    <cellStyle name="60% - Accent5 7" xfId="7411" xr:uid="{00000000-0005-0000-0000-0000E5380000}"/>
    <cellStyle name="60% - Accent5 8" xfId="7412" xr:uid="{00000000-0005-0000-0000-0000E6380000}"/>
    <cellStyle name="60% - Accent5 9" xfId="7413" xr:uid="{00000000-0005-0000-0000-0000E7380000}"/>
    <cellStyle name="60% - Accent6 10" xfId="7414" xr:uid="{00000000-0005-0000-0000-0000E8380000}"/>
    <cellStyle name="60% - Accent6 11" xfId="7415" xr:uid="{00000000-0005-0000-0000-0000E9380000}"/>
    <cellStyle name="60% - Accent6 12" xfId="7416" xr:uid="{00000000-0005-0000-0000-0000EA380000}"/>
    <cellStyle name="60% - Accent6 13" xfId="7417" xr:uid="{00000000-0005-0000-0000-0000EB380000}"/>
    <cellStyle name="60% - Accent6 14" xfId="7418" xr:uid="{00000000-0005-0000-0000-0000EC380000}"/>
    <cellStyle name="60% - Accent6 15" xfId="7419" xr:uid="{00000000-0005-0000-0000-0000ED380000}"/>
    <cellStyle name="60% - Accent6 16" xfId="7420" xr:uid="{00000000-0005-0000-0000-0000EE380000}"/>
    <cellStyle name="60% - Accent6 17" xfId="7421" xr:uid="{00000000-0005-0000-0000-0000EF380000}"/>
    <cellStyle name="60% - Accent6 18" xfId="7422" xr:uid="{00000000-0005-0000-0000-0000F0380000}"/>
    <cellStyle name="60% - Accent6 19" xfId="7423" xr:uid="{00000000-0005-0000-0000-0000F1380000}"/>
    <cellStyle name="60% - Accent6 2" xfId="7424" xr:uid="{00000000-0005-0000-0000-0000F2380000}"/>
    <cellStyle name="60% - Accent6 2 10" xfId="7425" xr:uid="{00000000-0005-0000-0000-0000F3380000}"/>
    <cellStyle name="60% - Accent6 2 10 2" xfId="7426" xr:uid="{00000000-0005-0000-0000-0000F4380000}"/>
    <cellStyle name="60% - Accent6 2 11" xfId="7427" xr:uid="{00000000-0005-0000-0000-0000F5380000}"/>
    <cellStyle name="60% - Accent6 2 11 2" xfId="7428" xr:uid="{00000000-0005-0000-0000-0000F6380000}"/>
    <cellStyle name="60% - Accent6 2 12" xfId="7429" xr:uid="{00000000-0005-0000-0000-0000F7380000}"/>
    <cellStyle name="60% - Accent6 2 12 10" xfId="7430" xr:uid="{00000000-0005-0000-0000-0000F8380000}"/>
    <cellStyle name="60% - Accent6 2 12 10 2" xfId="7431" xr:uid="{00000000-0005-0000-0000-0000F9380000}"/>
    <cellStyle name="60% - Accent6 2 12 11" xfId="7432" xr:uid="{00000000-0005-0000-0000-0000FA380000}"/>
    <cellStyle name="60% - Accent6 2 12 2" xfId="7433" xr:uid="{00000000-0005-0000-0000-0000FB380000}"/>
    <cellStyle name="60% - Accent6 2 12 2 2" xfId="7434" xr:uid="{00000000-0005-0000-0000-0000FC380000}"/>
    <cellStyle name="60% - Accent6 2 12 3" xfId="7435" xr:uid="{00000000-0005-0000-0000-0000FD380000}"/>
    <cellStyle name="60% - Accent6 2 12 3 2" xfId="7436" xr:uid="{00000000-0005-0000-0000-0000FE380000}"/>
    <cellStyle name="60% - Accent6 2 12 4" xfId="7437" xr:uid="{00000000-0005-0000-0000-0000FF380000}"/>
    <cellStyle name="60% - Accent6 2 12 4 2" xfId="7438" xr:uid="{00000000-0005-0000-0000-000000390000}"/>
    <cellStyle name="60% - Accent6 2 12 5" xfId="7439" xr:uid="{00000000-0005-0000-0000-000001390000}"/>
    <cellStyle name="60% - Accent6 2 12 5 2" xfId="7440" xr:uid="{00000000-0005-0000-0000-000002390000}"/>
    <cellStyle name="60% - Accent6 2 12 6" xfId="7441" xr:uid="{00000000-0005-0000-0000-000003390000}"/>
    <cellStyle name="60% - Accent6 2 12 6 2" xfId="7442" xr:uid="{00000000-0005-0000-0000-000004390000}"/>
    <cellStyle name="60% - Accent6 2 12 7" xfId="7443" xr:uid="{00000000-0005-0000-0000-000005390000}"/>
    <cellStyle name="60% - Accent6 2 12 7 2" xfId="7444" xr:uid="{00000000-0005-0000-0000-000006390000}"/>
    <cellStyle name="60% - Accent6 2 12 8" xfId="7445" xr:uid="{00000000-0005-0000-0000-000007390000}"/>
    <cellStyle name="60% - Accent6 2 12 8 2" xfId="7446" xr:uid="{00000000-0005-0000-0000-000008390000}"/>
    <cellStyle name="60% - Accent6 2 12 9" xfId="7447" xr:uid="{00000000-0005-0000-0000-000009390000}"/>
    <cellStyle name="60% - Accent6 2 12 9 2" xfId="7448" xr:uid="{00000000-0005-0000-0000-00000A390000}"/>
    <cellStyle name="60% - Accent6 2 13" xfId="7449" xr:uid="{00000000-0005-0000-0000-00000B390000}"/>
    <cellStyle name="60% - Accent6 2 13 2" xfId="7450" xr:uid="{00000000-0005-0000-0000-00000C390000}"/>
    <cellStyle name="60% - Accent6 2 14" xfId="7451" xr:uid="{00000000-0005-0000-0000-00000D390000}"/>
    <cellStyle name="60% - Accent6 2 14 2" xfId="7452" xr:uid="{00000000-0005-0000-0000-00000E390000}"/>
    <cellStyle name="60% - Accent6 2 15" xfId="7453" xr:uid="{00000000-0005-0000-0000-00000F390000}"/>
    <cellStyle name="60% - Accent6 2 15 2" xfId="7454" xr:uid="{00000000-0005-0000-0000-000010390000}"/>
    <cellStyle name="60% - Accent6 2 16" xfId="7455" xr:uid="{00000000-0005-0000-0000-000011390000}"/>
    <cellStyle name="60% - Accent6 2 16 2" xfId="7456" xr:uid="{00000000-0005-0000-0000-000012390000}"/>
    <cellStyle name="60% - Accent6 2 17" xfId="7457" xr:uid="{00000000-0005-0000-0000-000013390000}"/>
    <cellStyle name="60% - Accent6 2 17 2" xfId="7458" xr:uid="{00000000-0005-0000-0000-000014390000}"/>
    <cellStyle name="60% - Accent6 2 18" xfId="7459" xr:uid="{00000000-0005-0000-0000-000015390000}"/>
    <cellStyle name="60% - Accent6 2 18 2" xfId="7460" xr:uid="{00000000-0005-0000-0000-000016390000}"/>
    <cellStyle name="60% - Accent6 2 19" xfId="7461" xr:uid="{00000000-0005-0000-0000-000017390000}"/>
    <cellStyle name="60% - Accent6 2 19 2" xfId="7462" xr:uid="{00000000-0005-0000-0000-000018390000}"/>
    <cellStyle name="60% - Accent6 2 2" xfId="7463" xr:uid="{00000000-0005-0000-0000-000019390000}"/>
    <cellStyle name="60% - Accent6 2 2 10" xfId="7464" xr:uid="{00000000-0005-0000-0000-00001A390000}"/>
    <cellStyle name="60% - Accent6 2 2 10 2" xfId="7465" xr:uid="{00000000-0005-0000-0000-00001B390000}"/>
    <cellStyle name="60% - Accent6 2 2 11" xfId="7466" xr:uid="{00000000-0005-0000-0000-00001C390000}"/>
    <cellStyle name="60% - Accent6 2 2 11 2" xfId="7467" xr:uid="{00000000-0005-0000-0000-00001D390000}"/>
    <cellStyle name="60% - Accent6 2 2 12" xfId="7468" xr:uid="{00000000-0005-0000-0000-00001E390000}"/>
    <cellStyle name="60% - Accent6 2 2 12 10" xfId="7469" xr:uid="{00000000-0005-0000-0000-00001F390000}"/>
    <cellStyle name="60% - Accent6 2 2 12 10 2" xfId="7470" xr:uid="{00000000-0005-0000-0000-000020390000}"/>
    <cellStyle name="60% - Accent6 2 2 12 11" xfId="7471" xr:uid="{00000000-0005-0000-0000-000021390000}"/>
    <cellStyle name="60% - Accent6 2 2 12 2" xfId="7472" xr:uid="{00000000-0005-0000-0000-000022390000}"/>
    <cellStyle name="60% - Accent6 2 2 12 2 2" xfId="7473" xr:uid="{00000000-0005-0000-0000-000023390000}"/>
    <cellStyle name="60% - Accent6 2 2 12 3" xfId="7474" xr:uid="{00000000-0005-0000-0000-000024390000}"/>
    <cellStyle name="60% - Accent6 2 2 12 3 2" xfId="7475" xr:uid="{00000000-0005-0000-0000-000025390000}"/>
    <cellStyle name="60% - Accent6 2 2 12 4" xfId="7476" xr:uid="{00000000-0005-0000-0000-000026390000}"/>
    <cellStyle name="60% - Accent6 2 2 12 4 2" xfId="7477" xr:uid="{00000000-0005-0000-0000-000027390000}"/>
    <cellStyle name="60% - Accent6 2 2 12 5" xfId="7478" xr:uid="{00000000-0005-0000-0000-000028390000}"/>
    <cellStyle name="60% - Accent6 2 2 12 5 2" xfId="7479" xr:uid="{00000000-0005-0000-0000-000029390000}"/>
    <cellStyle name="60% - Accent6 2 2 12 6" xfId="7480" xr:uid="{00000000-0005-0000-0000-00002A390000}"/>
    <cellStyle name="60% - Accent6 2 2 12 6 2" xfId="7481" xr:uid="{00000000-0005-0000-0000-00002B390000}"/>
    <cellStyle name="60% - Accent6 2 2 12 7" xfId="7482" xr:uid="{00000000-0005-0000-0000-00002C390000}"/>
    <cellStyle name="60% - Accent6 2 2 12 7 2" xfId="7483" xr:uid="{00000000-0005-0000-0000-00002D390000}"/>
    <cellStyle name="60% - Accent6 2 2 12 8" xfId="7484" xr:uid="{00000000-0005-0000-0000-00002E390000}"/>
    <cellStyle name="60% - Accent6 2 2 12 8 2" xfId="7485" xr:uid="{00000000-0005-0000-0000-00002F390000}"/>
    <cellStyle name="60% - Accent6 2 2 12 9" xfId="7486" xr:uid="{00000000-0005-0000-0000-000030390000}"/>
    <cellStyle name="60% - Accent6 2 2 12 9 2" xfId="7487" xr:uid="{00000000-0005-0000-0000-000031390000}"/>
    <cellStyle name="60% - Accent6 2 2 13" xfId="7488" xr:uid="{00000000-0005-0000-0000-000032390000}"/>
    <cellStyle name="60% - Accent6 2 2 13 2" xfId="7489" xr:uid="{00000000-0005-0000-0000-000033390000}"/>
    <cellStyle name="60% - Accent6 2 2 14" xfId="7490" xr:uid="{00000000-0005-0000-0000-000034390000}"/>
    <cellStyle name="60% - Accent6 2 2 14 2" xfId="7491" xr:uid="{00000000-0005-0000-0000-000035390000}"/>
    <cellStyle name="60% - Accent6 2 2 15" xfId="7492" xr:uid="{00000000-0005-0000-0000-000036390000}"/>
    <cellStyle name="60% - Accent6 2 2 15 2" xfId="7493" xr:uid="{00000000-0005-0000-0000-000037390000}"/>
    <cellStyle name="60% - Accent6 2 2 16" xfId="7494" xr:uid="{00000000-0005-0000-0000-000038390000}"/>
    <cellStyle name="60% - Accent6 2 2 16 2" xfId="7495" xr:uid="{00000000-0005-0000-0000-000039390000}"/>
    <cellStyle name="60% - Accent6 2 2 17" xfId="7496" xr:uid="{00000000-0005-0000-0000-00003A390000}"/>
    <cellStyle name="60% - Accent6 2 2 17 2" xfId="7497" xr:uid="{00000000-0005-0000-0000-00003B390000}"/>
    <cellStyle name="60% - Accent6 2 2 18" xfId="7498" xr:uid="{00000000-0005-0000-0000-00003C390000}"/>
    <cellStyle name="60% - Accent6 2 2 18 2" xfId="7499" xr:uid="{00000000-0005-0000-0000-00003D390000}"/>
    <cellStyle name="60% - Accent6 2 2 19" xfId="7500" xr:uid="{00000000-0005-0000-0000-00003E390000}"/>
    <cellStyle name="60% - Accent6 2 2 19 2" xfId="7501" xr:uid="{00000000-0005-0000-0000-00003F390000}"/>
    <cellStyle name="60% - Accent6 2 2 2" xfId="7502" xr:uid="{00000000-0005-0000-0000-000040390000}"/>
    <cellStyle name="60% - Accent6 2 2 2 10" xfId="7503" xr:uid="{00000000-0005-0000-0000-000041390000}"/>
    <cellStyle name="60% - Accent6 2 2 2 10 2" xfId="7504" xr:uid="{00000000-0005-0000-0000-000042390000}"/>
    <cellStyle name="60% - Accent6 2 2 2 11" xfId="7505" xr:uid="{00000000-0005-0000-0000-000043390000}"/>
    <cellStyle name="60% - Accent6 2 2 2 11 2" xfId="7506" xr:uid="{00000000-0005-0000-0000-000044390000}"/>
    <cellStyle name="60% - Accent6 2 2 2 12" xfId="7507" xr:uid="{00000000-0005-0000-0000-000045390000}"/>
    <cellStyle name="60% - Accent6 2 2 2 13" xfId="7508" xr:uid="{00000000-0005-0000-0000-000046390000}"/>
    <cellStyle name="60% - Accent6 2 2 2 2" xfId="7509" xr:uid="{00000000-0005-0000-0000-000047390000}"/>
    <cellStyle name="60% - Accent6 2 2 2 2 10" xfId="7510" xr:uid="{00000000-0005-0000-0000-000048390000}"/>
    <cellStyle name="60% - Accent6 2 2 2 2 10 2" xfId="7511" xr:uid="{00000000-0005-0000-0000-000049390000}"/>
    <cellStyle name="60% - Accent6 2 2 2 2 11" xfId="7512" xr:uid="{00000000-0005-0000-0000-00004A390000}"/>
    <cellStyle name="60% - Accent6 2 2 2 2 12" xfId="7513" xr:uid="{00000000-0005-0000-0000-00004B390000}"/>
    <cellStyle name="60% - Accent6 2 2 2 2 2" xfId="7514" xr:uid="{00000000-0005-0000-0000-00004C390000}"/>
    <cellStyle name="60% - Accent6 2 2 2 2 2 2" xfId="7515" xr:uid="{00000000-0005-0000-0000-00004D390000}"/>
    <cellStyle name="60% - Accent6 2 2 2 2 2 3" xfId="7516" xr:uid="{00000000-0005-0000-0000-00004E390000}"/>
    <cellStyle name="60% - Accent6 2 2 2 2 2 4" xfId="7517" xr:uid="{00000000-0005-0000-0000-00004F390000}"/>
    <cellStyle name="60% - Accent6 2 2 2 2 3" xfId="7518" xr:uid="{00000000-0005-0000-0000-000050390000}"/>
    <cellStyle name="60% - Accent6 2 2 2 2 3 2" xfId="7519" xr:uid="{00000000-0005-0000-0000-000051390000}"/>
    <cellStyle name="60% - Accent6 2 2 2 2 4" xfId="7520" xr:uid="{00000000-0005-0000-0000-000052390000}"/>
    <cellStyle name="60% - Accent6 2 2 2 2 4 2" xfId="7521" xr:uid="{00000000-0005-0000-0000-000053390000}"/>
    <cellStyle name="60% - Accent6 2 2 2 2 5" xfId="7522" xr:uid="{00000000-0005-0000-0000-000054390000}"/>
    <cellStyle name="60% - Accent6 2 2 2 2 5 2" xfId="7523" xr:uid="{00000000-0005-0000-0000-000055390000}"/>
    <cellStyle name="60% - Accent6 2 2 2 2 6" xfId="7524" xr:uid="{00000000-0005-0000-0000-000056390000}"/>
    <cellStyle name="60% - Accent6 2 2 2 2 6 2" xfId="7525" xr:uid="{00000000-0005-0000-0000-000057390000}"/>
    <cellStyle name="60% - Accent6 2 2 2 2 7" xfId="7526" xr:uid="{00000000-0005-0000-0000-000058390000}"/>
    <cellStyle name="60% - Accent6 2 2 2 2 7 2" xfId="7527" xr:uid="{00000000-0005-0000-0000-000059390000}"/>
    <cellStyle name="60% - Accent6 2 2 2 2 8" xfId="7528" xr:uid="{00000000-0005-0000-0000-00005A390000}"/>
    <cellStyle name="60% - Accent6 2 2 2 2 8 2" xfId="7529" xr:uid="{00000000-0005-0000-0000-00005B390000}"/>
    <cellStyle name="60% - Accent6 2 2 2 2 9" xfId="7530" xr:uid="{00000000-0005-0000-0000-00005C390000}"/>
    <cellStyle name="60% - Accent6 2 2 2 2 9 2" xfId="7531" xr:uid="{00000000-0005-0000-0000-00005D390000}"/>
    <cellStyle name="60% - Accent6 2 2 2 3" xfId="7532" xr:uid="{00000000-0005-0000-0000-00005E390000}"/>
    <cellStyle name="60% - Accent6 2 2 2 3 2" xfId="7533" xr:uid="{00000000-0005-0000-0000-00005F390000}"/>
    <cellStyle name="60% - Accent6 2 2 2 4" xfId="7534" xr:uid="{00000000-0005-0000-0000-000060390000}"/>
    <cellStyle name="60% - Accent6 2 2 2 4 2" xfId="7535" xr:uid="{00000000-0005-0000-0000-000061390000}"/>
    <cellStyle name="60% - Accent6 2 2 2 5" xfId="7536" xr:uid="{00000000-0005-0000-0000-000062390000}"/>
    <cellStyle name="60% - Accent6 2 2 2 5 2" xfId="7537" xr:uid="{00000000-0005-0000-0000-000063390000}"/>
    <cellStyle name="60% - Accent6 2 2 2 6" xfId="7538" xr:uid="{00000000-0005-0000-0000-000064390000}"/>
    <cellStyle name="60% - Accent6 2 2 2 6 2" xfId="7539" xr:uid="{00000000-0005-0000-0000-000065390000}"/>
    <cellStyle name="60% - Accent6 2 2 2 7" xfId="7540" xr:uid="{00000000-0005-0000-0000-000066390000}"/>
    <cellStyle name="60% - Accent6 2 2 2 7 2" xfId="7541" xr:uid="{00000000-0005-0000-0000-000067390000}"/>
    <cellStyle name="60% - Accent6 2 2 2 8" xfId="7542" xr:uid="{00000000-0005-0000-0000-000068390000}"/>
    <cellStyle name="60% - Accent6 2 2 2 8 2" xfId="7543" xr:uid="{00000000-0005-0000-0000-000069390000}"/>
    <cellStyle name="60% - Accent6 2 2 2 9" xfId="7544" xr:uid="{00000000-0005-0000-0000-00006A390000}"/>
    <cellStyle name="60% - Accent6 2 2 2 9 2" xfId="7545" xr:uid="{00000000-0005-0000-0000-00006B390000}"/>
    <cellStyle name="60% - Accent6 2 2 20" xfId="7546" xr:uid="{00000000-0005-0000-0000-00006C390000}"/>
    <cellStyle name="60% - Accent6 2 2 20 2" xfId="7547" xr:uid="{00000000-0005-0000-0000-00006D390000}"/>
    <cellStyle name="60% - Accent6 2 2 21" xfId="7548" xr:uid="{00000000-0005-0000-0000-00006E390000}"/>
    <cellStyle name="60% - Accent6 2 2 22" xfId="7549" xr:uid="{00000000-0005-0000-0000-00006F390000}"/>
    <cellStyle name="60% - Accent6 2 2 3" xfId="7550" xr:uid="{00000000-0005-0000-0000-000070390000}"/>
    <cellStyle name="60% - Accent6 2 2 3 2" xfId="7551" xr:uid="{00000000-0005-0000-0000-000071390000}"/>
    <cellStyle name="60% - Accent6 2 2 4" xfId="7552" xr:uid="{00000000-0005-0000-0000-000072390000}"/>
    <cellStyle name="60% - Accent6 2 2 4 2" xfId="7553" xr:uid="{00000000-0005-0000-0000-000073390000}"/>
    <cellStyle name="60% - Accent6 2 2 5" xfId="7554" xr:uid="{00000000-0005-0000-0000-000074390000}"/>
    <cellStyle name="60% - Accent6 2 2 5 2" xfId="7555" xr:uid="{00000000-0005-0000-0000-000075390000}"/>
    <cellStyle name="60% - Accent6 2 2 6" xfId="7556" xr:uid="{00000000-0005-0000-0000-000076390000}"/>
    <cellStyle name="60% - Accent6 2 2 6 2" xfId="7557" xr:uid="{00000000-0005-0000-0000-000077390000}"/>
    <cellStyle name="60% - Accent6 2 2 7" xfId="7558" xr:uid="{00000000-0005-0000-0000-000078390000}"/>
    <cellStyle name="60% - Accent6 2 2 7 2" xfId="7559" xr:uid="{00000000-0005-0000-0000-000079390000}"/>
    <cellStyle name="60% - Accent6 2 2 8" xfId="7560" xr:uid="{00000000-0005-0000-0000-00007A390000}"/>
    <cellStyle name="60% - Accent6 2 2 8 2" xfId="7561" xr:uid="{00000000-0005-0000-0000-00007B390000}"/>
    <cellStyle name="60% - Accent6 2 2 9" xfId="7562" xr:uid="{00000000-0005-0000-0000-00007C390000}"/>
    <cellStyle name="60% - Accent6 2 2 9 2" xfId="7563" xr:uid="{00000000-0005-0000-0000-00007D390000}"/>
    <cellStyle name="60% - Accent6 2 20" xfId="7564" xr:uid="{00000000-0005-0000-0000-00007E390000}"/>
    <cellStyle name="60% - Accent6 2 20 2" xfId="7565" xr:uid="{00000000-0005-0000-0000-00007F390000}"/>
    <cellStyle name="60% - Accent6 2 21" xfId="7566" xr:uid="{00000000-0005-0000-0000-000080390000}"/>
    <cellStyle name="60% - Accent6 2 21 2" xfId="7567" xr:uid="{00000000-0005-0000-0000-000081390000}"/>
    <cellStyle name="60% - Accent6 2 21 3" xfId="7568" xr:uid="{00000000-0005-0000-0000-000082390000}"/>
    <cellStyle name="60% - Accent6 2 22" xfId="7569" xr:uid="{00000000-0005-0000-0000-000083390000}"/>
    <cellStyle name="60% - Accent6 2 23" xfId="7570" xr:uid="{00000000-0005-0000-0000-000084390000}"/>
    <cellStyle name="60% - Accent6 2 24" xfId="7571" xr:uid="{00000000-0005-0000-0000-000085390000}"/>
    <cellStyle name="60% - Accent6 2 25" xfId="7572" xr:uid="{00000000-0005-0000-0000-000086390000}"/>
    <cellStyle name="60% - Accent6 2 3" xfId="7573" xr:uid="{00000000-0005-0000-0000-000087390000}"/>
    <cellStyle name="60% - Accent6 2 3 2" xfId="7574" xr:uid="{00000000-0005-0000-0000-000088390000}"/>
    <cellStyle name="60% - Accent6 2 4" xfId="7575" xr:uid="{00000000-0005-0000-0000-000089390000}"/>
    <cellStyle name="60% - Accent6 2 4 2" xfId="7576" xr:uid="{00000000-0005-0000-0000-00008A390000}"/>
    <cellStyle name="60% - Accent6 2 5" xfId="7577" xr:uid="{00000000-0005-0000-0000-00008B390000}"/>
    <cellStyle name="60% - Accent6 2 5 2" xfId="7578" xr:uid="{00000000-0005-0000-0000-00008C390000}"/>
    <cellStyle name="60% - Accent6 2 6" xfId="7579" xr:uid="{00000000-0005-0000-0000-00008D390000}"/>
    <cellStyle name="60% - Accent6 2 6 2" xfId="7580" xr:uid="{00000000-0005-0000-0000-00008E390000}"/>
    <cellStyle name="60% - Accent6 2 7" xfId="7581" xr:uid="{00000000-0005-0000-0000-00008F390000}"/>
    <cellStyle name="60% - Accent6 2 7 2" xfId="7582" xr:uid="{00000000-0005-0000-0000-000090390000}"/>
    <cellStyle name="60% - Accent6 2 8" xfId="7583" xr:uid="{00000000-0005-0000-0000-000091390000}"/>
    <cellStyle name="60% - Accent6 2 8 2" xfId="7584" xr:uid="{00000000-0005-0000-0000-000092390000}"/>
    <cellStyle name="60% - Accent6 2 9" xfId="7585" xr:uid="{00000000-0005-0000-0000-000093390000}"/>
    <cellStyle name="60% - Accent6 2 9 2" xfId="7586" xr:uid="{00000000-0005-0000-0000-000094390000}"/>
    <cellStyle name="60% - Accent6 3" xfId="7587" xr:uid="{00000000-0005-0000-0000-000095390000}"/>
    <cellStyle name="60% - Accent6 3 2" xfId="7588" xr:uid="{00000000-0005-0000-0000-000096390000}"/>
    <cellStyle name="60% - Accent6 3 2 2" xfId="7589" xr:uid="{00000000-0005-0000-0000-000097390000}"/>
    <cellStyle name="60% - Accent6 3 2 3" xfId="7590" xr:uid="{00000000-0005-0000-0000-000098390000}"/>
    <cellStyle name="60% - Accent6 3 3" xfId="7591" xr:uid="{00000000-0005-0000-0000-000099390000}"/>
    <cellStyle name="60% - Accent6 3 4" xfId="7592" xr:uid="{00000000-0005-0000-0000-00009A390000}"/>
    <cellStyle name="60% - Accent6 3 5" xfId="7593" xr:uid="{00000000-0005-0000-0000-00009B390000}"/>
    <cellStyle name="60% - Accent6 4" xfId="7594" xr:uid="{00000000-0005-0000-0000-00009C390000}"/>
    <cellStyle name="60% - Accent6 4 2" xfId="7595" xr:uid="{00000000-0005-0000-0000-00009D390000}"/>
    <cellStyle name="60% - Accent6 4 2 2" xfId="7596" xr:uid="{00000000-0005-0000-0000-00009E390000}"/>
    <cellStyle name="60% - Accent6 4 2 3" xfId="7597" xr:uid="{00000000-0005-0000-0000-00009F390000}"/>
    <cellStyle name="60% - Accent6 4 3" xfId="7598" xr:uid="{00000000-0005-0000-0000-0000A0390000}"/>
    <cellStyle name="60% - Accent6 4 4" xfId="7599" xr:uid="{00000000-0005-0000-0000-0000A1390000}"/>
    <cellStyle name="60% - Accent6 4 5" xfId="7600" xr:uid="{00000000-0005-0000-0000-0000A2390000}"/>
    <cellStyle name="60% - Accent6 5" xfId="7601" xr:uid="{00000000-0005-0000-0000-0000A3390000}"/>
    <cellStyle name="60% - Accent6 5 2" xfId="7602" xr:uid="{00000000-0005-0000-0000-0000A4390000}"/>
    <cellStyle name="60% - Accent6 5 2 2" xfId="7603" xr:uid="{00000000-0005-0000-0000-0000A5390000}"/>
    <cellStyle name="60% - Accent6 5 2 3" xfId="7604" xr:uid="{00000000-0005-0000-0000-0000A6390000}"/>
    <cellStyle name="60% - Accent6 5 3" xfId="7605" xr:uid="{00000000-0005-0000-0000-0000A7390000}"/>
    <cellStyle name="60% - Accent6 5 4" xfId="7606" xr:uid="{00000000-0005-0000-0000-0000A8390000}"/>
    <cellStyle name="60% - Accent6 5 5" xfId="7607" xr:uid="{00000000-0005-0000-0000-0000A9390000}"/>
    <cellStyle name="60% - Accent6 6" xfId="7608" xr:uid="{00000000-0005-0000-0000-0000AA390000}"/>
    <cellStyle name="60% - Accent6 6 2" xfId="7609" xr:uid="{00000000-0005-0000-0000-0000AB390000}"/>
    <cellStyle name="60% - Accent6 6 3" xfId="7610" xr:uid="{00000000-0005-0000-0000-0000AC390000}"/>
    <cellStyle name="60% - Accent6 7" xfId="7611" xr:uid="{00000000-0005-0000-0000-0000AD390000}"/>
    <cellStyle name="60% - Accent6 8" xfId="7612" xr:uid="{00000000-0005-0000-0000-0000AE390000}"/>
    <cellStyle name="60% - Accent6 9" xfId="7613" xr:uid="{00000000-0005-0000-0000-0000AF390000}"/>
    <cellStyle name="60% - Ênfase1" xfId="7614" xr:uid="{00000000-0005-0000-0000-0000B0390000}"/>
    <cellStyle name="60% - Ênfase2" xfId="7615" xr:uid="{00000000-0005-0000-0000-0000B1390000}"/>
    <cellStyle name="60% - Ênfase3" xfId="7616" xr:uid="{00000000-0005-0000-0000-0000B2390000}"/>
    <cellStyle name="60% - Ênfase4" xfId="7617" xr:uid="{00000000-0005-0000-0000-0000B3390000}"/>
    <cellStyle name="60% - Ênfase5" xfId="7618" xr:uid="{00000000-0005-0000-0000-0000B4390000}"/>
    <cellStyle name="60% - Ênfase6" xfId="7619" xr:uid="{00000000-0005-0000-0000-0000B5390000}"/>
    <cellStyle name="60% - Énfasis1" xfId="7620" xr:uid="{00000000-0005-0000-0000-0000B6390000}"/>
    <cellStyle name="60% - Énfasis2" xfId="7621" xr:uid="{00000000-0005-0000-0000-0000B7390000}"/>
    <cellStyle name="60% - Énfasis3" xfId="7622" xr:uid="{00000000-0005-0000-0000-0000B8390000}"/>
    <cellStyle name="60% - Énfasis4" xfId="7623" xr:uid="{00000000-0005-0000-0000-0000B9390000}"/>
    <cellStyle name="60% - Énfasis5" xfId="7624" xr:uid="{00000000-0005-0000-0000-0000BA390000}"/>
    <cellStyle name="60% - Énfasis6" xfId="7625" xr:uid="{00000000-0005-0000-0000-0000BB390000}"/>
    <cellStyle name="60% - 강조색1" xfId="7626" xr:uid="{00000000-0005-0000-0000-0000BC390000}"/>
    <cellStyle name="60% - 강조색1 2" xfId="7627" xr:uid="{00000000-0005-0000-0000-0000BD390000}"/>
    <cellStyle name="60% - 강조색2" xfId="7628" xr:uid="{00000000-0005-0000-0000-0000BE390000}"/>
    <cellStyle name="60% - 강조색2 2" xfId="7629" xr:uid="{00000000-0005-0000-0000-0000BF390000}"/>
    <cellStyle name="60% - 강조색3" xfId="7630" xr:uid="{00000000-0005-0000-0000-0000C0390000}"/>
    <cellStyle name="60% - 강조색3 2" xfId="7631" xr:uid="{00000000-0005-0000-0000-0000C1390000}"/>
    <cellStyle name="60% - 강조색4" xfId="7632" xr:uid="{00000000-0005-0000-0000-0000C2390000}"/>
    <cellStyle name="60% - 강조색4 2" xfId="7633" xr:uid="{00000000-0005-0000-0000-0000C3390000}"/>
    <cellStyle name="60% - 강조색5" xfId="7634" xr:uid="{00000000-0005-0000-0000-0000C4390000}"/>
    <cellStyle name="60% - 강조색5 2" xfId="7635" xr:uid="{00000000-0005-0000-0000-0000C5390000}"/>
    <cellStyle name="60% - 강조색6" xfId="7636" xr:uid="{00000000-0005-0000-0000-0000C6390000}"/>
    <cellStyle name="60% - 강조색6 2" xfId="7637" xr:uid="{00000000-0005-0000-0000-0000C7390000}"/>
    <cellStyle name="752131" xfId="7638" xr:uid="{00000000-0005-0000-0000-0000C8390000}"/>
    <cellStyle name="A3 297 x 420 mm" xfId="7639" xr:uid="{00000000-0005-0000-0000-0000C9390000}"/>
    <cellStyle name="aa" xfId="16347" xr:uid="{00000000-0005-0000-0000-0000CA390000}"/>
    <cellStyle name="aaaa" xfId="16348" xr:uid="{00000000-0005-0000-0000-0000CB390000}"/>
    <cellStyle name="Accent1 10" xfId="7640" xr:uid="{00000000-0005-0000-0000-0000CC390000}"/>
    <cellStyle name="Accent1 11" xfId="7641" xr:uid="{00000000-0005-0000-0000-0000CD390000}"/>
    <cellStyle name="Accent1 12" xfId="7642" xr:uid="{00000000-0005-0000-0000-0000CE390000}"/>
    <cellStyle name="Accent1 13" xfId="7643" xr:uid="{00000000-0005-0000-0000-0000CF390000}"/>
    <cellStyle name="Accent1 14" xfId="7644" xr:uid="{00000000-0005-0000-0000-0000D0390000}"/>
    <cellStyle name="Accent1 15" xfId="7645" xr:uid="{00000000-0005-0000-0000-0000D1390000}"/>
    <cellStyle name="Accent1 16" xfId="7646" xr:uid="{00000000-0005-0000-0000-0000D2390000}"/>
    <cellStyle name="Accent1 17" xfId="7647" xr:uid="{00000000-0005-0000-0000-0000D3390000}"/>
    <cellStyle name="Accent1 18" xfId="7648" xr:uid="{00000000-0005-0000-0000-0000D4390000}"/>
    <cellStyle name="Accent1 19" xfId="7649" xr:uid="{00000000-0005-0000-0000-0000D5390000}"/>
    <cellStyle name="Accent1 2" xfId="7650" xr:uid="{00000000-0005-0000-0000-0000D6390000}"/>
    <cellStyle name="Accent1 2 10" xfId="7651" xr:uid="{00000000-0005-0000-0000-0000D7390000}"/>
    <cellStyle name="Accent1 2 10 2" xfId="7652" xr:uid="{00000000-0005-0000-0000-0000D8390000}"/>
    <cellStyle name="Accent1 2 11" xfId="7653" xr:uid="{00000000-0005-0000-0000-0000D9390000}"/>
    <cellStyle name="Accent1 2 11 2" xfId="7654" xr:uid="{00000000-0005-0000-0000-0000DA390000}"/>
    <cellStyle name="Accent1 2 12" xfId="7655" xr:uid="{00000000-0005-0000-0000-0000DB390000}"/>
    <cellStyle name="Accent1 2 12 10" xfId="7656" xr:uid="{00000000-0005-0000-0000-0000DC390000}"/>
    <cellStyle name="Accent1 2 12 10 2" xfId="7657" xr:uid="{00000000-0005-0000-0000-0000DD390000}"/>
    <cellStyle name="Accent1 2 12 11" xfId="7658" xr:uid="{00000000-0005-0000-0000-0000DE390000}"/>
    <cellStyle name="Accent1 2 12 2" xfId="7659" xr:uid="{00000000-0005-0000-0000-0000DF390000}"/>
    <cellStyle name="Accent1 2 12 2 2" xfId="7660" xr:uid="{00000000-0005-0000-0000-0000E0390000}"/>
    <cellStyle name="Accent1 2 12 3" xfId="7661" xr:uid="{00000000-0005-0000-0000-0000E1390000}"/>
    <cellStyle name="Accent1 2 12 3 2" xfId="7662" xr:uid="{00000000-0005-0000-0000-0000E2390000}"/>
    <cellStyle name="Accent1 2 12 4" xfId="7663" xr:uid="{00000000-0005-0000-0000-0000E3390000}"/>
    <cellStyle name="Accent1 2 12 4 2" xfId="7664" xr:uid="{00000000-0005-0000-0000-0000E4390000}"/>
    <cellStyle name="Accent1 2 12 5" xfId="7665" xr:uid="{00000000-0005-0000-0000-0000E5390000}"/>
    <cellStyle name="Accent1 2 12 5 2" xfId="7666" xr:uid="{00000000-0005-0000-0000-0000E6390000}"/>
    <cellStyle name="Accent1 2 12 6" xfId="7667" xr:uid="{00000000-0005-0000-0000-0000E7390000}"/>
    <cellStyle name="Accent1 2 12 6 2" xfId="7668" xr:uid="{00000000-0005-0000-0000-0000E8390000}"/>
    <cellStyle name="Accent1 2 12 7" xfId="7669" xr:uid="{00000000-0005-0000-0000-0000E9390000}"/>
    <cellStyle name="Accent1 2 12 7 2" xfId="7670" xr:uid="{00000000-0005-0000-0000-0000EA390000}"/>
    <cellStyle name="Accent1 2 12 8" xfId="7671" xr:uid="{00000000-0005-0000-0000-0000EB390000}"/>
    <cellStyle name="Accent1 2 12 8 2" xfId="7672" xr:uid="{00000000-0005-0000-0000-0000EC390000}"/>
    <cellStyle name="Accent1 2 12 9" xfId="7673" xr:uid="{00000000-0005-0000-0000-0000ED390000}"/>
    <cellStyle name="Accent1 2 12 9 2" xfId="7674" xr:uid="{00000000-0005-0000-0000-0000EE390000}"/>
    <cellStyle name="Accent1 2 13" xfId="7675" xr:uid="{00000000-0005-0000-0000-0000EF390000}"/>
    <cellStyle name="Accent1 2 13 2" xfId="7676" xr:uid="{00000000-0005-0000-0000-0000F0390000}"/>
    <cellStyle name="Accent1 2 14" xfId="7677" xr:uid="{00000000-0005-0000-0000-0000F1390000}"/>
    <cellStyle name="Accent1 2 14 2" xfId="7678" xr:uid="{00000000-0005-0000-0000-0000F2390000}"/>
    <cellStyle name="Accent1 2 15" xfId="7679" xr:uid="{00000000-0005-0000-0000-0000F3390000}"/>
    <cellStyle name="Accent1 2 15 2" xfId="7680" xr:uid="{00000000-0005-0000-0000-0000F4390000}"/>
    <cellStyle name="Accent1 2 16" xfId="7681" xr:uid="{00000000-0005-0000-0000-0000F5390000}"/>
    <cellStyle name="Accent1 2 16 2" xfId="7682" xr:uid="{00000000-0005-0000-0000-0000F6390000}"/>
    <cellStyle name="Accent1 2 17" xfId="7683" xr:uid="{00000000-0005-0000-0000-0000F7390000}"/>
    <cellStyle name="Accent1 2 17 2" xfId="7684" xr:uid="{00000000-0005-0000-0000-0000F8390000}"/>
    <cellStyle name="Accent1 2 18" xfId="7685" xr:uid="{00000000-0005-0000-0000-0000F9390000}"/>
    <cellStyle name="Accent1 2 18 2" xfId="7686" xr:uid="{00000000-0005-0000-0000-0000FA390000}"/>
    <cellStyle name="Accent1 2 19" xfId="7687" xr:uid="{00000000-0005-0000-0000-0000FB390000}"/>
    <cellStyle name="Accent1 2 19 2" xfId="7688" xr:uid="{00000000-0005-0000-0000-0000FC390000}"/>
    <cellStyle name="Accent1 2 2" xfId="7689" xr:uid="{00000000-0005-0000-0000-0000FD390000}"/>
    <cellStyle name="Accent1 2 2 10" xfId="7690" xr:uid="{00000000-0005-0000-0000-0000FE390000}"/>
    <cellStyle name="Accent1 2 2 10 2" xfId="7691" xr:uid="{00000000-0005-0000-0000-0000FF390000}"/>
    <cellStyle name="Accent1 2 2 11" xfId="7692" xr:uid="{00000000-0005-0000-0000-0000003A0000}"/>
    <cellStyle name="Accent1 2 2 11 2" xfId="7693" xr:uid="{00000000-0005-0000-0000-0000013A0000}"/>
    <cellStyle name="Accent1 2 2 12" xfId="7694" xr:uid="{00000000-0005-0000-0000-0000023A0000}"/>
    <cellStyle name="Accent1 2 2 12 10" xfId="7695" xr:uid="{00000000-0005-0000-0000-0000033A0000}"/>
    <cellStyle name="Accent1 2 2 12 10 2" xfId="7696" xr:uid="{00000000-0005-0000-0000-0000043A0000}"/>
    <cellStyle name="Accent1 2 2 12 11" xfId="7697" xr:uid="{00000000-0005-0000-0000-0000053A0000}"/>
    <cellStyle name="Accent1 2 2 12 2" xfId="7698" xr:uid="{00000000-0005-0000-0000-0000063A0000}"/>
    <cellStyle name="Accent1 2 2 12 2 2" xfId="7699" xr:uid="{00000000-0005-0000-0000-0000073A0000}"/>
    <cellStyle name="Accent1 2 2 12 3" xfId="7700" xr:uid="{00000000-0005-0000-0000-0000083A0000}"/>
    <cellStyle name="Accent1 2 2 12 3 2" xfId="7701" xr:uid="{00000000-0005-0000-0000-0000093A0000}"/>
    <cellStyle name="Accent1 2 2 12 4" xfId="7702" xr:uid="{00000000-0005-0000-0000-00000A3A0000}"/>
    <cellStyle name="Accent1 2 2 12 4 2" xfId="7703" xr:uid="{00000000-0005-0000-0000-00000B3A0000}"/>
    <cellStyle name="Accent1 2 2 12 5" xfId="7704" xr:uid="{00000000-0005-0000-0000-00000C3A0000}"/>
    <cellStyle name="Accent1 2 2 12 5 2" xfId="7705" xr:uid="{00000000-0005-0000-0000-00000D3A0000}"/>
    <cellStyle name="Accent1 2 2 12 6" xfId="7706" xr:uid="{00000000-0005-0000-0000-00000E3A0000}"/>
    <cellStyle name="Accent1 2 2 12 6 2" xfId="7707" xr:uid="{00000000-0005-0000-0000-00000F3A0000}"/>
    <cellStyle name="Accent1 2 2 12 7" xfId="7708" xr:uid="{00000000-0005-0000-0000-0000103A0000}"/>
    <cellStyle name="Accent1 2 2 12 7 2" xfId="7709" xr:uid="{00000000-0005-0000-0000-0000113A0000}"/>
    <cellStyle name="Accent1 2 2 12 8" xfId="7710" xr:uid="{00000000-0005-0000-0000-0000123A0000}"/>
    <cellStyle name="Accent1 2 2 12 8 2" xfId="7711" xr:uid="{00000000-0005-0000-0000-0000133A0000}"/>
    <cellStyle name="Accent1 2 2 12 9" xfId="7712" xr:uid="{00000000-0005-0000-0000-0000143A0000}"/>
    <cellStyle name="Accent1 2 2 12 9 2" xfId="7713" xr:uid="{00000000-0005-0000-0000-0000153A0000}"/>
    <cellStyle name="Accent1 2 2 13" xfId="7714" xr:uid="{00000000-0005-0000-0000-0000163A0000}"/>
    <cellStyle name="Accent1 2 2 13 2" xfId="7715" xr:uid="{00000000-0005-0000-0000-0000173A0000}"/>
    <cellStyle name="Accent1 2 2 14" xfId="7716" xr:uid="{00000000-0005-0000-0000-0000183A0000}"/>
    <cellStyle name="Accent1 2 2 14 2" xfId="7717" xr:uid="{00000000-0005-0000-0000-0000193A0000}"/>
    <cellStyle name="Accent1 2 2 15" xfId="7718" xr:uid="{00000000-0005-0000-0000-00001A3A0000}"/>
    <cellStyle name="Accent1 2 2 15 2" xfId="7719" xr:uid="{00000000-0005-0000-0000-00001B3A0000}"/>
    <cellStyle name="Accent1 2 2 16" xfId="7720" xr:uid="{00000000-0005-0000-0000-00001C3A0000}"/>
    <cellStyle name="Accent1 2 2 16 2" xfId="7721" xr:uid="{00000000-0005-0000-0000-00001D3A0000}"/>
    <cellStyle name="Accent1 2 2 17" xfId="7722" xr:uid="{00000000-0005-0000-0000-00001E3A0000}"/>
    <cellStyle name="Accent1 2 2 17 2" xfId="7723" xr:uid="{00000000-0005-0000-0000-00001F3A0000}"/>
    <cellStyle name="Accent1 2 2 18" xfId="7724" xr:uid="{00000000-0005-0000-0000-0000203A0000}"/>
    <cellStyle name="Accent1 2 2 18 2" xfId="7725" xr:uid="{00000000-0005-0000-0000-0000213A0000}"/>
    <cellStyle name="Accent1 2 2 19" xfId="7726" xr:uid="{00000000-0005-0000-0000-0000223A0000}"/>
    <cellStyle name="Accent1 2 2 19 2" xfId="7727" xr:uid="{00000000-0005-0000-0000-0000233A0000}"/>
    <cellStyle name="Accent1 2 2 2" xfId="7728" xr:uid="{00000000-0005-0000-0000-0000243A0000}"/>
    <cellStyle name="Accent1 2 2 2 10" xfId="7729" xr:uid="{00000000-0005-0000-0000-0000253A0000}"/>
    <cellStyle name="Accent1 2 2 2 10 2" xfId="7730" xr:uid="{00000000-0005-0000-0000-0000263A0000}"/>
    <cellStyle name="Accent1 2 2 2 11" xfId="7731" xr:uid="{00000000-0005-0000-0000-0000273A0000}"/>
    <cellStyle name="Accent1 2 2 2 11 2" xfId="7732" xr:uid="{00000000-0005-0000-0000-0000283A0000}"/>
    <cellStyle name="Accent1 2 2 2 12" xfId="7733" xr:uid="{00000000-0005-0000-0000-0000293A0000}"/>
    <cellStyle name="Accent1 2 2 2 13" xfId="7734" xr:uid="{00000000-0005-0000-0000-00002A3A0000}"/>
    <cellStyle name="Accent1 2 2 2 2" xfId="7735" xr:uid="{00000000-0005-0000-0000-00002B3A0000}"/>
    <cellStyle name="Accent1 2 2 2 2 10" xfId="7736" xr:uid="{00000000-0005-0000-0000-00002C3A0000}"/>
    <cellStyle name="Accent1 2 2 2 2 10 2" xfId="7737" xr:uid="{00000000-0005-0000-0000-00002D3A0000}"/>
    <cellStyle name="Accent1 2 2 2 2 11" xfId="7738" xr:uid="{00000000-0005-0000-0000-00002E3A0000}"/>
    <cellStyle name="Accent1 2 2 2 2 12" xfId="7739" xr:uid="{00000000-0005-0000-0000-00002F3A0000}"/>
    <cellStyle name="Accent1 2 2 2 2 2" xfId="7740" xr:uid="{00000000-0005-0000-0000-0000303A0000}"/>
    <cellStyle name="Accent1 2 2 2 2 2 2" xfId="7741" xr:uid="{00000000-0005-0000-0000-0000313A0000}"/>
    <cellStyle name="Accent1 2 2 2 2 2 3" xfId="7742" xr:uid="{00000000-0005-0000-0000-0000323A0000}"/>
    <cellStyle name="Accent1 2 2 2 2 2 4" xfId="7743" xr:uid="{00000000-0005-0000-0000-0000333A0000}"/>
    <cellStyle name="Accent1 2 2 2 2 3" xfId="7744" xr:uid="{00000000-0005-0000-0000-0000343A0000}"/>
    <cellStyle name="Accent1 2 2 2 2 3 2" xfId="7745" xr:uid="{00000000-0005-0000-0000-0000353A0000}"/>
    <cellStyle name="Accent1 2 2 2 2 4" xfId="7746" xr:uid="{00000000-0005-0000-0000-0000363A0000}"/>
    <cellStyle name="Accent1 2 2 2 2 4 2" xfId="7747" xr:uid="{00000000-0005-0000-0000-0000373A0000}"/>
    <cellStyle name="Accent1 2 2 2 2 5" xfId="7748" xr:uid="{00000000-0005-0000-0000-0000383A0000}"/>
    <cellStyle name="Accent1 2 2 2 2 5 2" xfId="7749" xr:uid="{00000000-0005-0000-0000-0000393A0000}"/>
    <cellStyle name="Accent1 2 2 2 2 6" xfId="7750" xr:uid="{00000000-0005-0000-0000-00003A3A0000}"/>
    <cellStyle name="Accent1 2 2 2 2 6 2" xfId="7751" xr:uid="{00000000-0005-0000-0000-00003B3A0000}"/>
    <cellStyle name="Accent1 2 2 2 2 7" xfId="7752" xr:uid="{00000000-0005-0000-0000-00003C3A0000}"/>
    <cellStyle name="Accent1 2 2 2 2 7 2" xfId="7753" xr:uid="{00000000-0005-0000-0000-00003D3A0000}"/>
    <cellStyle name="Accent1 2 2 2 2 8" xfId="7754" xr:uid="{00000000-0005-0000-0000-00003E3A0000}"/>
    <cellStyle name="Accent1 2 2 2 2 8 2" xfId="7755" xr:uid="{00000000-0005-0000-0000-00003F3A0000}"/>
    <cellStyle name="Accent1 2 2 2 2 9" xfId="7756" xr:uid="{00000000-0005-0000-0000-0000403A0000}"/>
    <cellStyle name="Accent1 2 2 2 2 9 2" xfId="7757" xr:uid="{00000000-0005-0000-0000-0000413A0000}"/>
    <cellStyle name="Accent1 2 2 2 3" xfId="7758" xr:uid="{00000000-0005-0000-0000-0000423A0000}"/>
    <cellStyle name="Accent1 2 2 2 3 2" xfId="7759" xr:uid="{00000000-0005-0000-0000-0000433A0000}"/>
    <cellStyle name="Accent1 2 2 2 4" xfId="7760" xr:uid="{00000000-0005-0000-0000-0000443A0000}"/>
    <cellStyle name="Accent1 2 2 2 4 2" xfId="7761" xr:uid="{00000000-0005-0000-0000-0000453A0000}"/>
    <cellStyle name="Accent1 2 2 2 5" xfId="7762" xr:uid="{00000000-0005-0000-0000-0000463A0000}"/>
    <cellStyle name="Accent1 2 2 2 5 2" xfId="7763" xr:uid="{00000000-0005-0000-0000-0000473A0000}"/>
    <cellStyle name="Accent1 2 2 2 6" xfId="7764" xr:uid="{00000000-0005-0000-0000-0000483A0000}"/>
    <cellStyle name="Accent1 2 2 2 6 2" xfId="7765" xr:uid="{00000000-0005-0000-0000-0000493A0000}"/>
    <cellStyle name="Accent1 2 2 2 7" xfId="7766" xr:uid="{00000000-0005-0000-0000-00004A3A0000}"/>
    <cellStyle name="Accent1 2 2 2 7 2" xfId="7767" xr:uid="{00000000-0005-0000-0000-00004B3A0000}"/>
    <cellStyle name="Accent1 2 2 2 8" xfId="7768" xr:uid="{00000000-0005-0000-0000-00004C3A0000}"/>
    <cellStyle name="Accent1 2 2 2 8 2" xfId="7769" xr:uid="{00000000-0005-0000-0000-00004D3A0000}"/>
    <cellStyle name="Accent1 2 2 2 9" xfId="7770" xr:uid="{00000000-0005-0000-0000-00004E3A0000}"/>
    <cellStyle name="Accent1 2 2 2 9 2" xfId="7771" xr:uid="{00000000-0005-0000-0000-00004F3A0000}"/>
    <cellStyle name="Accent1 2 2 20" xfId="7772" xr:uid="{00000000-0005-0000-0000-0000503A0000}"/>
    <cellStyle name="Accent1 2 2 20 2" xfId="7773" xr:uid="{00000000-0005-0000-0000-0000513A0000}"/>
    <cellStyle name="Accent1 2 2 21" xfId="7774" xr:uid="{00000000-0005-0000-0000-0000523A0000}"/>
    <cellStyle name="Accent1 2 2 22" xfId="7775" xr:uid="{00000000-0005-0000-0000-0000533A0000}"/>
    <cellStyle name="Accent1 2 2 3" xfId="7776" xr:uid="{00000000-0005-0000-0000-0000543A0000}"/>
    <cellStyle name="Accent1 2 2 3 2" xfId="7777" xr:uid="{00000000-0005-0000-0000-0000553A0000}"/>
    <cellStyle name="Accent1 2 2 4" xfId="7778" xr:uid="{00000000-0005-0000-0000-0000563A0000}"/>
    <cellStyle name="Accent1 2 2 4 2" xfId="7779" xr:uid="{00000000-0005-0000-0000-0000573A0000}"/>
    <cellStyle name="Accent1 2 2 5" xfId="7780" xr:uid="{00000000-0005-0000-0000-0000583A0000}"/>
    <cellStyle name="Accent1 2 2 5 2" xfId="7781" xr:uid="{00000000-0005-0000-0000-0000593A0000}"/>
    <cellStyle name="Accent1 2 2 6" xfId="7782" xr:uid="{00000000-0005-0000-0000-00005A3A0000}"/>
    <cellStyle name="Accent1 2 2 6 2" xfId="7783" xr:uid="{00000000-0005-0000-0000-00005B3A0000}"/>
    <cellStyle name="Accent1 2 2 7" xfId="7784" xr:uid="{00000000-0005-0000-0000-00005C3A0000}"/>
    <cellStyle name="Accent1 2 2 7 2" xfId="7785" xr:uid="{00000000-0005-0000-0000-00005D3A0000}"/>
    <cellStyle name="Accent1 2 2 8" xfId="7786" xr:uid="{00000000-0005-0000-0000-00005E3A0000}"/>
    <cellStyle name="Accent1 2 2 8 2" xfId="7787" xr:uid="{00000000-0005-0000-0000-00005F3A0000}"/>
    <cellStyle name="Accent1 2 2 9" xfId="7788" xr:uid="{00000000-0005-0000-0000-0000603A0000}"/>
    <cellStyle name="Accent1 2 2 9 2" xfId="7789" xr:uid="{00000000-0005-0000-0000-0000613A0000}"/>
    <cellStyle name="Accent1 2 20" xfId="7790" xr:uid="{00000000-0005-0000-0000-0000623A0000}"/>
    <cellStyle name="Accent1 2 20 2" xfId="7791" xr:uid="{00000000-0005-0000-0000-0000633A0000}"/>
    <cellStyle name="Accent1 2 21" xfId="7792" xr:uid="{00000000-0005-0000-0000-0000643A0000}"/>
    <cellStyle name="Accent1 2 21 2" xfId="7793" xr:uid="{00000000-0005-0000-0000-0000653A0000}"/>
    <cellStyle name="Accent1 2 21 3" xfId="7794" xr:uid="{00000000-0005-0000-0000-0000663A0000}"/>
    <cellStyle name="Accent1 2 22" xfId="7795" xr:uid="{00000000-0005-0000-0000-0000673A0000}"/>
    <cellStyle name="Accent1 2 23" xfId="7796" xr:uid="{00000000-0005-0000-0000-0000683A0000}"/>
    <cellStyle name="Accent1 2 24" xfId="7797" xr:uid="{00000000-0005-0000-0000-0000693A0000}"/>
    <cellStyle name="Accent1 2 25" xfId="7798" xr:uid="{00000000-0005-0000-0000-00006A3A0000}"/>
    <cellStyle name="Accent1 2 3" xfId="7799" xr:uid="{00000000-0005-0000-0000-00006B3A0000}"/>
    <cellStyle name="Accent1 2 3 2" xfId="7800" xr:uid="{00000000-0005-0000-0000-00006C3A0000}"/>
    <cellStyle name="Accent1 2 4" xfId="7801" xr:uid="{00000000-0005-0000-0000-00006D3A0000}"/>
    <cellStyle name="Accent1 2 4 2" xfId="7802" xr:uid="{00000000-0005-0000-0000-00006E3A0000}"/>
    <cellStyle name="Accent1 2 5" xfId="7803" xr:uid="{00000000-0005-0000-0000-00006F3A0000}"/>
    <cellStyle name="Accent1 2 5 2" xfId="7804" xr:uid="{00000000-0005-0000-0000-0000703A0000}"/>
    <cellStyle name="Accent1 2 6" xfId="7805" xr:uid="{00000000-0005-0000-0000-0000713A0000}"/>
    <cellStyle name="Accent1 2 6 2" xfId="7806" xr:uid="{00000000-0005-0000-0000-0000723A0000}"/>
    <cellStyle name="Accent1 2 7" xfId="7807" xr:uid="{00000000-0005-0000-0000-0000733A0000}"/>
    <cellStyle name="Accent1 2 7 2" xfId="7808" xr:uid="{00000000-0005-0000-0000-0000743A0000}"/>
    <cellStyle name="Accent1 2 8" xfId="7809" xr:uid="{00000000-0005-0000-0000-0000753A0000}"/>
    <cellStyle name="Accent1 2 8 2" xfId="7810" xr:uid="{00000000-0005-0000-0000-0000763A0000}"/>
    <cellStyle name="Accent1 2 9" xfId="7811" xr:uid="{00000000-0005-0000-0000-0000773A0000}"/>
    <cellStyle name="Accent1 2 9 2" xfId="7812" xr:uid="{00000000-0005-0000-0000-0000783A0000}"/>
    <cellStyle name="Accent1 3" xfId="7813" xr:uid="{00000000-0005-0000-0000-0000793A0000}"/>
    <cellStyle name="Accent1 3 2" xfId="7814" xr:uid="{00000000-0005-0000-0000-00007A3A0000}"/>
    <cellStyle name="Accent1 3 2 2" xfId="7815" xr:uid="{00000000-0005-0000-0000-00007B3A0000}"/>
    <cellStyle name="Accent1 3 2 3" xfId="7816" xr:uid="{00000000-0005-0000-0000-00007C3A0000}"/>
    <cellStyle name="Accent1 3 3" xfId="7817" xr:uid="{00000000-0005-0000-0000-00007D3A0000}"/>
    <cellStyle name="Accent1 3 4" xfId="7818" xr:uid="{00000000-0005-0000-0000-00007E3A0000}"/>
    <cellStyle name="Accent1 3 5" xfId="7819" xr:uid="{00000000-0005-0000-0000-00007F3A0000}"/>
    <cellStyle name="Accent1 4" xfId="7820" xr:uid="{00000000-0005-0000-0000-0000803A0000}"/>
    <cellStyle name="Accent1 4 2" xfId="7821" xr:uid="{00000000-0005-0000-0000-0000813A0000}"/>
    <cellStyle name="Accent1 4 2 2" xfId="7822" xr:uid="{00000000-0005-0000-0000-0000823A0000}"/>
    <cellStyle name="Accent1 4 2 3" xfId="7823" xr:uid="{00000000-0005-0000-0000-0000833A0000}"/>
    <cellStyle name="Accent1 4 3" xfId="7824" xr:uid="{00000000-0005-0000-0000-0000843A0000}"/>
    <cellStyle name="Accent1 4 4" xfId="7825" xr:uid="{00000000-0005-0000-0000-0000853A0000}"/>
    <cellStyle name="Accent1 4 5" xfId="7826" xr:uid="{00000000-0005-0000-0000-0000863A0000}"/>
    <cellStyle name="Accent1 5" xfId="7827" xr:uid="{00000000-0005-0000-0000-0000873A0000}"/>
    <cellStyle name="Accent1 5 2" xfId="7828" xr:uid="{00000000-0005-0000-0000-0000883A0000}"/>
    <cellStyle name="Accent1 5 2 2" xfId="7829" xr:uid="{00000000-0005-0000-0000-0000893A0000}"/>
    <cellStyle name="Accent1 5 2 3" xfId="7830" xr:uid="{00000000-0005-0000-0000-00008A3A0000}"/>
    <cellStyle name="Accent1 5 3" xfId="7831" xr:uid="{00000000-0005-0000-0000-00008B3A0000}"/>
    <cellStyle name="Accent1 5 4" xfId="7832" xr:uid="{00000000-0005-0000-0000-00008C3A0000}"/>
    <cellStyle name="Accent1 5 5" xfId="7833" xr:uid="{00000000-0005-0000-0000-00008D3A0000}"/>
    <cellStyle name="Accent1 6" xfId="7834" xr:uid="{00000000-0005-0000-0000-00008E3A0000}"/>
    <cellStyle name="Accent1 6 2" xfId="7835" xr:uid="{00000000-0005-0000-0000-00008F3A0000}"/>
    <cellStyle name="Accent1 6 3" xfId="7836" xr:uid="{00000000-0005-0000-0000-0000903A0000}"/>
    <cellStyle name="Accent1 7" xfId="7837" xr:uid="{00000000-0005-0000-0000-0000913A0000}"/>
    <cellStyle name="Accent1 8" xfId="7838" xr:uid="{00000000-0005-0000-0000-0000923A0000}"/>
    <cellStyle name="Accent1 9" xfId="7839" xr:uid="{00000000-0005-0000-0000-0000933A0000}"/>
    <cellStyle name="Accent2 10" xfId="7840" xr:uid="{00000000-0005-0000-0000-0000943A0000}"/>
    <cellStyle name="Accent2 11" xfId="7841" xr:uid="{00000000-0005-0000-0000-0000953A0000}"/>
    <cellStyle name="Accent2 12" xfId="7842" xr:uid="{00000000-0005-0000-0000-0000963A0000}"/>
    <cellStyle name="Accent2 13" xfId="7843" xr:uid="{00000000-0005-0000-0000-0000973A0000}"/>
    <cellStyle name="Accent2 14" xfId="7844" xr:uid="{00000000-0005-0000-0000-0000983A0000}"/>
    <cellStyle name="Accent2 15" xfId="7845" xr:uid="{00000000-0005-0000-0000-0000993A0000}"/>
    <cellStyle name="Accent2 16" xfId="7846" xr:uid="{00000000-0005-0000-0000-00009A3A0000}"/>
    <cellStyle name="Accent2 17" xfId="7847" xr:uid="{00000000-0005-0000-0000-00009B3A0000}"/>
    <cellStyle name="Accent2 18" xfId="7848" xr:uid="{00000000-0005-0000-0000-00009C3A0000}"/>
    <cellStyle name="Accent2 19" xfId="7849" xr:uid="{00000000-0005-0000-0000-00009D3A0000}"/>
    <cellStyle name="Accent2 2" xfId="7850" xr:uid="{00000000-0005-0000-0000-00009E3A0000}"/>
    <cellStyle name="Accent2 2 2" xfId="7851" xr:uid="{00000000-0005-0000-0000-00009F3A0000}"/>
    <cellStyle name="Accent2 2 2 2" xfId="7852" xr:uid="{00000000-0005-0000-0000-0000A03A0000}"/>
    <cellStyle name="Accent2 2 3" xfId="7853" xr:uid="{00000000-0005-0000-0000-0000A13A0000}"/>
    <cellStyle name="Accent2 2 3 2" xfId="7854" xr:uid="{00000000-0005-0000-0000-0000A23A0000}"/>
    <cellStyle name="Accent2 2 4" xfId="7855" xr:uid="{00000000-0005-0000-0000-0000A33A0000}"/>
    <cellStyle name="Accent2 2 4 2" xfId="7856" xr:uid="{00000000-0005-0000-0000-0000A43A0000}"/>
    <cellStyle name="Accent2 2 4 3" xfId="7857" xr:uid="{00000000-0005-0000-0000-0000A53A0000}"/>
    <cellStyle name="Accent2 2 5" xfId="7858" xr:uid="{00000000-0005-0000-0000-0000A63A0000}"/>
    <cellStyle name="Accent2 2 6" xfId="7859" xr:uid="{00000000-0005-0000-0000-0000A73A0000}"/>
    <cellStyle name="Accent2 2 7" xfId="7860" xr:uid="{00000000-0005-0000-0000-0000A83A0000}"/>
    <cellStyle name="Accent2 2 8" xfId="7861" xr:uid="{00000000-0005-0000-0000-0000A93A0000}"/>
    <cellStyle name="Accent2 3" xfId="7862" xr:uid="{00000000-0005-0000-0000-0000AA3A0000}"/>
    <cellStyle name="Accent2 3 2" xfId="7863" xr:uid="{00000000-0005-0000-0000-0000AB3A0000}"/>
    <cellStyle name="Accent2 3 2 2" xfId="7864" xr:uid="{00000000-0005-0000-0000-0000AC3A0000}"/>
    <cellStyle name="Accent2 3 2 3" xfId="7865" xr:uid="{00000000-0005-0000-0000-0000AD3A0000}"/>
    <cellStyle name="Accent2 3 3" xfId="7866" xr:uid="{00000000-0005-0000-0000-0000AE3A0000}"/>
    <cellStyle name="Accent2 3 4" xfId="7867" xr:uid="{00000000-0005-0000-0000-0000AF3A0000}"/>
    <cellStyle name="Accent2 3 5" xfId="7868" xr:uid="{00000000-0005-0000-0000-0000B03A0000}"/>
    <cellStyle name="Accent2 4" xfId="7869" xr:uid="{00000000-0005-0000-0000-0000B13A0000}"/>
    <cellStyle name="Accent2 4 2" xfId="7870" xr:uid="{00000000-0005-0000-0000-0000B23A0000}"/>
    <cellStyle name="Accent2 4 2 2" xfId="7871" xr:uid="{00000000-0005-0000-0000-0000B33A0000}"/>
    <cellStyle name="Accent2 4 2 3" xfId="7872" xr:uid="{00000000-0005-0000-0000-0000B43A0000}"/>
    <cellStyle name="Accent2 4 3" xfId="7873" xr:uid="{00000000-0005-0000-0000-0000B53A0000}"/>
    <cellStyle name="Accent2 4 4" xfId="7874" xr:uid="{00000000-0005-0000-0000-0000B63A0000}"/>
    <cellStyle name="Accent2 4 5" xfId="7875" xr:uid="{00000000-0005-0000-0000-0000B73A0000}"/>
    <cellStyle name="Accent2 5" xfId="7876" xr:uid="{00000000-0005-0000-0000-0000B83A0000}"/>
    <cellStyle name="Accent2 5 2" xfId="7877" xr:uid="{00000000-0005-0000-0000-0000B93A0000}"/>
    <cellStyle name="Accent2 5 2 2" xfId="7878" xr:uid="{00000000-0005-0000-0000-0000BA3A0000}"/>
    <cellStyle name="Accent2 5 2 3" xfId="7879" xr:uid="{00000000-0005-0000-0000-0000BB3A0000}"/>
    <cellStyle name="Accent2 5 3" xfId="7880" xr:uid="{00000000-0005-0000-0000-0000BC3A0000}"/>
    <cellStyle name="Accent2 5 4" xfId="7881" xr:uid="{00000000-0005-0000-0000-0000BD3A0000}"/>
    <cellStyle name="Accent2 5 5" xfId="7882" xr:uid="{00000000-0005-0000-0000-0000BE3A0000}"/>
    <cellStyle name="Accent2 6" xfId="7883" xr:uid="{00000000-0005-0000-0000-0000BF3A0000}"/>
    <cellStyle name="Accent2 6 2" xfId="7884" xr:uid="{00000000-0005-0000-0000-0000C03A0000}"/>
    <cellStyle name="Accent2 6 3" xfId="7885" xr:uid="{00000000-0005-0000-0000-0000C13A0000}"/>
    <cellStyle name="Accent2 7" xfId="7886" xr:uid="{00000000-0005-0000-0000-0000C23A0000}"/>
    <cellStyle name="Accent2 8" xfId="7887" xr:uid="{00000000-0005-0000-0000-0000C33A0000}"/>
    <cellStyle name="Accent2 9" xfId="7888" xr:uid="{00000000-0005-0000-0000-0000C43A0000}"/>
    <cellStyle name="Accent3 10" xfId="7889" xr:uid="{00000000-0005-0000-0000-0000C53A0000}"/>
    <cellStyle name="Accent3 11" xfId="7890" xr:uid="{00000000-0005-0000-0000-0000C63A0000}"/>
    <cellStyle name="Accent3 12" xfId="7891" xr:uid="{00000000-0005-0000-0000-0000C73A0000}"/>
    <cellStyle name="Accent3 13" xfId="7892" xr:uid="{00000000-0005-0000-0000-0000C83A0000}"/>
    <cellStyle name="Accent3 14" xfId="7893" xr:uid="{00000000-0005-0000-0000-0000C93A0000}"/>
    <cellStyle name="Accent3 15" xfId="7894" xr:uid="{00000000-0005-0000-0000-0000CA3A0000}"/>
    <cellStyle name="Accent3 16" xfId="7895" xr:uid="{00000000-0005-0000-0000-0000CB3A0000}"/>
    <cellStyle name="Accent3 17" xfId="7896" xr:uid="{00000000-0005-0000-0000-0000CC3A0000}"/>
    <cellStyle name="Accent3 18" xfId="7897" xr:uid="{00000000-0005-0000-0000-0000CD3A0000}"/>
    <cellStyle name="Accent3 19" xfId="7898" xr:uid="{00000000-0005-0000-0000-0000CE3A0000}"/>
    <cellStyle name="Accent3 2" xfId="7899" xr:uid="{00000000-0005-0000-0000-0000CF3A0000}"/>
    <cellStyle name="Accent3 2 2" xfId="7900" xr:uid="{00000000-0005-0000-0000-0000D03A0000}"/>
    <cellStyle name="Accent3 2 2 2" xfId="7901" xr:uid="{00000000-0005-0000-0000-0000D13A0000}"/>
    <cellStyle name="Accent3 2 3" xfId="7902" xr:uid="{00000000-0005-0000-0000-0000D23A0000}"/>
    <cellStyle name="Accent3 2 3 2" xfId="7903" xr:uid="{00000000-0005-0000-0000-0000D33A0000}"/>
    <cellStyle name="Accent3 2 4" xfId="7904" xr:uid="{00000000-0005-0000-0000-0000D43A0000}"/>
    <cellStyle name="Accent3 2 4 2" xfId="7905" xr:uid="{00000000-0005-0000-0000-0000D53A0000}"/>
    <cellStyle name="Accent3 2 4 3" xfId="7906" xr:uid="{00000000-0005-0000-0000-0000D63A0000}"/>
    <cellStyle name="Accent3 2 5" xfId="7907" xr:uid="{00000000-0005-0000-0000-0000D73A0000}"/>
    <cellStyle name="Accent3 2 6" xfId="7908" xr:uid="{00000000-0005-0000-0000-0000D83A0000}"/>
    <cellStyle name="Accent3 2 7" xfId="7909" xr:uid="{00000000-0005-0000-0000-0000D93A0000}"/>
    <cellStyle name="Accent3 2 8" xfId="7910" xr:uid="{00000000-0005-0000-0000-0000DA3A0000}"/>
    <cellStyle name="Accent3 3" xfId="7911" xr:uid="{00000000-0005-0000-0000-0000DB3A0000}"/>
    <cellStyle name="Accent3 3 2" xfId="7912" xr:uid="{00000000-0005-0000-0000-0000DC3A0000}"/>
    <cellStyle name="Accent3 3 2 2" xfId="7913" xr:uid="{00000000-0005-0000-0000-0000DD3A0000}"/>
    <cellStyle name="Accent3 3 2 3" xfId="7914" xr:uid="{00000000-0005-0000-0000-0000DE3A0000}"/>
    <cellStyle name="Accent3 3 3" xfId="7915" xr:uid="{00000000-0005-0000-0000-0000DF3A0000}"/>
    <cellStyle name="Accent3 3 4" xfId="7916" xr:uid="{00000000-0005-0000-0000-0000E03A0000}"/>
    <cellStyle name="Accent3 3 5" xfId="7917" xr:uid="{00000000-0005-0000-0000-0000E13A0000}"/>
    <cellStyle name="Accent3 4" xfId="7918" xr:uid="{00000000-0005-0000-0000-0000E23A0000}"/>
    <cellStyle name="Accent3 4 2" xfId="7919" xr:uid="{00000000-0005-0000-0000-0000E33A0000}"/>
    <cellStyle name="Accent3 4 2 2" xfId="7920" xr:uid="{00000000-0005-0000-0000-0000E43A0000}"/>
    <cellStyle name="Accent3 4 2 3" xfId="7921" xr:uid="{00000000-0005-0000-0000-0000E53A0000}"/>
    <cellStyle name="Accent3 4 3" xfId="7922" xr:uid="{00000000-0005-0000-0000-0000E63A0000}"/>
    <cellStyle name="Accent3 4 4" xfId="7923" xr:uid="{00000000-0005-0000-0000-0000E73A0000}"/>
    <cellStyle name="Accent3 4 5" xfId="7924" xr:uid="{00000000-0005-0000-0000-0000E83A0000}"/>
    <cellStyle name="Accent3 5" xfId="7925" xr:uid="{00000000-0005-0000-0000-0000E93A0000}"/>
    <cellStyle name="Accent3 5 2" xfId="7926" xr:uid="{00000000-0005-0000-0000-0000EA3A0000}"/>
    <cellStyle name="Accent3 5 2 2" xfId="7927" xr:uid="{00000000-0005-0000-0000-0000EB3A0000}"/>
    <cellStyle name="Accent3 5 2 3" xfId="7928" xr:uid="{00000000-0005-0000-0000-0000EC3A0000}"/>
    <cellStyle name="Accent3 5 3" xfId="7929" xr:uid="{00000000-0005-0000-0000-0000ED3A0000}"/>
    <cellStyle name="Accent3 5 4" xfId="7930" xr:uid="{00000000-0005-0000-0000-0000EE3A0000}"/>
    <cellStyle name="Accent3 5 5" xfId="7931" xr:uid="{00000000-0005-0000-0000-0000EF3A0000}"/>
    <cellStyle name="Accent3 6" xfId="7932" xr:uid="{00000000-0005-0000-0000-0000F03A0000}"/>
    <cellStyle name="Accent3 6 2" xfId="7933" xr:uid="{00000000-0005-0000-0000-0000F13A0000}"/>
    <cellStyle name="Accent3 6 3" xfId="7934" xr:uid="{00000000-0005-0000-0000-0000F23A0000}"/>
    <cellStyle name="Accent3 7" xfId="7935" xr:uid="{00000000-0005-0000-0000-0000F33A0000}"/>
    <cellStyle name="Accent3 8" xfId="7936" xr:uid="{00000000-0005-0000-0000-0000F43A0000}"/>
    <cellStyle name="Accent3 9" xfId="7937" xr:uid="{00000000-0005-0000-0000-0000F53A0000}"/>
    <cellStyle name="Accent4 10" xfId="7938" xr:uid="{00000000-0005-0000-0000-0000F63A0000}"/>
    <cellStyle name="Accent4 11" xfId="7939" xr:uid="{00000000-0005-0000-0000-0000F73A0000}"/>
    <cellStyle name="Accent4 12" xfId="7940" xr:uid="{00000000-0005-0000-0000-0000F83A0000}"/>
    <cellStyle name="Accent4 13" xfId="7941" xr:uid="{00000000-0005-0000-0000-0000F93A0000}"/>
    <cellStyle name="Accent4 14" xfId="7942" xr:uid="{00000000-0005-0000-0000-0000FA3A0000}"/>
    <cellStyle name="Accent4 15" xfId="7943" xr:uid="{00000000-0005-0000-0000-0000FB3A0000}"/>
    <cellStyle name="Accent4 16" xfId="7944" xr:uid="{00000000-0005-0000-0000-0000FC3A0000}"/>
    <cellStyle name="Accent4 17" xfId="7945" xr:uid="{00000000-0005-0000-0000-0000FD3A0000}"/>
    <cellStyle name="Accent4 18" xfId="7946" xr:uid="{00000000-0005-0000-0000-0000FE3A0000}"/>
    <cellStyle name="Accent4 19" xfId="7947" xr:uid="{00000000-0005-0000-0000-0000FF3A0000}"/>
    <cellStyle name="Accent4 2" xfId="7948" xr:uid="{00000000-0005-0000-0000-0000003B0000}"/>
    <cellStyle name="Accent4 2 2" xfId="7949" xr:uid="{00000000-0005-0000-0000-0000013B0000}"/>
    <cellStyle name="Accent4 2 2 2" xfId="7950" xr:uid="{00000000-0005-0000-0000-0000023B0000}"/>
    <cellStyle name="Accent4 2 3" xfId="7951" xr:uid="{00000000-0005-0000-0000-0000033B0000}"/>
    <cellStyle name="Accent4 2 3 2" xfId="7952" xr:uid="{00000000-0005-0000-0000-0000043B0000}"/>
    <cellStyle name="Accent4 2 4" xfId="7953" xr:uid="{00000000-0005-0000-0000-0000053B0000}"/>
    <cellStyle name="Accent4 2 4 2" xfId="7954" xr:uid="{00000000-0005-0000-0000-0000063B0000}"/>
    <cellStyle name="Accent4 2 4 3" xfId="7955" xr:uid="{00000000-0005-0000-0000-0000073B0000}"/>
    <cellStyle name="Accent4 2 5" xfId="7956" xr:uid="{00000000-0005-0000-0000-0000083B0000}"/>
    <cellStyle name="Accent4 2 6" xfId="7957" xr:uid="{00000000-0005-0000-0000-0000093B0000}"/>
    <cellStyle name="Accent4 2 7" xfId="7958" xr:uid="{00000000-0005-0000-0000-00000A3B0000}"/>
    <cellStyle name="Accent4 2 8" xfId="7959" xr:uid="{00000000-0005-0000-0000-00000B3B0000}"/>
    <cellStyle name="Accent4 3" xfId="7960" xr:uid="{00000000-0005-0000-0000-00000C3B0000}"/>
    <cellStyle name="Accent4 3 2" xfId="7961" xr:uid="{00000000-0005-0000-0000-00000D3B0000}"/>
    <cellStyle name="Accent4 3 2 2" xfId="7962" xr:uid="{00000000-0005-0000-0000-00000E3B0000}"/>
    <cellStyle name="Accent4 3 2 3" xfId="7963" xr:uid="{00000000-0005-0000-0000-00000F3B0000}"/>
    <cellStyle name="Accent4 3 3" xfId="7964" xr:uid="{00000000-0005-0000-0000-0000103B0000}"/>
    <cellStyle name="Accent4 3 4" xfId="7965" xr:uid="{00000000-0005-0000-0000-0000113B0000}"/>
    <cellStyle name="Accent4 3 5" xfId="7966" xr:uid="{00000000-0005-0000-0000-0000123B0000}"/>
    <cellStyle name="Accent4 4" xfId="7967" xr:uid="{00000000-0005-0000-0000-0000133B0000}"/>
    <cellStyle name="Accent4 4 2" xfId="7968" xr:uid="{00000000-0005-0000-0000-0000143B0000}"/>
    <cellStyle name="Accent4 4 2 2" xfId="7969" xr:uid="{00000000-0005-0000-0000-0000153B0000}"/>
    <cellStyle name="Accent4 4 2 3" xfId="7970" xr:uid="{00000000-0005-0000-0000-0000163B0000}"/>
    <cellStyle name="Accent4 4 3" xfId="7971" xr:uid="{00000000-0005-0000-0000-0000173B0000}"/>
    <cellStyle name="Accent4 4 4" xfId="7972" xr:uid="{00000000-0005-0000-0000-0000183B0000}"/>
    <cellStyle name="Accent4 4 5" xfId="7973" xr:uid="{00000000-0005-0000-0000-0000193B0000}"/>
    <cellStyle name="Accent4 5" xfId="7974" xr:uid="{00000000-0005-0000-0000-00001A3B0000}"/>
    <cellStyle name="Accent4 5 2" xfId="7975" xr:uid="{00000000-0005-0000-0000-00001B3B0000}"/>
    <cellStyle name="Accent4 5 2 2" xfId="7976" xr:uid="{00000000-0005-0000-0000-00001C3B0000}"/>
    <cellStyle name="Accent4 5 2 3" xfId="7977" xr:uid="{00000000-0005-0000-0000-00001D3B0000}"/>
    <cellStyle name="Accent4 5 3" xfId="7978" xr:uid="{00000000-0005-0000-0000-00001E3B0000}"/>
    <cellStyle name="Accent4 5 4" xfId="7979" xr:uid="{00000000-0005-0000-0000-00001F3B0000}"/>
    <cellStyle name="Accent4 5 5" xfId="7980" xr:uid="{00000000-0005-0000-0000-0000203B0000}"/>
    <cellStyle name="Accent4 6" xfId="7981" xr:uid="{00000000-0005-0000-0000-0000213B0000}"/>
    <cellStyle name="Accent4 6 2" xfId="7982" xr:uid="{00000000-0005-0000-0000-0000223B0000}"/>
    <cellStyle name="Accent4 6 3" xfId="7983" xr:uid="{00000000-0005-0000-0000-0000233B0000}"/>
    <cellStyle name="Accent4 7" xfId="7984" xr:uid="{00000000-0005-0000-0000-0000243B0000}"/>
    <cellStyle name="Accent4 8" xfId="7985" xr:uid="{00000000-0005-0000-0000-0000253B0000}"/>
    <cellStyle name="Accent4 9" xfId="7986" xr:uid="{00000000-0005-0000-0000-0000263B0000}"/>
    <cellStyle name="Accent5 10" xfId="7987" xr:uid="{00000000-0005-0000-0000-0000273B0000}"/>
    <cellStyle name="Accent5 11" xfId="7988" xr:uid="{00000000-0005-0000-0000-0000283B0000}"/>
    <cellStyle name="Accent5 12" xfId="7989" xr:uid="{00000000-0005-0000-0000-0000293B0000}"/>
    <cellStyle name="Accent5 13" xfId="7990" xr:uid="{00000000-0005-0000-0000-00002A3B0000}"/>
    <cellStyle name="Accent5 14" xfId="7991" xr:uid="{00000000-0005-0000-0000-00002B3B0000}"/>
    <cellStyle name="Accent5 15" xfId="7992" xr:uid="{00000000-0005-0000-0000-00002C3B0000}"/>
    <cellStyle name="Accent5 16" xfId="7993" xr:uid="{00000000-0005-0000-0000-00002D3B0000}"/>
    <cellStyle name="Accent5 17" xfId="7994" xr:uid="{00000000-0005-0000-0000-00002E3B0000}"/>
    <cellStyle name="Accent5 18" xfId="7995" xr:uid="{00000000-0005-0000-0000-00002F3B0000}"/>
    <cellStyle name="Accent5 19" xfId="7996" xr:uid="{00000000-0005-0000-0000-0000303B0000}"/>
    <cellStyle name="Accent5 2" xfId="7997" xr:uid="{00000000-0005-0000-0000-0000313B0000}"/>
    <cellStyle name="Accent5 2 2" xfId="7998" xr:uid="{00000000-0005-0000-0000-0000323B0000}"/>
    <cellStyle name="Accent5 2 2 2" xfId="7999" xr:uid="{00000000-0005-0000-0000-0000333B0000}"/>
    <cellStyle name="Accent5 2 3" xfId="8000" xr:uid="{00000000-0005-0000-0000-0000343B0000}"/>
    <cellStyle name="Accent5 2 3 2" xfId="8001" xr:uid="{00000000-0005-0000-0000-0000353B0000}"/>
    <cellStyle name="Accent5 2 4" xfId="8002" xr:uid="{00000000-0005-0000-0000-0000363B0000}"/>
    <cellStyle name="Accent5 2 4 2" xfId="8003" xr:uid="{00000000-0005-0000-0000-0000373B0000}"/>
    <cellStyle name="Accent5 2 4 3" xfId="8004" xr:uid="{00000000-0005-0000-0000-0000383B0000}"/>
    <cellStyle name="Accent5 2 5" xfId="8005" xr:uid="{00000000-0005-0000-0000-0000393B0000}"/>
    <cellStyle name="Accent5 2 6" xfId="8006" xr:uid="{00000000-0005-0000-0000-00003A3B0000}"/>
    <cellStyle name="Accent5 2 7" xfId="8007" xr:uid="{00000000-0005-0000-0000-00003B3B0000}"/>
    <cellStyle name="Accent5 2 8" xfId="8008" xr:uid="{00000000-0005-0000-0000-00003C3B0000}"/>
    <cellStyle name="Accent5 3" xfId="8009" xr:uid="{00000000-0005-0000-0000-00003D3B0000}"/>
    <cellStyle name="Accent5 3 2" xfId="8010" xr:uid="{00000000-0005-0000-0000-00003E3B0000}"/>
    <cellStyle name="Accent5 3 2 2" xfId="8011" xr:uid="{00000000-0005-0000-0000-00003F3B0000}"/>
    <cellStyle name="Accent5 3 2 3" xfId="8012" xr:uid="{00000000-0005-0000-0000-0000403B0000}"/>
    <cellStyle name="Accent5 3 3" xfId="8013" xr:uid="{00000000-0005-0000-0000-0000413B0000}"/>
    <cellStyle name="Accent5 3 4" xfId="8014" xr:uid="{00000000-0005-0000-0000-0000423B0000}"/>
    <cellStyle name="Accent5 3 5" xfId="8015" xr:uid="{00000000-0005-0000-0000-0000433B0000}"/>
    <cellStyle name="Accent5 4" xfId="8016" xr:uid="{00000000-0005-0000-0000-0000443B0000}"/>
    <cellStyle name="Accent5 4 2" xfId="8017" xr:uid="{00000000-0005-0000-0000-0000453B0000}"/>
    <cellStyle name="Accent5 4 2 2" xfId="8018" xr:uid="{00000000-0005-0000-0000-0000463B0000}"/>
    <cellStyle name="Accent5 4 2 3" xfId="8019" xr:uid="{00000000-0005-0000-0000-0000473B0000}"/>
    <cellStyle name="Accent5 4 3" xfId="8020" xr:uid="{00000000-0005-0000-0000-0000483B0000}"/>
    <cellStyle name="Accent5 4 4" xfId="8021" xr:uid="{00000000-0005-0000-0000-0000493B0000}"/>
    <cellStyle name="Accent5 4 5" xfId="8022" xr:uid="{00000000-0005-0000-0000-00004A3B0000}"/>
    <cellStyle name="Accent5 5" xfId="8023" xr:uid="{00000000-0005-0000-0000-00004B3B0000}"/>
    <cellStyle name="Accent5 5 2" xfId="8024" xr:uid="{00000000-0005-0000-0000-00004C3B0000}"/>
    <cellStyle name="Accent5 5 2 2" xfId="8025" xr:uid="{00000000-0005-0000-0000-00004D3B0000}"/>
    <cellStyle name="Accent5 5 2 3" xfId="8026" xr:uid="{00000000-0005-0000-0000-00004E3B0000}"/>
    <cellStyle name="Accent5 5 3" xfId="8027" xr:uid="{00000000-0005-0000-0000-00004F3B0000}"/>
    <cellStyle name="Accent5 5 4" xfId="8028" xr:uid="{00000000-0005-0000-0000-0000503B0000}"/>
    <cellStyle name="Accent5 5 5" xfId="8029" xr:uid="{00000000-0005-0000-0000-0000513B0000}"/>
    <cellStyle name="Accent5 6" xfId="8030" xr:uid="{00000000-0005-0000-0000-0000523B0000}"/>
    <cellStyle name="Accent5 6 2" xfId="8031" xr:uid="{00000000-0005-0000-0000-0000533B0000}"/>
    <cellStyle name="Accent5 6 3" xfId="8032" xr:uid="{00000000-0005-0000-0000-0000543B0000}"/>
    <cellStyle name="Accent5 7" xfId="8033" xr:uid="{00000000-0005-0000-0000-0000553B0000}"/>
    <cellStyle name="Accent5 8" xfId="8034" xr:uid="{00000000-0005-0000-0000-0000563B0000}"/>
    <cellStyle name="Accent5 9" xfId="8035" xr:uid="{00000000-0005-0000-0000-0000573B0000}"/>
    <cellStyle name="Accent6 10" xfId="8036" xr:uid="{00000000-0005-0000-0000-0000583B0000}"/>
    <cellStyle name="Accent6 11" xfId="8037" xr:uid="{00000000-0005-0000-0000-0000593B0000}"/>
    <cellStyle name="Accent6 12" xfId="8038" xr:uid="{00000000-0005-0000-0000-00005A3B0000}"/>
    <cellStyle name="Accent6 13" xfId="8039" xr:uid="{00000000-0005-0000-0000-00005B3B0000}"/>
    <cellStyle name="Accent6 14" xfId="8040" xr:uid="{00000000-0005-0000-0000-00005C3B0000}"/>
    <cellStyle name="Accent6 15" xfId="8041" xr:uid="{00000000-0005-0000-0000-00005D3B0000}"/>
    <cellStyle name="Accent6 16" xfId="8042" xr:uid="{00000000-0005-0000-0000-00005E3B0000}"/>
    <cellStyle name="Accent6 17" xfId="8043" xr:uid="{00000000-0005-0000-0000-00005F3B0000}"/>
    <cellStyle name="Accent6 18" xfId="8044" xr:uid="{00000000-0005-0000-0000-0000603B0000}"/>
    <cellStyle name="Accent6 19" xfId="8045" xr:uid="{00000000-0005-0000-0000-0000613B0000}"/>
    <cellStyle name="Accent6 2" xfId="8046" xr:uid="{00000000-0005-0000-0000-0000623B0000}"/>
    <cellStyle name="Accent6 2 2" xfId="8047" xr:uid="{00000000-0005-0000-0000-0000633B0000}"/>
    <cellStyle name="Accent6 2 2 2" xfId="8048" xr:uid="{00000000-0005-0000-0000-0000643B0000}"/>
    <cellStyle name="Accent6 2 3" xfId="8049" xr:uid="{00000000-0005-0000-0000-0000653B0000}"/>
    <cellStyle name="Accent6 2 3 2" xfId="8050" xr:uid="{00000000-0005-0000-0000-0000663B0000}"/>
    <cellStyle name="Accent6 2 4" xfId="8051" xr:uid="{00000000-0005-0000-0000-0000673B0000}"/>
    <cellStyle name="Accent6 2 4 2" xfId="8052" xr:uid="{00000000-0005-0000-0000-0000683B0000}"/>
    <cellStyle name="Accent6 2 4 3" xfId="8053" xr:uid="{00000000-0005-0000-0000-0000693B0000}"/>
    <cellStyle name="Accent6 2 5" xfId="8054" xr:uid="{00000000-0005-0000-0000-00006A3B0000}"/>
    <cellStyle name="Accent6 2 6" xfId="8055" xr:uid="{00000000-0005-0000-0000-00006B3B0000}"/>
    <cellStyle name="Accent6 2 7" xfId="8056" xr:uid="{00000000-0005-0000-0000-00006C3B0000}"/>
    <cellStyle name="Accent6 2 8" xfId="8057" xr:uid="{00000000-0005-0000-0000-00006D3B0000}"/>
    <cellStyle name="Accent6 3" xfId="8058" xr:uid="{00000000-0005-0000-0000-00006E3B0000}"/>
    <cellStyle name="Accent6 3 2" xfId="8059" xr:uid="{00000000-0005-0000-0000-00006F3B0000}"/>
    <cellStyle name="Accent6 3 2 2" xfId="8060" xr:uid="{00000000-0005-0000-0000-0000703B0000}"/>
    <cellStyle name="Accent6 3 2 3" xfId="8061" xr:uid="{00000000-0005-0000-0000-0000713B0000}"/>
    <cellStyle name="Accent6 3 3" xfId="8062" xr:uid="{00000000-0005-0000-0000-0000723B0000}"/>
    <cellStyle name="Accent6 3 4" xfId="8063" xr:uid="{00000000-0005-0000-0000-0000733B0000}"/>
    <cellStyle name="Accent6 3 5" xfId="8064" xr:uid="{00000000-0005-0000-0000-0000743B0000}"/>
    <cellStyle name="Accent6 4" xfId="8065" xr:uid="{00000000-0005-0000-0000-0000753B0000}"/>
    <cellStyle name="Accent6 4 2" xfId="8066" xr:uid="{00000000-0005-0000-0000-0000763B0000}"/>
    <cellStyle name="Accent6 4 2 2" xfId="8067" xr:uid="{00000000-0005-0000-0000-0000773B0000}"/>
    <cellStyle name="Accent6 4 2 3" xfId="8068" xr:uid="{00000000-0005-0000-0000-0000783B0000}"/>
    <cellStyle name="Accent6 4 3" xfId="8069" xr:uid="{00000000-0005-0000-0000-0000793B0000}"/>
    <cellStyle name="Accent6 4 4" xfId="8070" xr:uid="{00000000-0005-0000-0000-00007A3B0000}"/>
    <cellStyle name="Accent6 4 5" xfId="8071" xr:uid="{00000000-0005-0000-0000-00007B3B0000}"/>
    <cellStyle name="Accent6 5" xfId="8072" xr:uid="{00000000-0005-0000-0000-00007C3B0000}"/>
    <cellStyle name="Accent6 5 2" xfId="8073" xr:uid="{00000000-0005-0000-0000-00007D3B0000}"/>
    <cellStyle name="Accent6 5 2 2" xfId="8074" xr:uid="{00000000-0005-0000-0000-00007E3B0000}"/>
    <cellStyle name="Accent6 5 2 3" xfId="8075" xr:uid="{00000000-0005-0000-0000-00007F3B0000}"/>
    <cellStyle name="Accent6 5 3" xfId="8076" xr:uid="{00000000-0005-0000-0000-0000803B0000}"/>
    <cellStyle name="Accent6 5 4" xfId="8077" xr:uid="{00000000-0005-0000-0000-0000813B0000}"/>
    <cellStyle name="Accent6 5 5" xfId="8078" xr:uid="{00000000-0005-0000-0000-0000823B0000}"/>
    <cellStyle name="Accent6 6" xfId="8079" xr:uid="{00000000-0005-0000-0000-0000833B0000}"/>
    <cellStyle name="Accent6 6 2" xfId="8080" xr:uid="{00000000-0005-0000-0000-0000843B0000}"/>
    <cellStyle name="Accent6 6 3" xfId="8081" xr:uid="{00000000-0005-0000-0000-0000853B0000}"/>
    <cellStyle name="Accent6 7" xfId="8082" xr:uid="{00000000-0005-0000-0000-0000863B0000}"/>
    <cellStyle name="Accent6 8" xfId="8083" xr:uid="{00000000-0005-0000-0000-0000873B0000}"/>
    <cellStyle name="Accent6 9" xfId="8084" xr:uid="{00000000-0005-0000-0000-0000883B0000}"/>
    <cellStyle name="accounting" xfId="8085" xr:uid="{00000000-0005-0000-0000-0000893B0000}"/>
    <cellStyle name="accounting 2" xfId="8086" xr:uid="{00000000-0005-0000-0000-00008A3B0000}"/>
    <cellStyle name="accounting 2 2" xfId="8087" xr:uid="{00000000-0005-0000-0000-00008B3B0000}"/>
    <cellStyle name="accounting 2 3" xfId="20245" xr:uid="{00000000-0005-0000-0000-00008C3B0000}"/>
    <cellStyle name="accounting 3" xfId="8088" xr:uid="{00000000-0005-0000-0000-00008D3B0000}"/>
    <cellStyle name="accounting 3 2" xfId="20246" xr:uid="{00000000-0005-0000-0000-00008E3B0000}"/>
    <cellStyle name="accounting 4" xfId="8089" xr:uid="{00000000-0005-0000-0000-00008F3B0000}"/>
    <cellStyle name="accounting 4 2" xfId="20247" xr:uid="{00000000-0005-0000-0000-0000903B0000}"/>
    <cellStyle name="accounting 5" xfId="8090" xr:uid="{00000000-0005-0000-0000-0000913B0000}"/>
    <cellStyle name="accounting 5 2" xfId="20248" xr:uid="{00000000-0005-0000-0000-0000923B0000}"/>
    <cellStyle name="accounting 6" xfId="20249" xr:uid="{00000000-0005-0000-0000-0000933B0000}"/>
    <cellStyle name="Accounting w/$" xfId="8091" xr:uid="{00000000-0005-0000-0000-0000943B0000}"/>
    <cellStyle name="Accounting w/$ Total" xfId="8092" xr:uid="{00000000-0005-0000-0000-0000953B0000}"/>
    <cellStyle name="Accounting w/o $" xfId="8093" xr:uid="{00000000-0005-0000-0000-0000963B0000}"/>
    <cellStyle name="acct" xfId="16349" xr:uid="{00000000-0005-0000-0000-0000973B0000}"/>
    <cellStyle name="acct bold" xfId="16350" xr:uid="{00000000-0005-0000-0000-0000983B0000}"/>
    <cellStyle name="acct no" xfId="16351" xr:uid="{00000000-0005-0000-0000-0000993B0000}"/>
    <cellStyle name="acct_EPL LBO 5.16.05 - Mgmt IPO v6" xfId="16352" xr:uid="{00000000-0005-0000-0000-00009A3B0000}"/>
    <cellStyle name="Acctg" xfId="16353" xr:uid="{00000000-0005-0000-0000-00009B3B0000}"/>
    <cellStyle name="Açıklama Metni" xfId="16354" xr:uid="{00000000-0005-0000-0000-00009C3B0000}"/>
    <cellStyle name="Across" xfId="16355" xr:uid="{00000000-0005-0000-0000-00009D3B0000}"/>
    <cellStyle name="active" xfId="8094" xr:uid="{00000000-0005-0000-0000-00009E3B0000}"/>
    <cellStyle name="active 2" xfId="8095" xr:uid="{00000000-0005-0000-0000-00009F3B0000}"/>
    <cellStyle name="active 2 2" xfId="8096" xr:uid="{00000000-0005-0000-0000-0000A03B0000}"/>
    <cellStyle name="active 3" xfId="8097" xr:uid="{00000000-0005-0000-0000-0000A13B0000}"/>
    <cellStyle name="active 4" xfId="8098" xr:uid="{00000000-0005-0000-0000-0000A23B0000}"/>
    <cellStyle name="active 5" xfId="8099" xr:uid="{00000000-0005-0000-0000-0000A33B0000}"/>
    <cellStyle name="Actual" xfId="16356" xr:uid="{00000000-0005-0000-0000-0000A43B0000}"/>
    <cellStyle name="Actual Date" xfId="8100" xr:uid="{00000000-0005-0000-0000-0000A53B0000}"/>
    <cellStyle name="Actuals" xfId="8101" xr:uid="{00000000-0005-0000-0000-0000A63B0000}"/>
    <cellStyle name="Actuals 10" xfId="8102" xr:uid="{00000000-0005-0000-0000-0000A73B0000}"/>
    <cellStyle name="Actuals 10 2" xfId="8103" xr:uid="{00000000-0005-0000-0000-0000A83B0000}"/>
    <cellStyle name="Actuals 11" xfId="8104" xr:uid="{00000000-0005-0000-0000-0000A93B0000}"/>
    <cellStyle name="Actuals 11 2" xfId="8105" xr:uid="{00000000-0005-0000-0000-0000AA3B0000}"/>
    <cellStyle name="Actuals 12" xfId="8106" xr:uid="{00000000-0005-0000-0000-0000AB3B0000}"/>
    <cellStyle name="Actuals 12 2" xfId="8107" xr:uid="{00000000-0005-0000-0000-0000AC3B0000}"/>
    <cellStyle name="Actuals 13" xfId="8108" xr:uid="{00000000-0005-0000-0000-0000AD3B0000}"/>
    <cellStyle name="Actuals 13 2" xfId="8109" xr:uid="{00000000-0005-0000-0000-0000AE3B0000}"/>
    <cellStyle name="Actuals 14" xfId="8110" xr:uid="{00000000-0005-0000-0000-0000AF3B0000}"/>
    <cellStyle name="Actuals 14 2" xfId="8111" xr:uid="{00000000-0005-0000-0000-0000B03B0000}"/>
    <cellStyle name="Actuals 15" xfId="8112" xr:uid="{00000000-0005-0000-0000-0000B13B0000}"/>
    <cellStyle name="Actuals 15 2" xfId="8113" xr:uid="{00000000-0005-0000-0000-0000B23B0000}"/>
    <cellStyle name="Actuals 16" xfId="8114" xr:uid="{00000000-0005-0000-0000-0000B33B0000}"/>
    <cellStyle name="Actuals 16 2" xfId="8115" xr:uid="{00000000-0005-0000-0000-0000B43B0000}"/>
    <cellStyle name="Actuals 17" xfId="8116" xr:uid="{00000000-0005-0000-0000-0000B53B0000}"/>
    <cellStyle name="Actuals 17 2" xfId="8117" xr:uid="{00000000-0005-0000-0000-0000B63B0000}"/>
    <cellStyle name="Actuals 18" xfId="8118" xr:uid="{00000000-0005-0000-0000-0000B73B0000}"/>
    <cellStyle name="Actuals 18 2" xfId="8119" xr:uid="{00000000-0005-0000-0000-0000B83B0000}"/>
    <cellStyle name="Actuals 19" xfId="8120" xr:uid="{00000000-0005-0000-0000-0000B93B0000}"/>
    <cellStyle name="Actuals 19 2" xfId="8121" xr:uid="{00000000-0005-0000-0000-0000BA3B0000}"/>
    <cellStyle name="Actuals 2" xfId="8122" xr:uid="{00000000-0005-0000-0000-0000BB3B0000}"/>
    <cellStyle name="Actuals 2 2" xfId="8123" xr:uid="{00000000-0005-0000-0000-0000BC3B0000}"/>
    <cellStyle name="Actuals 2 2 2" xfId="8124" xr:uid="{00000000-0005-0000-0000-0000BD3B0000}"/>
    <cellStyle name="Actuals 2 2 3" xfId="8125" xr:uid="{00000000-0005-0000-0000-0000BE3B0000}"/>
    <cellStyle name="Actuals 2 3" xfId="8126" xr:uid="{00000000-0005-0000-0000-0000BF3B0000}"/>
    <cellStyle name="Actuals 2 4" xfId="8127" xr:uid="{00000000-0005-0000-0000-0000C03B0000}"/>
    <cellStyle name="Actuals 2 5" xfId="8128" xr:uid="{00000000-0005-0000-0000-0000C13B0000}"/>
    <cellStyle name="Actuals 20" xfId="8129" xr:uid="{00000000-0005-0000-0000-0000C23B0000}"/>
    <cellStyle name="Actuals 20 2" xfId="8130" xr:uid="{00000000-0005-0000-0000-0000C33B0000}"/>
    <cellStyle name="Actuals 21" xfId="8131" xr:uid="{00000000-0005-0000-0000-0000C43B0000}"/>
    <cellStyle name="Actuals 21 2" xfId="8132" xr:uid="{00000000-0005-0000-0000-0000C53B0000}"/>
    <cellStyle name="Actuals 22" xfId="8133" xr:uid="{00000000-0005-0000-0000-0000C63B0000}"/>
    <cellStyle name="Actuals 22 2" xfId="8134" xr:uid="{00000000-0005-0000-0000-0000C73B0000}"/>
    <cellStyle name="Actuals 23" xfId="8135" xr:uid="{00000000-0005-0000-0000-0000C83B0000}"/>
    <cellStyle name="Actuals 23 2" xfId="8136" xr:uid="{00000000-0005-0000-0000-0000C93B0000}"/>
    <cellStyle name="Actuals 24" xfId="8137" xr:uid="{00000000-0005-0000-0000-0000CA3B0000}"/>
    <cellStyle name="Actuals 24 2" xfId="8138" xr:uid="{00000000-0005-0000-0000-0000CB3B0000}"/>
    <cellStyle name="Actuals 25" xfId="8139" xr:uid="{00000000-0005-0000-0000-0000CC3B0000}"/>
    <cellStyle name="Actuals 25 2" xfId="8140" xr:uid="{00000000-0005-0000-0000-0000CD3B0000}"/>
    <cellStyle name="Actuals 26" xfId="8141" xr:uid="{00000000-0005-0000-0000-0000CE3B0000}"/>
    <cellStyle name="Actuals 26 2" xfId="8142" xr:uid="{00000000-0005-0000-0000-0000CF3B0000}"/>
    <cellStyle name="Actuals 27" xfId="8143" xr:uid="{00000000-0005-0000-0000-0000D03B0000}"/>
    <cellStyle name="Actuals 27 2" xfId="8144" xr:uid="{00000000-0005-0000-0000-0000D13B0000}"/>
    <cellStyle name="Actuals 28" xfId="8145" xr:uid="{00000000-0005-0000-0000-0000D23B0000}"/>
    <cellStyle name="Actuals 28 2" xfId="8146" xr:uid="{00000000-0005-0000-0000-0000D33B0000}"/>
    <cellStyle name="Actuals 29" xfId="8147" xr:uid="{00000000-0005-0000-0000-0000D43B0000}"/>
    <cellStyle name="Actuals 29 2" xfId="8148" xr:uid="{00000000-0005-0000-0000-0000D53B0000}"/>
    <cellStyle name="Actuals 3" xfId="8149" xr:uid="{00000000-0005-0000-0000-0000D63B0000}"/>
    <cellStyle name="Actuals 3 2" xfId="8150" xr:uid="{00000000-0005-0000-0000-0000D73B0000}"/>
    <cellStyle name="Actuals 30" xfId="8151" xr:uid="{00000000-0005-0000-0000-0000D83B0000}"/>
    <cellStyle name="Actuals 30 2" xfId="8152" xr:uid="{00000000-0005-0000-0000-0000D93B0000}"/>
    <cellStyle name="Actuals 30 3" xfId="8153" xr:uid="{00000000-0005-0000-0000-0000DA3B0000}"/>
    <cellStyle name="Actuals 31" xfId="8154" xr:uid="{00000000-0005-0000-0000-0000DB3B0000}"/>
    <cellStyle name="Actuals 32" xfId="8155" xr:uid="{00000000-0005-0000-0000-0000DC3B0000}"/>
    <cellStyle name="Actuals 33" xfId="8156" xr:uid="{00000000-0005-0000-0000-0000DD3B0000}"/>
    <cellStyle name="Actuals 4" xfId="8157" xr:uid="{00000000-0005-0000-0000-0000DE3B0000}"/>
    <cellStyle name="Actuals 4 2" xfId="8158" xr:uid="{00000000-0005-0000-0000-0000DF3B0000}"/>
    <cellStyle name="Actuals 5" xfId="8159" xr:uid="{00000000-0005-0000-0000-0000E03B0000}"/>
    <cellStyle name="Actuals 5 2" xfId="8160" xr:uid="{00000000-0005-0000-0000-0000E13B0000}"/>
    <cellStyle name="Actuals 6" xfId="8161" xr:uid="{00000000-0005-0000-0000-0000E23B0000}"/>
    <cellStyle name="Actuals 6 2" xfId="8162" xr:uid="{00000000-0005-0000-0000-0000E33B0000}"/>
    <cellStyle name="Actuals 7" xfId="8163" xr:uid="{00000000-0005-0000-0000-0000E43B0000}"/>
    <cellStyle name="Actuals 7 2" xfId="8164" xr:uid="{00000000-0005-0000-0000-0000E53B0000}"/>
    <cellStyle name="Actuals 8" xfId="8165" xr:uid="{00000000-0005-0000-0000-0000E63B0000}"/>
    <cellStyle name="Actuals 8 2" xfId="8166" xr:uid="{00000000-0005-0000-0000-0000E73B0000}"/>
    <cellStyle name="Actuals 9" xfId="8167" xr:uid="{00000000-0005-0000-0000-0000E83B0000}"/>
    <cellStyle name="Actuals 9 2" xfId="8168" xr:uid="{00000000-0005-0000-0000-0000E93B0000}"/>
    <cellStyle name="adj_share" xfId="8169" xr:uid="{00000000-0005-0000-0000-0000EA3B0000}"/>
    <cellStyle name="Adjustable" xfId="8170" xr:uid="{00000000-0005-0000-0000-0000EB3B0000}"/>
    <cellStyle name="Adjusted" xfId="8171" xr:uid="{00000000-0005-0000-0000-0000EC3B0000}"/>
    <cellStyle name="Adjusted 2" xfId="8172" xr:uid="{00000000-0005-0000-0000-0000ED3B0000}"/>
    <cellStyle name="Adjusted 2 2" xfId="8173" xr:uid="{00000000-0005-0000-0000-0000EE3B0000}"/>
    <cellStyle name="Adjusted 2 3" xfId="20250" xr:uid="{00000000-0005-0000-0000-0000EF3B0000}"/>
    <cellStyle name="Adjusted 3" xfId="8174" xr:uid="{00000000-0005-0000-0000-0000F03B0000}"/>
    <cellStyle name="Adjusted 3 2" xfId="20251" xr:uid="{00000000-0005-0000-0000-0000F13B0000}"/>
    <cellStyle name="Adjusted 4" xfId="8175" xr:uid="{00000000-0005-0000-0000-0000F23B0000}"/>
    <cellStyle name="Adjusted 4 2" xfId="20252" xr:uid="{00000000-0005-0000-0000-0000F33B0000}"/>
    <cellStyle name="Adjusted 5" xfId="8176" xr:uid="{00000000-0005-0000-0000-0000F43B0000}"/>
    <cellStyle name="Adjusted 5 2" xfId="20253" xr:uid="{00000000-0005-0000-0000-0000F53B0000}"/>
    <cellStyle name="Adjusted 6" xfId="20254" xr:uid="{00000000-0005-0000-0000-0000F63B0000}"/>
    <cellStyle name="AFE" xfId="8177" xr:uid="{00000000-0005-0000-0000-0000F73B0000}"/>
    <cellStyle name="AFE 2" xfId="8178" xr:uid="{00000000-0005-0000-0000-0000F83B0000}"/>
    <cellStyle name="AFE 2 2" xfId="8179" xr:uid="{00000000-0005-0000-0000-0000F93B0000}"/>
    <cellStyle name="AFE 3" xfId="8180" xr:uid="{00000000-0005-0000-0000-0000FA3B0000}"/>
    <cellStyle name="AFE 4" xfId="8181" xr:uid="{00000000-0005-0000-0000-0000FB3B0000}"/>
    <cellStyle name="Afjusted" xfId="8182" xr:uid="{00000000-0005-0000-0000-0000FC3B0000}"/>
    <cellStyle name="Afjusted 2" xfId="8183" xr:uid="{00000000-0005-0000-0000-0000FD3B0000}"/>
    <cellStyle name="Afjusted 2 2" xfId="8184" xr:uid="{00000000-0005-0000-0000-0000FE3B0000}"/>
    <cellStyle name="Afjusted 3" xfId="8185" xr:uid="{00000000-0005-0000-0000-0000FF3B0000}"/>
    <cellStyle name="Afjusted 4" xfId="8186" xr:uid="{00000000-0005-0000-0000-0000003C0000}"/>
    <cellStyle name="Afjusted 5" xfId="8187" xr:uid="{00000000-0005-0000-0000-0000013C0000}"/>
    <cellStyle name="ai_תנאי הצמדה " xfId="8188" xr:uid="{00000000-0005-0000-0000-0000023C0000}"/>
    <cellStyle name="AIRCO" xfId="8189" xr:uid="{00000000-0005-0000-0000-0000033C0000}"/>
    <cellStyle name="AIRCO 2" xfId="8190" xr:uid="{00000000-0005-0000-0000-0000043C0000}"/>
    <cellStyle name="AIRCO 2 2" xfId="15950" xr:uid="{00000000-0005-0000-0000-0000053C0000}"/>
    <cellStyle name="AIRCO 2 3" xfId="19901" xr:uid="{00000000-0005-0000-0000-0000063C0000}"/>
    <cellStyle name="AIRCO 3" xfId="15949" xr:uid="{00000000-0005-0000-0000-0000073C0000}"/>
    <cellStyle name="AIRCO 4" xfId="19900" xr:uid="{00000000-0005-0000-0000-0000083C0000}"/>
    <cellStyle name="amount" xfId="8191" xr:uid="{00000000-0005-0000-0000-0000093C0000}"/>
    <cellStyle name="amount 2" xfId="8192" xr:uid="{00000000-0005-0000-0000-00000A3C0000}"/>
    <cellStyle name="amount 2 2" xfId="8193" xr:uid="{00000000-0005-0000-0000-00000B3C0000}"/>
    <cellStyle name="amount 2 2 2" xfId="8194" xr:uid="{00000000-0005-0000-0000-00000C3C0000}"/>
    <cellStyle name="amount 2 2 2 2" xfId="15952" xr:uid="{00000000-0005-0000-0000-00000D3C0000}"/>
    <cellStyle name="amount 2 2 2 3" xfId="19903" xr:uid="{00000000-0005-0000-0000-00000E3C0000}"/>
    <cellStyle name="amount 2 2 3" xfId="15951" xr:uid="{00000000-0005-0000-0000-00000F3C0000}"/>
    <cellStyle name="amount 2 2 4" xfId="19902" xr:uid="{00000000-0005-0000-0000-0000103C0000}"/>
    <cellStyle name="amount 2 3" xfId="8195" xr:uid="{00000000-0005-0000-0000-0000113C0000}"/>
    <cellStyle name="amount 2 3 2" xfId="8196" xr:uid="{00000000-0005-0000-0000-0000123C0000}"/>
    <cellStyle name="amount 2 3 2 2" xfId="15954" xr:uid="{00000000-0005-0000-0000-0000133C0000}"/>
    <cellStyle name="amount 2 3 2 3" xfId="19905" xr:uid="{00000000-0005-0000-0000-0000143C0000}"/>
    <cellStyle name="amount 2 3 3" xfId="15953" xr:uid="{00000000-0005-0000-0000-0000153C0000}"/>
    <cellStyle name="amount 2 3 4" xfId="19904" xr:uid="{00000000-0005-0000-0000-0000163C0000}"/>
    <cellStyle name="amount 2 4" xfId="8197" xr:uid="{00000000-0005-0000-0000-0000173C0000}"/>
    <cellStyle name="amount 2 4 2" xfId="8198" xr:uid="{00000000-0005-0000-0000-0000183C0000}"/>
    <cellStyle name="amount 2 4 2 2" xfId="15956" xr:uid="{00000000-0005-0000-0000-0000193C0000}"/>
    <cellStyle name="amount 2 4 2 3" xfId="19907" xr:uid="{00000000-0005-0000-0000-00001A3C0000}"/>
    <cellStyle name="amount 2 4 3" xfId="15955" xr:uid="{00000000-0005-0000-0000-00001B3C0000}"/>
    <cellStyle name="amount 2 4 4" xfId="19906" xr:uid="{00000000-0005-0000-0000-00001C3C0000}"/>
    <cellStyle name="amount 2 5" xfId="8199" xr:uid="{00000000-0005-0000-0000-00001D3C0000}"/>
    <cellStyle name="amount 2 5 2" xfId="8200" xr:uid="{00000000-0005-0000-0000-00001E3C0000}"/>
    <cellStyle name="amount 2 5 2 2" xfId="15958" xr:uid="{00000000-0005-0000-0000-00001F3C0000}"/>
    <cellStyle name="amount 2 5 2 3" xfId="19909" xr:uid="{00000000-0005-0000-0000-0000203C0000}"/>
    <cellStyle name="amount 2 5 3" xfId="15957" xr:uid="{00000000-0005-0000-0000-0000213C0000}"/>
    <cellStyle name="amount 2 5 4" xfId="19908" xr:uid="{00000000-0005-0000-0000-0000223C0000}"/>
    <cellStyle name="amount 3" xfId="8201" xr:uid="{00000000-0005-0000-0000-0000233C0000}"/>
    <cellStyle name="amount 3 2" xfId="8202" xr:uid="{00000000-0005-0000-0000-0000243C0000}"/>
    <cellStyle name="amount 3 2 2" xfId="8203" xr:uid="{00000000-0005-0000-0000-0000253C0000}"/>
    <cellStyle name="amount 3 2 2 2" xfId="15961" xr:uid="{00000000-0005-0000-0000-0000263C0000}"/>
    <cellStyle name="amount 3 2 2 3" xfId="19912" xr:uid="{00000000-0005-0000-0000-0000273C0000}"/>
    <cellStyle name="amount 3 2 3" xfId="15960" xr:uid="{00000000-0005-0000-0000-0000283C0000}"/>
    <cellStyle name="amount 3 2 4" xfId="19911" xr:uid="{00000000-0005-0000-0000-0000293C0000}"/>
    <cellStyle name="amount 3 3" xfId="8204" xr:uid="{00000000-0005-0000-0000-00002A3C0000}"/>
    <cellStyle name="amount 3 3 2" xfId="8205" xr:uid="{00000000-0005-0000-0000-00002B3C0000}"/>
    <cellStyle name="amount 3 3 2 2" xfId="15963" xr:uid="{00000000-0005-0000-0000-00002C3C0000}"/>
    <cellStyle name="amount 3 3 2 3" xfId="19914" xr:uid="{00000000-0005-0000-0000-00002D3C0000}"/>
    <cellStyle name="amount 3 3 3" xfId="15962" xr:uid="{00000000-0005-0000-0000-00002E3C0000}"/>
    <cellStyle name="amount 3 3 4" xfId="19913" xr:uid="{00000000-0005-0000-0000-00002F3C0000}"/>
    <cellStyle name="amount 3 4" xfId="8206" xr:uid="{00000000-0005-0000-0000-0000303C0000}"/>
    <cellStyle name="amount 3 4 2" xfId="8207" xr:uid="{00000000-0005-0000-0000-0000313C0000}"/>
    <cellStyle name="amount 3 4 2 2" xfId="15965" xr:uid="{00000000-0005-0000-0000-0000323C0000}"/>
    <cellStyle name="amount 3 4 2 3" xfId="19916" xr:uid="{00000000-0005-0000-0000-0000333C0000}"/>
    <cellStyle name="amount 3 4 3" xfId="15964" xr:uid="{00000000-0005-0000-0000-0000343C0000}"/>
    <cellStyle name="amount 3 4 4" xfId="19915" xr:uid="{00000000-0005-0000-0000-0000353C0000}"/>
    <cellStyle name="amount 3 5" xfId="8208" xr:uid="{00000000-0005-0000-0000-0000363C0000}"/>
    <cellStyle name="amount 3 5 2" xfId="8209" xr:uid="{00000000-0005-0000-0000-0000373C0000}"/>
    <cellStyle name="amount 3 5 2 2" xfId="15967" xr:uid="{00000000-0005-0000-0000-0000383C0000}"/>
    <cellStyle name="amount 3 5 2 3" xfId="19918" xr:uid="{00000000-0005-0000-0000-0000393C0000}"/>
    <cellStyle name="amount 3 5 3" xfId="15966" xr:uid="{00000000-0005-0000-0000-00003A3C0000}"/>
    <cellStyle name="amount 3 5 4" xfId="19917" xr:uid="{00000000-0005-0000-0000-00003B3C0000}"/>
    <cellStyle name="amount 3 6" xfId="15959" xr:uid="{00000000-0005-0000-0000-00003C3C0000}"/>
    <cellStyle name="amount 3 7" xfId="19910" xr:uid="{00000000-0005-0000-0000-00003D3C0000}"/>
    <cellStyle name="amount 4" xfId="8210" xr:uid="{00000000-0005-0000-0000-00003E3C0000}"/>
    <cellStyle name="amount 4 2" xfId="8211" xr:uid="{00000000-0005-0000-0000-00003F3C0000}"/>
    <cellStyle name="amount 4 2 2" xfId="15969" xr:uid="{00000000-0005-0000-0000-0000403C0000}"/>
    <cellStyle name="amount 4 2 3" xfId="19920" xr:uid="{00000000-0005-0000-0000-0000413C0000}"/>
    <cellStyle name="amount 4 3" xfId="15968" xr:uid="{00000000-0005-0000-0000-0000423C0000}"/>
    <cellStyle name="amount 4 4" xfId="19919" xr:uid="{00000000-0005-0000-0000-0000433C0000}"/>
    <cellStyle name="amount 5" xfId="8212" xr:uid="{00000000-0005-0000-0000-0000443C0000}"/>
    <cellStyle name="amount 5 2" xfId="8213" xr:uid="{00000000-0005-0000-0000-0000453C0000}"/>
    <cellStyle name="amount 5 2 2" xfId="15971" xr:uid="{00000000-0005-0000-0000-0000463C0000}"/>
    <cellStyle name="amount 5 2 3" xfId="19922" xr:uid="{00000000-0005-0000-0000-0000473C0000}"/>
    <cellStyle name="amount 5 3" xfId="15970" xr:uid="{00000000-0005-0000-0000-0000483C0000}"/>
    <cellStyle name="amount 5 4" xfId="19921" xr:uid="{00000000-0005-0000-0000-0000493C0000}"/>
    <cellStyle name="amount 6" xfId="8214" xr:uid="{00000000-0005-0000-0000-00004A3C0000}"/>
    <cellStyle name="amount 6 2" xfId="8215" xr:uid="{00000000-0005-0000-0000-00004B3C0000}"/>
    <cellStyle name="amount 6 2 2" xfId="15973" xr:uid="{00000000-0005-0000-0000-00004C3C0000}"/>
    <cellStyle name="amount 6 2 3" xfId="19924" xr:uid="{00000000-0005-0000-0000-00004D3C0000}"/>
    <cellStyle name="amount 6 3" xfId="15972" xr:uid="{00000000-0005-0000-0000-00004E3C0000}"/>
    <cellStyle name="amount 6 4" xfId="19923" xr:uid="{00000000-0005-0000-0000-00004F3C0000}"/>
    <cellStyle name="amount 7" xfId="8216" xr:uid="{00000000-0005-0000-0000-0000503C0000}"/>
    <cellStyle name="amount 7 2" xfId="8217" xr:uid="{00000000-0005-0000-0000-0000513C0000}"/>
    <cellStyle name="amount 7 2 2" xfId="15975" xr:uid="{00000000-0005-0000-0000-0000523C0000}"/>
    <cellStyle name="amount 7 2 3" xfId="19926" xr:uid="{00000000-0005-0000-0000-0000533C0000}"/>
    <cellStyle name="amount 7 3" xfId="15974" xr:uid="{00000000-0005-0000-0000-0000543C0000}"/>
    <cellStyle name="amount 7 4" xfId="19925" xr:uid="{00000000-0005-0000-0000-0000553C0000}"/>
    <cellStyle name="Ana Başlık" xfId="16357" xr:uid="{00000000-0005-0000-0000-0000563C0000}"/>
    <cellStyle name="Andre's Title" xfId="16358" xr:uid="{00000000-0005-0000-0000-0000573C0000}"/>
    <cellStyle name="Ann'l_Incr" xfId="8218" xr:uid="{00000000-0005-0000-0000-0000583C0000}"/>
    <cellStyle name="args.style" xfId="8219" xr:uid="{00000000-0005-0000-0000-0000593C0000}"/>
    <cellStyle name="args.style 10" xfId="8220" xr:uid="{00000000-0005-0000-0000-00005A3C0000}"/>
    <cellStyle name="args.style 10 2" xfId="8221" xr:uid="{00000000-0005-0000-0000-00005B3C0000}"/>
    <cellStyle name="args.style 11" xfId="8222" xr:uid="{00000000-0005-0000-0000-00005C3C0000}"/>
    <cellStyle name="args.style 11 2" xfId="8223" xr:uid="{00000000-0005-0000-0000-00005D3C0000}"/>
    <cellStyle name="args.style 12" xfId="8224" xr:uid="{00000000-0005-0000-0000-00005E3C0000}"/>
    <cellStyle name="args.style 12 2" xfId="8225" xr:uid="{00000000-0005-0000-0000-00005F3C0000}"/>
    <cellStyle name="args.style 13" xfId="8226" xr:uid="{00000000-0005-0000-0000-0000603C0000}"/>
    <cellStyle name="args.style 13 2" xfId="8227" xr:uid="{00000000-0005-0000-0000-0000613C0000}"/>
    <cellStyle name="args.style 14" xfId="8228" xr:uid="{00000000-0005-0000-0000-0000623C0000}"/>
    <cellStyle name="args.style 15" xfId="8229" xr:uid="{00000000-0005-0000-0000-0000633C0000}"/>
    <cellStyle name="args.style 16" xfId="8230" xr:uid="{00000000-0005-0000-0000-0000643C0000}"/>
    <cellStyle name="args.style 17" xfId="8231" xr:uid="{00000000-0005-0000-0000-0000653C0000}"/>
    <cellStyle name="args.style 18" xfId="8232" xr:uid="{00000000-0005-0000-0000-0000663C0000}"/>
    <cellStyle name="args.style 2" xfId="8233" xr:uid="{00000000-0005-0000-0000-0000673C0000}"/>
    <cellStyle name="args.style 2 10" xfId="8234" xr:uid="{00000000-0005-0000-0000-0000683C0000}"/>
    <cellStyle name="args.style 2 2" xfId="8235" xr:uid="{00000000-0005-0000-0000-0000693C0000}"/>
    <cellStyle name="args.style 2 2 2" xfId="8236" xr:uid="{00000000-0005-0000-0000-00006A3C0000}"/>
    <cellStyle name="args.style 2 2 2 2" xfId="8237" xr:uid="{00000000-0005-0000-0000-00006B3C0000}"/>
    <cellStyle name="args.style 2 2 2 2 2" xfId="8238" xr:uid="{00000000-0005-0000-0000-00006C3C0000}"/>
    <cellStyle name="args.style 2 2 2 2 3" xfId="8239" xr:uid="{00000000-0005-0000-0000-00006D3C0000}"/>
    <cellStyle name="args.style 2 2 2 2 4" xfId="8240" xr:uid="{00000000-0005-0000-0000-00006E3C0000}"/>
    <cellStyle name="args.style 2 2 2 2 5" xfId="8241" xr:uid="{00000000-0005-0000-0000-00006F3C0000}"/>
    <cellStyle name="args.style 2 2 2 2 6" xfId="8242" xr:uid="{00000000-0005-0000-0000-0000703C0000}"/>
    <cellStyle name="args.style 2 2 2 2 7" xfId="8243" xr:uid="{00000000-0005-0000-0000-0000713C0000}"/>
    <cellStyle name="args.style 2 2 2 2 8" xfId="8244" xr:uid="{00000000-0005-0000-0000-0000723C0000}"/>
    <cellStyle name="args.style 2 2 2 3" xfId="8245" xr:uid="{00000000-0005-0000-0000-0000733C0000}"/>
    <cellStyle name="args.style 2 2 2 4" xfId="8246" xr:uid="{00000000-0005-0000-0000-0000743C0000}"/>
    <cellStyle name="args.style 2 2 2 5" xfId="8247" xr:uid="{00000000-0005-0000-0000-0000753C0000}"/>
    <cellStyle name="args.style 2 2 2 6" xfId="8248" xr:uid="{00000000-0005-0000-0000-0000763C0000}"/>
    <cellStyle name="args.style 2 2 2 7" xfId="8249" xr:uid="{00000000-0005-0000-0000-0000773C0000}"/>
    <cellStyle name="args.style 2 2 2 8" xfId="8250" xr:uid="{00000000-0005-0000-0000-0000783C0000}"/>
    <cellStyle name="args.style 2 2 3" xfId="8251" xr:uid="{00000000-0005-0000-0000-0000793C0000}"/>
    <cellStyle name="args.style 2 2 4" xfId="8252" xr:uid="{00000000-0005-0000-0000-00007A3C0000}"/>
    <cellStyle name="args.style 2 2 5" xfId="8253" xr:uid="{00000000-0005-0000-0000-00007B3C0000}"/>
    <cellStyle name="args.style 2 2 6" xfId="8254" xr:uid="{00000000-0005-0000-0000-00007C3C0000}"/>
    <cellStyle name="args.style 2 2 7" xfId="8255" xr:uid="{00000000-0005-0000-0000-00007D3C0000}"/>
    <cellStyle name="args.style 2 2 8" xfId="8256" xr:uid="{00000000-0005-0000-0000-00007E3C0000}"/>
    <cellStyle name="args.style 2 3" xfId="8257" xr:uid="{00000000-0005-0000-0000-00007F3C0000}"/>
    <cellStyle name="args.style 2 3 2" xfId="8258" xr:uid="{00000000-0005-0000-0000-0000803C0000}"/>
    <cellStyle name="args.style 2 3 3" xfId="8259" xr:uid="{00000000-0005-0000-0000-0000813C0000}"/>
    <cellStyle name="args.style 2 3 4" xfId="8260" xr:uid="{00000000-0005-0000-0000-0000823C0000}"/>
    <cellStyle name="args.style 2 3 5" xfId="8261" xr:uid="{00000000-0005-0000-0000-0000833C0000}"/>
    <cellStyle name="args.style 2 3 6" xfId="8262" xr:uid="{00000000-0005-0000-0000-0000843C0000}"/>
    <cellStyle name="args.style 2 3 7" xfId="8263" xr:uid="{00000000-0005-0000-0000-0000853C0000}"/>
    <cellStyle name="args.style 2 3 8" xfId="8264" xr:uid="{00000000-0005-0000-0000-0000863C0000}"/>
    <cellStyle name="args.style 2 4" xfId="8265" xr:uid="{00000000-0005-0000-0000-0000873C0000}"/>
    <cellStyle name="args.style 2 5" xfId="8266" xr:uid="{00000000-0005-0000-0000-0000883C0000}"/>
    <cellStyle name="args.style 2 6" xfId="8267" xr:uid="{00000000-0005-0000-0000-0000893C0000}"/>
    <cellStyle name="args.style 2 7" xfId="8268" xr:uid="{00000000-0005-0000-0000-00008A3C0000}"/>
    <cellStyle name="args.style 2 8" xfId="8269" xr:uid="{00000000-0005-0000-0000-00008B3C0000}"/>
    <cellStyle name="args.style 2 9" xfId="8270" xr:uid="{00000000-0005-0000-0000-00008C3C0000}"/>
    <cellStyle name="args.style 3" xfId="8271" xr:uid="{00000000-0005-0000-0000-00008D3C0000}"/>
    <cellStyle name="args.style 3 10" xfId="8272" xr:uid="{00000000-0005-0000-0000-00008E3C0000}"/>
    <cellStyle name="args.style 3 2" xfId="8273" xr:uid="{00000000-0005-0000-0000-00008F3C0000}"/>
    <cellStyle name="args.style 3 2 2" xfId="8274" xr:uid="{00000000-0005-0000-0000-0000903C0000}"/>
    <cellStyle name="args.style 3 2 2 2" xfId="8275" xr:uid="{00000000-0005-0000-0000-0000913C0000}"/>
    <cellStyle name="args.style 3 2 2 2 2" xfId="8276" xr:uid="{00000000-0005-0000-0000-0000923C0000}"/>
    <cellStyle name="args.style 3 2 2 2 3" xfId="8277" xr:uid="{00000000-0005-0000-0000-0000933C0000}"/>
    <cellStyle name="args.style 3 2 2 2 4" xfId="8278" xr:uid="{00000000-0005-0000-0000-0000943C0000}"/>
    <cellStyle name="args.style 3 2 2 2 5" xfId="8279" xr:uid="{00000000-0005-0000-0000-0000953C0000}"/>
    <cellStyle name="args.style 3 2 2 2 6" xfId="8280" xr:uid="{00000000-0005-0000-0000-0000963C0000}"/>
    <cellStyle name="args.style 3 2 2 2 7" xfId="8281" xr:uid="{00000000-0005-0000-0000-0000973C0000}"/>
    <cellStyle name="args.style 3 2 2 2 8" xfId="8282" xr:uid="{00000000-0005-0000-0000-0000983C0000}"/>
    <cellStyle name="args.style 3 2 2 3" xfId="8283" xr:uid="{00000000-0005-0000-0000-0000993C0000}"/>
    <cellStyle name="args.style 3 2 2 4" xfId="8284" xr:uid="{00000000-0005-0000-0000-00009A3C0000}"/>
    <cellStyle name="args.style 3 2 2 5" xfId="8285" xr:uid="{00000000-0005-0000-0000-00009B3C0000}"/>
    <cellStyle name="args.style 3 2 2 6" xfId="8286" xr:uid="{00000000-0005-0000-0000-00009C3C0000}"/>
    <cellStyle name="args.style 3 2 2 7" xfId="8287" xr:uid="{00000000-0005-0000-0000-00009D3C0000}"/>
    <cellStyle name="args.style 3 2 2 8" xfId="8288" xr:uid="{00000000-0005-0000-0000-00009E3C0000}"/>
    <cellStyle name="args.style 3 2 3" xfId="8289" xr:uid="{00000000-0005-0000-0000-00009F3C0000}"/>
    <cellStyle name="args.style 3 2 4" xfId="8290" xr:uid="{00000000-0005-0000-0000-0000A03C0000}"/>
    <cellStyle name="args.style 3 2 5" xfId="8291" xr:uid="{00000000-0005-0000-0000-0000A13C0000}"/>
    <cellStyle name="args.style 3 2 6" xfId="8292" xr:uid="{00000000-0005-0000-0000-0000A23C0000}"/>
    <cellStyle name="args.style 3 2 7" xfId="8293" xr:uid="{00000000-0005-0000-0000-0000A33C0000}"/>
    <cellStyle name="args.style 3 2 8" xfId="8294" xr:uid="{00000000-0005-0000-0000-0000A43C0000}"/>
    <cellStyle name="args.style 3 3" xfId="8295" xr:uid="{00000000-0005-0000-0000-0000A53C0000}"/>
    <cellStyle name="args.style 3 3 2" xfId="8296" xr:uid="{00000000-0005-0000-0000-0000A63C0000}"/>
    <cellStyle name="args.style 3 3 3" xfId="8297" xr:uid="{00000000-0005-0000-0000-0000A73C0000}"/>
    <cellStyle name="args.style 3 3 4" xfId="8298" xr:uid="{00000000-0005-0000-0000-0000A83C0000}"/>
    <cellStyle name="args.style 3 3 5" xfId="8299" xr:uid="{00000000-0005-0000-0000-0000A93C0000}"/>
    <cellStyle name="args.style 3 3 6" xfId="8300" xr:uid="{00000000-0005-0000-0000-0000AA3C0000}"/>
    <cellStyle name="args.style 3 3 7" xfId="8301" xr:uid="{00000000-0005-0000-0000-0000AB3C0000}"/>
    <cellStyle name="args.style 3 3 8" xfId="8302" xr:uid="{00000000-0005-0000-0000-0000AC3C0000}"/>
    <cellStyle name="args.style 3 4" xfId="8303" xr:uid="{00000000-0005-0000-0000-0000AD3C0000}"/>
    <cellStyle name="args.style 3 5" xfId="8304" xr:uid="{00000000-0005-0000-0000-0000AE3C0000}"/>
    <cellStyle name="args.style 3 6" xfId="8305" xr:uid="{00000000-0005-0000-0000-0000AF3C0000}"/>
    <cellStyle name="args.style 3 7" xfId="8306" xr:uid="{00000000-0005-0000-0000-0000B03C0000}"/>
    <cellStyle name="args.style 3 8" xfId="8307" xr:uid="{00000000-0005-0000-0000-0000B13C0000}"/>
    <cellStyle name="args.style 3 9" xfId="8308" xr:uid="{00000000-0005-0000-0000-0000B23C0000}"/>
    <cellStyle name="args.style 4" xfId="8309" xr:uid="{00000000-0005-0000-0000-0000B33C0000}"/>
    <cellStyle name="args.style 4 2" xfId="8310" xr:uid="{00000000-0005-0000-0000-0000B43C0000}"/>
    <cellStyle name="args.style 4 2 2" xfId="8311" xr:uid="{00000000-0005-0000-0000-0000B53C0000}"/>
    <cellStyle name="args.style 4 2 2 2" xfId="8312" xr:uid="{00000000-0005-0000-0000-0000B63C0000}"/>
    <cellStyle name="args.style 4 3" xfId="8313" xr:uid="{00000000-0005-0000-0000-0000B73C0000}"/>
    <cellStyle name="args.style 4 4" xfId="8314" xr:uid="{00000000-0005-0000-0000-0000B83C0000}"/>
    <cellStyle name="args.style 5" xfId="8315" xr:uid="{00000000-0005-0000-0000-0000B93C0000}"/>
    <cellStyle name="args.style 5 2" xfId="8316" xr:uid="{00000000-0005-0000-0000-0000BA3C0000}"/>
    <cellStyle name="args.style 5 2 2" xfId="8317" xr:uid="{00000000-0005-0000-0000-0000BB3C0000}"/>
    <cellStyle name="args.style 5 2 3" xfId="8318" xr:uid="{00000000-0005-0000-0000-0000BC3C0000}"/>
    <cellStyle name="args.style 5 3" xfId="8319" xr:uid="{00000000-0005-0000-0000-0000BD3C0000}"/>
    <cellStyle name="args.style 5 4" xfId="8320" xr:uid="{00000000-0005-0000-0000-0000BE3C0000}"/>
    <cellStyle name="args.style 5 5" xfId="8321" xr:uid="{00000000-0005-0000-0000-0000BF3C0000}"/>
    <cellStyle name="args.style 6" xfId="8322" xr:uid="{00000000-0005-0000-0000-0000C03C0000}"/>
    <cellStyle name="args.style 6 2" xfId="8323" xr:uid="{00000000-0005-0000-0000-0000C13C0000}"/>
    <cellStyle name="args.style 6 3" xfId="8324" xr:uid="{00000000-0005-0000-0000-0000C23C0000}"/>
    <cellStyle name="args.style 6 4" xfId="8325" xr:uid="{00000000-0005-0000-0000-0000C33C0000}"/>
    <cellStyle name="args.style 7" xfId="8326" xr:uid="{00000000-0005-0000-0000-0000C43C0000}"/>
    <cellStyle name="args.style 7 2" xfId="8327" xr:uid="{00000000-0005-0000-0000-0000C53C0000}"/>
    <cellStyle name="args.style 8" xfId="8328" xr:uid="{00000000-0005-0000-0000-0000C63C0000}"/>
    <cellStyle name="args.style 8 2" xfId="8329" xr:uid="{00000000-0005-0000-0000-0000C73C0000}"/>
    <cellStyle name="args.style 9" xfId="8330" xr:uid="{00000000-0005-0000-0000-0000C83C0000}"/>
    <cellStyle name="args.style 9 2" xfId="8331" xr:uid="{00000000-0005-0000-0000-0000C93C0000}"/>
    <cellStyle name="Arial 10" xfId="8332" xr:uid="{00000000-0005-0000-0000-0000CA3C0000}"/>
    <cellStyle name="Arial 10 10" xfId="8333" xr:uid="{00000000-0005-0000-0000-0000CB3C0000}"/>
    <cellStyle name="Arial 10 10 2" xfId="8334" xr:uid="{00000000-0005-0000-0000-0000CC3C0000}"/>
    <cellStyle name="Arial 10 10 3" xfId="8335" xr:uid="{00000000-0005-0000-0000-0000CD3C0000}"/>
    <cellStyle name="Arial 10 11" xfId="8336" xr:uid="{00000000-0005-0000-0000-0000CE3C0000}"/>
    <cellStyle name="Arial 10 11 2" xfId="8337" xr:uid="{00000000-0005-0000-0000-0000CF3C0000}"/>
    <cellStyle name="Arial 10 11 2 2" xfId="8338" xr:uid="{00000000-0005-0000-0000-0000D03C0000}"/>
    <cellStyle name="Arial 10 11 2 3" xfId="8339" xr:uid="{00000000-0005-0000-0000-0000D13C0000}"/>
    <cellStyle name="Arial 10 11 3" xfId="8340" xr:uid="{00000000-0005-0000-0000-0000D23C0000}"/>
    <cellStyle name="Arial 10 12" xfId="8341" xr:uid="{00000000-0005-0000-0000-0000D33C0000}"/>
    <cellStyle name="Arial 10 13" xfId="8342" xr:uid="{00000000-0005-0000-0000-0000D43C0000}"/>
    <cellStyle name="Arial 10 14" xfId="8343" xr:uid="{00000000-0005-0000-0000-0000D53C0000}"/>
    <cellStyle name="Arial 10 15" xfId="8344" xr:uid="{00000000-0005-0000-0000-0000D63C0000}"/>
    <cellStyle name="Arial 10 16" xfId="8345" xr:uid="{00000000-0005-0000-0000-0000D73C0000}"/>
    <cellStyle name="Arial 10 17" xfId="8346" xr:uid="{00000000-0005-0000-0000-0000D83C0000}"/>
    <cellStyle name="Arial 10 2" xfId="8347" xr:uid="{00000000-0005-0000-0000-0000D93C0000}"/>
    <cellStyle name="Arial 10 2 10" xfId="8348" xr:uid="{00000000-0005-0000-0000-0000DA3C0000}"/>
    <cellStyle name="Arial 10 2 11" xfId="8349" xr:uid="{00000000-0005-0000-0000-0000DB3C0000}"/>
    <cellStyle name="Arial 10 2 12" xfId="8350" xr:uid="{00000000-0005-0000-0000-0000DC3C0000}"/>
    <cellStyle name="Arial 10 2 2" xfId="8351" xr:uid="{00000000-0005-0000-0000-0000DD3C0000}"/>
    <cellStyle name="Arial 10 2 2 2" xfId="8352" xr:uid="{00000000-0005-0000-0000-0000DE3C0000}"/>
    <cellStyle name="Arial 10 2 2 2 2" xfId="8353" xr:uid="{00000000-0005-0000-0000-0000DF3C0000}"/>
    <cellStyle name="Arial 10 2 2 2 2 2" xfId="8354" xr:uid="{00000000-0005-0000-0000-0000E03C0000}"/>
    <cellStyle name="Arial 10 2 2 2 2 2 2" xfId="8355" xr:uid="{00000000-0005-0000-0000-0000E13C0000}"/>
    <cellStyle name="Arial 10 2 2 2 2 2 3" xfId="8356" xr:uid="{00000000-0005-0000-0000-0000E23C0000}"/>
    <cellStyle name="Arial 10 2 2 2 2 2 4" xfId="8357" xr:uid="{00000000-0005-0000-0000-0000E33C0000}"/>
    <cellStyle name="Arial 10 2 2 2 2 2 5" xfId="8358" xr:uid="{00000000-0005-0000-0000-0000E43C0000}"/>
    <cellStyle name="Arial 10 2 2 2 2 2 6" xfId="8359" xr:uid="{00000000-0005-0000-0000-0000E53C0000}"/>
    <cellStyle name="Arial 10 2 2 2 2 2 7" xfId="8360" xr:uid="{00000000-0005-0000-0000-0000E63C0000}"/>
    <cellStyle name="Arial 10 2 2 2 2 2 8" xfId="8361" xr:uid="{00000000-0005-0000-0000-0000E73C0000}"/>
    <cellStyle name="Arial 10 2 2 2 2 3" xfId="8362" xr:uid="{00000000-0005-0000-0000-0000E83C0000}"/>
    <cellStyle name="Arial 10 2 2 2 2 4" xfId="8363" xr:uid="{00000000-0005-0000-0000-0000E93C0000}"/>
    <cellStyle name="Arial 10 2 2 2 2 5" xfId="8364" xr:uid="{00000000-0005-0000-0000-0000EA3C0000}"/>
    <cellStyle name="Arial 10 2 2 2 2 6" xfId="8365" xr:uid="{00000000-0005-0000-0000-0000EB3C0000}"/>
    <cellStyle name="Arial 10 2 2 2 2 7" xfId="8366" xr:uid="{00000000-0005-0000-0000-0000EC3C0000}"/>
    <cellStyle name="Arial 10 2 2 2 2 8" xfId="8367" xr:uid="{00000000-0005-0000-0000-0000ED3C0000}"/>
    <cellStyle name="Arial 10 2 2 2 2 9" xfId="8368" xr:uid="{00000000-0005-0000-0000-0000EE3C0000}"/>
    <cellStyle name="Arial 10 2 2 2 3" xfId="8369" xr:uid="{00000000-0005-0000-0000-0000EF3C0000}"/>
    <cellStyle name="Arial 10 2 2 2 4" xfId="8370" xr:uid="{00000000-0005-0000-0000-0000F03C0000}"/>
    <cellStyle name="Arial 10 2 2 2 5" xfId="8371" xr:uid="{00000000-0005-0000-0000-0000F13C0000}"/>
    <cellStyle name="Arial 10 2 2 2 6" xfId="8372" xr:uid="{00000000-0005-0000-0000-0000F23C0000}"/>
    <cellStyle name="Arial 10 2 2 2 7" xfId="8373" xr:uid="{00000000-0005-0000-0000-0000F33C0000}"/>
    <cellStyle name="Arial 10 2 2 2 8" xfId="8374" xr:uid="{00000000-0005-0000-0000-0000F43C0000}"/>
    <cellStyle name="Arial 10 2 2 2 9" xfId="8375" xr:uid="{00000000-0005-0000-0000-0000F53C0000}"/>
    <cellStyle name="Arial 10 2 2 3" xfId="8376" xr:uid="{00000000-0005-0000-0000-0000F63C0000}"/>
    <cellStyle name="Arial 10 2 2 4" xfId="8377" xr:uid="{00000000-0005-0000-0000-0000F73C0000}"/>
    <cellStyle name="Arial 10 2 2 5" xfId="8378" xr:uid="{00000000-0005-0000-0000-0000F83C0000}"/>
    <cellStyle name="Arial 10 2 2 6" xfId="8379" xr:uid="{00000000-0005-0000-0000-0000F93C0000}"/>
    <cellStyle name="Arial 10 2 2 7" xfId="8380" xr:uid="{00000000-0005-0000-0000-0000FA3C0000}"/>
    <cellStyle name="Arial 10 2 2 8" xfId="8381" xr:uid="{00000000-0005-0000-0000-0000FB3C0000}"/>
    <cellStyle name="Arial 10 2 2 9" xfId="8382" xr:uid="{00000000-0005-0000-0000-0000FC3C0000}"/>
    <cellStyle name="Arial 10 2 3" xfId="8383" xr:uid="{00000000-0005-0000-0000-0000FD3C0000}"/>
    <cellStyle name="Arial 10 2 4" xfId="8384" xr:uid="{00000000-0005-0000-0000-0000FE3C0000}"/>
    <cellStyle name="Arial 10 2 5" xfId="8385" xr:uid="{00000000-0005-0000-0000-0000FF3C0000}"/>
    <cellStyle name="Arial 10 2 6" xfId="8386" xr:uid="{00000000-0005-0000-0000-0000003D0000}"/>
    <cellStyle name="Arial 10 2 7" xfId="8387" xr:uid="{00000000-0005-0000-0000-0000013D0000}"/>
    <cellStyle name="Arial 10 2 8" xfId="8388" xr:uid="{00000000-0005-0000-0000-0000023D0000}"/>
    <cellStyle name="Arial 10 2 9" xfId="8389" xr:uid="{00000000-0005-0000-0000-0000033D0000}"/>
    <cellStyle name="Arial 10 3" xfId="8390" xr:uid="{00000000-0005-0000-0000-0000043D0000}"/>
    <cellStyle name="Arial 10 3 2" xfId="8391" xr:uid="{00000000-0005-0000-0000-0000053D0000}"/>
    <cellStyle name="Arial 10 3 3" xfId="8392" xr:uid="{00000000-0005-0000-0000-0000063D0000}"/>
    <cellStyle name="Arial 10 3 4" xfId="8393" xr:uid="{00000000-0005-0000-0000-0000073D0000}"/>
    <cellStyle name="Arial 10 3 5" xfId="8394" xr:uid="{00000000-0005-0000-0000-0000083D0000}"/>
    <cellStyle name="Arial 10 3 6" xfId="8395" xr:uid="{00000000-0005-0000-0000-0000093D0000}"/>
    <cellStyle name="Arial 10 3 7" xfId="8396" xr:uid="{00000000-0005-0000-0000-00000A3D0000}"/>
    <cellStyle name="Arial 10 3 8" xfId="8397" xr:uid="{00000000-0005-0000-0000-00000B3D0000}"/>
    <cellStyle name="Arial 10 3 9" xfId="8398" xr:uid="{00000000-0005-0000-0000-00000C3D0000}"/>
    <cellStyle name="Arial 10 4" xfId="8399" xr:uid="{00000000-0005-0000-0000-00000D3D0000}"/>
    <cellStyle name="Arial 10 4 2" xfId="8400" xr:uid="{00000000-0005-0000-0000-00000E3D0000}"/>
    <cellStyle name="Arial 10 4 3" xfId="8401" xr:uid="{00000000-0005-0000-0000-00000F3D0000}"/>
    <cellStyle name="Arial 10 4 4" xfId="8402" xr:uid="{00000000-0005-0000-0000-0000103D0000}"/>
    <cellStyle name="Arial 10 4 5" xfId="8403" xr:uid="{00000000-0005-0000-0000-0000113D0000}"/>
    <cellStyle name="Arial 10 4 6" xfId="8404" xr:uid="{00000000-0005-0000-0000-0000123D0000}"/>
    <cellStyle name="Arial 10 4 7" xfId="8405" xr:uid="{00000000-0005-0000-0000-0000133D0000}"/>
    <cellStyle name="Arial 10 4 8" xfId="8406" xr:uid="{00000000-0005-0000-0000-0000143D0000}"/>
    <cellStyle name="Arial 10 4 9" xfId="8407" xr:uid="{00000000-0005-0000-0000-0000153D0000}"/>
    <cellStyle name="Arial 10 5" xfId="8408" xr:uid="{00000000-0005-0000-0000-0000163D0000}"/>
    <cellStyle name="Arial 10 5 2" xfId="8409" xr:uid="{00000000-0005-0000-0000-0000173D0000}"/>
    <cellStyle name="Arial 10 5 3" xfId="8410" xr:uid="{00000000-0005-0000-0000-0000183D0000}"/>
    <cellStyle name="Arial 10 5 4" xfId="8411" xr:uid="{00000000-0005-0000-0000-0000193D0000}"/>
    <cellStyle name="Arial 10 5 5" xfId="8412" xr:uid="{00000000-0005-0000-0000-00001A3D0000}"/>
    <cellStyle name="Arial 10 5 6" xfId="8413" xr:uid="{00000000-0005-0000-0000-00001B3D0000}"/>
    <cellStyle name="Arial 10 5 7" xfId="8414" xr:uid="{00000000-0005-0000-0000-00001C3D0000}"/>
    <cellStyle name="Arial 10 5 8" xfId="8415" xr:uid="{00000000-0005-0000-0000-00001D3D0000}"/>
    <cellStyle name="Arial 10 5 9" xfId="8416" xr:uid="{00000000-0005-0000-0000-00001E3D0000}"/>
    <cellStyle name="Arial 10 6" xfId="8417" xr:uid="{00000000-0005-0000-0000-00001F3D0000}"/>
    <cellStyle name="Arial 10 6 2" xfId="8418" xr:uid="{00000000-0005-0000-0000-0000203D0000}"/>
    <cellStyle name="Arial 10 6 3" xfId="8419" xr:uid="{00000000-0005-0000-0000-0000213D0000}"/>
    <cellStyle name="Arial 10 6 4" xfId="8420" xr:uid="{00000000-0005-0000-0000-0000223D0000}"/>
    <cellStyle name="Arial 10 6 5" xfId="8421" xr:uid="{00000000-0005-0000-0000-0000233D0000}"/>
    <cellStyle name="Arial 10 6 6" xfId="8422" xr:uid="{00000000-0005-0000-0000-0000243D0000}"/>
    <cellStyle name="Arial 10 6 7" xfId="8423" xr:uid="{00000000-0005-0000-0000-0000253D0000}"/>
    <cellStyle name="Arial 10 6 8" xfId="8424" xr:uid="{00000000-0005-0000-0000-0000263D0000}"/>
    <cellStyle name="Arial 10 6 9" xfId="8425" xr:uid="{00000000-0005-0000-0000-0000273D0000}"/>
    <cellStyle name="Arial 10 7" xfId="8426" xr:uid="{00000000-0005-0000-0000-0000283D0000}"/>
    <cellStyle name="Arial 10 7 2" xfId="8427" xr:uid="{00000000-0005-0000-0000-0000293D0000}"/>
    <cellStyle name="Arial 10 7 3" xfId="8428" xr:uid="{00000000-0005-0000-0000-00002A3D0000}"/>
    <cellStyle name="Arial 10 7 4" xfId="8429" xr:uid="{00000000-0005-0000-0000-00002B3D0000}"/>
    <cellStyle name="Arial 10 7 5" xfId="8430" xr:uid="{00000000-0005-0000-0000-00002C3D0000}"/>
    <cellStyle name="Arial 10 7 6" xfId="8431" xr:uid="{00000000-0005-0000-0000-00002D3D0000}"/>
    <cellStyle name="Arial 10 7 7" xfId="8432" xr:uid="{00000000-0005-0000-0000-00002E3D0000}"/>
    <cellStyle name="Arial 10 7 8" xfId="8433" xr:uid="{00000000-0005-0000-0000-00002F3D0000}"/>
    <cellStyle name="Arial 10 7 9" xfId="8434" xr:uid="{00000000-0005-0000-0000-0000303D0000}"/>
    <cellStyle name="Arial 10 8" xfId="8435" xr:uid="{00000000-0005-0000-0000-0000313D0000}"/>
    <cellStyle name="Arial 10 8 2" xfId="8436" xr:uid="{00000000-0005-0000-0000-0000323D0000}"/>
    <cellStyle name="Arial 10 8 3" xfId="8437" xr:uid="{00000000-0005-0000-0000-0000333D0000}"/>
    <cellStyle name="Arial 10 8 4" xfId="8438" xr:uid="{00000000-0005-0000-0000-0000343D0000}"/>
    <cellStyle name="Arial 10 8 5" xfId="8439" xr:uid="{00000000-0005-0000-0000-0000353D0000}"/>
    <cellStyle name="Arial 10 8 6" xfId="8440" xr:uid="{00000000-0005-0000-0000-0000363D0000}"/>
    <cellStyle name="Arial 10 8 7" xfId="8441" xr:uid="{00000000-0005-0000-0000-0000373D0000}"/>
    <cellStyle name="Arial 10 8 8" xfId="8442" xr:uid="{00000000-0005-0000-0000-0000383D0000}"/>
    <cellStyle name="Arial 10 8 9" xfId="8443" xr:uid="{00000000-0005-0000-0000-0000393D0000}"/>
    <cellStyle name="Arial 10 9" xfId="8444" xr:uid="{00000000-0005-0000-0000-00003A3D0000}"/>
    <cellStyle name="Arial 10 9 2" xfId="8445" xr:uid="{00000000-0005-0000-0000-00003B3D0000}"/>
    <cellStyle name="Arial 10 9 3" xfId="8446" xr:uid="{00000000-0005-0000-0000-00003C3D0000}"/>
    <cellStyle name="Arial 10 9 4" xfId="8447" xr:uid="{00000000-0005-0000-0000-00003D3D0000}"/>
    <cellStyle name="Arial 10 9 5" xfId="8448" xr:uid="{00000000-0005-0000-0000-00003E3D0000}"/>
    <cellStyle name="Arial 10 9 6" xfId="8449" xr:uid="{00000000-0005-0000-0000-00003F3D0000}"/>
    <cellStyle name="Arial 10 9 7" xfId="8450" xr:uid="{00000000-0005-0000-0000-0000403D0000}"/>
    <cellStyle name="Arial 10 9 8" xfId="8451" xr:uid="{00000000-0005-0000-0000-0000413D0000}"/>
    <cellStyle name="Arial 10 9 9" xfId="8452" xr:uid="{00000000-0005-0000-0000-0000423D0000}"/>
    <cellStyle name="Arial 12" xfId="8453" xr:uid="{00000000-0005-0000-0000-0000433D0000}"/>
    <cellStyle name="Arial 12 2" xfId="8454" xr:uid="{00000000-0005-0000-0000-0000443D0000}"/>
    <cellStyle name="Arial 12 2 2" xfId="8455" xr:uid="{00000000-0005-0000-0000-0000453D0000}"/>
    <cellStyle name="Arial 12 2 2 2" xfId="8456" xr:uid="{00000000-0005-0000-0000-0000463D0000}"/>
    <cellStyle name="Arial 12 3" xfId="8457" xr:uid="{00000000-0005-0000-0000-0000473D0000}"/>
    <cellStyle name="Arial 12 4" xfId="8458" xr:uid="{00000000-0005-0000-0000-0000483D0000}"/>
    <cellStyle name="Arial 12 5" xfId="8459" xr:uid="{00000000-0005-0000-0000-0000493D0000}"/>
    <cellStyle name="ARIAL 14" xfId="8460" xr:uid="{00000000-0005-0000-0000-00004A3D0000}"/>
    <cellStyle name="ARIAL 14 2" xfId="8461" xr:uid="{00000000-0005-0000-0000-00004B3D0000}"/>
    <cellStyle name="Arial6Bold" xfId="8462" xr:uid="{00000000-0005-0000-0000-00004C3D0000}"/>
    <cellStyle name="Arial6Bold 2" xfId="8463" xr:uid="{00000000-0005-0000-0000-00004D3D0000}"/>
    <cellStyle name="Arial6Bold 2 2" xfId="8464" xr:uid="{00000000-0005-0000-0000-00004E3D0000}"/>
    <cellStyle name="Arial6Bold 2 2 2" xfId="8465" xr:uid="{00000000-0005-0000-0000-00004F3D0000}"/>
    <cellStyle name="Arial6Bold 2 2 2 2" xfId="19930" xr:uid="{00000000-0005-0000-0000-0000503D0000}"/>
    <cellStyle name="Arial6Bold 2 2 3" xfId="19929" xr:uid="{00000000-0005-0000-0000-0000513D0000}"/>
    <cellStyle name="Arial6Bold 2 3" xfId="8466" xr:uid="{00000000-0005-0000-0000-0000523D0000}"/>
    <cellStyle name="Arial6Bold 2 3 2" xfId="8467" xr:uid="{00000000-0005-0000-0000-0000533D0000}"/>
    <cellStyle name="Arial6Bold 2 3 2 2" xfId="19932" xr:uid="{00000000-0005-0000-0000-0000543D0000}"/>
    <cellStyle name="Arial6Bold 2 3 3" xfId="19931" xr:uid="{00000000-0005-0000-0000-0000553D0000}"/>
    <cellStyle name="Arial6Bold 2 4" xfId="8468" xr:uid="{00000000-0005-0000-0000-0000563D0000}"/>
    <cellStyle name="Arial6Bold 2 4 2" xfId="19933" xr:uid="{00000000-0005-0000-0000-0000573D0000}"/>
    <cellStyle name="Arial6Bold 2 5" xfId="19928" xr:uid="{00000000-0005-0000-0000-0000583D0000}"/>
    <cellStyle name="Arial6Bold 3" xfId="8469" xr:uid="{00000000-0005-0000-0000-0000593D0000}"/>
    <cellStyle name="Arial6Bold 3 2" xfId="8470" xr:uid="{00000000-0005-0000-0000-00005A3D0000}"/>
    <cellStyle name="Arial6Bold 3 2 2" xfId="19935" xr:uid="{00000000-0005-0000-0000-00005B3D0000}"/>
    <cellStyle name="Arial6Bold 3 3" xfId="19934" xr:uid="{00000000-0005-0000-0000-00005C3D0000}"/>
    <cellStyle name="Arial6Bold 4" xfId="8471" xr:uid="{00000000-0005-0000-0000-00005D3D0000}"/>
    <cellStyle name="Arial6Bold 4 2" xfId="8472" xr:uid="{00000000-0005-0000-0000-00005E3D0000}"/>
    <cellStyle name="Arial6Bold 4 2 2" xfId="19937" xr:uid="{00000000-0005-0000-0000-00005F3D0000}"/>
    <cellStyle name="Arial6Bold 4 3" xfId="19936" xr:uid="{00000000-0005-0000-0000-0000603D0000}"/>
    <cellStyle name="Arial6Bold 5" xfId="8473" xr:uid="{00000000-0005-0000-0000-0000613D0000}"/>
    <cellStyle name="Arial6Bold 5 2" xfId="19938" xr:uid="{00000000-0005-0000-0000-0000623D0000}"/>
    <cellStyle name="Arial6Bold 6" xfId="19927" xr:uid="{00000000-0005-0000-0000-0000633D0000}"/>
    <cellStyle name="Arial8Bold" xfId="8474" xr:uid="{00000000-0005-0000-0000-0000643D0000}"/>
    <cellStyle name="Arial8Bold 2" xfId="8475" xr:uid="{00000000-0005-0000-0000-0000653D0000}"/>
    <cellStyle name="Arial8Bold 2 2" xfId="8476" xr:uid="{00000000-0005-0000-0000-0000663D0000}"/>
    <cellStyle name="Arial8Bold 2 2 2" xfId="8477" xr:uid="{00000000-0005-0000-0000-0000673D0000}"/>
    <cellStyle name="Arial8Bold 2 2 2 2" xfId="19942" xr:uid="{00000000-0005-0000-0000-0000683D0000}"/>
    <cellStyle name="Arial8Bold 2 2 3" xfId="19941" xr:uid="{00000000-0005-0000-0000-0000693D0000}"/>
    <cellStyle name="Arial8Bold 2 3" xfId="8478" xr:uid="{00000000-0005-0000-0000-00006A3D0000}"/>
    <cellStyle name="Arial8Bold 2 3 2" xfId="8479" xr:uid="{00000000-0005-0000-0000-00006B3D0000}"/>
    <cellStyle name="Arial8Bold 2 3 2 2" xfId="19944" xr:uid="{00000000-0005-0000-0000-00006C3D0000}"/>
    <cellStyle name="Arial8Bold 2 3 3" xfId="19943" xr:uid="{00000000-0005-0000-0000-00006D3D0000}"/>
    <cellStyle name="Arial8Bold 2 4" xfId="8480" xr:uid="{00000000-0005-0000-0000-00006E3D0000}"/>
    <cellStyle name="Arial8Bold 2 4 2" xfId="19945" xr:uid="{00000000-0005-0000-0000-00006F3D0000}"/>
    <cellStyle name="Arial8Bold 2 5" xfId="19940" xr:uid="{00000000-0005-0000-0000-0000703D0000}"/>
    <cellStyle name="Arial8Bold 3" xfId="8481" xr:uid="{00000000-0005-0000-0000-0000713D0000}"/>
    <cellStyle name="Arial8Bold 3 2" xfId="8482" xr:uid="{00000000-0005-0000-0000-0000723D0000}"/>
    <cellStyle name="Arial8Bold 3 2 2" xfId="19947" xr:uid="{00000000-0005-0000-0000-0000733D0000}"/>
    <cellStyle name="Arial8Bold 3 3" xfId="19946" xr:uid="{00000000-0005-0000-0000-0000743D0000}"/>
    <cellStyle name="Arial8Bold 4" xfId="8483" xr:uid="{00000000-0005-0000-0000-0000753D0000}"/>
    <cellStyle name="Arial8Bold 4 2" xfId="8484" xr:uid="{00000000-0005-0000-0000-0000763D0000}"/>
    <cellStyle name="Arial8Bold 4 2 2" xfId="19949" xr:uid="{00000000-0005-0000-0000-0000773D0000}"/>
    <cellStyle name="Arial8Bold 4 3" xfId="19948" xr:uid="{00000000-0005-0000-0000-0000783D0000}"/>
    <cellStyle name="Arial8Bold 5" xfId="8485" xr:uid="{00000000-0005-0000-0000-0000793D0000}"/>
    <cellStyle name="Arial8Bold 5 2" xfId="19950" xr:uid="{00000000-0005-0000-0000-00007A3D0000}"/>
    <cellStyle name="Arial8Bold 6" xfId="19939" xr:uid="{00000000-0005-0000-0000-00007B3D0000}"/>
    <cellStyle name="Arial8Italic" xfId="8486" xr:uid="{00000000-0005-0000-0000-00007C3D0000}"/>
    <cellStyle name="Arial8Italic 2" xfId="8487" xr:uid="{00000000-0005-0000-0000-00007D3D0000}"/>
    <cellStyle name="Arial8Italic 2 2" xfId="8488" xr:uid="{00000000-0005-0000-0000-00007E3D0000}"/>
    <cellStyle name="Arial8Italic 2 2 2" xfId="8489" xr:uid="{00000000-0005-0000-0000-00007F3D0000}"/>
    <cellStyle name="Arial8Italic 2 2 2 2" xfId="19954" xr:uid="{00000000-0005-0000-0000-0000803D0000}"/>
    <cellStyle name="Arial8Italic 2 2 3" xfId="19953" xr:uid="{00000000-0005-0000-0000-0000813D0000}"/>
    <cellStyle name="Arial8Italic 2 3" xfId="8490" xr:uid="{00000000-0005-0000-0000-0000823D0000}"/>
    <cellStyle name="Arial8Italic 2 3 2" xfId="8491" xr:uid="{00000000-0005-0000-0000-0000833D0000}"/>
    <cellStyle name="Arial8Italic 2 3 2 2" xfId="19956" xr:uid="{00000000-0005-0000-0000-0000843D0000}"/>
    <cellStyle name="Arial8Italic 2 3 3" xfId="19955" xr:uid="{00000000-0005-0000-0000-0000853D0000}"/>
    <cellStyle name="Arial8Italic 2 4" xfId="8492" xr:uid="{00000000-0005-0000-0000-0000863D0000}"/>
    <cellStyle name="Arial8Italic 2 4 2" xfId="19957" xr:uid="{00000000-0005-0000-0000-0000873D0000}"/>
    <cellStyle name="Arial8Italic 2 5" xfId="19952" xr:uid="{00000000-0005-0000-0000-0000883D0000}"/>
    <cellStyle name="Arial8Italic 3" xfId="8493" xr:uid="{00000000-0005-0000-0000-0000893D0000}"/>
    <cellStyle name="Arial8Italic 3 2" xfId="8494" xr:uid="{00000000-0005-0000-0000-00008A3D0000}"/>
    <cellStyle name="Arial8Italic 3 2 2" xfId="19959" xr:uid="{00000000-0005-0000-0000-00008B3D0000}"/>
    <cellStyle name="Arial8Italic 3 3" xfId="19958" xr:uid="{00000000-0005-0000-0000-00008C3D0000}"/>
    <cellStyle name="Arial8Italic 4" xfId="8495" xr:uid="{00000000-0005-0000-0000-00008D3D0000}"/>
    <cellStyle name="Arial8Italic 4 2" xfId="8496" xr:uid="{00000000-0005-0000-0000-00008E3D0000}"/>
    <cellStyle name="Arial8Italic 4 2 2" xfId="19961" xr:uid="{00000000-0005-0000-0000-00008F3D0000}"/>
    <cellStyle name="Arial8Italic 4 3" xfId="19960" xr:uid="{00000000-0005-0000-0000-0000903D0000}"/>
    <cellStyle name="Arial8Italic 5" xfId="8497" xr:uid="{00000000-0005-0000-0000-0000913D0000}"/>
    <cellStyle name="Arial8Italic 5 2" xfId="19962" xr:uid="{00000000-0005-0000-0000-0000923D0000}"/>
    <cellStyle name="Arial8Italic 6" xfId="19951" xr:uid="{00000000-0005-0000-0000-0000933D0000}"/>
    <cellStyle name="ArialNormal" xfId="8498" xr:uid="{00000000-0005-0000-0000-0000943D0000}"/>
    <cellStyle name="ArialNormal 2" xfId="8499" xr:uid="{00000000-0005-0000-0000-0000953D0000}"/>
    <cellStyle name="ArialNormal 2 2" xfId="8500" xr:uid="{00000000-0005-0000-0000-0000963D0000}"/>
    <cellStyle name="ArialNormal 2 2 2" xfId="8501" xr:uid="{00000000-0005-0000-0000-0000973D0000}"/>
    <cellStyle name="ArialNormal 2 2 2 2" xfId="19964" xr:uid="{00000000-0005-0000-0000-0000983D0000}"/>
    <cellStyle name="ArialNormal 2 2 3" xfId="19963" xr:uid="{00000000-0005-0000-0000-0000993D0000}"/>
    <cellStyle name="ArialNormal 2 3" xfId="8502" xr:uid="{00000000-0005-0000-0000-00009A3D0000}"/>
    <cellStyle name="ArialNormal 2 3 2" xfId="8503" xr:uid="{00000000-0005-0000-0000-00009B3D0000}"/>
    <cellStyle name="ArialNormal 2 3 2 2" xfId="19966" xr:uid="{00000000-0005-0000-0000-00009C3D0000}"/>
    <cellStyle name="ArialNormal 2 3 3" xfId="19965" xr:uid="{00000000-0005-0000-0000-00009D3D0000}"/>
    <cellStyle name="ArialNormal 3" xfId="8504" xr:uid="{00000000-0005-0000-0000-00009E3D0000}"/>
    <cellStyle name="ArialNormal 3 2" xfId="8505" xr:uid="{00000000-0005-0000-0000-00009F3D0000}"/>
    <cellStyle name="ArialNormal 3 2 2" xfId="19968" xr:uid="{00000000-0005-0000-0000-0000A03D0000}"/>
    <cellStyle name="ArialNormal 3 3" xfId="19967" xr:uid="{00000000-0005-0000-0000-0000A13D0000}"/>
    <cellStyle name="ArialNormal 4" xfId="8506" xr:uid="{00000000-0005-0000-0000-0000A23D0000}"/>
    <cellStyle name="ArialNormal 4 2" xfId="8507" xr:uid="{00000000-0005-0000-0000-0000A33D0000}"/>
    <cellStyle name="ArialNormal 4 2 2" xfId="19970" xr:uid="{00000000-0005-0000-0000-0000A43D0000}"/>
    <cellStyle name="ArialNormal 4 3" xfId="19969" xr:uid="{00000000-0005-0000-0000-0000A53D0000}"/>
    <cellStyle name="Ariel 7 pt. plain" xfId="16359" xr:uid="{00000000-0005-0000-0000-0000A63D0000}"/>
    <cellStyle name="Array" xfId="8508" xr:uid="{00000000-0005-0000-0000-0000A73D0000}"/>
    <cellStyle name="Array Enter" xfId="8509" xr:uid="{00000000-0005-0000-0000-0000A83D0000}"/>
    <cellStyle name="Assumption" xfId="16360" xr:uid="{00000000-0005-0000-0000-0000A93D0000}"/>
    <cellStyle name="ÄÞ¸¶ [0]_±âÅ¸" xfId="16361" xr:uid="{00000000-0005-0000-0000-0000AA3D0000}"/>
    <cellStyle name="ÄÞ¸¶_±âÅ¸" xfId="16362" xr:uid="{00000000-0005-0000-0000-0000AB3D0000}"/>
    <cellStyle name="AuditErrRangeFormula" xfId="16363" xr:uid="{00000000-0005-0000-0000-0000AC3D0000}"/>
    <cellStyle name="AuditErrRangeText" xfId="16364" xr:uid="{00000000-0005-0000-0000-0000AD3D0000}"/>
    <cellStyle name="AutoFormat" xfId="16365" xr:uid="{00000000-0005-0000-0000-0000AE3D0000}"/>
    <cellStyle name="avihai" xfId="8510" xr:uid="{00000000-0005-0000-0000-0000AF3D0000}"/>
    <cellStyle name="avihai 2" xfId="8511" xr:uid="{00000000-0005-0000-0000-0000B03D0000}"/>
    <cellStyle name="b" xfId="8512" xr:uid="{00000000-0005-0000-0000-0000B13D0000}"/>
    <cellStyle name="b - Line" xfId="8513" xr:uid="{00000000-0005-0000-0000-0000B23D0000}"/>
    <cellStyle name="b - Line - Dotted" xfId="8514" xr:uid="{00000000-0005-0000-0000-0000B33D0000}"/>
    <cellStyle name="b 2" xfId="8515" xr:uid="{00000000-0005-0000-0000-0000B43D0000}"/>
    <cellStyle name="b_Master Utilities Comps 060210 with IBES links" xfId="8516" xr:uid="{00000000-0005-0000-0000-0000B53D0000}"/>
    <cellStyle name="Bad 10" xfId="8517" xr:uid="{00000000-0005-0000-0000-0000B63D0000}"/>
    <cellStyle name="Bad 11" xfId="8518" xr:uid="{00000000-0005-0000-0000-0000B73D0000}"/>
    <cellStyle name="Bad 12" xfId="8519" xr:uid="{00000000-0005-0000-0000-0000B83D0000}"/>
    <cellStyle name="Bad 13" xfId="8520" xr:uid="{00000000-0005-0000-0000-0000B93D0000}"/>
    <cellStyle name="Bad 14" xfId="8521" xr:uid="{00000000-0005-0000-0000-0000BA3D0000}"/>
    <cellStyle name="Bad 15" xfId="8522" xr:uid="{00000000-0005-0000-0000-0000BB3D0000}"/>
    <cellStyle name="Bad 16" xfId="8523" xr:uid="{00000000-0005-0000-0000-0000BC3D0000}"/>
    <cellStyle name="Bad 17" xfId="8524" xr:uid="{00000000-0005-0000-0000-0000BD3D0000}"/>
    <cellStyle name="Bad 18" xfId="8525" xr:uid="{00000000-0005-0000-0000-0000BE3D0000}"/>
    <cellStyle name="Bad 19" xfId="8526" xr:uid="{00000000-0005-0000-0000-0000BF3D0000}"/>
    <cellStyle name="Bad 2" xfId="8527" xr:uid="{00000000-0005-0000-0000-0000C03D0000}"/>
    <cellStyle name="Bad 2 2" xfId="8528" xr:uid="{00000000-0005-0000-0000-0000C13D0000}"/>
    <cellStyle name="Bad 2 2 2" xfId="8529" xr:uid="{00000000-0005-0000-0000-0000C23D0000}"/>
    <cellStyle name="Bad 2 3" xfId="8530" xr:uid="{00000000-0005-0000-0000-0000C33D0000}"/>
    <cellStyle name="Bad 2 3 2" xfId="8531" xr:uid="{00000000-0005-0000-0000-0000C43D0000}"/>
    <cellStyle name="Bad 2 4" xfId="8532" xr:uid="{00000000-0005-0000-0000-0000C53D0000}"/>
    <cellStyle name="Bad 2 4 2" xfId="8533" xr:uid="{00000000-0005-0000-0000-0000C63D0000}"/>
    <cellStyle name="Bad 2 4 3" xfId="8534" xr:uid="{00000000-0005-0000-0000-0000C73D0000}"/>
    <cellStyle name="Bad 2 5" xfId="8535" xr:uid="{00000000-0005-0000-0000-0000C83D0000}"/>
    <cellStyle name="Bad 2 6" xfId="8536" xr:uid="{00000000-0005-0000-0000-0000C93D0000}"/>
    <cellStyle name="Bad 2 7" xfId="8537" xr:uid="{00000000-0005-0000-0000-0000CA3D0000}"/>
    <cellStyle name="Bad 2 8" xfId="8538" xr:uid="{00000000-0005-0000-0000-0000CB3D0000}"/>
    <cellStyle name="Bad 3" xfId="8539" xr:uid="{00000000-0005-0000-0000-0000CC3D0000}"/>
    <cellStyle name="Bad 3 2" xfId="8540" xr:uid="{00000000-0005-0000-0000-0000CD3D0000}"/>
    <cellStyle name="Bad 3 2 2" xfId="8541" xr:uid="{00000000-0005-0000-0000-0000CE3D0000}"/>
    <cellStyle name="Bad 3 2 3" xfId="8542" xr:uid="{00000000-0005-0000-0000-0000CF3D0000}"/>
    <cellStyle name="Bad 3 3" xfId="8543" xr:uid="{00000000-0005-0000-0000-0000D03D0000}"/>
    <cellStyle name="Bad 3 4" xfId="8544" xr:uid="{00000000-0005-0000-0000-0000D13D0000}"/>
    <cellStyle name="Bad 3 5" xfId="8545" xr:uid="{00000000-0005-0000-0000-0000D23D0000}"/>
    <cellStyle name="Bad 4" xfId="8546" xr:uid="{00000000-0005-0000-0000-0000D33D0000}"/>
    <cellStyle name="Bad 4 2" xfId="8547" xr:uid="{00000000-0005-0000-0000-0000D43D0000}"/>
    <cellStyle name="Bad 4 2 2" xfId="8548" xr:uid="{00000000-0005-0000-0000-0000D53D0000}"/>
    <cellStyle name="Bad 4 2 3" xfId="8549" xr:uid="{00000000-0005-0000-0000-0000D63D0000}"/>
    <cellStyle name="Bad 4 3" xfId="8550" xr:uid="{00000000-0005-0000-0000-0000D73D0000}"/>
    <cellStyle name="Bad 4 4" xfId="8551" xr:uid="{00000000-0005-0000-0000-0000D83D0000}"/>
    <cellStyle name="Bad 4 5" xfId="8552" xr:uid="{00000000-0005-0000-0000-0000D93D0000}"/>
    <cellStyle name="Bad 5" xfId="8553" xr:uid="{00000000-0005-0000-0000-0000DA3D0000}"/>
    <cellStyle name="Bad 5 2" xfId="8554" xr:uid="{00000000-0005-0000-0000-0000DB3D0000}"/>
    <cellStyle name="Bad 5 2 2" xfId="8555" xr:uid="{00000000-0005-0000-0000-0000DC3D0000}"/>
    <cellStyle name="Bad 5 2 3" xfId="8556" xr:uid="{00000000-0005-0000-0000-0000DD3D0000}"/>
    <cellStyle name="Bad 5 3" xfId="8557" xr:uid="{00000000-0005-0000-0000-0000DE3D0000}"/>
    <cellStyle name="Bad 5 4" xfId="8558" xr:uid="{00000000-0005-0000-0000-0000DF3D0000}"/>
    <cellStyle name="Bad 5 5" xfId="8559" xr:uid="{00000000-0005-0000-0000-0000E03D0000}"/>
    <cellStyle name="Bad 6" xfId="8560" xr:uid="{00000000-0005-0000-0000-0000E13D0000}"/>
    <cellStyle name="Bad 6 2" xfId="8561" xr:uid="{00000000-0005-0000-0000-0000E23D0000}"/>
    <cellStyle name="Bad 6 3" xfId="8562" xr:uid="{00000000-0005-0000-0000-0000E33D0000}"/>
    <cellStyle name="Bad 7" xfId="8563" xr:uid="{00000000-0005-0000-0000-0000E43D0000}"/>
    <cellStyle name="Bad 8" xfId="8564" xr:uid="{00000000-0005-0000-0000-0000E53D0000}"/>
    <cellStyle name="Bad 9" xfId="8565" xr:uid="{00000000-0005-0000-0000-0000E63D0000}"/>
    <cellStyle name="Bağlı Hücre" xfId="16366" xr:uid="{00000000-0005-0000-0000-0000E73D0000}"/>
    <cellStyle name="BalanceSheet" xfId="16367" xr:uid="{00000000-0005-0000-0000-0000E83D0000}"/>
    <cellStyle name="bar" xfId="16368" xr:uid="{00000000-0005-0000-0000-0000E93D0000}"/>
    <cellStyle name="Bar Title" xfId="16369" xr:uid="{00000000-0005-0000-0000-0000EA3D0000}"/>
    <cellStyle name="Bar1" xfId="8566" xr:uid="{00000000-0005-0000-0000-0000EB3D0000}"/>
    <cellStyle name="BAS Comma [0]" xfId="16370" xr:uid="{00000000-0005-0000-0000-0000EC3D0000}"/>
    <cellStyle name="BAS Date mm/dd/yy" xfId="16371" xr:uid="{00000000-0005-0000-0000-0000ED3D0000}"/>
    <cellStyle name="-Bas de tableau" xfId="8567" xr:uid="{00000000-0005-0000-0000-0000EE3D0000}"/>
    <cellStyle name="BAS Percent Actual [1]" xfId="16372" xr:uid="{00000000-0005-0000-0000-0000EF3D0000}"/>
    <cellStyle name="Başlık 1" xfId="16373" xr:uid="{00000000-0005-0000-0000-0000F03D0000}"/>
    <cellStyle name="Başlık 2" xfId="16374" xr:uid="{00000000-0005-0000-0000-0000F13D0000}"/>
    <cellStyle name="Başlık 3" xfId="16375" xr:uid="{00000000-0005-0000-0000-0000F23D0000}"/>
    <cellStyle name="Başlık 4" xfId="16376" xr:uid="{00000000-0005-0000-0000-0000F33D0000}"/>
    <cellStyle name="bch" xfId="16377" xr:uid="{00000000-0005-0000-0000-0000F43D0000}"/>
    <cellStyle name="bci" xfId="16378" xr:uid="{00000000-0005-0000-0000-0000F53D0000}"/>
    <cellStyle name="Below 0" xfId="16379" xr:uid="{00000000-0005-0000-0000-0000F63D0000}"/>
    <cellStyle name="Below 0.0" xfId="16380" xr:uid="{00000000-0005-0000-0000-0000F73D0000}"/>
    <cellStyle name="Best" xfId="8568" xr:uid="{00000000-0005-0000-0000-0000F83D0000}"/>
    <cellStyle name="Besuchter Hyperlink" xfId="16381" xr:uid="{00000000-0005-0000-0000-0000F93D0000}"/>
    <cellStyle name="Black" xfId="8569" xr:uid="{00000000-0005-0000-0000-0000FA3D0000}"/>
    <cellStyle name="Black 2" xfId="8570" xr:uid="{00000000-0005-0000-0000-0000FB3D0000}"/>
    <cellStyle name="Black 2 2" xfId="8571" xr:uid="{00000000-0005-0000-0000-0000FC3D0000}"/>
    <cellStyle name="Black 3" xfId="8572" xr:uid="{00000000-0005-0000-0000-0000FD3D0000}"/>
    <cellStyle name="Black 4" xfId="8573" xr:uid="{00000000-0005-0000-0000-0000FE3D0000}"/>
    <cellStyle name="Black 5" xfId="8574" xr:uid="{00000000-0005-0000-0000-0000FF3D0000}"/>
    <cellStyle name="Black Days" xfId="8575" xr:uid="{00000000-0005-0000-0000-0000003E0000}"/>
    <cellStyle name="Black Days 2" xfId="8576" xr:uid="{00000000-0005-0000-0000-0000013E0000}"/>
    <cellStyle name="Black Decimal" xfId="8577" xr:uid="{00000000-0005-0000-0000-0000023E0000}"/>
    <cellStyle name="Black Decimal 2" xfId="8578" xr:uid="{00000000-0005-0000-0000-0000033E0000}"/>
    <cellStyle name="Black Decimal 2 2" xfId="8579" xr:uid="{00000000-0005-0000-0000-0000043E0000}"/>
    <cellStyle name="Black Decimal 3" xfId="8580" xr:uid="{00000000-0005-0000-0000-0000053E0000}"/>
    <cellStyle name="Black Decimal 4" xfId="8581" xr:uid="{00000000-0005-0000-0000-0000063E0000}"/>
    <cellStyle name="Black Decimal 5" xfId="8582" xr:uid="{00000000-0005-0000-0000-0000073E0000}"/>
    <cellStyle name="Black Dollar" xfId="8583" xr:uid="{00000000-0005-0000-0000-0000083E0000}"/>
    <cellStyle name="Black Dollar 2" xfId="8584" xr:uid="{00000000-0005-0000-0000-0000093E0000}"/>
    <cellStyle name="Black Dollar 2 2" xfId="8585" xr:uid="{00000000-0005-0000-0000-00000A3E0000}"/>
    <cellStyle name="Black Dollar 2 3" xfId="15977" xr:uid="{00000000-0005-0000-0000-00000B3E0000}"/>
    <cellStyle name="Black Dollar 2 4" xfId="19972" xr:uid="{00000000-0005-0000-0000-00000C3E0000}"/>
    <cellStyle name="Black Dollar 3" xfId="8586" xr:uid="{00000000-0005-0000-0000-00000D3E0000}"/>
    <cellStyle name="Black Dollar 3 2" xfId="15978" xr:uid="{00000000-0005-0000-0000-00000E3E0000}"/>
    <cellStyle name="Black Dollar 3 3" xfId="19973" xr:uid="{00000000-0005-0000-0000-00000F3E0000}"/>
    <cellStyle name="Black Dollar 4" xfId="8587" xr:uid="{00000000-0005-0000-0000-0000103E0000}"/>
    <cellStyle name="Black Dollar 4 2" xfId="15979" xr:uid="{00000000-0005-0000-0000-0000113E0000}"/>
    <cellStyle name="Black Dollar 4 3" xfId="19974" xr:uid="{00000000-0005-0000-0000-0000123E0000}"/>
    <cellStyle name="Black Dollar 5" xfId="8588" xr:uid="{00000000-0005-0000-0000-0000133E0000}"/>
    <cellStyle name="Black Dollar 5 2" xfId="15980" xr:uid="{00000000-0005-0000-0000-0000143E0000}"/>
    <cellStyle name="Black Dollar 5 3" xfId="19975" xr:uid="{00000000-0005-0000-0000-0000153E0000}"/>
    <cellStyle name="Black Dollar 6" xfId="15976" xr:uid="{00000000-0005-0000-0000-0000163E0000}"/>
    <cellStyle name="Black Dollar 7" xfId="19971" xr:uid="{00000000-0005-0000-0000-0000173E0000}"/>
    <cellStyle name="Black EPS" xfId="8589" xr:uid="{00000000-0005-0000-0000-0000183E0000}"/>
    <cellStyle name="Black EPS 2" xfId="8590" xr:uid="{00000000-0005-0000-0000-0000193E0000}"/>
    <cellStyle name="Black Percent" xfId="8591" xr:uid="{00000000-0005-0000-0000-00001A3E0000}"/>
    <cellStyle name="Black Percent 2" xfId="8592" xr:uid="{00000000-0005-0000-0000-00001B3E0000}"/>
    <cellStyle name="Black Percent2" xfId="8593" xr:uid="{00000000-0005-0000-0000-00001C3E0000}"/>
    <cellStyle name="Black Percent2 2" xfId="8594" xr:uid="{00000000-0005-0000-0000-00001D3E0000}"/>
    <cellStyle name="Black Times" xfId="8595" xr:uid="{00000000-0005-0000-0000-00001E3E0000}"/>
    <cellStyle name="Black Times 2" xfId="8596" xr:uid="{00000000-0005-0000-0000-00001F3E0000}"/>
    <cellStyle name="Black Times 2 2" xfId="8597" xr:uid="{00000000-0005-0000-0000-0000203E0000}"/>
    <cellStyle name="Black Times 3" xfId="8598" xr:uid="{00000000-0005-0000-0000-0000213E0000}"/>
    <cellStyle name="Black Times 4" xfId="8599" xr:uid="{00000000-0005-0000-0000-0000223E0000}"/>
    <cellStyle name="Black Times 5" xfId="8600" xr:uid="{00000000-0005-0000-0000-0000233E0000}"/>
    <cellStyle name="Black Times Two Deci" xfId="8601" xr:uid="{00000000-0005-0000-0000-0000243E0000}"/>
    <cellStyle name="Black Times Two Deci 2" xfId="8602" xr:uid="{00000000-0005-0000-0000-0000253E0000}"/>
    <cellStyle name="Black Times Two Deci2" xfId="8603" xr:uid="{00000000-0005-0000-0000-0000263E0000}"/>
    <cellStyle name="Black Times Two Deci2 2" xfId="8604" xr:uid="{00000000-0005-0000-0000-0000273E0000}"/>
    <cellStyle name="Black Times_Anaphore 12 31 2008 Draft Analysis 02 19 2009" xfId="8605" xr:uid="{00000000-0005-0000-0000-0000283E0000}"/>
    <cellStyle name="Black Times2" xfId="8606" xr:uid="{00000000-0005-0000-0000-0000293E0000}"/>
    <cellStyle name="Black Times2 2" xfId="8607" xr:uid="{00000000-0005-0000-0000-00002A3E0000}"/>
    <cellStyle name="Black Times2 2 2" xfId="8608" xr:uid="{00000000-0005-0000-0000-00002B3E0000}"/>
    <cellStyle name="Black Times2 3" xfId="8609" xr:uid="{00000000-0005-0000-0000-00002C3E0000}"/>
    <cellStyle name="Black Times2 4" xfId="8610" xr:uid="{00000000-0005-0000-0000-00002D3E0000}"/>
    <cellStyle name="Black Times2 5" xfId="8611" xr:uid="{00000000-0005-0000-0000-00002E3E0000}"/>
    <cellStyle name="Black_Anaphore 12 31 2008 Draft Analysis 02 19 2009" xfId="8612" xr:uid="{00000000-0005-0000-0000-00002F3E0000}"/>
    <cellStyle name="BlackStrike" xfId="8613" xr:uid="{00000000-0005-0000-0000-0000303E0000}"/>
    <cellStyle name="BlackText" xfId="8614" xr:uid="{00000000-0005-0000-0000-0000313E0000}"/>
    <cellStyle name="blank" xfId="8615" xr:uid="{00000000-0005-0000-0000-0000323E0000}"/>
    <cellStyle name="Blank[$]" xfId="8616" xr:uid="{00000000-0005-0000-0000-0000333E0000}"/>
    <cellStyle name="Blank[,]" xfId="8617" xr:uid="{00000000-0005-0000-0000-0000343E0000}"/>
    <cellStyle name="Blank[1$]" xfId="8618" xr:uid="{00000000-0005-0000-0000-0000353E0000}"/>
    <cellStyle name="Blank[1%]" xfId="8619" xr:uid="{00000000-0005-0000-0000-0000363E0000}"/>
    <cellStyle name="Blank[1]" xfId="8620" xr:uid="{00000000-0005-0000-0000-0000373E0000}"/>
    <cellStyle name="Blank[2$]" xfId="8621" xr:uid="{00000000-0005-0000-0000-0000383E0000}"/>
    <cellStyle name="Blank[2%]" xfId="8622" xr:uid="{00000000-0005-0000-0000-0000393E0000}"/>
    <cellStyle name="Blank[2]" xfId="8623" xr:uid="{00000000-0005-0000-0000-00003A3E0000}"/>
    <cellStyle name="Blank[3$]" xfId="8624" xr:uid="{00000000-0005-0000-0000-00003B3E0000}"/>
    <cellStyle name="Blank[3]" xfId="8625" xr:uid="{00000000-0005-0000-0000-00003C3E0000}"/>
    <cellStyle name="blue" xfId="8626" xr:uid="{00000000-0005-0000-0000-00003D3E0000}"/>
    <cellStyle name="Blue 2" xfId="8627" xr:uid="{00000000-0005-0000-0000-00003E3E0000}"/>
    <cellStyle name="Blue Decimal" xfId="8628" xr:uid="{00000000-0005-0000-0000-00003F3E0000}"/>
    <cellStyle name="Blue Decimal 2" xfId="8629" xr:uid="{00000000-0005-0000-0000-0000403E0000}"/>
    <cellStyle name="Blue Dollar" xfId="8630" xr:uid="{00000000-0005-0000-0000-0000413E0000}"/>
    <cellStyle name="Blue Dollar 2" xfId="8631" xr:uid="{00000000-0005-0000-0000-0000423E0000}"/>
    <cellStyle name="Blue EPS" xfId="8632" xr:uid="{00000000-0005-0000-0000-0000433E0000}"/>
    <cellStyle name="Blue EPS 2" xfId="8633" xr:uid="{00000000-0005-0000-0000-0000443E0000}"/>
    <cellStyle name="Blue Header" xfId="8634" xr:uid="{00000000-0005-0000-0000-0000453E0000}"/>
    <cellStyle name="Blue Header 2" xfId="8635" xr:uid="{00000000-0005-0000-0000-0000463E0000}"/>
    <cellStyle name="Blue Header 2 2" xfId="20255" xr:uid="{00000000-0005-0000-0000-0000473E0000}"/>
    <cellStyle name="Blue Header 3" xfId="8636" xr:uid="{00000000-0005-0000-0000-0000483E0000}"/>
    <cellStyle name="Blue Header 3 2" xfId="20256" xr:uid="{00000000-0005-0000-0000-0000493E0000}"/>
    <cellStyle name="Blue Header 4" xfId="20257" xr:uid="{00000000-0005-0000-0000-00004A3E0000}"/>
    <cellStyle name="blue shading" xfId="8637" xr:uid="{00000000-0005-0000-0000-00004B3E0000}"/>
    <cellStyle name="blue shading 2" xfId="8638" xr:uid="{00000000-0005-0000-0000-00004C3E0000}"/>
    <cellStyle name="Blue Text" xfId="8639" xr:uid="{00000000-0005-0000-0000-00004D3E0000}"/>
    <cellStyle name="Blue Text 2" xfId="8640" xr:uid="{00000000-0005-0000-0000-00004E3E0000}"/>
    <cellStyle name="Blue Title" xfId="8641" xr:uid="{00000000-0005-0000-0000-00004F3E0000}"/>
    <cellStyle name="Blue Title 2" xfId="8642" xr:uid="{00000000-0005-0000-0000-0000503E0000}"/>
    <cellStyle name="Blue Title 2 2" xfId="8643" xr:uid="{00000000-0005-0000-0000-0000513E0000}"/>
    <cellStyle name="Blue Title 3" xfId="8644" xr:uid="{00000000-0005-0000-0000-0000523E0000}"/>
    <cellStyle name="Blue Title 4" xfId="8645" xr:uid="{00000000-0005-0000-0000-0000533E0000}"/>
    <cellStyle name="Blue Title 5" xfId="8646" xr:uid="{00000000-0005-0000-0000-0000543E0000}"/>
    <cellStyle name="Blue Zero Deci" xfId="8647" xr:uid="{00000000-0005-0000-0000-0000553E0000}"/>
    <cellStyle name="Blue Zero Deci 2" xfId="8648" xr:uid="{00000000-0005-0000-0000-0000563E0000}"/>
    <cellStyle name="Blue_Boston Power VD 01 31 2008 Model 02 26 2008" xfId="8649" xr:uid="{00000000-0005-0000-0000-0000573E0000}"/>
    <cellStyle name="Body" xfId="8650" xr:uid="{00000000-0005-0000-0000-0000583E0000}"/>
    <cellStyle name="Body 2" xfId="8651" xr:uid="{00000000-0005-0000-0000-0000593E0000}"/>
    <cellStyle name="Body text" xfId="8652" xr:uid="{00000000-0005-0000-0000-00005A3E0000}"/>
    <cellStyle name="Body text 2" xfId="8653" xr:uid="{00000000-0005-0000-0000-00005B3E0000}"/>
    <cellStyle name="Body_$Numeric" xfId="8654" xr:uid="{00000000-0005-0000-0000-00005C3E0000}"/>
    <cellStyle name="bold" xfId="8655" xr:uid="{00000000-0005-0000-0000-00005D3E0000}"/>
    <cellStyle name="bold 2" xfId="8656" xr:uid="{00000000-0005-0000-0000-00005E3E0000}"/>
    <cellStyle name="Bold Italic + Line Top" xfId="8657" xr:uid="{00000000-0005-0000-0000-00005F3E0000}"/>
    <cellStyle name="Bold Italic + Line Top 2" xfId="8658" xr:uid="{00000000-0005-0000-0000-0000603E0000}"/>
    <cellStyle name="Bold Label" xfId="8659" xr:uid="{00000000-0005-0000-0000-0000613E0000}"/>
    <cellStyle name="Bold Text" xfId="8660" xr:uid="{00000000-0005-0000-0000-0000623E0000}"/>
    <cellStyle name="Bold Text %" xfId="8661" xr:uid="{00000000-0005-0000-0000-0000633E0000}"/>
    <cellStyle name="Bold Text + Line Top" xfId="8662" xr:uid="{00000000-0005-0000-0000-0000643E0000}"/>
    <cellStyle name="Bold Text + Line Top 2" xfId="8663" xr:uid="{00000000-0005-0000-0000-0000653E0000}"/>
    <cellStyle name="Bold Text 2" xfId="8664" xr:uid="{00000000-0005-0000-0000-0000663E0000}"/>
    <cellStyle name="Bold/Border" xfId="8665" xr:uid="{00000000-0005-0000-0000-0000673E0000}"/>
    <cellStyle name="Bold/Border 2" xfId="8666" xr:uid="{00000000-0005-0000-0000-0000683E0000}"/>
    <cellStyle name="Bold/Border 3" xfId="8667" xr:uid="{00000000-0005-0000-0000-0000693E0000}"/>
    <cellStyle name="Bold/Border 3 2" xfId="20258" xr:uid="{00000000-0005-0000-0000-00006A3E0000}"/>
    <cellStyle name="bold_Boston Power VD 01 31 2008 Model 02 26 2008" xfId="8668" xr:uid="{00000000-0005-0000-0000-00006B3E0000}"/>
    <cellStyle name="Bol-Data" xfId="8669" xr:uid="{00000000-0005-0000-0000-00006C3E0000}"/>
    <cellStyle name="BoldCen" xfId="8670" xr:uid="{00000000-0005-0000-0000-00006D3E0000}"/>
    <cellStyle name="BoldCenUnd" xfId="8671" xr:uid="{00000000-0005-0000-0000-00006E3E0000}"/>
    <cellStyle name="BoldCenUnd 2" xfId="8672" xr:uid="{00000000-0005-0000-0000-00006F3E0000}"/>
    <cellStyle name="BoldText" xfId="8673" xr:uid="{00000000-0005-0000-0000-0000703E0000}"/>
    <cellStyle name="bolet" xfId="8674" xr:uid="{00000000-0005-0000-0000-0000713E0000}"/>
    <cellStyle name="Boletim" xfId="8675" xr:uid="{00000000-0005-0000-0000-0000723E0000}"/>
    <cellStyle name="Bom" xfId="8676" xr:uid="{00000000-0005-0000-0000-0000733E0000}"/>
    <cellStyle name="Border" xfId="8677" xr:uid="{00000000-0005-0000-0000-0000743E0000}"/>
    <cellStyle name="Border 10" xfId="8678" xr:uid="{00000000-0005-0000-0000-0000753E0000}"/>
    <cellStyle name="Border 10 2" xfId="8679" xr:uid="{00000000-0005-0000-0000-0000763E0000}"/>
    <cellStyle name="Border 10 2 2" xfId="15982" xr:uid="{00000000-0005-0000-0000-0000773E0000}"/>
    <cellStyle name="Border 10 2 3" xfId="19977" xr:uid="{00000000-0005-0000-0000-0000783E0000}"/>
    <cellStyle name="Border 10 3" xfId="8680" xr:uid="{00000000-0005-0000-0000-0000793E0000}"/>
    <cellStyle name="Border 10 3 2" xfId="15983" xr:uid="{00000000-0005-0000-0000-00007A3E0000}"/>
    <cellStyle name="Border 10 3 3" xfId="19978" xr:uid="{00000000-0005-0000-0000-00007B3E0000}"/>
    <cellStyle name="Border 10 4" xfId="15981" xr:uid="{00000000-0005-0000-0000-00007C3E0000}"/>
    <cellStyle name="Border 10 5" xfId="19976" xr:uid="{00000000-0005-0000-0000-00007D3E0000}"/>
    <cellStyle name="Border 11" xfId="8681" xr:uid="{00000000-0005-0000-0000-00007E3E0000}"/>
    <cellStyle name="Border 11 2" xfId="8682" xr:uid="{00000000-0005-0000-0000-00007F3E0000}"/>
    <cellStyle name="Border 11 2 2" xfId="15985" xr:uid="{00000000-0005-0000-0000-0000803E0000}"/>
    <cellStyle name="Border 11 2 3" xfId="19980" xr:uid="{00000000-0005-0000-0000-0000813E0000}"/>
    <cellStyle name="Border 11 3" xfId="8683" xr:uid="{00000000-0005-0000-0000-0000823E0000}"/>
    <cellStyle name="Border 11 3 2" xfId="15986" xr:uid="{00000000-0005-0000-0000-0000833E0000}"/>
    <cellStyle name="Border 11 3 3" xfId="19981" xr:uid="{00000000-0005-0000-0000-0000843E0000}"/>
    <cellStyle name="Border 11 4" xfId="15984" xr:uid="{00000000-0005-0000-0000-0000853E0000}"/>
    <cellStyle name="Border 11 5" xfId="19979" xr:uid="{00000000-0005-0000-0000-0000863E0000}"/>
    <cellStyle name="Border 12" xfId="8684" xr:uid="{00000000-0005-0000-0000-0000873E0000}"/>
    <cellStyle name="Border 12 2" xfId="8685" xr:uid="{00000000-0005-0000-0000-0000883E0000}"/>
    <cellStyle name="Border 12 2 2" xfId="15988" xr:uid="{00000000-0005-0000-0000-0000893E0000}"/>
    <cellStyle name="Border 12 2 3" xfId="19983" xr:uid="{00000000-0005-0000-0000-00008A3E0000}"/>
    <cellStyle name="Border 12 3" xfId="8686" xr:uid="{00000000-0005-0000-0000-00008B3E0000}"/>
    <cellStyle name="Border 12 3 2" xfId="15989" xr:uid="{00000000-0005-0000-0000-00008C3E0000}"/>
    <cellStyle name="Border 12 3 3" xfId="19984" xr:uid="{00000000-0005-0000-0000-00008D3E0000}"/>
    <cellStyle name="Border 12 4" xfId="15987" xr:uid="{00000000-0005-0000-0000-00008E3E0000}"/>
    <cellStyle name="Border 12 5" xfId="19982" xr:uid="{00000000-0005-0000-0000-00008F3E0000}"/>
    <cellStyle name="Border 13" xfId="8687" xr:uid="{00000000-0005-0000-0000-0000903E0000}"/>
    <cellStyle name="Border 13 2" xfId="15990" xr:uid="{00000000-0005-0000-0000-0000913E0000}"/>
    <cellStyle name="Border 13 3" xfId="19985" xr:uid="{00000000-0005-0000-0000-0000923E0000}"/>
    <cellStyle name="Border 14" xfId="8688" xr:uid="{00000000-0005-0000-0000-0000933E0000}"/>
    <cellStyle name="Border 14 2" xfId="15991" xr:uid="{00000000-0005-0000-0000-0000943E0000}"/>
    <cellStyle name="Border 14 3" xfId="19986" xr:uid="{00000000-0005-0000-0000-0000953E0000}"/>
    <cellStyle name="Border 2" xfId="8689" xr:uid="{00000000-0005-0000-0000-0000963E0000}"/>
    <cellStyle name="Border 2 10" xfId="8690" xr:uid="{00000000-0005-0000-0000-0000973E0000}"/>
    <cellStyle name="Border 2 10 2" xfId="15993" xr:uid="{00000000-0005-0000-0000-0000983E0000}"/>
    <cellStyle name="Border 2 10 3" xfId="19988" xr:uid="{00000000-0005-0000-0000-0000993E0000}"/>
    <cellStyle name="Border 2 11" xfId="8691" xr:uid="{00000000-0005-0000-0000-00009A3E0000}"/>
    <cellStyle name="Border 2 11 2" xfId="15994" xr:uid="{00000000-0005-0000-0000-00009B3E0000}"/>
    <cellStyle name="Border 2 11 3" xfId="19989" xr:uid="{00000000-0005-0000-0000-00009C3E0000}"/>
    <cellStyle name="Border 2 12" xfId="15992" xr:uid="{00000000-0005-0000-0000-00009D3E0000}"/>
    <cellStyle name="Border 2 13" xfId="19987" xr:uid="{00000000-0005-0000-0000-00009E3E0000}"/>
    <cellStyle name="Border 2 2" xfId="8692" xr:uid="{00000000-0005-0000-0000-00009F3E0000}"/>
    <cellStyle name="Border 2 2 2" xfId="8693" xr:uid="{00000000-0005-0000-0000-0000A03E0000}"/>
    <cellStyle name="Border 2 2 2 2" xfId="15996" xr:uid="{00000000-0005-0000-0000-0000A13E0000}"/>
    <cellStyle name="Border 2 2 2 3" xfId="19991" xr:uid="{00000000-0005-0000-0000-0000A23E0000}"/>
    <cellStyle name="Border 2 2 3" xfId="8694" xr:uid="{00000000-0005-0000-0000-0000A33E0000}"/>
    <cellStyle name="Border 2 2 3 2" xfId="15997" xr:uid="{00000000-0005-0000-0000-0000A43E0000}"/>
    <cellStyle name="Border 2 2 3 3" xfId="19992" xr:uid="{00000000-0005-0000-0000-0000A53E0000}"/>
    <cellStyle name="Border 2 2 4" xfId="15995" xr:uid="{00000000-0005-0000-0000-0000A63E0000}"/>
    <cellStyle name="Border 2 2 5" xfId="19990" xr:uid="{00000000-0005-0000-0000-0000A73E0000}"/>
    <cellStyle name="Border 2 3" xfId="8695" xr:uid="{00000000-0005-0000-0000-0000A83E0000}"/>
    <cellStyle name="Border 2 3 2" xfId="8696" xr:uid="{00000000-0005-0000-0000-0000A93E0000}"/>
    <cellStyle name="Border 2 3 2 2" xfId="15999" xr:uid="{00000000-0005-0000-0000-0000AA3E0000}"/>
    <cellStyle name="Border 2 3 2 3" xfId="19994" xr:uid="{00000000-0005-0000-0000-0000AB3E0000}"/>
    <cellStyle name="Border 2 3 3" xfId="8697" xr:uid="{00000000-0005-0000-0000-0000AC3E0000}"/>
    <cellStyle name="Border 2 3 3 2" xfId="16000" xr:uid="{00000000-0005-0000-0000-0000AD3E0000}"/>
    <cellStyle name="Border 2 3 3 3" xfId="19995" xr:uid="{00000000-0005-0000-0000-0000AE3E0000}"/>
    <cellStyle name="Border 2 3 4" xfId="15998" xr:uid="{00000000-0005-0000-0000-0000AF3E0000}"/>
    <cellStyle name="Border 2 3 5" xfId="19993" xr:uid="{00000000-0005-0000-0000-0000B03E0000}"/>
    <cellStyle name="Border 2 4" xfId="8698" xr:uid="{00000000-0005-0000-0000-0000B13E0000}"/>
    <cellStyle name="Border 2 4 2" xfId="8699" xr:uid="{00000000-0005-0000-0000-0000B23E0000}"/>
    <cellStyle name="Border 2 4 2 2" xfId="16002" xr:uid="{00000000-0005-0000-0000-0000B33E0000}"/>
    <cellStyle name="Border 2 4 2 3" xfId="19997" xr:uid="{00000000-0005-0000-0000-0000B43E0000}"/>
    <cellStyle name="Border 2 4 3" xfId="8700" xr:uid="{00000000-0005-0000-0000-0000B53E0000}"/>
    <cellStyle name="Border 2 4 3 2" xfId="16003" xr:uid="{00000000-0005-0000-0000-0000B63E0000}"/>
    <cellStyle name="Border 2 4 3 3" xfId="19998" xr:uid="{00000000-0005-0000-0000-0000B73E0000}"/>
    <cellStyle name="Border 2 4 4" xfId="16001" xr:uid="{00000000-0005-0000-0000-0000B83E0000}"/>
    <cellStyle name="Border 2 4 5" xfId="19996" xr:uid="{00000000-0005-0000-0000-0000B93E0000}"/>
    <cellStyle name="Border 2 5" xfId="8701" xr:uid="{00000000-0005-0000-0000-0000BA3E0000}"/>
    <cellStyle name="Border 2 5 2" xfId="8702" xr:uid="{00000000-0005-0000-0000-0000BB3E0000}"/>
    <cellStyle name="Border 2 5 2 2" xfId="16005" xr:uid="{00000000-0005-0000-0000-0000BC3E0000}"/>
    <cellStyle name="Border 2 5 2 3" xfId="20000" xr:uid="{00000000-0005-0000-0000-0000BD3E0000}"/>
    <cellStyle name="Border 2 5 3" xfId="8703" xr:uid="{00000000-0005-0000-0000-0000BE3E0000}"/>
    <cellStyle name="Border 2 5 3 2" xfId="16006" xr:uid="{00000000-0005-0000-0000-0000BF3E0000}"/>
    <cellStyle name="Border 2 5 3 3" xfId="20001" xr:uid="{00000000-0005-0000-0000-0000C03E0000}"/>
    <cellStyle name="Border 2 5 4" xfId="16004" xr:uid="{00000000-0005-0000-0000-0000C13E0000}"/>
    <cellStyle name="Border 2 5 5" xfId="19999" xr:uid="{00000000-0005-0000-0000-0000C23E0000}"/>
    <cellStyle name="Border 2 6" xfId="8704" xr:uid="{00000000-0005-0000-0000-0000C33E0000}"/>
    <cellStyle name="Border 2 6 2" xfId="8705" xr:uid="{00000000-0005-0000-0000-0000C43E0000}"/>
    <cellStyle name="Border 2 6 2 2" xfId="16008" xr:uid="{00000000-0005-0000-0000-0000C53E0000}"/>
    <cellStyle name="Border 2 6 2 3" xfId="20003" xr:uid="{00000000-0005-0000-0000-0000C63E0000}"/>
    <cellStyle name="Border 2 6 3" xfId="8706" xr:uid="{00000000-0005-0000-0000-0000C73E0000}"/>
    <cellStyle name="Border 2 6 3 2" xfId="16009" xr:uid="{00000000-0005-0000-0000-0000C83E0000}"/>
    <cellStyle name="Border 2 6 3 3" xfId="20004" xr:uid="{00000000-0005-0000-0000-0000C93E0000}"/>
    <cellStyle name="Border 2 6 4" xfId="16007" xr:uid="{00000000-0005-0000-0000-0000CA3E0000}"/>
    <cellStyle name="Border 2 6 5" xfId="20002" xr:uid="{00000000-0005-0000-0000-0000CB3E0000}"/>
    <cellStyle name="Border 2 7" xfId="8707" xr:uid="{00000000-0005-0000-0000-0000CC3E0000}"/>
    <cellStyle name="Border 2 7 2" xfId="8708" xr:uid="{00000000-0005-0000-0000-0000CD3E0000}"/>
    <cellStyle name="Border 2 7 2 2" xfId="16011" xr:uid="{00000000-0005-0000-0000-0000CE3E0000}"/>
    <cellStyle name="Border 2 7 2 3" xfId="20006" xr:uid="{00000000-0005-0000-0000-0000CF3E0000}"/>
    <cellStyle name="Border 2 7 3" xfId="8709" xr:uid="{00000000-0005-0000-0000-0000D03E0000}"/>
    <cellStyle name="Border 2 7 3 2" xfId="16012" xr:uid="{00000000-0005-0000-0000-0000D13E0000}"/>
    <cellStyle name="Border 2 7 3 3" xfId="20007" xr:uid="{00000000-0005-0000-0000-0000D23E0000}"/>
    <cellStyle name="Border 2 7 4" xfId="16010" xr:uid="{00000000-0005-0000-0000-0000D33E0000}"/>
    <cellStyle name="Border 2 7 5" xfId="20005" xr:uid="{00000000-0005-0000-0000-0000D43E0000}"/>
    <cellStyle name="Border 2 8" xfId="8710" xr:uid="{00000000-0005-0000-0000-0000D53E0000}"/>
    <cellStyle name="Border 2 8 2" xfId="8711" xr:uid="{00000000-0005-0000-0000-0000D63E0000}"/>
    <cellStyle name="Border 2 8 2 2" xfId="16014" xr:uid="{00000000-0005-0000-0000-0000D73E0000}"/>
    <cellStyle name="Border 2 8 2 3" xfId="20009" xr:uid="{00000000-0005-0000-0000-0000D83E0000}"/>
    <cellStyle name="Border 2 8 3" xfId="8712" xr:uid="{00000000-0005-0000-0000-0000D93E0000}"/>
    <cellStyle name="Border 2 8 3 2" xfId="16015" xr:uid="{00000000-0005-0000-0000-0000DA3E0000}"/>
    <cellStyle name="Border 2 8 3 3" xfId="20010" xr:uid="{00000000-0005-0000-0000-0000DB3E0000}"/>
    <cellStyle name="Border 2 8 4" xfId="16013" xr:uid="{00000000-0005-0000-0000-0000DC3E0000}"/>
    <cellStyle name="Border 2 8 5" xfId="20008" xr:uid="{00000000-0005-0000-0000-0000DD3E0000}"/>
    <cellStyle name="Border 2 9" xfId="8713" xr:uid="{00000000-0005-0000-0000-0000DE3E0000}"/>
    <cellStyle name="Border 2 9 2" xfId="8714" xr:uid="{00000000-0005-0000-0000-0000DF3E0000}"/>
    <cellStyle name="Border 2 9 2 2" xfId="16017" xr:uid="{00000000-0005-0000-0000-0000E03E0000}"/>
    <cellStyle name="Border 2 9 2 3" xfId="20012" xr:uid="{00000000-0005-0000-0000-0000E13E0000}"/>
    <cellStyle name="Border 2 9 3" xfId="8715" xr:uid="{00000000-0005-0000-0000-0000E23E0000}"/>
    <cellStyle name="Border 2 9 3 2" xfId="16018" xr:uid="{00000000-0005-0000-0000-0000E33E0000}"/>
    <cellStyle name="Border 2 9 3 3" xfId="20013" xr:uid="{00000000-0005-0000-0000-0000E43E0000}"/>
    <cellStyle name="Border 2 9 4" xfId="16016" xr:uid="{00000000-0005-0000-0000-0000E53E0000}"/>
    <cellStyle name="Border 2 9 5" xfId="20011" xr:uid="{00000000-0005-0000-0000-0000E63E0000}"/>
    <cellStyle name="Border 3" xfId="8716" xr:uid="{00000000-0005-0000-0000-0000E73E0000}"/>
    <cellStyle name="Border 3 10" xfId="8717" xr:uid="{00000000-0005-0000-0000-0000E83E0000}"/>
    <cellStyle name="Border 3 10 2" xfId="16020" xr:uid="{00000000-0005-0000-0000-0000E93E0000}"/>
    <cellStyle name="Border 3 10 3" xfId="20015" xr:uid="{00000000-0005-0000-0000-0000EA3E0000}"/>
    <cellStyle name="Border 3 11" xfId="8718" xr:uid="{00000000-0005-0000-0000-0000EB3E0000}"/>
    <cellStyle name="Border 3 11 2" xfId="16021" xr:uid="{00000000-0005-0000-0000-0000EC3E0000}"/>
    <cellStyle name="Border 3 11 3" xfId="20016" xr:uid="{00000000-0005-0000-0000-0000ED3E0000}"/>
    <cellStyle name="Border 3 12" xfId="16019" xr:uid="{00000000-0005-0000-0000-0000EE3E0000}"/>
    <cellStyle name="Border 3 13" xfId="20014" xr:uid="{00000000-0005-0000-0000-0000EF3E0000}"/>
    <cellStyle name="Border 3 2" xfId="8719" xr:uid="{00000000-0005-0000-0000-0000F03E0000}"/>
    <cellStyle name="Border 3 2 2" xfId="8720" xr:uid="{00000000-0005-0000-0000-0000F13E0000}"/>
    <cellStyle name="Border 3 2 2 2" xfId="16023" xr:uid="{00000000-0005-0000-0000-0000F23E0000}"/>
    <cellStyle name="Border 3 2 2 3" xfId="20018" xr:uid="{00000000-0005-0000-0000-0000F33E0000}"/>
    <cellStyle name="Border 3 2 3" xfId="8721" xr:uid="{00000000-0005-0000-0000-0000F43E0000}"/>
    <cellStyle name="Border 3 2 3 2" xfId="16024" xr:uid="{00000000-0005-0000-0000-0000F53E0000}"/>
    <cellStyle name="Border 3 2 3 3" xfId="20019" xr:uid="{00000000-0005-0000-0000-0000F63E0000}"/>
    <cellStyle name="Border 3 2 4" xfId="16022" xr:uid="{00000000-0005-0000-0000-0000F73E0000}"/>
    <cellStyle name="Border 3 2 5" xfId="20017" xr:uid="{00000000-0005-0000-0000-0000F83E0000}"/>
    <cellStyle name="Border 3 3" xfId="8722" xr:uid="{00000000-0005-0000-0000-0000F93E0000}"/>
    <cellStyle name="Border 3 3 2" xfId="8723" xr:uid="{00000000-0005-0000-0000-0000FA3E0000}"/>
    <cellStyle name="Border 3 3 2 2" xfId="16026" xr:uid="{00000000-0005-0000-0000-0000FB3E0000}"/>
    <cellStyle name="Border 3 3 2 3" xfId="20021" xr:uid="{00000000-0005-0000-0000-0000FC3E0000}"/>
    <cellStyle name="Border 3 3 3" xfId="8724" xr:uid="{00000000-0005-0000-0000-0000FD3E0000}"/>
    <cellStyle name="Border 3 3 3 2" xfId="16027" xr:uid="{00000000-0005-0000-0000-0000FE3E0000}"/>
    <cellStyle name="Border 3 3 3 3" xfId="20022" xr:uid="{00000000-0005-0000-0000-0000FF3E0000}"/>
    <cellStyle name="Border 3 3 4" xfId="16025" xr:uid="{00000000-0005-0000-0000-0000003F0000}"/>
    <cellStyle name="Border 3 3 5" xfId="20020" xr:uid="{00000000-0005-0000-0000-0000013F0000}"/>
    <cellStyle name="Border 3 4" xfId="8725" xr:uid="{00000000-0005-0000-0000-0000023F0000}"/>
    <cellStyle name="Border 3 4 2" xfId="8726" xr:uid="{00000000-0005-0000-0000-0000033F0000}"/>
    <cellStyle name="Border 3 4 2 2" xfId="16029" xr:uid="{00000000-0005-0000-0000-0000043F0000}"/>
    <cellStyle name="Border 3 4 2 3" xfId="20024" xr:uid="{00000000-0005-0000-0000-0000053F0000}"/>
    <cellStyle name="Border 3 4 3" xfId="8727" xr:uid="{00000000-0005-0000-0000-0000063F0000}"/>
    <cellStyle name="Border 3 4 3 2" xfId="16030" xr:uid="{00000000-0005-0000-0000-0000073F0000}"/>
    <cellStyle name="Border 3 4 3 3" xfId="20025" xr:uid="{00000000-0005-0000-0000-0000083F0000}"/>
    <cellStyle name="Border 3 4 4" xfId="16028" xr:uid="{00000000-0005-0000-0000-0000093F0000}"/>
    <cellStyle name="Border 3 4 5" xfId="20023" xr:uid="{00000000-0005-0000-0000-00000A3F0000}"/>
    <cellStyle name="Border 3 5" xfId="8728" xr:uid="{00000000-0005-0000-0000-00000B3F0000}"/>
    <cellStyle name="Border 3 5 2" xfId="8729" xr:uid="{00000000-0005-0000-0000-00000C3F0000}"/>
    <cellStyle name="Border 3 5 2 2" xfId="16032" xr:uid="{00000000-0005-0000-0000-00000D3F0000}"/>
    <cellStyle name="Border 3 5 2 3" xfId="20027" xr:uid="{00000000-0005-0000-0000-00000E3F0000}"/>
    <cellStyle name="Border 3 5 3" xfId="8730" xr:uid="{00000000-0005-0000-0000-00000F3F0000}"/>
    <cellStyle name="Border 3 5 3 2" xfId="16033" xr:uid="{00000000-0005-0000-0000-0000103F0000}"/>
    <cellStyle name="Border 3 5 3 3" xfId="20028" xr:uid="{00000000-0005-0000-0000-0000113F0000}"/>
    <cellStyle name="Border 3 5 4" xfId="16031" xr:uid="{00000000-0005-0000-0000-0000123F0000}"/>
    <cellStyle name="Border 3 5 5" xfId="20026" xr:uid="{00000000-0005-0000-0000-0000133F0000}"/>
    <cellStyle name="Border 3 6" xfId="8731" xr:uid="{00000000-0005-0000-0000-0000143F0000}"/>
    <cellStyle name="Border 3 6 2" xfId="8732" xr:uid="{00000000-0005-0000-0000-0000153F0000}"/>
    <cellStyle name="Border 3 6 2 2" xfId="16035" xr:uid="{00000000-0005-0000-0000-0000163F0000}"/>
    <cellStyle name="Border 3 6 2 3" xfId="20030" xr:uid="{00000000-0005-0000-0000-0000173F0000}"/>
    <cellStyle name="Border 3 6 3" xfId="8733" xr:uid="{00000000-0005-0000-0000-0000183F0000}"/>
    <cellStyle name="Border 3 6 3 2" xfId="16036" xr:uid="{00000000-0005-0000-0000-0000193F0000}"/>
    <cellStyle name="Border 3 6 3 3" xfId="20031" xr:uid="{00000000-0005-0000-0000-00001A3F0000}"/>
    <cellStyle name="Border 3 6 4" xfId="16034" xr:uid="{00000000-0005-0000-0000-00001B3F0000}"/>
    <cellStyle name="Border 3 6 5" xfId="20029" xr:uid="{00000000-0005-0000-0000-00001C3F0000}"/>
    <cellStyle name="Border 3 7" xfId="8734" xr:uid="{00000000-0005-0000-0000-00001D3F0000}"/>
    <cellStyle name="Border 3 7 2" xfId="8735" xr:uid="{00000000-0005-0000-0000-00001E3F0000}"/>
    <cellStyle name="Border 3 7 2 2" xfId="16038" xr:uid="{00000000-0005-0000-0000-00001F3F0000}"/>
    <cellStyle name="Border 3 7 2 3" xfId="20033" xr:uid="{00000000-0005-0000-0000-0000203F0000}"/>
    <cellStyle name="Border 3 7 3" xfId="8736" xr:uid="{00000000-0005-0000-0000-0000213F0000}"/>
    <cellStyle name="Border 3 7 3 2" xfId="16039" xr:uid="{00000000-0005-0000-0000-0000223F0000}"/>
    <cellStyle name="Border 3 7 3 3" xfId="20034" xr:uid="{00000000-0005-0000-0000-0000233F0000}"/>
    <cellStyle name="Border 3 7 4" xfId="16037" xr:uid="{00000000-0005-0000-0000-0000243F0000}"/>
    <cellStyle name="Border 3 7 5" xfId="20032" xr:uid="{00000000-0005-0000-0000-0000253F0000}"/>
    <cellStyle name="Border 3 8" xfId="8737" xr:uid="{00000000-0005-0000-0000-0000263F0000}"/>
    <cellStyle name="Border 3 8 2" xfId="8738" xr:uid="{00000000-0005-0000-0000-0000273F0000}"/>
    <cellStyle name="Border 3 8 2 2" xfId="16041" xr:uid="{00000000-0005-0000-0000-0000283F0000}"/>
    <cellStyle name="Border 3 8 2 3" xfId="20036" xr:uid="{00000000-0005-0000-0000-0000293F0000}"/>
    <cellStyle name="Border 3 8 3" xfId="8739" xr:uid="{00000000-0005-0000-0000-00002A3F0000}"/>
    <cellStyle name="Border 3 8 3 2" xfId="16042" xr:uid="{00000000-0005-0000-0000-00002B3F0000}"/>
    <cellStyle name="Border 3 8 3 3" xfId="20037" xr:uid="{00000000-0005-0000-0000-00002C3F0000}"/>
    <cellStyle name="Border 3 8 4" xfId="16040" xr:uid="{00000000-0005-0000-0000-00002D3F0000}"/>
    <cellStyle name="Border 3 8 5" xfId="20035" xr:uid="{00000000-0005-0000-0000-00002E3F0000}"/>
    <cellStyle name="Border 3 9" xfId="8740" xr:uid="{00000000-0005-0000-0000-00002F3F0000}"/>
    <cellStyle name="Border 3 9 2" xfId="8741" xr:uid="{00000000-0005-0000-0000-0000303F0000}"/>
    <cellStyle name="Border 3 9 2 2" xfId="16044" xr:uid="{00000000-0005-0000-0000-0000313F0000}"/>
    <cellStyle name="Border 3 9 2 3" xfId="20039" xr:uid="{00000000-0005-0000-0000-0000323F0000}"/>
    <cellStyle name="Border 3 9 3" xfId="8742" xr:uid="{00000000-0005-0000-0000-0000333F0000}"/>
    <cellStyle name="Border 3 9 3 2" xfId="16045" xr:uid="{00000000-0005-0000-0000-0000343F0000}"/>
    <cellStyle name="Border 3 9 3 3" xfId="20040" xr:uid="{00000000-0005-0000-0000-0000353F0000}"/>
    <cellStyle name="Border 3 9 4" xfId="16043" xr:uid="{00000000-0005-0000-0000-0000363F0000}"/>
    <cellStyle name="Border 3 9 5" xfId="20038" xr:uid="{00000000-0005-0000-0000-0000373F0000}"/>
    <cellStyle name="Border 4" xfId="8743" xr:uid="{00000000-0005-0000-0000-0000383F0000}"/>
    <cellStyle name="Border 4 2" xfId="8744" xr:uid="{00000000-0005-0000-0000-0000393F0000}"/>
    <cellStyle name="Border 4 2 2" xfId="8745" xr:uid="{00000000-0005-0000-0000-00003A3F0000}"/>
    <cellStyle name="Border 4 2 2 2" xfId="16048" xr:uid="{00000000-0005-0000-0000-00003B3F0000}"/>
    <cellStyle name="Border 4 2 2 3" xfId="20043" xr:uid="{00000000-0005-0000-0000-00003C3F0000}"/>
    <cellStyle name="Border 4 2 3" xfId="8746" xr:uid="{00000000-0005-0000-0000-00003D3F0000}"/>
    <cellStyle name="Border 4 2 3 2" xfId="16049" xr:uid="{00000000-0005-0000-0000-00003E3F0000}"/>
    <cellStyle name="Border 4 2 3 3" xfId="20044" xr:uid="{00000000-0005-0000-0000-00003F3F0000}"/>
    <cellStyle name="Border 4 2 4" xfId="16047" xr:uid="{00000000-0005-0000-0000-0000403F0000}"/>
    <cellStyle name="Border 4 2 5" xfId="20042" xr:uid="{00000000-0005-0000-0000-0000413F0000}"/>
    <cellStyle name="Border 4 3" xfId="8747" xr:uid="{00000000-0005-0000-0000-0000423F0000}"/>
    <cellStyle name="Border 4 3 2" xfId="8748" xr:uid="{00000000-0005-0000-0000-0000433F0000}"/>
    <cellStyle name="Border 4 3 2 2" xfId="16051" xr:uid="{00000000-0005-0000-0000-0000443F0000}"/>
    <cellStyle name="Border 4 3 2 3" xfId="20046" xr:uid="{00000000-0005-0000-0000-0000453F0000}"/>
    <cellStyle name="Border 4 3 3" xfId="8749" xr:uid="{00000000-0005-0000-0000-0000463F0000}"/>
    <cellStyle name="Border 4 3 3 2" xfId="16052" xr:uid="{00000000-0005-0000-0000-0000473F0000}"/>
    <cellStyle name="Border 4 3 3 3" xfId="20047" xr:uid="{00000000-0005-0000-0000-0000483F0000}"/>
    <cellStyle name="Border 4 3 4" xfId="16050" xr:uid="{00000000-0005-0000-0000-0000493F0000}"/>
    <cellStyle name="Border 4 3 5" xfId="20045" xr:uid="{00000000-0005-0000-0000-00004A3F0000}"/>
    <cellStyle name="Border 4 4" xfId="8750" xr:uid="{00000000-0005-0000-0000-00004B3F0000}"/>
    <cellStyle name="Border 4 4 2" xfId="16053" xr:uid="{00000000-0005-0000-0000-00004C3F0000}"/>
    <cellStyle name="Border 4 4 3" xfId="20048" xr:uid="{00000000-0005-0000-0000-00004D3F0000}"/>
    <cellStyle name="Border 4 5" xfId="8751" xr:uid="{00000000-0005-0000-0000-00004E3F0000}"/>
    <cellStyle name="Border 4 5 2" xfId="16054" xr:uid="{00000000-0005-0000-0000-00004F3F0000}"/>
    <cellStyle name="Border 4 5 3" xfId="20049" xr:uid="{00000000-0005-0000-0000-0000503F0000}"/>
    <cellStyle name="Border 4 6" xfId="16046" xr:uid="{00000000-0005-0000-0000-0000513F0000}"/>
    <cellStyle name="Border 4 7" xfId="20041" xr:uid="{00000000-0005-0000-0000-0000523F0000}"/>
    <cellStyle name="Border 5" xfId="8752" xr:uid="{00000000-0005-0000-0000-0000533F0000}"/>
    <cellStyle name="Border 5 2" xfId="8753" xr:uid="{00000000-0005-0000-0000-0000543F0000}"/>
    <cellStyle name="Border 5 2 2" xfId="16056" xr:uid="{00000000-0005-0000-0000-0000553F0000}"/>
    <cellStyle name="Border 5 2 3" xfId="20051" xr:uid="{00000000-0005-0000-0000-0000563F0000}"/>
    <cellStyle name="Border 5 3" xfId="8754" xr:uid="{00000000-0005-0000-0000-0000573F0000}"/>
    <cellStyle name="Border 5 3 2" xfId="16057" xr:uid="{00000000-0005-0000-0000-0000583F0000}"/>
    <cellStyle name="Border 5 3 3" xfId="20052" xr:uid="{00000000-0005-0000-0000-0000593F0000}"/>
    <cellStyle name="Border 5 4" xfId="16055" xr:uid="{00000000-0005-0000-0000-00005A3F0000}"/>
    <cellStyle name="Border 5 5" xfId="20050" xr:uid="{00000000-0005-0000-0000-00005B3F0000}"/>
    <cellStyle name="Border 6" xfId="8755" xr:uid="{00000000-0005-0000-0000-00005C3F0000}"/>
    <cellStyle name="Border 6 2" xfId="8756" xr:uid="{00000000-0005-0000-0000-00005D3F0000}"/>
    <cellStyle name="Border 6 2 2" xfId="16059" xr:uid="{00000000-0005-0000-0000-00005E3F0000}"/>
    <cellStyle name="Border 6 2 3" xfId="20054" xr:uid="{00000000-0005-0000-0000-00005F3F0000}"/>
    <cellStyle name="Border 6 3" xfId="8757" xr:uid="{00000000-0005-0000-0000-0000603F0000}"/>
    <cellStyle name="Border 6 3 2" xfId="16060" xr:uid="{00000000-0005-0000-0000-0000613F0000}"/>
    <cellStyle name="Border 6 3 3" xfId="20055" xr:uid="{00000000-0005-0000-0000-0000623F0000}"/>
    <cellStyle name="Border 6 4" xfId="16058" xr:uid="{00000000-0005-0000-0000-0000633F0000}"/>
    <cellStyle name="Border 6 5" xfId="20053" xr:uid="{00000000-0005-0000-0000-0000643F0000}"/>
    <cellStyle name="Border 7" xfId="8758" xr:uid="{00000000-0005-0000-0000-0000653F0000}"/>
    <cellStyle name="Border 7 2" xfId="8759" xr:uid="{00000000-0005-0000-0000-0000663F0000}"/>
    <cellStyle name="Border 7 2 2" xfId="16062" xr:uid="{00000000-0005-0000-0000-0000673F0000}"/>
    <cellStyle name="Border 7 2 3" xfId="20057" xr:uid="{00000000-0005-0000-0000-0000683F0000}"/>
    <cellStyle name="Border 7 3" xfId="8760" xr:uid="{00000000-0005-0000-0000-0000693F0000}"/>
    <cellStyle name="Border 7 3 2" xfId="16063" xr:uid="{00000000-0005-0000-0000-00006A3F0000}"/>
    <cellStyle name="Border 7 3 3" xfId="20058" xr:uid="{00000000-0005-0000-0000-00006B3F0000}"/>
    <cellStyle name="Border 7 4" xfId="16061" xr:uid="{00000000-0005-0000-0000-00006C3F0000}"/>
    <cellStyle name="Border 7 5" xfId="20056" xr:uid="{00000000-0005-0000-0000-00006D3F0000}"/>
    <cellStyle name="Border 8" xfId="8761" xr:uid="{00000000-0005-0000-0000-00006E3F0000}"/>
    <cellStyle name="Border 8 2" xfId="8762" xr:uid="{00000000-0005-0000-0000-00006F3F0000}"/>
    <cellStyle name="Border 8 2 2" xfId="16065" xr:uid="{00000000-0005-0000-0000-0000703F0000}"/>
    <cellStyle name="Border 8 2 3" xfId="20060" xr:uid="{00000000-0005-0000-0000-0000713F0000}"/>
    <cellStyle name="Border 8 3" xfId="8763" xr:uid="{00000000-0005-0000-0000-0000723F0000}"/>
    <cellStyle name="Border 8 3 2" xfId="16066" xr:uid="{00000000-0005-0000-0000-0000733F0000}"/>
    <cellStyle name="Border 8 3 3" xfId="20061" xr:uid="{00000000-0005-0000-0000-0000743F0000}"/>
    <cellStyle name="Border 8 4" xfId="16064" xr:uid="{00000000-0005-0000-0000-0000753F0000}"/>
    <cellStyle name="Border 8 5" xfId="20059" xr:uid="{00000000-0005-0000-0000-0000763F0000}"/>
    <cellStyle name="Border 9" xfId="8764" xr:uid="{00000000-0005-0000-0000-0000773F0000}"/>
    <cellStyle name="Border 9 2" xfId="8765" xr:uid="{00000000-0005-0000-0000-0000783F0000}"/>
    <cellStyle name="Border 9 2 2" xfId="16068" xr:uid="{00000000-0005-0000-0000-0000793F0000}"/>
    <cellStyle name="Border 9 2 3" xfId="20063" xr:uid="{00000000-0005-0000-0000-00007A3F0000}"/>
    <cellStyle name="Border 9 3" xfId="8766" xr:uid="{00000000-0005-0000-0000-00007B3F0000}"/>
    <cellStyle name="Border 9 3 2" xfId="16069" xr:uid="{00000000-0005-0000-0000-00007C3F0000}"/>
    <cellStyle name="Border 9 3 3" xfId="20064" xr:uid="{00000000-0005-0000-0000-00007D3F0000}"/>
    <cellStyle name="Border 9 4" xfId="16067" xr:uid="{00000000-0005-0000-0000-00007E3F0000}"/>
    <cellStyle name="Border 9 5" xfId="20062" xr:uid="{00000000-0005-0000-0000-00007F3F0000}"/>
    <cellStyle name="Border Heavy" xfId="8767" xr:uid="{00000000-0005-0000-0000-0000803F0000}"/>
    <cellStyle name="Border Heavy 2" xfId="8768" xr:uid="{00000000-0005-0000-0000-0000813F0000}"/>
    <cellStyle name="Border Heavy 2 2" xfId="8769" xr:uid="{00000000-0005-0000-0000-0000823F0000}"/>
    <cellStyle name="Border Heavy 3" xfId="8770" xr:uid="{00000000-0005-0000-0000-0000833F0000}"/>
    <cellStyle name="Border Heavy 4" xfId="8771" xr:uid="{00000000-0005-0000-0000-0000843F0000}"/>
    <cellStyle name="Border Thin" xfId="8772" xr:uid="{00000000-0005-0000-0000-0000853F0000}"/>
    <cellStyle name="Border Thin 2" xfId="8773" xr:uid="{00000000-0005-0000-0000-0000863F0000}"/>
    <cellStyle name="Border Thin 2 2" xfId="8774" xr:uid="{00000000-0005-0000-0000-0000873F0000}"/>
    <cellStyle name="Border Thin 3" xfId="8775" xr:uid="{00000000-0005-0000-0000-0000883F0000}"/>
    <cellStyle name="Border, Bottom" xfId="8776" xr:uid="{00000000-0005-0000-0000-0000893F0000}"/>
    <cellStyle name="Border, Bottom 2" xfId="8777" xr:uid="{00000000-0005-0000-0000-00008A3F0000}"/>
    <cellStyle name="Border, Left" xfId="8778" xr:uid="{00000000-0005-0000-0000-00008B3F0000}"/>
    <cellStyle name="Border, Right" xfId="8779" xr:uid="{00000000-0005-0000-0000-00008C3F0000}"/>
    <cellStyle name="Border, Top" xfId="8780" xr:uid="{00000000-0005-0000-0000-00008D3F0000}"/>
    <cellStyle name="Border, Top 2" xfId="8781" xr:uid="{00000000-0005-0000-0000-00008E3F0000}"/>
    <cellStyle name="Border_Anaphore 12 31 2008 Draft Analysis 02 19 2009" xfId="8782" xr:uid="{00000000-0005-0000-0000-00008F3F0000}"/>
    <cellStyle name="Bottom bold border" xfId="8783" xr:uid="{00000000-0005-0000-0000-0000903F0000}"/>
    <cellStyle name="Bottom bold border 2" xfId="8784" xr:uid="{00000000-0005-0000-0000-0000913F0000}"/>
    <cellStyle name="Bottom bold border 2 2" xfId="8785" xr:uid="{00000000-0005-0000-0000-0000923F0000}"/>
    <cellStyle name="Bottom bold border 3" xfId="8786" xr:uid="{00000000-0005-0000-0000-0000933F0000}"/>
    <cellStyle name="Bottom bold border 4" xfId="8787" xr:uid="{00000000-0005-0000-0000-0000943F0000}"/>
    <cellStyle name="Bottom bold border 5" xfId="8788" xr:uid="{00000000-0005-0000-0000-0000953F0000}"/>
    <cellStyle name="Bottom Edge" xfId="8789" xr:uid="{00000000-0005-0000-0000-0000963F0000}"/>
    <cellStyle name="Bottom Edge 2" xfId="8790" xr:uid="{00000000-0005-0000-0000-0000973F0000}"/>
    <cellStyle name="Bottom single border" xfId="8791" xr:uid="{00000000-0005-0000-0000-0000983F0000}"/>
    <cellStyle name="Bottom single border 2" xfId="8792" xr:uid="{00000000-0005-0000-0000-0000993F0000}"/>
    <cellStyle name="Bottom single border 2 2" xfId="8793" xr:uid="{00000000-0005-0000-0000-00009A3F0000}"/>
    <cellStyle name="Bottom single border 2 3" xfId="20259" xr:uid="{00000000-0005-0000-0000-00009B3F0000}"/>
    <cellStyle name="Bottom single border 3" xfId="8794" xr:uid="{00000000-0005-0000-0000-00009C3F0000}"/>
    <cellStyle name="Bottom single border 3 2" xfId="20260" xr:uid="{00000000-0005-0000-0000-00009D3F0000}"/>
    <cellStyle name="Bottom single border 4" xfId="8795" xr:uid="{00000000-0005-0000-0000-00009E3F0000}"/>
    <cellStyle name="Bottom single border 4 2" xfId="20261" xr:uid="{00000000-0005-0000-0000-00009F3F0000}"/>
    <cellStyle name="Bottom single border 5" xfId="8796" xr:uid="{00000000-0005-0000-0000-0000A03F0000}"/>
    <cellStyle name="Bottom single border 5 2" xfId="20262" xr:uid="{00000000-0005-0000-0000-0000A13F0000}"/>
    <cellStyle name="British Pound" xfId="8797" xr:uid="{00000000-0005-0000-0000-0000A23F0000}"/>
    <cellStyle name="British Pound 10" xfId="8798" xr:uid="{00000000-0005-0000-0000-0000A33F0000}"/>
    <cellStyle name="British Pound 10 2" xfId="8799" xr:uid="{00000000-0005-0000-0000-0000A43F0000}"/>
    <cellStyle name="British Pound 10 3" xfId="8800" xr:uid="{00000000-0005-0000-0000-0000A53F0000}"/>
    <cellStyle name="British Pound 10 4" xfId="8801" xr:uid="{00000000-0005-0000-0000-0000A63F0000}"/>
    <cellStyle name="British Pound 10 5" xfId="8802" xr:uid="{00000000-0005-0000-0000-0000A73F0000}"/>
    <cellStyle name="British Pound 10 6" xfId="8803" xr:uid="{00000000-0005-0000-0000-0000A83F0000}"/>
    <cellStyle name="British Pound 10 7" xfId="8804" xr:uid="{00000000-0005-0000-0000-0000A93F0000}"/>
    <cellStyle name="British Pound 10 8" xfId="8805" xr:uid="{00000000-0005-0000-0000-0000AA3F0000}"/>
    <cellStyle name="British Pound 10 9" xfId="8806" xr:uid="{00000000-0005-0000-0000-0000AB3F0000}"/>
    <cellStyle name="British Pound 11" xfId="8807" xr:uid="{00000000-0005-0000-0000-0000AC3F0000}"/>
    <cellStyle name="British Pound 11 2" xfId="8808" xr:uid="{00000000-0005-0000-0000-0000AD3F0000}"/>
    <cellStyle name="British Pound 11 2 2" xfId="8809" xr:uid="{00000000-0005-0000-0000-0000AE3F0000}"/>
    <cellStyle name="British Pound 11 2 2 2" xfId="8810" xr:uid="{00000000-0005-0000-0000-0000AF3F0000}"/>
    <cellStyle name="British Pound 11 2 2 3" xfId="8811" xr:uid="{00000000-0005-0000-0000-0000B03F0000}"/>
    <cellStyle name="British Pound 11 2 2 4" xfId="8812" xr:uid="{00000000-0005-0000-0000-0000B13F0000}"/>
    <cellStyle name="British Pound 11 2 2 5" xfId="8813" xr:uid="{00000000-0005-0000-0000-0000B23F0000}"/>
    <cellStyle name="British Pound 11 2 2 6" xfId="8814" xr:uid="{00000000-0005-0000-0000-0000B33F0000}"/>
    <cellStyle name="British Pound 11 2 2 7" xfId="8815" xr:uid="{00000000-0005-0000-0000-0000B43F0000}"/>
    <cellStyle name="British Pound 11 2 2 8" xfId="8816" xr:uid="{00000000-0005-0000-0000-0000B53F0000}"/>
    <cellStyle name="British Pound 11 2 3" xfId="8817" xr:uid="{00000000-0005-0000-0000-0000B63F0000}"/>
    <cellStyle name="British Pound 11 2 4" xfId="8818" xr:uid="{00000000-0005-0000-0000-0000B73F0000}"/>
    <cellStyle name="British Pound 11 2 5" xfId="8819" xr:uid="{00000000-0005-0000-0000-0000B83F0000}"/>
    <cellStyle name="British Pound 11 2 6" xfId="8820" xr:uid="{00000000-0005-0000-0000-0000B93F0000}"/>
    <cellStyle name="British Pound 11 2 7" xfId="8821" xr:uid="{00000000-0005-0000-0000-0000BA3F0000}"/>
    <cellStyle name="British Pound 11 2 8" xfId="8822" xr:uid="{00000000-0005-0000-0000-0000BB3F0000}"/>
    <cellStyle name="British Pound 11 2 9" xfId="8823" xr:uid="{00000000-0005-0000-0000-0000BC3F0000}"/>
    <cellStyle name="British Pound 11 3" xfId="8824" xr:uid="{00000000-0005-0000-0000-0000BD3F0000}"/>
    <cellStyle name="British Pound 11 3 2" xfId="8825" xr:uid="{00000000-0005-0000-0000-0000BE3F0000}"/>
    <cellStyle name="British Pound 11 3 3" xfId="8826" xr:uid="{00000000-0005-0000-0000-0000BF3F0000}"/>
    <cellStyle name="British Pound 11 3 4" xfId="8827" xr:uid="{00000000-0005-0000-0000-0000C03F0000}"/>
    <cellStyle name="British Pound 11 3 5" xfId="8828" xr:uid="{00000000-0005-0000-0000-0000C13F0000}"/>
    <cellStyle name="British Pound 11 3 6" xfId="8829" xr:uid="{00000000-0005-0000-0000-0000C23F0000}"/>
    <cellStyle name="British Pound 11 3 7" xfId="8830" xr:uid="{00000000-0005-0000-0000-0000C33F0000}"/>
    <cellStyle name="British Pound 11 3 8" xfId="8831" xr:uid="{00000000-0005-0000-0000-0000C43F0000}"/>
    <cellStyle name="British Pound 11 4" xfId="8832" xr:uid="{00000000-0005-0000-0000-0000C53F0000}"/>
    <cellStyle name="British Pound 11 5" xfId="8833" xr:uid="{00000000-0005-0000-0000-0000C63F0000}"/>
    <cellStyle name="British Pound 11 6" xfId="8834" xr:uid="{00000000-0005-0000-0000-0000C73F0000}"/>
    <cellStyle name="British Pound 11 7" xfId="8835" xr:uid="{00000000-0005-0000-0000-0000C83F0000}"/>
    <cellStyle name="British Pound 11 8" xfId="8836" xr:uid="{00000000-0005-0000-0000-0000C93F0000}"/>
    <cellStyle name="British Pound 11 9" xfId="8837" xr:uid="{00000000-0005-0000-0000-0000CA3F0000}"/>
    <cellStyle name="British Pound 12" xfId="8838" xr:uid="{00000000-0005-0000-0000-0000CB3F0000}"/>
    <cellStyle name="British Pound 12 10" xfId="8839" xr:uid="{00000000-0005-0000-0000-0000CC3F0000}"/>
    <cellStyle name="British Pound 12 11" xfId="8840" xr:uid="{00000000-0005-0000-0000-0000CD3F0000}"/>
    <cellStyle name="British Pound 12 12" xfId="8841" xr:uid="{00000000-0005-0000-0000-0000CE3F0000}"/>
    <cellStyle name="British Pound 12 13" xfId="8842" xr:uid="{00000000-0005-0000-0000-0000CF3F0000}"/>
    <cellStyle name="British Pound 12 14" xfId="8843" xr:uid="{00000000-0005-0000-0000-0000D03F0000}"/>
    <cellStyle name="British Pound 12 15" xfId="8844" xr:uid="{00000000-0005-0000-0000-0000D13F0000}"/>
    <cellStyle name="British Pound 12 16" xfId="8845" xr:uid="{00000000-0005-0000-0000-0000D23F0000}"/>
    <cellStyle name="British Pound 12 2" xfId="8846" xr:uid="{00000000-0005-0000-0000-0000D33F0000}"/>
    <cellStyle name="British Pound 12 3" xfId="8847" xr:uid="{00000000-0005-0000-0000-0000D43F0000}"/>
    <cellStyle name="British Pound 12 4" xfId="8848" xr:uid="{00000000-0005-0000-0000-0000D53F0000}"/>
    <cellStyle name="British Pound 12 5" xfId="8849" xr:uid="{00000000-0005-0000-0000-0000D63F0000}"/>
    <cellStyle name="British Pound 12 6" xfId="8850" xr:uid="{00000000-0005-0000-0000-0000D73F0000}"/>
    <cellStyle name="British Pound 12 7" xfId="8851" xr:uid="{00000000-0005-0000-0000-0000D83F0000}"/>
    <cellStyle name="British Pound 12 8" xfId="8852" xr:uid="{00000000-0005-0000-0000-0000D93F0000}"/>
    <cellStyle name="British Pound 12 9" xfId="8853" xr:uid="{00000000-0005-0000-0000-0000DA3F0000}"/>
    <cellStyle name="British Pound 13" xfId="8854" xr:uid="{00000000-0005-0000-0000-0000DB3F0000}"/>
    <cellStyle name="British Pound 13 2" xfId="8855" xr:uid="{00000000-0005-0000-0000-0000DC3F0000}"/>
    <cellStyle name="British Pound 13 3" xfId="8856" xr:uid="{00000000-0005-0000-0000-0000DD3F0000}"/>
    <cellStyle name="British Pound 13 4" xfId="8857" xr:uid="{00000000-0005-0000-0000-0000DE3F0000}"/>
    <cellStyle name="British Pound 13 5" xfId="8858" xr:uid="{00000000-0005-0000-0000-0000DF3F0000}"/>
    <cellStyle name="British Pound 13 6" xfId="8859" xr:uid="{00000000-0005-0000-0000-0000E03F0000}"/>
    <cellStyle name="British Pound 13 7" xfId="8860" xr:uid="{00000000-0005-0000-0000-0000E13F0000}"/>
    <cellStyle name="British Pound 13 8" xfId="8861" xr:uid="{00000000-0005-0000-0000-0000E23F0000}"/>
    <cellStyle name="British Pound 13 9" xfId="8862" xr:uid="{00000000-0005-0000-0000-0000E33F0000}"/>
    <cellStyle name="British Pound 14" xfId="8863" xr:uid="{00000000-0005-0000-0000-0000E43F0000}"/>
    <cellStyle name="British Pound 14 2" xfId="8864" xr:uid="{00000000-0005-0000-0000-0000E53F0000}"/>
    <cellStyle name="British Pound 14 3" xfId="8865" xr:uid="{00000000-0005-0000-0000-0000E63F0000}"/>
    <cellStyle name="British Pound 14 4" xfId="8866" xr:uid="{00000000-0005-0000-0000-0000E73F0000}"/>
    <cellStyle name="British Pound 14 5" xfId="8867" xr:uid="{00000000-0005-0000-0000-0000E83F0000}"/>
    <cellStyle name="British Pound 14 6" xfId="8868" xr:uid="{00000000-0005-0000-0000-0000E93F0000}"/>
    <cellStyle name="British Pound 14 7" xfId="8869" xr:uid="{00000000-0005-0000-0000-0000EA3F0000}"/>
    <cellStyle name="British Pound 14 8" xfId="8870" xr:uid="{00000000-0005-0000-0000-0000EB3F0000}"/>
    <cellStyle name="British Pound 14 9" xfId="8871" xr:uid="{00000000-0005-0000-0000-0000EC3F0000}"/>
    <cellStyle name="British Pound 15" xfId="8872" xr:uid="{00000000-0005-0000-0000-0000ED3F0000}"/>
    <cellStyle name="British Pound 15 2" xfId="8873" xr:uid="{00000000-0005-0000-0000-0000EE3F0000}"/>
    <cellStyle name="British Pound 15 3" xfId="8874" xr:uid="{00000000-0005-0000-0000-0000EF3F0000}"/>
    <cellStyle name="British Pound 15 4" xfId="8875" xr:uid="{00000000-0005-0000-0000-0000F03F0000}"/>
    <cellStyle name="British Pound 15 5" xfId="8876" xr:uid="{00000000-0005-0000-0000-0000F13F0000}"/>
    <cellStyle name="British Pound 15 6" xfId="8877" xr:uid="{00000000-0005-0000-0000-0000F23F0000}"/>
    <cellStyle name="British Pound 15 7" xfId="8878" xr:uid="{00000000-0005-0000-0000-0000F33F0000}"/>
    <cellStyle name="British Pound 15 8" xfId="8879" xr:uid="{00000000-0005-0000-0000-0000F43F0000}"/>
    <cellStyle name="British Pound 15 9" xfId="8880" xr:uid="{00000000-0005-0000-0000-0000F53F0000}"/>
    <cellStyle name="British Pound 16" xfId="8881" xr:uid="{00000000-0005-0000-0000-0000F63F0000}"/>
    <cellStyle name="British Pound 16 2" xfId="8882" xr:uid="{00000000-0005-0000-0000-0000F73F0000}"/>
    <cellStyle name="British Pound 16 3" xfId="8883" xr:uid="{00000000-0005-0000-0000-0000F83F0000}"/>
    <cellStyle name="British Pound 16 4" xfId="8884" xr:uid="{00000000-0005-0000-0000-0000F93F0000}"/>
    <cellStyle name="British Pound 16 5" xfId="8885" xr:uid="{00000000-0005-0000-0000-0000FA3F0000}"/>
    <cellStyle name="British Pound 16 6" xfId="8886" xr:uid="{00000000-0005-0000-0000-0000FB3F0000}"/>
    <cellStyle name="British Pound 16 7" xfId="8887" xr:uid="{00000000-0005-0000-0000-0000FC3F0000}"/>
    <cellStyle name="British Pound 16 8" xfId="8888" xr:uid="{00000000-0005-0000-0000-0000FD3F0000}"/>
    <cellStyle name="British Pound 16 9" xfId="8889" xr:uid="{00000000-0005-0000-0000-0000FE3F0000}"/>
    <cellStyle name="British Pound 17" xfId="8890" xr:uid="{00000000-0005-0000-0000-0000FF3F0000}"/>
    <cellStyle name="British Pound 17 2" xfId="8891" xr:uid="{00000000-0005-0000-0000-000000400000}"/>
    <cellStyle name="British Pound 17 3" xfId="8892" xr:uid="{00000000-0005-0000-0000-000001400000}"/>
    <cellStyle name="British Pound 17 4" xfId="8893" xr:uid="{00000000-0005-0000-0000-000002400000}"/>
    <cellStyle name="British Pound 17 5" xfId="8894" xr:uid="{00000000-0005-0000-0000-000003400000}"/>
    <cellStyle name="British Pound 17 6" xfId="8895" xr:uid="{00000000-0005-0000-0000-000004400000}"/>
    <cellStyle name="British Pound 17 7" xfId="8896" xr:uid="{00000000-0005-0000-0000-000005400000}"/>
    <cellStyle name="British Pound 17 8" xfId="8897" xr:uid="{00000000-0005-0000-0000-000006400000}"/>
    <cellStyle name="British Pound 17 9" xfId="8898" xr:uid="{00000000-0005-0000-0000-000007400000}"/>
    <cellStyle name="British Pound 18" xfId="8899" xr:uid="{00000000-0005-0000-0000-000008400000}"/>
    <cellStyle name="British Pound 18 2" xfId="8900" xr:uid="{00000000-0005-0000-0000-000009400000}"/>
    <cellStyle name="British Pound 18 3" xfId="8901" xr:uid="{00000000-0005-0000-0000-00000A400000}"/>
    <cellStyle name="British Pound 18 4" xfId="8902" xr:uid="{00000000-0005-0000-0000-00000B400000}"/>
    <cellStyle name="British Pound 18 5" xfId="8903" xr:uid="{00000000-0005-0000-0000-00000C400000}"/>
    <cellStyle name="British Pound 18 6" xfId="8904" xr:uid="{00000000-0005-0000-0000-00000D400000}"/>
    <cellStyle name="British Pound 18 7" xfId="8905" xr:uid="{00000000-0005-0000-0000-00000E400000}"/>
    <cellStyle name="British Pound 18 8" xfId="8906" xr:uid="{00000000-0005-0000-0000-00000F400000}"/>
    <cellStyle name="British Pound 18 9" xfId="8907" xr:uid="{00000000-0005-0000-0000-000010400000}"/>
    <cellStyle name="British Pound 19" xfId="8908" xr:uid="{00000000-0005-0000-0000-000011400000}"/>
    <cellStyle name="British Pound 19 2" xfId="8909" xr:uid="{00000000-0005-0000-0000-000012400000}"/>
    <cellStyle name="British Pound 19 3" xfId="8910" xr:uid="{00000000-0005-0000-0000-000013400000}"/>
    <cellStyle name="British Pound 19 4" xfId="8911" xr:uid="{00000000-0005-0000-0000-000014400000}"/>
    <cellStyle name="British Pound 19 5" xfId="8912" xr:uid="{00000000-0005-0000-0000-000015400000}"/>
    <cellStyle name="British Pound 19 6" xfId="8913" xr:uid="{00000000-0005-0000-0000-000016400000}"/>
    <cellStyle name="British Pound 19 7" xfId="8914" xr:uid="{00000000-0005-0000-0000-000017400000}"/>
    <cellStyle name="British Pound 19 8" xfId="8915" xr:uid="{00000000-0005-0000-0000-000018400000}"/>
    <cellStyle name="British Pound 19 9" xfId="8916" xr:uid="{00000000-0005-0000-0000-000019400000}"/>
    <cellStyle name="British Pound 2" xfId="8917" xr:uid="{00000000-0005-0000-0000-00001A400000}"/>
    <cellStyle name="British Pound 2 10" xfId="8918" xr:uid="{00000000-0005-0000-0000-00001B400000}"/>
    <cellStyle name="British Pound 2 11" xfId="8919" xr:uid="{00000000-0005-0000-0000-00001C400000}"/>
    <cellStyle name="British Pound 2 11 2" xfId="8920" xr:uid="{00000000-0005-0000-0000-00001D400000}"/>
    <cellStyle name="British Pound 2 11 3" xfId="8921" xr:uid="{00000000-0005-0000-0000-00001E400000}"/>
    <cellStyle name="British Pound 2 11 4" xfId="8922" xr:uid="{00000000-0005-0000-0000-00001F400000}"/>
    <cellStyle name="British Pound 2 11 5" xfId="8923" xr:uid="{00000000-0005-0000-0000-000020400000}"/>
    <cellStyle name="British Pound 2 11 6" xfId="8924" xr:uid="{00000000-0005-0000-0000-000021400000}"/>
    <cellStyle name="British Pound 2 11 7" xfId="8925" xr:uid="{00000000-0005-0000-0000-000022400000}"/>
    <cellStyle name="British Pound 2 11 8" xfId="8926" xr:uid="{00000000-0005-0000-0000-000023400000}"/>
    <cellStyle name="British Pound 2 12" xfId="8927" xr:uid="{00000000-0005-0000-0000-000024400000}"/>
    <cellStyle name="British Pound 2 12 2" xfId="8928" xr:uid="{00000000-0005-0000-0000-000025400000}"/>
    <cellStyle name="British Pound 2 12 3" xfId="8929" xr:uid="{00000000-0005-0000-0000-000026400000}"/>
    <cellStyle name="British Pound 2 12 4" xfId="8930" xr:uid="{00000000-0005-0000-0000-000027400000}"/>
    <cellStyle name="British Pound 2 12 5" xfId="8931" xr:uid="{00000000-0005-0000-0000-000028400000}"/>
    <cellStyle name="British Pound 2 12 6" xfId="8932" xr:uid="{00000000-0005-0000-0000-000029400000}"/>
    <cellStyle name="British Pound 2 12 7" xfId="8933" xr:uid="{00000000-0005-0000-0000-00002A400000}"/>
    <cellStyle name="British Pound 2 12 8" xfId="8934" xr:uid="{00000000-0005-0000-0000-00002B400000}"/>
    <cellStyle name="British Pound 2 13" xfId="8935" xr:uid="{00000000-0005-0000-0000-00002C400000}"/>
    <cellStyle name="British Pound 2 14" xfId="8936" xr:uid="{00000000-0005-0000-0000-00002D400000}"/>
    <cellStyle name="British Pound 2 15" xfId="8937" xr:uid="{00000000-0005-0000-0000-00002E400000}"/>
    <cellStyle name="British Pound 2 16" xfId="8938" xr:uid="{00000000-0005-0000-0000-00002F400000}"/>
    <cellStyle name="British Pound 2 17" xfId="8939" xr:uid="{00000000-0005-0000-0000-000030400000}"/>
    <cellStyle name="British Pound 2 18" xfId="8940" xr:uid="{00000000-0005-0000-0000-000031400000}"/>
    <cellStyle name="British Pound 2 2" xfId="8941" xr:uid="{00000000-0005-0000-0000-000032400000}"/>
    <cellStyle name="British Pound 2 2 10" xfId="8942" xr:uid="{00000000-0005-0000-0000-000033400000}"/>
    <cellStyle name="British Pound 2 2 11" xfId="8943" xr:uid="{00000000-0005-0000-0000-000034400000}"/>
    <cellStyle name="British Pound 2 2 12" xfId="8944" xr:uid="{00000000-0005-0000-0000-000035400000}"/>
    <cellStyle name="British Pound 2 2 13" xfId="8945" xr:uid="{00000000-0005-0000-0000-000036400000}"/>
    <cellStyle name="British Pound 2 2 14" xfId="8946" xr:uid="{00000000-0005-0000-0000-000037400000}"/>
    <cellStyle name="British Pound 2 2 15" xfId="8947" xr:uid="{00000000-0005-0000-0000-000038400000}"/>
    <cellStyle name="British Pound 2 2 16" xfId="8948" xr:uid="{00000000-0005-0000-0000-000039400000}"/>
    <cellStyle name="British Pound 2 2 17" xfId="8949" xr:uid="{00000000-0005-0000-0000-00003A400000}"/>
    <cellStyle name="British Pound 2 2 18" xfId="8950" xr:uid="{00000000-0005-0000-0000-00003B400000}"/>
    <cellStyle name="British Pound 2 2 2" xfId="8951" xr:uid="{00000000-0005-0000-0000-00003C400000}"/>
    <cellStyle name="British Pound 2 2 2 10" xfId="8952" xr:uid="{00000000-0005-0000-0000-00003D400000}"/>
    <cellStyle name="British Pound 2 2 2 11" xfId="8953" xr:uid="{00000000-0005-0000-0000-00003E400000}"/>
    <cellStyle name="British Pound 2 2 2 12" xfId="8954" xr:uid="{00000000-0005-0000-0000-00003F400000}"/>
    <cellStyle name="British Pound 2 2 2 13" xfId="8955" xr:uid="{00000000-0005-0000-0000-000040400000}"/>
    <cellStyle name="British Pound 2 2 2 14" xfId="8956" xr:uid="{00000000-0005-0000-0000-000041400000}"/>
    <cellStyle name="British Pound 2 2 2 15" xfId="8957" xr:uid="{00000000-0005-0000-0000-000042400000}"/>
    <cellStyle name="British Pound 2 2 2 16" xfId="8958" xr:uid="{00000000-0005-0000-0000-000043400000}"/>
    <cellStyle name="British Pound 2 2 2 2" xfId="8959" xr:uid="{00000000-0005-0000-0000-000044400000}"/>
    <cellStyle name="British Pound 2 2 2 2 10" xfId="8960" xr:uid="{00000000-0005-0000-0000-000045400000}"/>
    <cellStyle name="British Pound 2 2 2 2 11" xfId="8961" xr:uid="{00000000-0005-0000-0000-000046400000}"/>
    <cellStyle name="British Pound 2 2 2 2 12" xfId="8962" xr:uid="{00000000-0005-0000-0000-000047400000}"/>
    <cellStyle name="British Pound 2 2 2 2 13" xfId="8963" xr:uid="{00000000-0005-0000-0000-000048400000}"/>
    <cellStyle name="British Pound 2 2 2 2 14" xfId="8964" xr:uid="{00000000-0005-0000-0000-000049400000}"/>
    <cellStyle name="British Pound 2 2 2 2 15" xfId="8965" xr:uid="{00000000-0005-0000-0000-00004A400000}"/>
    <cellStyle name="British Pound 2 2 2 2 2" xfId="8966" xr:uid="{00000000-0005-0000-0000-00004B400000}"/>
    <cellStyle name="British Pound 2 2 2 2 2 2" xfId="8967" xr:uid="{00000000-0005-0000-0000-00004C400000}"/>
    <cellStyle name="British Pound 2 2 2 2 2 2 2" xfId="8968" xr:uid="{00000000-0005-0000-0000-00004D400000}"/>
    <cellStyle name="British Pound 2 2 2 2 2 2 2 2" xfId="8969" xr:uid="{00000000-0005-0000-0000-00004E400000}"/>
    <cellStyle name="British Pound 2 2 2 2 2 2 2 3" xfId="8970" xr:uid="{00000000-0005-0000-0000-00004F400000}"/>
    <cellStyle name="British Pound 2 2 2 2 2 2 2 4" xfId="8971" xr:uid="{00000000-0005-0000-0000-000050400000}"/>
    <cellStyle name="British Pound 2 2 2 2 2 2 2 5" xfId="8972" xr:uid="{00000000-0005-0000-0000-000051400000}"/>
    <cellStyle name="British Pound 2 2 2 2 2 2 2 6" xfId="8973" xr:uid="{00000000-0005-0000-0000-000052400000}"/>
    <cellStyle name="British Pound 2 2 2 2 2 2 2 7" xfId="8974" xr:uid="{00000000-0005-0000-0000-000053400000}"/>
    <cellStyle name="British Pound 2 2 2 2 2 2 2 8" xfId="8975" xr:uid="{00000000-0005-0000-0000-000054400000}"/>
    <cellStyle name="British Pound 2 2 2 2 2 2 3" xfId="8976" xr:uid="{00000000-0005-0000-0000-000055400000}"/>
    <cellStyle name="British Pound 2 2 2 2 2 2 4" xfId="8977" xr:uid="{00000000-0005-0000-0000-000056400000}"/>
    <cellStyle name="British Pound 2 2 2 2 2 2 5" xfId="8978" xr:uid="{00000000-0005-0000-0000-000057400000}"/>
    <cellStyle name="British Pound 2 2 2 2 2 2 6" xfId="8979" xr:uid="{00000000-0005-0000-0000-000058400000}"/>
    <cellStyle name="British Pound 2 2 2 2 2 2 7" xfId="8980" xr:uid="{00000000-0005-0000-0000-000059400000}"/>
    <cellStyle name="British Pound 2 2 2 2 2 2 8" xfId="8981" xr:uid="{00000000-0005-0000-0000-00005A400000}"/>
    <cellStyle name="British Pound 2 2 2 2 2 2 9" xfId="8982" xr:uid="{00000000-0005-0000-0000-00005B400000}"/>
    <cellStyle name="British Pound 2 2 2 2 2 3" xfId="8983" xr:uid="{00000000-0005-0000-0000-00005C400000}"/>
    <cellStyle name="British Pound 2 2 2 2 2 4" xfId="8984" xr:uid="{00000000-0005-0000-0000-00005D400000}"/>
    <cellStyle name="British Pound 2 2 2 2 2 5" xfId="8985" xr:uid="{00000000-0005-0000-0000-00005E400000}"/>
    <cellStyle name="British Pound 2 2 2 2 2 6" xfId="8986" xr:uid="{00000000-0005-0000-0000-00005F400000}"/>
    <cellStyle name="British Pound 2 2 2 2 2 7" xfId="8987" xr:uid="{00000000-0005-0000-0000-000060400000}"/>
    <cellStyle name="British Pound 2 2 2 2 2 8" xfId="8988" xr:uid="{00000000-0005-0000-0000-000061400000}"/>
    <cellStyle name="British Pound 2 2 2 2 2 9" xfId="8989" xr:uid="{00000000-0005-0000-0000-000062400000}"/>
    <cellStyle name="British Pound 2 2 2 2 3" xfId="8990" xr:uid="{00000000-0005-0000-0000-000063400000}"/>
    <cellStyle name="British Pound 2 2 2 2 3 2" xfId="8991" xr:uid="{00000000-0005-0000-0000-000064400000}"/>
    <cellStyle name="British Pound 2 2 2 2 3 3" xfId="8992" xr:uid="{00000000-0005-0000-0000-000065400000}"/>
    <cellStyle name="British Pound 2 2 2 2 3 4" xfId="8993" xr:uid="{00000000-0005-0000-0000-000066400000}"/>
    <cellStyle name="British Pound 2 2 2 2 3 5" xfId="8994" xr:uid="{00000000-0005-0000-0000-000067400000}"/>
    <cellStyle name="British Pound 2 2 2 2 3 6" xfId="8995" xr:uid="{00000000-0005-0000-0000-000068400000}"/>
    <cellStyle name="British Pound 2 2 2 2 3 7" xfId="8996" xr:uid="{00000000-0005-0000-0000-000069400000}"/>
    <cellStyle name="British Pound 2 2 2 2 3 8" xfId="8997" xr:uid="{00000000-0005-0000-0000-00006A400000}"/>
    <cellStyle name="British Pound 2 2 2 2 4" xfId="8998" xr:uid="{00000000-0005-0000-0000-00006B400000}"/>
    <cellStyle name="British Pound 2 2 2 2 5" xfId="8999" xr:uid="{00000000-0005-0000-0000-00006C400000}"/>
    <cellStyle name="British Pound 2 2 2 2 6" xfId="9000" xr:uid="{00000000-0005-0000-0000-00006D400000}"/>
    <cellStyle name="British Pound 2 2 2 2 7" xfId="9001" xr:uid="{00000000-0005-0000-0000-00006E400000}"/>
    <cellStyle name="British Pound 2 2 2 2 8" xfId="9002" xr:uid="{00000000-0005-0000-0000-00006F400000}"/>
    <cellStyle name="British Pound 2 2 2 2 9" xfId="9003" xr:uid="{00000000-0005-0000-0000-000070400000}"/>
    <cellStyle name="British Pound 2 2 2 3" xfId="9004" xr:uid="{00000000-0005-0000-0000-000071400000}"/>
    <cellStyle name="British Pound 2 2 2 3 2" xfId="9005" xr:uid="{00000000-0005-0000-0000-000072400000}"/>
    <cellStyle name="British Pound 2 2 2 3 3" xfId="9006" xr:uid="{00000000-0005-0000-0000-000073400000}"/>
    <cellStyle name="British Pound 2 2 2 3 4" xfId="9007" xr:uid="{00000000-0005-0000-0000-000074400000}"/>
    <cellStyle name="British Pound 2 2 2 3 5" xfId="9008" xr:uid="{00000000-0005-0000-0000-000075400000}"/>
    <cellStyle name="British Pound 2 2 2 3 6" xfId="9009" xr:uid="{00000000-0005-0000-0000-000076400000}"/>
    <cellStyle name="British Pound 2 2 2 3 7" xfId="9010" xr:uid="{00000000-0005-0000-0000-000077400000}"/>
    <cellStyle name="British Pound 2 2 2 3 8" xfId="9011" xr:uid="{00000000-0005-0000-0000-000078400000}"/>
    <cellStyle name="British Pound 2 2 2 4" xfId="9012" xr:uid="{00000000-0005-0000-0000-000079400000}"/>
    <cellStyle name="British Pound 2 2 2 4 2" xfId="9013" xr:uid="{00000000-0005-0000-0000-00007A400000}"/>
    <cellStyle name="British Pound 2 2 2 4 3" xfId="9014" xr:uid="{00000000-0005-0000-0000-00007B400000}"/>
    <cellStyle name="British Pound 2 2 2 4 4" xfId="9015" xr:uid="{00000000-0005-0000-0000-00007C400000}"/>
    <cellStyle name="British Pound 2 2 2 4 5" xfId="9016" xr:uid="{00000000-0005-0000-0000-00007D400000}"/>
    <cellStyle name="British Pound 2 2 2 4 6" xfId="9017" xr:uid="{00000000-0005-0000-0000-00007E400000}"/>
    <cellStyle name="British Pound 2 2 2 4 7" xfId="9018" xr:uid="{00000000-0005-0000-0000-00007F400000}"/>
    <cellStyle name="British Pound 2 2 2 4 8" xfId="9019" xr:uid="{00000000-0005-0000-0000-000080400000}"/>
    <cellStyle name="British Pound 2 2 2 5" xfId="9020" xr:uid="{00000000-0005-0000-0000-000081400000}"/>
    <cellStyle name="British Pound 2 2 2 5 2" xfId="9021" xr:uid="{00000000-0005-0000-0000-000082400000}"/>
    <cellStyle name="British Pound 2 2 2 5 3" xfId="9022" xr:uid="{00000000-0005-0000-0000-000083400000}"/>
    <cellStyle name="British Pound 2 2 2 5 4" xfId="9023" xr:uid="{00000000-0005-0000-0000-000084400000}"/>
    <cellStyle name="British Pound 2 2 2 5 5" xfId="9024" xr:uid="{00000000-0005-0000-0000-000085400000}"/>
    <cellStyle name="British Pound 2 2 2 5 6" xfId="9025" xr:uid="{00000000-0005-0000-0000-000086400000}"/>
    <cellStyle name="British Pound 2 2 2 5 7" xfId="9026" xr:uid="{00000000-0005-0000-0000-000087400000}"/>
    <cellStyle name="British Pound 2 2 2 5 8" xfId="9027" xr:uid="{00000000-0005-0000-0000-000088400000}"/>
    <cellStyle name="British Pound 2 2 2 6" xfId="9028" xr:uid="{00000000-0005-0000-0000-000089400000}"/>
    <cellStyle name="British Pound 2 2 2 6 2" xfId="9029" xr:uid="{00000000-0005-0000-0000-00008A400000}"/>
    <cellStyle name="British Pound 2 2 2 6 3" xfId="9030" xr:uid="{00000000-0005-0000-0000-00008B400000}"/>
    <cellStyle name="British Pound 2 2 2 6 4" xfId="9031" xr:uid="{00000000-0005-0000-0000-00008C400000}"/>
    <cellStyle name="British Pound 2 2 2 6 5" xfId="9032" xr:uid="{00000000-0005-0000-0000-00008D400000}"/>
    <cellStyle name="British Pound 2 2 2 6 6" xfId="9033" xr:uid="{00000000-0005-0000-0000-00008E400000}"/>
    <cellStyle name="British Pound 2 2 2 6 7" xfId="9034" xr:uid="{00000000-0005-0000-0000-00008F400000}"/>
    <cellStyle name="British Pound 2 2 2 6 8" xfId="9035" xr:uid="{00000000-0005-0000-0000-000090400000}"/>
    <cellStyle name="British Pound 2 2 2 7" xfId="9036" xr:uid="{00000000-0005-0000-0000-000091400000}"/>
    <cellStyle name="British Pound 2 2 2 8" xfId="9037" xr:uid="{00000000-0005-0000-0000-000092400000}"/>
    <cellStyle name="British Pound 2 2 2 9" xfId="9038" xr:uid="{00000000-0005-0000-0000-000093400000}"/>
    <cellStyle name="British Pound 2 2 3" xfId="9039" xr:uid="{00000000-0005-0000-0000-000094400000}"/>
    <cellStyle name="British Pound 2 2 3 10" xfId="9040" xr:uid="{00000000-0005-0000-0000-000095400000}"/>
    <cellStyle name="British Pound 2 2 3 11" xfId="9041" xr:uid="{00000000-0005-0000-0000-000096400000}"/>
    <cellStyle name="British Pound 2 2 3 12" xfId="9042" xr:uid="{00000000-0005-0000-0000-000097400000}"/>
    <cellStyle name="British Pound 2 2 3 13" xfId="9043" xr:uid="{00000000-0005-0000-0000-000098400000}"/>
    <cellStyle name="British Pound 2 2 3 14" xfId="9044" xr:uid="{00000000-0005-0000-0000-000099400000}"/>
    <cellStyle name="British Pound 2 2 3 15" xfId="9045" xr:uid="{00000000-0005-0000-0000-00009A400000}"/>
    <cellStyle name="British Pound 2 2 3 16" xfId="9046" xr:uid="{00000000-0005-0000-0000-00009B400000}"/>
    <cellStyle name="British Pound 2 2 3 2" xfId="9047" xr:uid="{00000000-0005-0000-0000-00009C400000}"/>
    <cellStyle name="British Pound 2 2 3 2 2" xfId="9048" xr:uid="{00000000-0005-0000-0000-00009D400000}"/>
    <cellStyle name="British Pound 2 2 3 2 3" xfId="9049" xr:uid="{00000000-0005-0000-0000-00009E400000}"/>
    <cellStyle name="British Pound 2 2 3 2 4" xfId="9050" xr:uid="{00000000-0005-0000-0000-00009F400000}"/>
    <cellStyle name="British Pound 2 2 3 2 5" xfId="9051" xr:uid="{00000000-0005-0000-0000-0000A0400000}"/>
    <cellStyle name="British Pound 2 2 3 2 6" xfId="9052" xr:uid="{00000000-0005-0000-0000-0000A1400000}"/>
    <cellStyle name="British Pound 2 2 3 2 7" xfId="9053" xr:uid="{00000000-0005-0000-0000-0000A2400000}"/>
    <cellStyle name="British Pound 2 2 3 2 8" xfId="9054" xr:uid="{00000000-0005-0000-0000-0000A3400000}"/>
    <cellStyle name="British Pound 2 2 3 3" xfId="9055" xr:uid="{00000000-0005-0000-0000-0000A4400000}"/>
    <cellStyle name="British Pound 2 2 3 3 2" xfId="9056" xr:uid="{00000000-0005-0000-0000-0000A5400000}"/>
    <cellStyle name="British Pound 2 2 3 3 3" xfId="9057" xr:uid="{00000000-0005-0000-0000-0000A6400000}"/>
    <cellStyle name="British Pound 2 2 3 3 4" xfId="9058" xr:uid="{00000000-0005-0000-0000-0000A7400000}"/>
    <cellStyle name="British Pound 2 2 3 3 5" xfId="9059" xr:uid="{00000000-0005-0000-0000-0000A8400000}"/>
    <cellStyle name="British Pound 2 2 3 3 6" xfId="9060" xr:uid="{00000000-0005-0000-0000-0000A9400000}"/>
    <cellStyle name="British Pound 2 2 3 3 7" xfId="9061" xr:uid="{00000000-0005-0000-0000-0000AA400000}"/>
    <cellStyle name="British Pound 2 2 3 3 8" xfId="9062" xr:uid="{00000000-0005-0000-0000-0000AB400000}"/>
    <cellStyle name="British Pound 2 2 3 4" xfId="9063" xr:uid="{00000000-0005-0000-0000-0000AC400000}"/>
    <cellStyle name="British Pound 2 2 3 5" xfId="9064" xr:uid="{00000000-0005-0000-0000-0000AD400000}"/>
    <cellStyle name="British Pound 2 2 3 6" xfId="9065" xr:uid="{00000000-0005-0000-0000-0000AE400000}"/>
    <cellStyle name="British Pound 2 2 3 7" xfId="9066" xr:uid="{00000000-0005-0000-0000-0000AF400000}"/>
    <cellStyle name="British Pound 2 2 3 8" xfId="9067" xr:uid="{00000000-0005-0000-0000-0000B0400000}"/>
    <cellStyle name="British Pound 2 2 3 9" xfId="9068" xr:uid="{00000000-0005-0000-0000-0000B1400000}"/>
    <cellStyle name="British Pound 2 2 4" xfId="9069" xr:uid="{00000000-0005-0000-0000-0000B2400000}"/>
    <cellStyle name="British Pound 2 2 4 2" xfId="9070" xr:uid="{00000000-0005-0000-0000-0000B3400000}"/>
    <cellStyle name="British Pound 2 2 4 2 2" xfId="9071" xr:uid="{00000000-0005-0000-0000-0000B4400000}"/>
    <cellStyle name="British Pound 2 2 4 2 2 2" xfId="9072" xr:uid="{00000000-0005-0000-0000-0000B5400000}"/>
    <cellStyle name="British Pound 2 2 4 2 2 3" xfId="9073" xr:uid="{00000000-0005-0000-0000-0000B6400000}"/>
    <cellStyle name="British Pound 2 2 4 2 2 4" xfId="9074" xr:uid="{00000000-0005-0000-0000-0000B7400000}"/>
    <cellStyle name="British Pound 2 2 4 2 2 5" xfId="9075" xr:uid="{00000000-0005-0000-0000-0000B8400000}"/>
    <cellStyle name="British Pound 2 2 4 2 2 6" xfId="9076" xr:uid="{00000000-0005-0000-0000-0000B9400000}"/>
    <cellStyle name="British Pound 2 2 4 2 2 7" xfId="9077" xr:uid="{00000000-0005-0000-0000-0000BA400000}"/>
    <cellStyle name="British Pound 2 2 4 2 2 8" xfId="9078" xr:uid="{00000000-0005-0000-0000-0000BB400000}"/>
    <cellStyle name="British Pound 2 2 4 2 3" xfId="9079" xr:uid="{00000000-0005-0000-0000-0000BC400000}"/>
    <cellStyle name="British Pound 2 2 4 2 4" xfId="9080" xr:uid="{00000000-0005-0000-0000-0000BD400000}"/>
    <cellStyle name="British Pound 2 2 4 2 5" xfId="9081" xr:uid="{00000000-0005-0000-0000-0000BE400000}"/>
    <cellStyle name="British Pound 2 2 4 2 6" xfId="9082" xr:uid="{00000000-0005-0000-0000-0000BF400000}"/>
    <cellStyle name="British Pound 2 2 4 2 7" xfId="9083" xr:uid="{00000000-0005-0000-0000-0000C0400000}"/>
    <cellStyle name="British Pound 2 2 4 2 8" xfId="9084" xr:uid="{00000000-0005-0000-0000-0000C1400000}"/>
    <cellStyle name="British Pound 2 2 4 2 9" xfId="9085" xr:uid="{00000000-0005-0000-0000-0000C2400000}"/>
    <cellStyle name="British Pound 2 2 4 3" xfId="9086" xr:uid="{00000000-0005-0000-0000-0000C3400000}"/>
    <cellStyle name="British Pound 2 2 4 4" xfId="9087" xr:uid="{00000000-0005-0000-0000-0000C4400000}"/>
    <cellStyle name="British Pound 2 2 4 5" xfId="9088" xr:uid="{00000000-0005-0000-0000-0000C5400000}"/>
    <cellStyle name="British Pound 2 2 4 6" xfId="9089" xr:uid="{00000000-0005-0000-0000-0000C6400000}"/>
    <cellStyle name="British Pound 2 2 4 7" xfId="9090" xr:uid="{00000000-0005-0000-0000-0000C7400000}"/>
    <cellStyle name="British Pound 2 2 4 8" xfId="9091" xr:uid="{00000000-0005-0000-0000-0000C8400000}"/>
    <cellStyle name="British Pound 2 2 4 9" xfId="9092" xr:uid="{00000000-0005-0000-0000-0000C9400000}"/>
    <cellStyle name="British Pound 2 2 5" xfId="9093" xr:uid="{00000000-0005-0000-0000-0000CA400000}"/>
    <cellStyle name="British Pound 2 2 6" xfId="9094" xr:uid="{00000000-0005-0000-0000-0000CB400000}"/>
    <cellStyle name="British Pound 2 2 7" xfId="9095" xr:uid="{00000000-0005-0000-0000-0000CC400000}"/>
    <cellStyle name="British Pound 2 2 7 2" xfId="9096" xr:uid="{00000000-0005-0000-0000-0000CD400000}"/>
    <cellStyle name="British Pound 2 2 7 3" xfId="9097" xr:uid="{00000000-0005-0000-0000-0000CE400000}"/>
    <cellStyle name="British Pound 2 2 7 4" xfId="9098" xr:uid="{00000000-0005-0000-0000-0000CF400000}"/>
    <cellStyle name="British Pound 2 2 7 5" xfId="9099" xr:uid="{00000000-0005-0000-0000-0000D0400000}"/>
    <cellStyle name="British Pound 2 2 7 6" xfId="9100" xr:uid="{00000000-0005-0000-0000-0000D1400000}"/>
    <cellStyle name="British Pound 2 2 7 7" xfId="9101" xr:uid="{00000000-0005-0000-0000-0000D2400000}"/>
    <cellStyle name="British Pound 2 2 7 8" xfId="9102" xr:uid="{00000000-0005-0000-0000-0000D3400000}"/>
    <cellStyle name="British Pound 2 2 8" xfId="9103" xr:uid="{00000000-0005-0000-0000-0000D4400000}"/>
    <cellStyle name="British Pound 2 2 9" xfId="9104" xr:uid="{00000000-0005-0000-0000-0000D5400000}"/>
    <cellStyle name="British Pound 2 3" xfId="9105" xr:uid="{00000000-0005-0000-0000-0000D6400000}"/>
    <cellStyle name="British Pound 2 3 10" xfId="9106" xr:uid="{00000000-0005-0000-0000-0000D7400000}"/>
    <cellStyle name="British Pound 2 3 11" xfId="9107" xr:uid="{00000000-0005-0000-0000-0000D8400000}"/>
    <cellStyle name="British Pound 2 3 12" xfId="9108" xr:uid="{00000000-0005-0000-0000-0000D9400000}"/>
    <cellStyle name="British Pound 2 3 13" xfId="9109" xr:uid="{00000000-0005-0000-0000-0000DA400000}"/>
    <cellStyle name="British Pound 2 3 14" xfId="9110" xr:uid="{00000000-0005-0000-0000-0000DB400000}"/>
    <cellStyle name="British Pound 2 3 15" xfId="9111" xr:uid="{00000000-0005-0000-0000-0000DC400000}"/>
    <cellStyle name="British Pound 2 3 16" xfId="9112" xr:uid="{00000000-0005-0000-0000-0000DD400000}"/>
    <cellStyle name="British Pound 2 3 2" xfId="9113" xr:uid="{00000000-0005-0000-0000-0000DE400000}"/>
    <cellStyle name="British Pound 2 3 2 2" xfId="9114" xr:uid="{00000000-0005-0000-0000-0000DF400000}"/>
    <cellStyle name="British Pound 2 3 2 3" xfId="9115" xr:uid="{00000000-0005-0000-0000-0000E0400000}"/>
    <cellStyle name="British Pound 2 3 2 4" xfId="9116" xr:uid="{00000000-0005-0000-0000-0000E1400000}"/>
    <cellStyle name="British Pound 2 3 2 5" xfId="9117" xr:uid="{00000000-0005-0000-0000-0000E2400000}"/>
    <cellStyle name="British Pound 2 3 2 6" xfId="9118" xr:uid="{00000000-0005-0000-0000-0000E3400000}"/>
    <cellStyle name="British Pound 2 3 2 7" xfId="9119" xr:uid="{00000000-0005-0000-0000-0000E4400000}"/>
    <cellStyle name="British Pound 2 3 2 8" xfId="9120" xr:uid="{00000000-0005-0000-0000-0000E5400000}"/>
    <cellStyle name="British Pound 2 3 3" xfId="9121" xr:uid="{00000000-0005-0000-0000-0000E6400000}"/>
    <cellStyle name="British Pound 2 3 3 2" xfId="9122" xr:uid="{00000000-0005-0000-0000-0000E7400000}"/>
    <cellStyle name="British Pound 2 3 3 3" xfId="9123" xr:uid="{00000000-0005-0000-0000-0000E8400000}"/>
    <cellStyle name="British Pound 2 3 3 4" xfId="9124" xr:uid="{00000000-0005-0000-0000-0000E9400000}"/>
    <cellStyle name="British Pound 2 3 3 5" xfId="9125" xr:uid="{00000000-0005-0000-0000-0000EA400000}"/>
    <cellStyle name="British Pound 2 3 3 6" xfId="9126" xr:uid="{00000000-0005-0000-0000-0000EB400000}"/>
    <cellStyle name="British Pound 2 3 3 7" xfId="9127" xr:uid="{00000000-0005-0000-0000-0000EC400000}"/>
    <cellStyle name="British Pound 2 3 3 8" xfId="9128" xr:uid="{00000000-0005-0000-0000-0000ED400000}"/>
    <cellStyle name="British Pound 2 3 4" xfId="9129" xr:uid="{00000000-0005-0000-0000-0000EE400000}"/>
    <cellStyle name="British Pound 2 3 5" xfId="9130" xr:uid="{00000000-0005-0000-0000-0000EF400000}"/>
    <cellStyle name="British Pound 2 3 6" xfId="9131" xr:uid="{00000000-0005-0000-0000-0000F0400000}"/>
    <cellStyle name="British Pound 2 3 7" xfId="9132" xr:uid="{00000000-0005-0000-0000-0000F1400000}"/>
    <cellStyle name="British Pound 2 3 8" xfId="9133" xr:uid="{00000000-0005-0000-0000-0000F2400000}"/>
    <cellStyle name="British Pound 2 3 9" xfId="9134" xr:uid="{00000000-0005-0000-0000-0000F3400000}"/>
    <cellStyle name="British Pound 2 4" xfId="9135" xr:uid="{00000000-0005-0000-0000-0000F4400000}"/>
    <cellStyle name="British Pound 2 4 2" xfId="9136" xr:uid="{00000000-0005-0000-0000-0000F5400000}"/>
    <cellStyle name="British Pound 2 4 3" xfId="9137" xr:uid="{00000000-0005-0000-0000-0000F6400000}"/>
    <cellStyle name="British Pound 2 4 4" xfId="9138" xr:uid="{00000000-0005-0000-0000-0000F7400000}"/>
    <cellStyle name="British Pound 2 4 5" xfId="9139" xr:uid="{00000000-0005-0000-0000-0000F8400000}"/>
    <cellStyle name="British Pound 2 4 6" xfId="9140" xr:uid="{00000000-0005-0000-0000-0000F9400000}"/>
    <cellStyle name="British Pound 2 4 7" xfId="9141" xr:uid="{00000000-0005-0000-0000-0000FA400000}"/>
    <cellStyle name="British Pound 2 4 8" xfId="9142" xr:uid="{00000000-0005-0000-0000-0000FB400000}"/>
    <cellStyle name="British Pound 2 4 9" xfId="9143" xr:uid="{00000000-0005-0000-0000-0000FC400000}"/>
    <cellStyle name="British Pound 2 5" xfId="9144" xr:uid="{00000000-0005-0000-0000-0000FD400000}"/>
    <cellStyle name="British Pound 2 5 2" xfId="9145" xr:uid="{00000000-0005-0000-0000-0000FE400000}"/>
    <cellStyle name="British Pound 2 5 3" xfId="9146" xr:uid="{00000000-0005-0000-0000-0000FF400000}"/>
    <cellStyle name="British Pound 2 5 4" xfId="9147" xr:uid="{00000000-0005-0000-0000-000000410000}"/>
    <cellStyle name="British Pound 2 5 5" xfId="9148" xr:uid="{00000000-0005-0000-0000-000001410000}"/>
    <cellStyle name="British Pound 2 5 6" xfId="9149" xr:uid="{00000000-0005-0000-0000-000002410000}"/>
    <cellStyle name="British Pound 2 5 7" xfId="9150" xr:uid="{00000000-0005-0000-0000-000003410000}"/>
    <cellStyle name="British Pound 2 5 8" xfId="9151" xr:uid="{00000000-0005-0000-0000-000004410000}"/>
    <cellStyle name="British Pound 2 5 9" xfId="9152" xr:uid="{00000000-0005-0000-0000-000005410000}"/>
    <cellStyle name="British Pound 2 6" xfId="9153" xr:uid="{00000000-0005-0000-0000-000006410000}"/>
    <cellStyle name="British Pound 2 6 2" xfId="9154" xr:uid="{00000000-0005-0000-0000-000007410000}"/>
    <cellStyle name="British Pound 2 6 3" xfId="9155" xr:uid="{00000000-0005-0000-0000-000008410000}"/>
    <cellStyle name="British Pound 2 6 4" xfId="9156" xr:uid="{00000000-0005-0000-0000-000009410000}"/>
    <cellStyle name="British Pound 2 6 5" xfId="9157" xr:uid="{00000000-0005-0000-0000-00000A410000}"/>
    <cellStyle name="British Pound 2 6 6" xfId="9158" xr:uid="{00000000-0005-0000-0000-00000B410000}"/>
    <cellStyle name="British Pound 2 6 7" xfId="9159" xr:uid="{00000000-0005-0000-0000-00000C410000}"/>
    <cellStyle name="British Pound 2 6 8" xfId="9160" xr:uid="{00000000-0005-0000-0000-00000D410000}"/>
    <cellStyle name="British Pound 2 6 9" xfId="9161" xr:uid="{00000000-0005-0000-0000-00000E410000}"/>
    <cellStyle name="British Pound 2 7" xfId="9162" xr:uid="{00000000-0005-0000-0000-00000F410000}"/>
    <cellStyle name="British Pound 2 7 2" xfId="9163" xr:uid="{00000000-0005-0000-0000-000010410000}"/>
    <cellStyle name="British Pound 2 7 3" xfId="9164" xr:uid="{00000000-0005-0000-0000-000011410000}"/>
    <cellStyle name="British Pound 2 7 4" xfId="9165" xr:uid="{00000000-0005-0000-0000-000012410000}"/>
    <cellStyle name="British Pound 2 7 5" xfId="9166" xr:uid="{00000000-0005-0000-0000-000013410000}"/>
    <cellStyle name="British Pound 2 7 6" xfId="9167" xr:uid="{00000000-0005-0000-0000-000014410000}"/>
    <cellStyle name="British Pound 2 7 7" xfId="9168" xr:uid="{00000000-0005-0000-0000-000015410000}"/>
    <cellStyle name="British Pound 2 7 8" xfId="9169" xr:uid="{00000000-0005-0000-0000-000016410000}"/>
    <cellStyle name="British Pound 2 7 9" xfId="9170" xr:uid="{00000000-0005-0000-0000-000017410000}"/>
    <cellStyle name="British Pound 2 8" xfId="9171" xr:uid="{00000000-0005-0000-0000-000018410000}"/>
    <cellStyle name="British Pound 2 8 2" xfId="9172" xr:uid="{00000000-0005-0000-0000-000019410000}"/>
    <cellStyle name="British Pound 2 8 3" xfId="9173" xr:uid="{00000000-0005-0000-0000-00001A410000}"/>
    <cellStyle name="British Pound 2 8 4" xfId="9174" xr:uid="{00000000-0005-0000-0000-00001B410000}"/>
    <cellStyle name="British Pound 2 8 5" xfId="9175" xr:uid="{00000000-0005-0000-0000-00001C410000}"/>
    <cellStyle name="British Pound 2 8 6" xfId="9176" xr:uid="{00000000-0005-0000-0000-00001D410000}"/>
    <cellStyle name="British Pound 2 8 7" xfId="9177" xr:uid="{00000000-0005-0000-0000-00001E410000}"/>
    <cellStyle name="British Pound 2 8 8" xfId="9178" xr:uid="{00000000-0005-0000-0000-00001F410000}"/>
    <cellStyle name="British Pound 2 8 9" xfId="9179" xr:uid="{00000000-0005-0000-0000-000020410000}"/>
    <cellStyle name="British Pound 2 9" xfId="9180" xr:uid="{00000000-0005-0000-0000-000021410000}"/>
    <cellStyle name="British Pound 2 9 2" xfId="9181" xr:uid="{00000000-0005-0000-0000-000022410000}"/>
    <cellStyle name="British Pound 2 9 2 2" xfId="9182" xr:uid="{00000000-0005-0000-0000-000023410000}"/>
    <cellStyle name="British Pound 2 9 2 2 2" xfId="9183" xr:uid="{00000000-0005-0000-0000-000024410000}"/>
    <cellStyle name="British Pound 2 9 2 2 3" xfId="9184" xr:uid="{00000000-0005-0000-0000-000025410000}"/>
    <cellStyle name="British Pound 2 9 2 2 4" xfId="9185" xr:uid="{00000000-0005-0000-0000-000026410000}"/>
    <cellStyle name="British Pound 2 9 2 2 5" xfId="9186" xr:uid="{00000000-0005-0000-0000-000027410000}"/>
    <cellStyle name="British Pound 2 9 2 2 6" xfId="9187" xr:uid="{00000000-0005-0000-0000-000028410000}"/>
    <cellStyle name="British Pound 2 9 2 2 7" xfId="9188" xr:uid="{00000000-0005-0000-0000-000029410000}"/>
    <cellStyle name="British Pound 2 9 2 2 8" xfId="9189" xr:uid="{00000000-0005-0000-0000-00002A410000}"/>
    <cellStyle name="British Pound 2 9 2 3" xfId="9190" xr:uid="{00000000-0005-0000-0000-00002B410000}"/>
    <cellStyle name="British Pound 2 9 2 4" xfId="9191" xr:uid="{00000000-0005-0000-0000-00002C410000}"/>
    <cellStyle name="British Pound 2 9 2 5" xfId="9192" xr:uid="{00000000-0005-0000-0000-00002D410000}"/>
    <cellStyle name="British Pound 2 9 2 6" xfId="9193" xr:uid="{00000000-0005-0000-0000-00002E410000}"/>
    <cellStyle name="British Pound 2 9 2 7" xfId="9194" xr:uid="{00000000-0005-0000-0000-00002F410000}"/>
    <cellStyle name="British Pound 2 9 2 8" xfId="9195" xr:uid="{00000000-0005-0000-0000-000030410000}"/>
    <cellStyle name="British Pound 2 9 2 9" xfId="9196" xr:uid="{00000000-0005-0000-0000-000031410000}"/>
    <cellStyle name="British Pound 2 9 3" xfId="9197" xr:uid="{00000000-0005-0000-0000-000032410000}"/>
    <cellStyle name="British Pound 2 9 4" xfId="9198" xr:uid="{00000000-0005-0000-0000-000033410000}"/>
    <cellStyle name="British Pound 2 9 5" xfId="9199" xr:uid="{00000000-0005-0000-0000-000034410000}"/>
    <cellStyle name="British Pound 2 9 6" xfId="9200" xr:uid="{00000000-0005-0000-0000-000035410000}"/>
    <cellStyle name="British Pound 2 9 7" xfId="9201" xr:uid="{00000000-0005-0000-0000-000036410000}"/>
    <cellStyle name="British Pound 2 9 8" xfId="9202" xr:uid="{00000000-0005-0000-0000-000037410000}"/>
    <cellStyle name="British Pound 2 9 9" xfId="9203" xr:uid="{00000000-0005-0000-0000-000038410000}"/>
    <cellStyle name="British Pound 20" xfId="9204" xr:uid="{00000000-0005-0000-0000-000039410000}"/>
    <cellStyle name="British Pound 20 2" xfId="9205" xr:uid="{00000000-0005-0000-0000-00003A410000}"/>
    <cellStyle name="British Pound 20 3" xfId="9206" xr:uid="{00000000-0005-0000-0000-00003B410000}"/>
    <cellStyle name="British Pound 20 4" xfId="9207" xr:uid="{00000000-0005-0000-0000-00003C410000}"/>
    <cellStyle name="British Pound 20 5" xfId="9208" xr:uid="{00000000-0005-0000-0000-00003D410000}"/>
    <cellStyle name="British Pound 20 6" xfId="9209" xr:uid="{00000000-0005-0000-0000-00003E410000}"/>
    <cellStyle name="British Pound 20 7" xfId="9210" xr:uid="{00000000-0005-0000-0000-00003F410000}"/>
    <cellStyle name="British Pound 20 8" xfId="9211" xr:uid="{00000000-0005-0000-0000-000040410000}"/>
    <cellStyle name="British Pound 20 9" xfId="9212" xr:uid="{00000000-0005-0000-0000-000041410000}"/>
    <cellStyle name="British Pound 21" xfId="9213" xr:uid="{00000000-0005-0000-0000-000042410000}"/>
    <cellStyle name="British Pound 21 2" xfId="9214" xr:uid="{00000000-0005-0000-0000-000043410000}"/>
    <cellStyle name="British Pound 21 3" xfId="9215" xr:uid="{00000000-0005-0000-0000-000044410000}"/>
    <cellStyle name="British Pound 21 4" xfId="9216" xr:uid="{00000000-0005-0000-0000-000045410000}"/>
    <cellStyle name="British Pound 21 5" xfId="9217" xr:uid="{00000000-0005-0000-0000-000046410000}"/>
    <cellStyle name="British Pound 21 6" xfId="9218" xr:uid="{00000000-0005-0000-0000-000047410000}"/>
    <cellStyle name="British Pound 21 7" xfId="9219" xr:uid="{00000000-0005-0000-0000-000048410000}"/>
    <cellStyle name="British Pound 21 8" xfId="9220" xr:uid="{00000000-0005-0000-0000-000049410000}"/>
    <cellStyle name="British Pound 21 9" xfId="9221" xr:uid="{00000000-0005-0000-0000-00004A410000}"/>
    <cellStyle name="British Pound 22" xfId="9222" xr:uid="{00000000-0005-0000-0000-00004B410000}"/>
    <cellStyle name="British Pound 22 2" xfId="9223" xr:uid="{00000000-0005-0000-0000-00004C410000}"/>
    <cellStyle name="British Pound 22 3" xfId="9224" xr:uid="{00000000-0005-0000-0000-00004D410000}"/>
    <cellStyle name="British Pound 22 4" xfId="9225" xr:uid="{00000000-0005-0000-0000-00004E410000}"/>
    <cellStyle name="British Pound 22 5" xfId="9226" xr:uid="{00000000-0005-0000-0000-00004F410000}"/>
    <cellStyle name="British Pound 22 6" xfId="9227" xr:uid="{00000000-0005-0000-0000-000050410000}"/>
    <cellStyle name="British Pound 22 7" xfId="9228" xr:uid="{00000000-0005-0000-0000-000051410000}"/>
    <cellStyle name="British Pound 22 8" xfId="9229" xr:uid="{00000000-0005-0000-0000-000052410000}"/>
    <cellStyle name="British Pound 22 9" xfId="9230" xr:uid="{00000000-0005-0000-0000-000053410000}"/>
    <cellStyle name="British Pound 23" xfId="9231" xr:uid="{00000000-0005-0000-0000-000054410000}"/>
    <cellStyle name="British Pound 24" xfId="9232" xr:uid="{00000000-0005-0000-0000-000055410000}"/>
    <cellStyle name="British Pound 25" xfId="9233" xr:uid="{00000000-0005-0000-0000-000056410000}"/>
    <cellStyle name="British Pound 26" xfId="9234" xr:uid="{00000000-0005-0000-0000-000057410000}"/>
    <cellStyle name="British Pound 27" xfId="9235" xr:uid="{00000000-0005-0000-0000-000058410000}"/>
    <cellStyle name="British Pound 28" xfId="9236" xr:uid="{00000000-0005-0000-0000-000059410000}"/>
    <cellStyle name="British Pound 29" xfId="9237" xr:uid="{00000000-0005-0000-0000-00005A410000}"/>
    <cellStyle name="British Pound 3" xfId="9238" xr:uid="{00000000-0005-0000-0000-00005B410000}"/>
    <cellStyle name="British Pound 3 2" xfId="9239" xr:uid="{00000000-0005-0000-0000-00005C410000}"/>
    <cellStyle name="British Pound 3 2 2" xfId="9240" xr:uid="{00000000-0005-0000-0000-00005D410000}"/>
    <cellStyle name="British Pound 3 2 2 2" xfId="9241" xr:uid="{00000000-0005-0000-0000-00005E410000}"/>
    <cellStyle name="British Pound 3 2 2 2 2" xfId="9242" xr:uid="{00000000-0005-0000-0000-00005F410000}"/>
    <cellStyle name="British Pound 3 2 2 2 2 2" xfId="9243" xr:uid="{00000000-0005-0000-0000-000060410000}"/>
    <cellStyle name="British Pound 3 2 2 2 2 3" xfId="9244" xr:uid="{00000000-0005-0000-0000-000061410000}"/>
    <cellStyle name="British Pound 3 2 2 2 2 4" xfId="9245" xr:uid="{00000000-0005-0000-0000-000062410000}"/>
    <cellStyle name="British Pound 3 2 2 2 2 5" xfId="9246" xr:uid="{00000000-0005-0000-0000-000063410000}"/>
    <cellStyle name="British Pound 3 2 2 2 2 6" xfId="9247" xr:uid="{00000000-0005-0000-0000-000064410000}"/>
    <cellStyle name="British Pound 3 2 2 2 2 7" xfId="9248" xr:uid="{00000000-0005-0000-0000-000065410000}"/>
    <cellStyle name="British Pound 3 2 2 2 2 8" xfId="9249" xr:uid="{00000000-0005-0000-0000-000066410000}"/>
    <cellStyle name="British Pound 3 2 2 2 3" xfId="9250" xr:uid="{00000000-0005-0000-0000-000067410000}"/>
    <cellStyle name="British Pound 3 2 2 2 4" xfId="9251" xr:uid="{00000000-0005-0000-0000-000068410000}"/>
    <cellStyle name="British Pound 3 2 2 2 5" xfId="9252" xr:uid="{00000000-0005-0000-0000-000069410000}"/>
    <cellStyle name="British Pound 3 2 2 2 6" xfId="9253" xr:uid="{00000000-0005-0000-0000-00006A410000}"/>
    <cellStyle name="British Pound 3 2 2 2 7" xfId="9254" xr:uid="{00000000-0005-0000-0000-00006B410000}"/>
    <cellStyle name="British Pound 3 2 2 2 8" xfId="9255" xr:uid="{00000000-0005-0000-0000-00006C410000}"/>
    <cellStyle name="British Pound 3 2 2 2 9" xfId="9256" xr:uid="{00000000-0005-0000-0000-00006D410000}"/>
    <cellStyle name="British Pound 3 2 2 3" xfId="9257" xr:uid="{00000000-0005-0000-0000-00006E410000}"/>
    <cellStyle name="British Pound 3 2 2 4" xfId="9258" xr:uid="{00000000-0005-0000-0000-00006F410000}"/>
    <cellStyle name="British Pound 3 2 2 5" xfId="9259" xr:uid="{00000000-0005-0000-0000-000070410000}"/>
    <cellStyle name="British Pound 3 2 2 6" xfId="9260" xr:uid="{00000000-0005-0000-0000-000071410000}"/>
    <cellStyle name="British Pound 3 2 2 7" xfId="9261" xr:uid="{00000000-0005-0000-0000-000072410000}"/>
    <cellStyle name="British Pound 3 2 2 8" xfId="9262" xr:uid="{00000000-0005-0000-0000-000073410000}"/>
    <cellStyle name="British Pound 3 2 2 9" xfId="9263" xr:uid="{00000000-0005-0000-0000-000074410000}"/>
    <cellStyle name="British Pound 3 2 3" xfId="9264" xr:uid="{00000000-0005-0000-0000-000075410000}"/>
    <cellStyle name="British Pound 3 2 4" xfId="9265" xr:uid="{00000000-0005-0000-0000-000076410000}"/>
    <cellStyle name="British Pound 3 2 5" xfId="9266" xr:uid="{00000000-0005-0000-0000-000077410000}"/>
    <cellStyle name="British Pound 3 2 6" xfId="9267" xr:uid="{00000000-0005-0000-0000-000078410000}"/>
    <cellStyle name="British Pound 3 2 7" xfId="9268" xr:uid="{00000000-0005-0000-0000-000079410000}"/>
    <cellStyle name="British Pound 3 2 8" xfId="9269" xr:uid="{00000000-0005-0000-0000-00007A410000}"/>
    <cellStyle name="British Pound 3 2 9" xfId="9270" xr:uid="{00000000-0005-0000-0000-00007B410000}"/>
    <cellStyle name="British Pound 3 3" xfId="9271" xr:uid="{00000000-0005-0000-0000-00007C410000}"/>
    <cellStyle name="British Pound 3 4" xfId="9272" xr:uid="{00000000-0005-0000-0000-00007D410000}"/>
    <cellStyle name="British Pound 3 5" xfId="9273" xr:uid="{00000000-0005-0000-0000-00007E410000}"/>
    <cellStyle name="British Pound 3 6" xfId="9274" xr:uid="{00000000-0005-0000-0000-00007F410000}"/>
    <cellStyle name="British Pound 3 6 2" xfId="9275" xr:uid="{00000000-0005-0000-0000-000080410000}"/>
    <cellStyle name="British Pound 3 6 3" xfId="9276" xr:uid="{00000000-0005-0000-0000-000081410000}"/>
    <cellStyle name="British Pound 3 6 4" xfId="9277" xr:uid="{00000000-0005-0000-0000-000082410000}"/>
    <cellStyle name="British Pound 3 6 5" xfId="9278" xr:uid="{00000000-0005-0000-0000-000083410000}"/>
    <cellStyle name="British Pound 3 6 6" xfId="9279" xr:uid="{00000000-0005-0000-0000-000084410000}"/>
    <cellStyle name="British Pound 3 6 7" xfId="9280" xr:uid="{00000000-0005-0000-0000-000085410000}"/>
    <cellStyle name="British Pound 3 6 8" xfId="9281" xr:uid="{00000000-0005-0000-0000-000086410000}"/>
    <cellStyle name="British Pound 3 7" xfId="9282" xr:uid="{00000000-0005-0000-0000-000087410000}"/>
    <cellStyle name="British Pound 3 8" xfId="9283" xr:uid="{00000000-0005-0000-0000-000088410000}"/>
    <cellStyle name="British Pound 3 9" xfId="9284" xr:uid="{00000000-0005-0000-0000-000089410000}"/>
    <cellStyle name="British Pound 30" xfId="9285" xr:uid="{00000000-0005-0000-0000-00008A410000}"/>
    <cellStyle name="British Pound 31" xfId="9286" xr:uid="{00000000-0005-0000-0000-00008B410000}"/>
    <cellStyle name="British Pound 32" xfId="9287" xr:uid="{00000000-0005-0000-0000-00008C410000}"/>
    <cellStyle name="British Pound 33" xfId="9288" xr:uid="{00000000-0005-0000-0000-00008D410000}"/>
    <cellStyle name="British Pound 34" xfId="9289" xr:uid="{00000000-0005-0000-0000-00008E410000}"/>
    <cellStyle name="British Pound 35" xfId="9290" xr:uid="{00000000-0005-0000-0000-00008F410000}"/>
    <cellStyle name="British Pound 36" xfId="9291" xr:uid="{00000000-0005-0000-0000-000090410000}"/>
    <cellStyle name="British Pound 37" xfId="9292" xr:uid="{00000000-0005-0000-0000-000091410000}"/>
    <cellStyle name="British Pound 4" xfId="9293" xr:uid="{00000000-0005-0000-0000-000092410000}"/>
    <cellStyle name="British Pound 4 2" xfId="9294" xr:uid="{00000000-0005-0000-0000-000093410000}"/>
    <cellStyle name="British Pound 4 3" xfId="9295" xr:uid="{00000000-0005-0000-0000-000094410000}"/>
    <cellStyle name="British Pound 4 4" xfId="9296" xr:uid="{00000000-0005-0000-0000-000095410000}"/>
    <cellStyle name="British Pound 4 5" xfId="9297" xr:uid="{00000000-0005-0000-0000-000096410000}"/>
    <cellStyle name="British Pound 4 6" xfId="9298" xr:uid="{00000000-0005-0000-0000-000097410000}"/>
    <cellStyle name="British Pound 4 7" xfId="9299" xr:uid="{00000000-0005-0000-0000-000098410000}"/>
    <cellStyle name="British Pound 4 8" xfId="9300" xr:uid="{00000000-0005-0000-0000-000099410000}"/>
    <cellStyle name="British Pound 4 9" xfId="9301" xr:uid="{00000000-0005-0000-0000-00009A410000}"/>
    <cellStyle name="British Pound 5" xfId="9302" xr:uid="{00000000-0005-0000-0000-00009B410000}"/>
    <cellStyle name="British Pound 5 2" xfId="9303" xr:uid="{00000000-0005-0000-0000-00009C410000}"/>
    <cellStyle name="British Pound 5 3" xfId="9304" xr:uid="{00000000-0005-0000-0000-00009D410000}"/>
    <cellStyle name="British Pound 5 4" xfId="9305" xr:uid="{00000000-0005-0000-0000-00009E410000}"/>
    <cellStyle name="British Pound 5 5" xfId="9306" xr:uid="{00000000-0005-0000-0000-00009F410000}"/>
    <cellStyle name="British Pound 5 6" xfId="9307" xr:uid="{00000000-0005-0000-0000-0000A0410000}"/>
    <cellStyle name="British Pound 5 7" xfId="9308" xr:uid="{00000000-0005-0000-0000-0000A1410000}"/>
    <cellStyle name="British Pound 5 8" xfId="9309" xr:uid="{00000000-0005-0000-0000-0000A2410000}"/>
    <cellStyle name="British Pound 5 9" xfId="9310" xr:uid="{00000000-0005-0000-0000-0000A3410000}"/>
    <cellStyle name="British Pound 6" xfId="9311" xr:uid="{00000000-0005-0000-0000-0000A4410000}"/>
    <cellStyle name="British Pound 6 2" xfId="9312" xr:uid="{00000000-0005-0000-0000-0000A5410000}"/>
    <cellStyle name="British Pound 6 3" xfId="9313" xr:uid="{00000000-0005-0000-0000-0000A6410000}"/>
    <cellStyle name="British Pound 6 4" xfId="9314" xr:uid="{00000000-0005-0000-0000-0000A7410000}"/>
    <cellStyle name="British Pound 6 5" xfId="9315" xr:uid="{00000000-0005-0000-0000-0000A8410000}"/>
    <cellStyle name="British Pound 6 6" xfId="9316" xr:uid="{00000000-0005-0000-0000-0000A9410000}"/>
    <cellStyle name="British Pound 6 7" xfId="9317" xr:uid="{00000000-0005-0000-0000-0000AA410000}"/>
    <cellStyle name="British Pound 6 8" xfId="9318" xr:uid="{00000000-0005-0000-0000-0000AB410000}"/>
    <cellStyle name="British Pound 6 9" xfId="9319" xr:uid="{00000000-0005-0000-0000-0000AC410000}"/>
    <cellStyle name="British Pound 7" xfId="9320" xr:uid="{00000000-0005-0000-0000-0000AD410000}"/>
    <cellStyle name="British Pound 7 2" xfId="9321" xr:uid="{00000000-0005-0000-0000-0000AE410000}"/>
    <cellStyle name="British Pound 7 3" xfId="9322" xr:uid="{00000000-0005-0000-0000-0000AF410000}"/>
    <cellStyle name="British Pound 7 4" xfId="9323" xr:uid="{00000000-0005-0000-0000-0000B0410000}"/>
    <cellStyle name="British Pound 7 5" xfId="9324" xr:uid="{00000000-0005-0000-0000-0000B1410000}"/>
    <cellStyle name="British Pound 7 6" xfId="9325" xr:uid="{00000000-0005-0000-0000-0000B2410000}"/>
    <cellStyle name="British Pound 7 7" xfId="9326" xr:uid="{00000000-0005-0000-0000-0000B3410000}"/>
    <cellStyle name="British Pound 7 8" xfId="9327" xr:uid="{00000000-0005-0000-0000-0000B4410000}"/>
    <cellStyle name="British Pound 7 9" xfId="9328" xr:uid="{00000000-0005-0000-0000-0000B5410000}"/>
    <cellStyle name="British Pound 8" xfId="9329" xr:uid="{00000000-0005-0000-0000-0000B6410000}"/>
    <cellStyle name="British Pound 8 10" xfId="9330" xr:uid="{00000000-0005-0000-0000-0000B7410000}"/>
    <cellStyle name="British Pound 8 11" xfId="9331" xr:uid="{00000000-0005-0000-0000-0000B8410000}"/>
    <cellStyle name="British Pound 8 12" xfId="9332" xr:uid="{00000000-0005-0000-0000-0000B9410000}"/>
    <cellStyle name="British Pound 8 13" xfId="9333" xr:uid="{00000000-0005-0000-0000-0000BA410000}"/>
    <cellStyle name="British Pound 8 14" xfId="9334" xr:uid="{00000000-0005-0000-0000-0000BB410000}"/>
    <cellStyle name="British Pound 8 15" xfId="9335" xr:uid="{00000000-0005-0000-0000-0000BC410000}"/>
    <cellStyle name="British Pound 8 16" xfId="9336" xr:uid="{00000000-0005-0000-0000-0000BD410000}"/>
    <cellStyle name="British Pound 8 2" xfId="9337" xr:uid="{00000000-0005-0000-0000-0000BE410000}"/>
    <cellStyle name="British Pound 8 2 2" xfId="9338" xr:uid="{00000000-0005-0000-0000-0000BF410000}"/>
    <cellStyle name="British Pound 8 2 3" xfId="9339" xr:uid="{00000000-0005-0000-0000-0000C0410000}"/>
    <cellStyle name="British Pound 8 2 4" xfId="9340" xr:uid="{00000000-0005-0000-0000-0000C1410000}"/>
    <cellStyle name="British Pound 8 2 5" xfId="9341" xr:uid="{00000000-0005-0000-0000-0000C2410000}"/>
    <cellStyle name="British Pound 8 2 6" xfId="9342" xr:uid="{00000000-0005-0000-0000-0000C3410000}"/>
    <cellStyle name="British Pound 8 2 7" xfId="9343" xr:uid="{00000000-0005-0000-0000-0000C4410000}"/>
    <cellStyle name="British Pound 8 2 8" xfId="9344" xr:uid="{00000000-0005-0000-0000-0000C5410000}"/>
    <cellStyle name="British Pound 8 3" xfId="9345" xr:uid="{00000000-0005-0000-0000-0000C6410000}"/>
    <cellStyle name="British Pound 8 3 2" xfId="9346" xr:uid="{00000000-0005-0000-0000-0000C7410000}"/>
    <cellStyle name="British Pound 8 3 3" xfId="9347" xr:uid="{00000000-0005-0000-0000-0000C8410000}"/>
    <cellStyle name="British Pound 8 3 4" xfId="9348" xr:uid="{00000000-0005-0000-0000-0000C9410000}"/>
    <cellStyle name="British Pound 8 3 5" xfId="9349" xr:uid="{00000000-0005-0000-0000-0000CA410000}"/>
    <cellStyle name="British Pound 8 3 6" xfId="9350" xr:uid="{00000000-0005-0000-0000-0000CB410000}"/>
    <cellStyle name="British Pound 8 3 7" xfId="9351" xr:uid="{00000000-0005-0000-0000-0000CC410000}"/>
    <cellStyle name="British Pound 8 3 8" xfId="9352" xr:uid="{00000000-0005-0000-0000-0000CD410000}"/>
    <cellStyle name="British Pound 8 4" xfId="9353" xr:uid="{00000000-0005-0000-0000-0000CE410000}"/>
    <cellStyle name="British Pound 8 5" xfId="9354" xr:uid="{00000000-0005-0000-0000-0000CF410000}"/>
    <cellStyle name="British Pound 8 6" xfId="9355" xr:uid="{00000000-0005-0000-0000-0000D0410000}"/>
    <cellStyle name="British Pound 8 7" xfId="9356" xr:uid="{00000000-0005-0000-0000-0000D1410000}"/>
    <cellStyle name="British Pound 8 8" xfId="9357" xr:uid="{00000000-0005-0000-0000-0000D2410000}"/>
    <cellStyle name="British Pound 8 9" xfId="9358" xr:uid="{00000000-0005-0000-0000-0000D3410000}"/>
    <cellStyle name="British Pound 9" xfId="9359" xr:uid="{00000000-0005-0000-0000-0000D4410000}"/>
    <cellStyle name="British Pound 9 2" xfId="9360" xr:uid="{00000000-0005-0000-0000-0000D5410000}"/>
    <cellStyle name="British Pound 9 3" xfId="9361" xr:uid="{00000000-0005-0000-0000-0000D6410000}"/>
    <cellStyle name="British Pound 9 4" xfId="9362" xr:uid="{00000000-0005-0000-0000-0000D7410000}"/>
    <cellStyle name="British Pound 9 5" xfId="9363" xr:uid="{00000000-0005-0000-0000-0000D8410000}"/>
    <cellStyle name="British Pound 9 6" xfId="9364" xr:uid="{00000000-0005-0000-0000-0000D9410000}"/>
    <cellStyle name="British Pound 9 7" xfId="9365" xr:uid="{00000000-0005-0000-0000-0000DA410000}"/>
    <cellStyle name="British Pound 9 8" xfId="9366" xr:uid="{00000000-0005-0000-0000-0000DB410000}"/>
    <cellStyle name="British Pound 9 9" xfId="9367" xr:uid="{00000000-0005-0000-0000-0000DC410000}"/>
    <cellStyle name="BrödText" xfId="9368" xr:uid="{00000000-0005-0000-0000-0000DD410000}"/>
    <cellStyle name="BrödText 2" xfId="9369" xr:uid="{00000000-0005-0000-0000-0000DE410000}"/>
    <cellStyle name="BrödText 2 2" xfId="9370" xr:uid="{00000000-0005-0000-0000-0000DF410000}"/>
    <cellStyle name="BrödText 3" xfId="9371" xr:uid="{00000000-0005-0000-0000-0000E0410000}"/>
    <cellStyle name="BrödText 4" xfId="9372" xr:uid="{00000000-0005-0000-0000-0000E1410000}"/>
    <cellStyle name="BrödText 5" xfId="9373" xr:uid="{00000000-0005-0000-0000-0000E2410000}"/>
    <cellStyle name="Buena" xfId="9374" xr:uid="{00000000-0005-0000-0000-0000E3410000}"/>
    <cellStyle name="Bullet" xfId="9375" xr:uid="{00000000-0005-0000-0000-0000E4410000}"/>
    <cellStyle name="Bullet 2" xfId="9376" xr:uid="{00000000-0005-0000-0000-0000E5410000}"/>
    <cellStyle name="CABEÇALHO" xfId="9377" xr:uid="{00000000-0005-0000-0000-0000E6410000}"/>
    <cellStyle name="Cadre" xfId="9378" xr:uid="{00000000-0005-0000-0000-0000E7410000}"/>
    <cellStyle name="Cadre 2" xfId="9379" xr:uid="{00000000-0005-0000-0000-0000E8410000}"/>
    <cellStyle name="Calc" xfId="9380" xr:uid="{00000000-0005-0000-0000-0000E9410000}"/>
    <cellStyle name="Calc # [0]" xfId="9381" xr:uid="{00000000-0005-0000-0000-0000EA410000}"/>
    <cellStyle name="Calc # [1]" xfId="9382" xr:uid="{00000000-0005-0000-0000-0000EB410000}"/>
    <cellStyle name="Calc # [2]" xfId="9383" xr:uid="{00000000-0005-0000-0000-0000EC410000}"/>
    <cellStyle name="Calc % [0]" xfId="9384" xr:uid="{00000000-0005-0000-0000-0000ED410000}"/>
    <cellStyle name="Calc % [1]" xfId="9385" xr:uid="{00000000-0005-0000-0000-0000EE410000}"/>
    <cellStyle name="Calc % [2]" xfId="9386" xr:uid="{00000000-0005-0000-0000-0000EF410000}"/>
    <cellStyle name="Calc 2" xfId="9387" xr:uid="{00000000-0005-0000-0000-0000F0410000}"/>
    <cellStyle name="Calc Currency (0)" xfId="9388" xr:uid="{00000000-0005-0000-0000-0000F1410000}"/>
    <cellStyle name="Calc Currency (0) 10" xfId="9389" xr:uid="{00000000-0005-0000-0000-0000F2410000}"/>
    <cellStyle name="Calc Currency (0) 10 10" xfId="9390" xr:uid="{00000000-0005-0000-0000-0000F3410000}"/>
    <cellStyle name="Calc Currency (0) 10 11" xfId="9391" xr:uid="{00000000-0005-0000-0000-0000F4410000}"/>
    <cellStyle name="Calc Currency (0) 10 2" xfId="9392" xr:uid="{00000000-0005-0000-0000-0000F5410000}"/>
    <cellStyle name="Calc Currency (0) 10 2 2" xfId="9393" xr:uid="{00000000-0005-0000-0000-0000F6410000}"/>
    <cellStyle name="Calc Currency (0) 10 2 3" xfId="9394" xr:uid="{00000000-0005-0000-0000-0000F7410000}"/>
    <cellStyle name="Calc Currency (0) 10 2 4" xfId="9395" xr:uid="{00000000-0005-0000-0000-0000F8410000}"/>
    <cellStyle name="Calc Currency (0) 10 2 5" xfId="9396" xr:uid="{00000000-0005-0000-0000-0000F9410000}"/>
    <cellStyle name="Calc Currency (0) 10 2 6" xfId="9397" xr:uid="{00000000-0005-0000-0000-0000FA410000}"/>
    <cellStyle name="Calc Currency (0) 10 2 7" xfId="9398" xr:uid="{00000000-0005-0000-0000-0000FB410000}"/>
    <cellStyle name="Calc Currency (0) 10 2 8" xfId="9399" xr:uid="{00000000-0005-0000-0000-0000FC410000}"/>
    <cellStyle name="Calc Currency (0) 10 2 9" xfId="9400" xr:uid="{00000000-0005-0000-0000-0000FD410000}"/>
    <cellStyle name="Calc Currency (0) 10 3" xfId="9401" xr:uid="{00000000-0005-0000-0000-0000FE410000}"/>
    <cellStyle name="Calc Currency (0) 10 3 2" xfId="9402" xr:uid="{00000000-0005-0000-0000-0000FF410000}"/>
    <cellStyle name="Calc Currency (0) 10 3 3" xfId="9403" xr:uid="{00000000-0005-0000-0000-000000420000}"/>
    <cellStyle name="Calc Currency (0) 10 3 4" xfId="9404" xr:uid="{00000000-0005-0000-0000-000001420000}"/>
    <cellStyle name="Calc Currency (0) 10 3 5" xfId="9405" xr:uid="{00000000-0005-0000-0000-000002420000}"/>
    <cellStyle name="Calc Currency (0) 10 3 6" xfId="9406" xr:uid="{00000000-0005-0000-0000-000003420000}"/>
    <cellStyle name="Calc Currency (0) 10 3 7" xfId="9407" xr:uid="{00000000-0005-0000-0000-000004420000}"/>
    <cellStyle name="Calc Currency (0) 10 3 8" xfId="9408" xr:uid="{00000000-0005-0000-0000-000005420000}"/>
    <cellStyle name="Calc Currency (0) 10 3 9" xfId="9409" xr:uid="{00000000-0005-0000-0000-000006420000}"/>
    <cellStyle name="Calc Currency (0) 10 4" xfId="9410" xr:uid="{00000000-0005-0000-0000-000007420000}"/>
    <cellStyle name="Calc Currency (0) 10 5" xfId="9411" xr:uid="{00000000-0005-0000-0000-000008420000}"/>
    <cellStyle name="Calc Currency (0) 10 6" xfId="9412" xr:uid="{00000000-0005-0000-0000-000009420000}"/>
    <cellStyle name="Calc Currency (0) 10 7" xfId="9413" xr:uid="{00000000-0005-0000-0000-00000A420000}"/>
    <cellStyle name="Calc Currency (0) 10 8" xfId="9414" xr:uid="{00000000-0005-0000-0000-00000B420000}"/>
    <cellStyle name="Calc Currency (0) 10 9" xfId="9415" xr:uid="{00000000-0005-0000-0000-00000C420000}"/>
    <cellStyle name="Calc Currency (0) 11" xfId="9416" xr:uid="{00000000-0005-0000-0000-00000D420000}"/>
    <cellStyle name="Calc Currency (0) 11 2" xfId="9417" xr:uid="{00000000-0005-0000-0000-00000E420000}"/>
    <cellStyle name="Calc Currency (0) 11 3" xfId="9418" xr:uid="{00000000-0005-0000-0000-00000F420000}"/>
    <cellStyle name="Calc Currency (0) 11 4" xfId="9419" xr:uid="{00000000-0005-0000-0000-000010420000}"/>
    <cellStyle name="Calc Currency (0) 11 5" xfId="9420" xr:uid="{00000000-0005-0000-0000-000011420000}"/>
    <cellStyle name="Calc Currency (0) 11 6" xfId="9421" xr:uid="{00000000-0005-0000-0000-000012420000}"/>
    <cellStyle name="Calc Currency (0) 11 7" xfId="9422" xr:uid="{00000000-0005-0000-0000-000013420000}"/>
    <cellStyle name="Calc Currency (0) 11 8" xfId="9423" xr:uid="{00000000-0005-0000-0000-000014420000}"/>
    <cellStyle name="Calc Currency (0) 11 9" xfId="9424" xr:uid="{00000000-0005-0000-0000-000015420000}"/>
    <cellStyle name="Calc Currency (0) 12" xfId="9425" xr:uid="{00000000-0005-0000-0000-000016420000}"/>
    <cellStyle name="Calc Currency (0) 12 2" xfId="9426" xr:uid="{00000000-0005-0000-0000-000017420000}"/>
    <cellStyle name="Calc Currency (0) 12 3" xfId="9427" xr:uid="{00000000-0005-0000-0000-000018420000}"/>
    <cellStyle name="Calc Currency (0) 12 4" xfId="9428" xr:uid="{00000000-0005-0000-0000-000019420000}"/>
    <cellStyle name="Calc Currency (0) 12 5" xfId="9429" xr:uid="{00000000-0005-0000-0000-00001A420000}"/>
    <cellStyle name="Calc Currency (0) 12 6" xfId="9430" xr:uid="{00000000-0005-0000-0000-00001B420000}"/>
    <cellStyle name="Calc Currency (0) 12 7" xfId="9431" xr:uid="{00000000-0005-0000-0000-00001C420000}"/>
    <cellStyle name="Calc Currency (0) 12 8" xfId="9432" xr:uid="{00000000-0005-0000-0000-00001D420000}"/>
    <cellStyle name="Calc Currency (0) 12 9" xfId="9433" xr:uid="{00000000-0005-0000-0000-00001E420000}"/>
    <cellStyle name="Calc Currency (0) 13" xfId="9434" xr:uid="{00000000-0005-0000-0000-00001F420000}"/>
    <cellStyle name="Calc Currency (0) 13 10" xfId="9435" xr:uid="{00000000-0005-0000-0000-000020420000}"/>
    <cellStyle name="Calc Currency (0) 13 11" xfId="9436" xr:uid="{00000000-0005-0000-0000-000021420000}"/>
    <cellStyle name="Calc Currency (0) 13 12" xfId="9437" xr:uid="{00000000-0005-0000-0000-000022420000}"/>
    <cellStyle name="Calc Currency (0) 13 13" xfId="9438" xr:uid="{00000000-0005-0000-0000-000023420000}"/>
    <cellStyle name="Calc Currency (0) 13 14" xfId="9439" xr:uid="{00000000-0005-0000-0000-000024420000}"/>
    <cellStyle name="Calc Currency (0) 13 15" xfId="9440" xr:uid="{00000000-0005-0000-0000-000025420000}"/>
    <cellStyle name="Calc Currency (0) 13 16" xfId="9441" xr:uid="{00000000-0005-0000-0000-000026420000}"/>
    <cellStyle name="Calc Currency (0) 13 2" xfId="9442" xr:uid="{00000000-0005-0000-0000-000027420000}"/>
    <cellStyle name="Calc Currency (0) 13 3" xfId="9443" xr:uid="{00000000-0005-0000-0000-000028420000}"/>
    <cellStyle name="Calc Currency (0) 13 4" xfId="9444" xr:uid="{00000000-0005-0000-0000-000029420000}"/>
    <cellStyle name="Calc Currency (0) 13 5" xfId="9445" xr:uid="{00000000-0005-0000-0000-00002A420000}"/>
    <cellStyle name="Calc Currency (0) 13 6" xfId="9446" xr:uid="{00000000-0005-0000-0000-00002B420000}"/>
    <cellStyle name="Calc Currency (0) 13 7" xfId="9447" xr:uid="{00000000-0005-0000-0000-00002C420000}"/>
    <cellStyle name="Calc Currency (0) 13 8" xfId="9448" xr:uid="{00000000-0005-0000-0000-00002D420000}"/>
    <cellStyle name="Calc Currency (0) 13 9" xfId="9449" xr:uid="{00000000-0005-0000-0000-00002E420000}"/>
    <cellStyle name="Calc Currency (0) 14" xfId="9450" xr:uid="{00000000-0005-0000-0000-00002F420000}"/>
    <cellStyle name="Calc Currency (0) 14 10" xfId="9451" xr:uid="{00000000-0005-0000-0000-000030420000}"/>
    <cellStyle name="Calc Currency (0) 14 11" xfId="9452" xr:uid="{00000000-0005-0000-0000-000031420000}"/>
    <cellStyle name="Calc Currency (0) 14 12" xfId="9453" xr:uid="{00000000-0005-0000-0000-000032420000}"/>
    <cellStyle name="Calc Currency (0) 14 13" xfId="9454" xr:uid="{00000000-0005-0000-0000-000033420000}"/>
    <cellStyle name="Calc Currency (0) 14 14" xfId="9455" xr:uid="{00000000-0005-0000-0000-000034420000}"/>
    <cellStyle name="Calc Currency (0) 14 15" xfId="9456" xr:uid="{00000000-0005-0000-0000-000035420000}"/>
    <cellStyle name="Calc Currency (0) 14 16" xfId="9457" xr:uid="{00000000-0005-0000-0000-000036420000}"/>
    <cellStyle name="Calc Currency (0) 14 2" xfId="9458" xr:uid="{00000000-0005-0000-0000-000037420000}"/>
    <cellStyle name="Calc Currency (0) 14 3" xfId="9459" xr:uid="{00000000-0005-0000-0000-000038420000}"/>
    <cellStyle name="Calc Currency (0) 14 4" xfId="9460" xr:uid="{00000000-0005-0000-0000-000039420000}"/>
    <cellStyle name="Calc Currency (0) 14 5" xfId="9461" xr:uid="{00000000-0005-0000-0000-00003A420000}"/>
    <cellStyle name="Calc Currency (0) 14 6" xfId="9462" xr:uid="{00000000-0005-0000-0000-00003B420000}"/>
    <cellStyle name="Calc Currency (0) 14 7" xfId="9463" xr:uid="{00000000-0005-0000-0000-00003C420000}"/>
    <cellStyle name="Calc Currency (0) 14 8" xfId="9464" xr:uid="{00000000-0005-0000-0000-00003D420000}"/>
    <cellStyle name="Calc Currency (0) 14 9" xfId="9465" xr:uid="{00000000-0005-0000-0000-00003E420000}"/>
    <cellStyle name="Calc Currency (0) 15" xfId="9466" xr:uid="{00000000-0005-0000-0000-00003F420000}"/>
    <cellStyle name="Calc Currency (0) 15 10" xfId="9467" xr:uid="{00000000-0005-0000-0000-000040420000}"/>
    <cellStyle name="Calc Currency (0) 15 11" xfId="9468" xr:uid="{00000000-0005-0000-0000-000041420000}"/>
    <cellStyle name="Calc Currency (0) 15 12" xfId="9469" xr:uid="{00000000-0005-0000-0000-000042420000}"/>
    <cellStyle name="Calc Currency (0) 15 13" xfId="9470" xr:uid="{00000000-0005-0000-0000-000043420000}"/>
    <cellStyle name="Calc Currency (0) 15 14" xfId="9471" xr:uid="{00000000-0005-0000-0000-000044420000}"/>
    <cellStyle name="Calc Currency (0) 15 15" xfId="9472" xr:uid="{00000000-0005-0000-0000-000045420000}"/>
    <cellStyle name="Calc Currency (0) 15 16" xfId="9473" xr:uid="{00000000-0005-0000-0000-000046420000}"/>
    <cellStyle name="Calc Currency (0) 15 2" xfId="9474" xr:uid="{00000000-0005-0000-0000-000047420000}"/>
    <cellStyle name="Calc Currency (0) 15 3" xfId="9475" xr:uid="{00000000-0005-0000-0000-000048420000}"/>
    <cellStyle name="Calc Currency (0) 15 4" xfId="9476" xr:uid="{00000000-0005-0000-0000-000049420000}"/>
    <cellStyle name="Calc Currency (0) 15 5" xfId="9477" xr:uid="{00000000-0005-0000-0000-00004A420000}"/>
    <cellStyle name="Calc Currency (0) 15 6" xfId="9478" xr:uid="{00000000-0005-0000-0000-00004B420000}"/>
    <cellStyle name="Calc Currency (0) 15 7" xfId="9479" xr:uid="{00000000-0005-0000-0000-00004C420000}"/>
    <cellStyle name="Calc Currency (0) 15 8" xfId="9480" xr:uid="{00000000-0005-0000-0000-00004D420000}"/>
    <cellStyle name="Calc Currency (0) 15 9" xfId="9481" xr:uid="{00000000-0005-0000-0000-00004E420000}"/>
    <cellStyle name="Calc Currency (0) 16" xfId="9482" xr:uid="{00000000-0005-0000-0000-00004F420000}"/>
    <cellStyle name="Calc Currency (0) 16 2" xfId="9483" xr:uid="{00000000-0005-0000-0000-000050420000}"/>
    <cellStyle name="Calc Currency (0) 16 3" xfId="9484" xr:uid="{00000000-0005-0000-0000-000051420000}"/>
    <cellStyle name="Calc Currency (0) 16 4" xfId="9485" xr:uid="{00000000-0005-0000-0000-000052420000}"/>
    <cellStyle name="Calc Currency (0) 16 5" xfId="9486" xr:uid="{00000000-0005-0000-0000-000053420000}"/>
    <cellStyle name="Calc Currency (0) 16 6" xfId="9487" xr:uid="{00000000-0005-0000-0000-000054420000}"/>
    <cellStyle name="Calc Currency (0) 16 7" xfId="9488" xr:uid="{00000000-0005-0000-0000-000055420000}"/>
    <cellStyle name="Calc Currency (0) 16 8" xfId="9489" xr:uid="{00000000-0005-0000-0000-000056420000}"/>
    <cellStyle name="Calc Currency (0) 16 9" xfId="9490" xr:uid="{00000000-0005-0000-0000-000057420000}"/>
    <cellStyle name="Calc Currency (0) 17" xfId="9491" xr:uid="{00000000-0005-0000-0000-000058420000}"/>
    <cellStyle name="Calc Currency (0) 17 2" xfId="9492" xr:uid="{00000000-0005-0000-0000-000059420000}"/>
    <cellStyle name="Calc Currency (0) 17 3" xfId="9493" xr:uid="{00000000-0005-0000-0000-00005A420000}"/>
    <cellStyle name="Calc Currency (0) 17 4" xfId="9494" xr:uid="{00000000-0005-0000-0000-00005B420000}"/>
    <cellStyle name="Calc Currency (0) 17 5" xfId="9495" xr:uid="{00000000-0005-0000-0000-00005C420000}"/>
    <cellStyle name="Calc Currency (0) 17 6" xfId="9496" xr:uid="{00000000-0005-0000-0000-00005D420000}"/>
    <cellStyle name="Calc Currency (0) 17 7" xfId="9497" xr:uid="{00000000-0005-0000-0000-00005E420000}"/>
    <cellStyle name="Calc Currency (0) 17 8" xfId="9498" xr:uid="{00000000-0005-0000-0000-00005F420000}"/>
    <cellStyle name="Calc Currency (0) 17 9" xfId="9499" xr:uid="{00000000-0005-0000-0000-000060420000}"/>
    <cellStyle name="Calc Currency (0) 18" xfId="9500" xr:uid="{00000000-0005-0000-0000-000061420000}"/>
    <cellStyle name="Calc Currency (0) 18 2" xfId="9501" xr:uid="{00000000-0005-0000-0000-000062420000}"/>
    <cellStyle name="Calc Currency (0) 18 3" xfId="9502" xr:uid="{00000000-0005-0000-0000-000063420000}"/>
    <cellStyle name="Calc Currency (0) 18 4" xfId="9503" xr:uid="{00000000-0005-0000-0000-000064420000}"/>
    <cellStyle name="Calc Currency (0) 18 5" xfId="9504" xr:uid="{00000000-0005-0000-0000-000065420000}"/>
    <cellStyle name="Calc Currency (0) 18 6" xfId="9505" xr:uid="{00000000-0005-0000-0000-000066420000}"/>
    <cellStyle name="Calc Currency (0) 18 7" xfId="9506" xr:uid="{00000000-0005-0000-0000-000067420000}"/>
    <cellStyle name="Calc Currency (0) 18 8" xfId="9507" xr:uid="{00000000-0005-0000-0000-000068420000}"/>
    <cellStyle name="Calc Currency (0) 18 9" xfId="9508" xr:uid="{00000000-0005-0000-0000-000069420000}"/>
    <cellStyle name="Calc Currency (0) 19" xfId="9509" xr:uid="{00000000-0005-0000-0000-00006A420000}"/>
    <cellStyle name="Calc Currency (0) 19 2" xfId="9510" xr:uid="{00000000-0005-0000-0000-00006B420000}"/>
    <cellStyle name="Calc Currency (0) 19 3" xfId="9511" xr:uid="{00000000-0005-0000-0000-00006C420000}"/>
    <cellStyle name="Calc Currency (0) 19 4" xfId="9512" xr:uid="{00000000-0005-0000-0000-00006D420000}"/>
    <cellStyle name="Calc Currency (0) 19 5" xfId="9513" xr:uid="{00000000-0005-0000-0000-00006E420000}"/>
    <cellStyle name="Calc Currency (0) 19 6" xfId="9514" xr:uid="{00000000-0005-0000-0000-00006F420000}"/>
    <cellStyle name="Calc Currency (0) 19 7" xfId="9515" xr:uid="{00000000-0005-0000-0000-000070420000}"/>
    <cellStyle name="Calc Currency (0) 19 8" xfId="9516" xr:uid="{00000000-0005-0000-0000-000071420000}"/>
    <cellStyle name="Calc Currency (0) 19 9" xfId="9517" xr:uid="{00000000-0005-0000-0000-000072420000}"/>
    <cellStyle name="Calc Currency (0) 2" xfId="9518" xr:uid="{00000000-0005-0000-0000-000073420000}"/>
    <cellStyle name="Calc Currency (0) 2 10" xfId="9519" xr:uid="{00000000-0005-0000-0000-000074420000}"/>
    <cellStyle name="Calc Currency (0) 2 10 2" xfId="9520" xr:uid="{00000000-0005-0000-0000-000075420000}"/>
    <cellStyle name="Calc Currency (0) 2 10 3" xfId="9521" xr:uid="{00000000-0005-0000-0000-000076420000}"/>
    <cellStyle name="Calc Currency (0) 2 11" xfId="9522" xr:uid="{00000000-0005-0000-0000-000077420000}"/>
    <cellStyle name="Calc Currency (0) 2 11 2" xfId="9523" xr:uid="{00000000-0005-0000-0000-000078420000}"/>
    <cellStyle name="Calc Currency (0) 2 11 2 2" xfId="9524" xr:uid="{00000000-0005-0000-0000-000079420000}"/>
    <cellStyle name="Calc Currency (0) 2 11 2 3" xfId="9525" xr:uid="{00000000-0005-0000-0000-00007A420000}"/>
    <cellStyle name="Calc Currency (0) 2 11 3" xfId="9526" xr:uid="{00000000-0005-0000-0000-00007B420000}"/>
    <cellStyle name="Calc Currency (0) 2 12" xfId="9527" xr:uid="{00000000-0005-0000-0000-00007C420000}"/>
    <cellStyle name="Calc Currency (0) 2 13" xfId="9528" xr:uid="{00000000-0005-0000-0000-00007D420000}"/>
    <cellStyle name="Calc Currency (0) 2 14" xfId="9529" xr:uid="{00000000-0005-0000-0000-00007E420000}"/>
    <cellStyle name="Calc Currency (0) 2 2" xfId="9530" xr:uid="{00000000-0005-0000-0000-00007F420000}"/>
    <cellStyle name="Calc Currency (0) 2 2 10" xfId="9531" xr:uid="{00000000-0005-0000-0000-000080420000}"/>
    <cellStyle name="Calc Currency (0) 2 2 11" xfId="9532" xr:uid="{00000000-0005-0000-0000-000081420000}"/>
    <cellStyle name="Calc Currency (0) 2 2 12" xfId="9533" xr:uid="{00000000-0005-0000-0000-000082420000}"/>
    <cellStyle name="Calc Currency (0) 2 2 13" xfId="9534" xr:uid="{00000000-0005-0000-0000-000083420000}"/>
    <cellStyle name="Calc Currency (0) 2 2 14" xfId="9535" xr:uid="{00000000-0005-0000-0000-000084420000}"/>
    <cellStyle name="Calc Currency (0) 2 2 15" xfId="9536" xr:uid="{00000000-0005-0000-0000-000085420000}"/>
    <cellStyle name="Calc Currency (0) 2 2 16" xfId="9537" xr:uid="{00000000-0005-0000-0000-000086420000}"/>
    <cellStyle name="Calc Currency (0) 2 2 17" xfId="9538" xr:uid="{00000000-0005-0000-0000-000087420000}"/>
    <cellStyle name="Calc Currency (0) 2 2 18" xfId="9539" xr:uid="{00000000-0005-0000-0000-000088420000}"/>
    <cellStyle name="Calc Currency (0) 2 2 2" xfId="9540" xr:uid="{00000000-0005-0000-0000-000089420000}"/>
    <cellStyle name="Calc Currency (0) 2 2 2 2" xfId="9541" xr:uid="{00000000-0005-0000-0000-00008A420000}"/>
    <cellStyle name="Calc Currency (0) 2 2 2 2 2" xfId="9542" xr:uid="{00000000-0005-0000-0000-00008B420000}"/>
    <cellStyle name="Calc Currency (0) 2 2 2 2 3" xfId="9543" xr:uid="{00000000-0005-0000-0000-00008C420000}"/>
    <cellStyle name="Calc Currency (0) 2 2 2 2 4" xfId="9544" xr:uid="{00000000-0005-0000-0000-00008D420000}"/>
    <cellStyle name="Calc Currency (0) 2 2 2 2 5" xfId="9545" xr:uid="{00000000-0005-0000-0000-00008E420000}"/>
    <cellStyle name="Calc Currency (0) 2 2 2 2 6" xfId="9546" xr:uid="{00000000-0005-0000-0000-00008F420000}"/>
    <cellStyle name="Calc Currency (0) 2 2 2 2 7" xfId="9547" xr:uid="{00000000-0005-0000-0000-000090420000}"/>
    <cellStyle name="Calc Currency (0) 2 2 2 2 8" xfId="9548" xr:uid="{00000000-0005-0000-0000-000091420000}"/>
    <cellStyle name="Calc Currency (0) 2 2 2 3" xfId="9549" xr:uid="{00000000-0005-0000-0000-000092420000}"/>
    <cellStyle name="Calc Currency (0) 2 2 2 4" xfId="9550" xr:uid="{00000000-0005-0000-0000-000093420000}"/>
    <cellStyle name="Calc Currency (0) 2 2 2 5" xfId="9551" xr:uid="{00000000-0005-0000-0000-000094420000}"/>
    <cellStyle name="Calc Currency (0) 2 2 2 6" xfId="9552" xr:uid="{00000000-0005-0000-0000-000095420000}"/>
    <cellStyle name="Calc Currency (0) 2 2 2 7" xfId="9553" xr:uid="{00000000-0005-0000-0000-000096420000}"/>
    <cellStyle name="Calc Currency (0) 2 2 2 8" xfId="9554" xr:uid="{00000000-0005-0000-0000-000097420000}"/>
    <cellStyle name="Calc Currency (0) 2 2 2 9" xfId="9555" xr:uid="{00000000-0005-0000-0000-000098420000}"/>
    <cellStyle name="Calc Currency (0) 2 2 3" xfId="9556" xr:uid="{00000000-0005-0000-0000-000099420000}"/>
    <cellStyle name="Calc Currency (0) 2 2 3 2" xfId="9557" xr:uid="{00000000-0005-0000-0000-00009A420000}"/>
    <cellStyle name="Calc Currency (0) 2 2 3 3" xfId="9558" xr:uid="{00000000-0005-0000-0000-00009B420000}"/>
    <cellStyle name="Calc Currency (0) 2 2 3 4" xfId="9559" xr:uid="{00000000-0005-0000-0000-00009C420000}"/>
    <cellStyle name="Calc Currency (0) 2 2 3 5" xfId="9560" xr:uid="{00000000-0005-0000-0000-00009D420000}"/>
    <cellStyle name="Calc Currency (0) 2 2 3 6" xfId="9561" xr:uid="{00000000-0005-0000-0000-00009E420000}"/>
    <cellStyle name="Calc Currency (0) 2 2 3 7" xfId="9562" xr:uid="{00000000-0005-0000-0000-00009F420000}"/>
    <cellStyle name="Calc Currency (0) 2 2 3 8" xfId="9563" xr:uid="{00000000-0005-0000-0000-0000A0420000}"/>
    <cellStyle name="Calc Currency (0) 2 2 3 9" xfId="9564" xr:uid="{00000000-0005-0000-0000-0000A1420000}"/>
    <cellStyle name="Calc Currency (0) 2 2 4" xfId="9565" xr:uid="{00000000-0005-0000-0000-0000A2420000}"/>
    <cellStyle name="Calc Currency (0) 2 2 5" xfId="9566" xr:uid="{00000000-0005-0000-0000-0000A3420000}"/>
    <cellStyle name="Calc Currency (0) 2 2 6" xfId="9567" xr:uid="{00000000-0005-0000-0000-0000A4420000}"/>
    <cellStyle name="Calc Currency (0) 2 2 7" xfId="9568" xr:uid="{00000000-0005-0000-0000-0000A5420000}"/>
    <cellStyle name="Calc Currency (0) 2 2 8" xfId="9569" xr:uid="{00000000-0005-0000-0000-0000A6420000}"/>
    <cellStyle name="Calc Currency (0) 2 2 9" xfId="9570" xr:uid="{00000000-0005-0000-0000-0000A7420000}"/>
    <cellStyle name="Calc Currency (0) 2 3" xfId="9571" xr:uid="{00000000-0005-0000-0000-0000A8420000}"/>
    <cellStyle name="Calc Currency (0) 2 3 10" xfId="9572" xr:uid="{00000000-0005-0000-0000-0000A9420000}"/>
    <cellStyle name="Calc Currency (0) 2 3 11" xfId="9573" xr:uid="{00000000-0005-0000-0000-0000AA420000}"/>
    <cellStyle name="Calc Currency (0) 2 3 12" xfId="9574" xr:uid="{00000000-0005-0000-0000-0000AB420000}"/>
    <cellStyle name="Calc Currency (0) 2 3 13" xfId="9575" xr:uid="{00000000-0005-0000-0000-0000AC420000}"/>
    <cellStyle name="Calc Currency (0) 2 3 14" xfId="9576" xr:uid="{00000000-0005-0000-0000-0000AD420000}"/>
    <cellStyle name="Calc Currency (0) 2 3 15" xfId="9577" xr:uid="{00000000-0005-0000-0000-0000AE420000}"/>
    <cellStyle name="Calc Currency (0) 2 3 16" xfId="9578" xr:uid="{00000000-0005-0000-0000-0000AF420000}"/>
    <cellStyle name="Calc Currency (0) 2 3 2" xfId="9579" xr:uid="{00000000-0005-0000-0000-0000B0420000}"/>
    <cellStyle name="Calc Currency (0) 2 3 2 2" xfId="9580" xr:uid="{00000000-0005-0000-0000-0000B1420000}"/>
    <cellStyle name="Calc Currency (0) 2 3 2 2 2" xfId="9581" xr:uid="{00000000-0005-0000-0000-0000B2420000}"/>
    <cellStyle name="Calc Currency (0) 2 3 2 2 2 2" xfId="9582" xr:uid="{00000000-0005-0000-0000-0000B3420000}"/>
    <cellStyle name="Calc Currency (0) 2 3 2 2 2 2 2" xfId="9583" xr:uid="{00000000-0005-0000-0000-0000B4420000}"/>
    <cellStyle name="Calc Currency (0) 2 3 2 2 2 2 3" xfId="9584" xr:uid="{00000000-0005-0000-0000-0000B5420000}"/>
    <cellStyle name="Calc Currency (0) 2 3 2 2 2 2 4" xfId="9585" xr:uid="{00000000-0005-0000-0000-0000B6420000}"/>
    <cellStyle name="Calc Currency (0) 2 3 2 2 2 2 5" xfId="9586" xr:uid="{00000000-0005-0000-0000-0000B7420000}"/>
    <cellStyle name="Calc Currency (0) 2 3 2 2 2 2 6" xfId="9587" xr:uid="{00000000-0005-0000-0000-0000B8420000}"/>
    <cellStyle name="Calc Currency (0) 2 3 2 2 2 2 7" xfId="9588" xr:uid="{00000000-0005-0000-0000-0000B9420000}"/>
    <cellStyle name="Calc Currency (0) 2 3 2 2 2 2 8" xfId="9589" xr:uid="{00000000-0005-0000-0000-0000BA420000}"/>
    <cellStyle name="Calc Currency (0) 2 3 2 2 2 3" xfId="9590" xr:uid="{00000000-0005-0000-0000-0000BB420000}"/>
    <cellStyle name="Calc Currency (0) 2 3 2 2 2 4" xfId="9591" xr:uid="{00000000-0005-0000-0000-0000BC420000}"/>
    <cellStyle name="Calc Currency (0) 2 3 2 2 2 5" xfId="9592" xr:uid="{00000000-0005-0000-0000-0000BD420000}"/>
    <cellStyle name="Calc Currency (0) 2 3 2 2 2 6" xfId="9593" xr:uid="{00000000-0005-0000-0000-0000BE420000}"/>
    <cellStyle name="Calc Currency (0) 2 3 2 2 2 7" xfId="9594" xr:uid="{00000000-0005-0000-0000-0000BF420000}"/>
    <cellStyle name="Calc Currency (0) 2 3 2 2 2 8" xfId="9595" xr:uid="{00000000-0005-0000-0000-0000C0420000}"/>
    <cellStyle name="Calc Currency (0) 2 3 2 2 2 9" xfId="9596" xr:uid="{00000000-0005-0000-0000-0000C1420000}"/>
    <cellStyle name="Calc Currency (0) 2 3 2 2 3" xfId="9597" xr:uid="{00000000-0005-0000-0000-0000C2420000}"/>
    <cellStyle name="Calc Currency (0) 2 3 2 2 4" xfId="9598" xr:uid="{00000000-0005-0000-0000-0000C3420000}"/>
    <cellStyle name="Calc Currency (0) 2 3 2 2 5" xfId="9599" xr:uid="{00000000-0005-0000-0000-0000C4420000}"/>
    <cellStyle name="Calc Currency (0) 2 3 2 2 6" xfId="9600" xr:uid="{00000000-0005-0000-0000-0000C5420000}"/>
    <cellStyle name="Calc Currency (0) 2 3 2 2 7" xfId="9601" xr:uid="{00000000-0005-0000-0000-0000C6420000}"/>
    <cellStyle name="Calc Currency (0) 2 3 2 2 8" xfId="9602" xr:uid="{00000000-0005-0000-0000-0000C7420000}"/>
    <cellStyle name="Calc Currency (0) 2 3 2 2 9" xfId="9603" xr:uid="{00000000-0005-0000-0000-0000C8420000}"/>
    <cellStyle name="Calc Currency (0) 2 3 2 3" xfId="9604" xr:uid="{00000000-0005-0000-0000-0000C9420000}"/>
    <cellStyle name="Calc Currency (0) 2 3 2 4" xfId="9605" xr:uid="{00000000-0005-0000-0000-0000CA420000}"/>
    <cellStyle name="Calc Currency (0) 2 3 2 5" xfId="9606" xr:uid="{00000000-0005-0000-0000-0000CB420000}"/>
    <cellStyle name="Calc Currency (0) 2 3 2 6" xfId="9607" xr:uid="{00000000-0005-0000-0000-0000CC420000}"/>
    <cellStyle name="Calc Currency (0) 2 3 2 7" xfId="9608" xr:uid="{00000000-0005-0000-0000-0000CD420000}"/>
    <cellStyle name="Calc Currency (0) 2 3 2 8" xfId="9609" xr:uid="{00000000-0005-0000-0000-0000CE420000}"/>
    <cellStyle name="Calc Currency (0) 2 3 2 9" xfId="9610" xr:uid="{00000000-0005-0000-0000-0000CF420000}"/>
    <cellStyle name="Calc Currency (0) 2 3 3" xfId="9611" xr:uid="{00000000-0005-0000-0000-0000D0420000}"/>
    <cellStyle name="Calc Currency (0) 2 3 3 2" xfId="9612" xr:uid="{00000000-0005-0000-0000-0000D1420000}"/>
    <cellStyle name="Calc Currency (0) 2 3 3 3" xfId="9613" xr:uid="{00000000-0005-0000-0000-0000D2420000}"/>
    <cellStyle name="Calc Currency (0) 2 3 3 4" xfId="9614" xr:uid="{00000000-0005-0000-0000-0000D3420000}"/>
    <cellStyle name="Calc Currency (0) 2 3 3 5" xfId="9615" xr:uid="{00000000-0005-0000-0000-0000D4420000}"/>
    <cellStyle name="Calc Currency (0) 2 3 3 6" xfId="9616" xr:uid="{00000000-0005-0000-0000-0000D5420000}"/>
    <cellStyle name="Calc Currency (0) 2 3 3 7" xfId="9617" xr:uid="{00000000-0005-0000-0000-0000D6420000}"/>
    <cellStyle name="Calc Currency (0) 2 3 3 8" xfId="9618" xr:uid="{00000000-0005-0000-0000-0000D7420000}"/>
    <cellStyle name="Calc Currency (0) 2 3 4" xfId="9619" xr:uid="{00000000-0005-0000-0000-0000D8420000}"/>
    <cellStyle name="Calc Currency (0) 2 3 4 2" xfId="9620" xr:uid="{00000000-0005-0000-0000-0000D9420000}"/>
    <cellStyle name="Calc Currency (0) 2 3 4 3" xfId="9621" xr:uid="{00000000-0005-0000-0000-0000DA420000}"/>
    <cellStyle name="Calc Currency (0) 2 3 4 4" xfId="9622" xr:uid="{00000000-0005-0000-0000-0000DB420000}"/>
    <cellStyle name="Calc Currency (0) 2 3 4 5" xfId="9623" xr:uid="{00000000-0005-0000-0000-0000DC420000}"/>
    <cellStyle name="Calc Currency (0) 2 3 4 6" xfId="9624" xr:uid="{00000000-0005-0000-0000-0000DD420000}"/>
    <cellStyle name="Calc Currency (0) 2 3 4 7" xfId="9625" xr:uid="{00000000-0005-0000-0000-0000DE420000}"/>
    <cellStyle name="Calc Currency (0) 2 3 4 8" xfId="9626" xr:uid="{00000000-0005-0000-0000-0000DF420000}"/>
    <cellStyle name="Calc Currency (0) 2 3 5" xfId="9627" xr:uid="{00000000-0005-0000-0000-0000E0420000}"/>
    <cellStyle name="Calc Currency (0) 2 3 5 2" xfId="9628" xr:uid="{00000000-0005-0000-0000-0000E1420000}"/>
    <cellStyle name="Calc Currency (0) 2 3 5 3" xfId="9629" xr:uid="{00000000-0005-0000-0000-0000E2420000}"/>
    <cellStyle name="Calc Currency (0) 2 3 5 4" xfId="9630" xr:uid="{00000000-0005-0000-0000-0000E3420000}"/>
    <cellStyle name="Calc Currency (0) 2 3 5 5" xfId="9631" xr:uid="{00000000-0005-0000-0000-0000E4420000}"/>
    <cellStyle name="Calc Currency (0) 2 3 5 6" xfId="9632" xr:uid="{00000000-0005-0000-0000-0000E5420000}"/>
    <cellStyle name="Calc Currency (0) 2 3 5 7" xfId="9633" xr:uid="{00000000-0005-0000-0000-0000E6420000}"/>
    <cellStyle name="Calc Currency (0) 2 3 5 8" xfId="9634" xr:uid="{00000000-0005-0000-0000-0000E7420000}"/>
    <cellStyle name="Calc Currency (0) 2 3 6" xfId="9635" xr:uid="{00000000-0005-0000-0000-0000E8420000}"/>
    <cellStyle name="Calc Currency (0) 2 3 6 2" xfId="9636" xr:uid="{00000000-0005-0000-0000-0000E9420000}"/>
    <cellStyle name="Calc Currency (0) 2 3 6 3" xfId="9637" xr:uid="{00000000-0005-0000-0000-0000EA420000}"/>
    <cellStyle name="Calc Currency (0) 2 3 6 4" xfId="9638" xr:uid="{00000000-0005-0000-0000-0000EB420000}"/>
    <cellStyle name="Calc Currency (0) 2 3 6 5" xfId="9639" xr:uid="{00000000-0005-0000-0000-0000EC420000}"/>
    <cellStyle name="Calc Currency (0) 2 3 6 6" xfId="9640" xr:uid="{00000000-0005-0000-0000-0000ED420000}"/>
    <cellStyle name="Calc Currency (0) 2 3 6 7" xfId="9641" xr:uid="{00000000-0005-0000-0000-0000EE420000}"/>
    <cellStyle name="Calc Currency (0) 2 3 6 8" xfId="9642" xr:uid="{00000000-0005-0000-0000-0000EF420000}"/>
    <cellStyle name="Calc Currency (0) 2 3 7" xfId="9643" xr:uid="{00000000-0005-0000-0000-0000F0420000}"/>
    <cellStyle name="Calc Currency (0) 2 3 8" xfId="9644" xr:uid="{00000000-0005-0000-0000-0000F1420000}"/>
    <cellStyle name="Calc Currency (0) 2 3 9" xfId="9645" xr:uid="{00000000-0005-0000-0000-0000F2420000}"/>
    <cellStyle name="Calc Currency (0) 2 4" xfId="9646" xr:uid="{00000000-0005-0000-0000-0000F3420000}"/>
    <cellStyle name="Calc Currency (0) 2 4 2" xfId="9647" xr:uid="{00000000-0005-0000-0000-0000F4420000}"/>
    <cellStyle name="Calc Currency (0) 2 4 3" xfId="9648" xr:uid="{00000000-0005-0000-0000-0000F5420000}"/>
    <cellStyle name="Calc Currency (0) 2 5" xfId="9649" xr:uid="{00000000-0005-0000-0000-0000F6420000}"/>
    <cellStyle name="Calc Currency (0) 2 5 2" xfId="9650" xr:uid="{00000000-0005-0000-0000-0000F7420000}"/>
    <cellStyle name="Calc Currency (0) 2 5 3" xfId="9651" xr:uid="{00000000-0005-0000-0000-0000F8420000}"/>
    <cellStyle name="Calc Currency (0) 2 6" xfId="9652" xr:uid="{00000000-0005-0000-0000-0000F9420000}"/>
    <cellStyle name="Calc Currency (0) 2 6 2" xfId="9653" xr:uid="{00000000-0005-0000-0000-0000FA420000}"/>
    <cellStyle name="Calc Currency (0) 2 6 3" xfId="9654" xr:uid="{00000000-0005-0000-0000-0000FB420000}"/>
    <cellStyle name="Calc Currency (0) 2 7" xfId="9655" xr:uid="{00000000-0005-0000-0000-0000FC420000}"/>
    <cellStyle name="Calc Currency (0) 2 7 2" xfId="9656" xr:uid="{00000000-0005-0000-0000-0000FD420000}"/>
    <cellStyle name="Calc Currency (0) 2 7 3" xfId="9657" xr:uid="{00000000-0005-0000-0000-0000FE420000}"/>
    <cellStyle name="Calc Currency (0) 2 8" xfId="9658" xr:uid="{00000000-0005-0000-0000-0000FF420000}"/>
    <cellStyle name="Calc Currency (0) 2 8 2" xfId="9659" xr:uid="{00000000-0005-0000-0000-000000430000}"/>
    <cellStyle name="Calc Currency (0) 2 8 3" xfId="9660" xr:uid="{00000000-0005-0000-0000-000001430000}"/>
    <cellStyle name="Calc Currency (0) 2 9" xfId="9661" xr:uid="{00000000-0005-0000-0000-000002430000}"/>
    <cellStyle name="Calc Currency (0) 2 9 2" xfId="9662" xr:uid="{00000000-0005-0000-0000-000003430000}"/>
    <cellStyle name="Calc Currency (0) 2 9 3" xfId="9663" xr:uid="{00000000-0005-0000-0000-000004430000}"/>
    <cellStyle name="Calc Currency (0) 2_You Plus DCF Workpapers" xfId="9664" xr:uid="{00000000-0005-0000-0000-000005430000}"/>
    <cellStyle name="Calc Currency (0) 20" xfId="9665" xr:uid="{00000000-0005-0000-0000-000006430000}"/>
    <cellStyle name="Calc Currency (0) 20 2" xfId="9666" xr:uid="{00000000-0005-0000-0000-000007430000}"/>
    <cellStyle name="Calc Currency (0) 20 3" xfId="9667" xr:uid="{00000000-0005-0000-0000-000008430000}"/>
    <cellStyle name="Calc Currency (0) 20 4" xfId="9668" xr:uid="{00000000-0005-0000-0000-000009430000}"/>
    <cellStyle name="Calc Currency (0) 20 5" xfId="9669" xr:uid="{00000000-0005-0000-0000-00000A430000}"/>
    <cellStyle name="Calc Currency (0) 20 6" xfId="9670" xr:uid="{00000000-0005-0000-0000-00000B430000}"/>
    <cellStyle name="Calc Currency (0) 20 7" xfId="9671" xr:uid="{00000000-0005-0000-0000-00000C430000}"/>
    <cellStyle name="Calc Currency (0) 20 8" xfId="9672" xr:uid="{00000000-0005-0000-0000-00000D430000}"/>
    <cellStyle name="Calc Currency (0) 20 9" xfId="9673" xr:uid="{00000000-0005-0000-0000-00000E430000}"/>
    <cellStyle name="Calc Currency (0) 21" xfId="9674" xr:uid="{00000000-0005-0000-0000-00000F430000}"/>
    <cellStyle name="Calc Currency (0) 21 2" xfId="9675" xr:uid="{00000000-0005-0000-0000-000010430000}"/>
    <cellStyle name="Calc Currency (0) 21 3" xfId="9676" xr:uid="{00000000-0005-0000-0000-000011430000}"/>
    <cellStyle name="Calc Currency (0) 21 4" xfId="9677" xr:uid="{00000000-0005-0000-0000-000012430000}"/>
    <cellStyle name="Calc Currency (0) 21 5" xfId="9678" xr:uid="{00000000-0005-0000-0000-000013430000}"/>
    <cellStyle name="Calc Currency (0) 21 6" xfId="9679" xr:uid="{00000000-0005-0000-0000-000014430000}"/>
    <cellStyle name="Calc Currency (0) 21 7" xfId="9680" xr:uid="{00000000-0005-0000-0000-000015430000}"/>
    <cellStyle name="Calc Currency (0) 21 8" xfId="9681" xr:uid="{00000000-0005-0000-0000-000016430000}"/>
    <cellStyle name="Calc Currency (0) 21 9" xfId="9682" xr:uid="{00000000-0005-0000-0000-000017430000}"/>
    <cellStyle name="Calc Currency (0) 22" xfId="9683" xr:uid="{00000000-0005-0000-0000-000018430000}"/>
    <cellStyle name="Calc Currency (0) 22 2" xfId="9684" xr:uid="{00000000-0005-0000-0000-000019430000}"/>
    <cellStyle name="Calc Currency (0) 22 3" xfId="9685" xr:uid="{00000000-0005-0000-0000-00001A430000}"/>
    <cellStyle name="Calc Currency (0) 22 4" xfId="9686" xr:uid="{00000000-0005-0000-0000-00001B430000}"/>
    <cellStyle name="Calc Currency (0) 22 5" xfId="9687" xr:uid="{00000000-0005-0000-0000-00001C430000}"/>
    <cellStyle name="Calc Currency (0) 22 6" xfId="9688" xr:uid="{00000000-0005-0000-0000-00001D430000}"/>
    <cellStyle name="Calc Currency (0) 22 7" xfId="9689" xr:uid="{00000000-0005-0000-0000-00001E430000}"/>
    <cellStyle name="Calc Currency (0) 22 8" xfId="9690" xr:uid="{00000000-0005-0000-0000-00001F430000}"/>
    <cellStyle name="Calc Currency (0) 22 9" xfId="9691" xr:uid="{00000000-0005-0000-0000-000020430000}"/>
    <cellStyle name="Calc Currency (0) 23" xfId="9692" xr:uid="{00000000-0005-0000-0000-000021430000}"/>
    <cellStyle name="Calc Currency (0) 24" xfId="9693" xr:uid="{00000000-0005-0000-0000-000022430000}"/>
    <cellStyle name="Calc Currency (0) 25" xfId="9694" xr:uid="{00000000-0005-0000-0000-000023430000}"/>
    <cellStyle name="Calc Currency (0) 26" xfId="9695" xr:uid="{00000000-0005-0000-0000-000024430000}"/>
    <cellStyle name="Calc Currency (0) 27" xfId="9696" xr:uid="{00000000-0005-0000-0000-000025430000}"/>
    <cellStyle name="Calc Currency (0) 28" xfId="9697" xr:uid="{00000000-0005-0000-0000-000026430000}"/>
    <cellStyle name="Calc Currency (0) 29" xfId="9698" xr:uid="{00000000-0005-0000-0000-000027430000}"/>
    <cellStyle name="Calc Currency (0) 3" xfId="9699" xr:uid="{00000000-0005-0000-0000-000028430000}"/>
    <cellStyle name="Calc Currency (0) 3 10" xfId="9700" xr:uid="{00000000-0005-0000-0000-000029430000}"/>
    <cellStyle name="Calc Currency (0) 3 11" xfId="9701" xr:uid="{00000000-0005-0000-0000-00002A430000}"/>
    <cellStyle name="Calc Currency (0) 3 2" xfId="9702" xr:uid="{00000000-0005-0000-0000-00002B430000}"/>
    <cellStyle name="Calc Currency (0) 3 2 10" xfId="9703" xr:uid="{00000000-0005-0000-0000-00002C430000}"/>
    <cellStyle name="Calc Currency (0) 3 2 11" xfId="9704" xr:uid="{00000000-0005-0000-0000-00002D430000}"/>
    <cellStyle name="Calc Currency (0) 3 2 12" xfId="9705" xr:uid="{00000000-0005-0000-0000-00002E430000}"/>
    <cellStyle name="Calc Currency (0) 3 2 13" xfId="9706" xr:uid="{00000000-0005-0000-0000-00002F430000}"/>
    <cellStyle name="Calc Currency (0) 3 2 14" xfId="9707" xr:uid="{00000000-0005-0000-0000-000030430000}"/>
    <cellStyle name="Calc Currency (0) 3 2 15" xfId="9708" xr:uid="{00000000-0005-0000-0000-000031430000}"/>
    <cellStyle name="Calc Currency (0) 3 2 16" xfId="9709" xr:uid="{00000000-0005-0000-0000-000032430000}"/>
    <cellStyle name="Calc Currency (0) 3 2 2" xfId="9710" xr:uid="{00000000-0005-0000-0000-000033430000}"/>
    <cellStyle name="Calc Currency (0) 3 2 2 2" xfId="9711" xr:uid="{00000000-0005-0000-0000-000034430000}"/>
    <cellStyle name="Calc Currency (0) 3 2 2 3" xfId="9712" xr:uid="{00000000-0005-0000-0000-000035430000}"/>
    <cellStyle name="Calc Currency (0) 3 2 3" xfId="9713" xr:uid="{00000000-0005-0000-0000-000036430000}"/>
    <cellStyle name="Calc Currency (0) 3 2 3 2" xfId="9714" xr:uid="{00000000-0005-0000-0000-000037430000}"/>
    <cellStyle name="Calc Currency (0) 3 2 3 3" xfId="9715" xr:uid="{00000000-0005-0000-0000-000038430000}"/>
    <cellStyle name="Calc Currency (0) 3 2 3 4" xfId="9716" xr:uid="{00000000-0005-0000-0000-000039430000}"/>
    <cellStyle name="Calc Currency (0) 3 2 3 5" xfId="9717" xr:uid="{00000000-0005-0000-0000-00003A430000}"/>
    <cellStyle name="Calc Currency (0) 3 2 3 6" xfId="9718" xr:uid="{00000000-0005-0000-0000-00003B430000}"/>
    <cellStyle name="Calc Currency (0) 3 2 3 7" xfId="9719" xr:uid="{00000000-0005-0000-0000-00003C430000}"/>
    <cellStyle name="Calc Currency (0) 3 2 3 8" xfId="9720" xr:uid="{00000000-0005-0000-0000-00003D430000}"/>
    <cellStyle name="Calc Currency (0) 3 2 4" xfId="9721" xr:uid="{00000000-0005-0000-0000-00003E430000}"/>
    <cellStyle name="Calc Currency (0) 3 2 5" xfId="9722" xr:uid="{00000000-0005-0000-0000-00003F430000}"/>
    <cellStyle name="Calc Currency (0) 3 2 6" xfId="9723" xr:uid="{00000000-0005-0000-0000-000040430000}"/>
    <cellStyle name="Calc Currency (0) 3 2 7" xfId="9724" xr:uid="{00000000-0005-0000-0000-000041430000}"/>
    <cellStyle name="Calc Currency (0) 3 2 8" xfId="9725" xr:uid="{00000000-0005-0000-0000-000042430000}"/>
    <cellStyle name="Calc Currency (0) 3 2 9" xfId="9726" xr:uid="{00000000-0005-0000-0000-000043430000}"/>
    <cellStyle name="Calc Currency (0) 3 3" xfId="9727" xr:uid="{00000000-0005-0000-0000-000044430000}"/>
    <cellStyle name="Calc Currency (0) 3 3 2" xfId="9728" xr:uid="{00000000-0005-0000-0000-000045430000}"/>
    <cellStyle name="Calc Currency (0) 3 3 2 2" xfId="9729" xr:uid="{00000000-0005-0000-0000-000046430000}"/>
    <cellStyle name="Calc Currency (0) 3 3 2 2 2" xfId="9730" xr:uid="{00000000-0005-0000-0000-000047430000}"/>
    <cellStyle name="Calc Currency (0) 3 3 2 2 2 2" xfId="9731" xr:uid="{00000000-0005-0000-0000-000048430000}"/>
    <cellStyle name="Calc Currency (0) 3 3 2 2 2 3" xfId="9732" xr:uid="{00000000-0005-0000-0000-000049430000}"/>
    <cellStyle name="Calc Currency (0) 3 3 2 2 2 4" xfId="9733" xr:uid="{00000000-0005-0000-0000-00004A430000}"/>
    <cellStyle name="Calc Currency (0) 3 3 2 2 2 5" xfId="9734" xr:uid="{00000000-0005-0000-0000-00004B430000}"/>
    <cellStyle name="Calc Currency (0) 3 3 2 2 2 6" xfId="9735" xr:uid="{00000000-0005-0000-0000-00004C430000}"/>
    <cellStyle name="Calc Currency (0) 3 3 2 2 2 7" xfId="9736" xr:uid="{00000000-0005-0000-0000-00004D430000}"/>
    <cellStyle name="Calc Currency (0) 3 3 2 2 2 8" xfId="9737" xr:uid="{00000000-0005-0000-0000-00004E430000}"/>
    <cellStyle name="Calc Currency (0) 3 3 2 2 3" xfId="9738" xr:uid="{00000000-0005-0000-0000-00004F430000}"/>
    <cellStyle name="Calc Currency (0) 3 3 2 2 4" xfId="9739" xr:uid="{00000000-0005-0000-0000-000050430000}"/>
    <cellStyle name="Calc Currency (0) 3 3 2 2 5" xfId="9740" xr:uid="{00000000-0005-0000-0000-000051430000}"/>
    <cellStyle name="Calc Currency (0) 3 3 2 2 6" xfId="9741" xr:uid="{00000000-0005-0000-0000-000052430000}"/>
    <cellStyle name="Calc Currency (0) 3 3 2 2 7" xfId="9742" xr:uid="{00000000-0005-0000-0000-000053430000}"/>
    <cellStyle name="Calc Currency (0) 3 3 2 2 8" xfId="9743" xr:uid="{00000000-0005-0000-0000-000054430000}"/>
    <cellStyle name="Calc Currency (0) 3 3 2 2 9" xfId="9744" xr:uid="{00000000-0005-0000-0000-000055430000}"/>
    <cellStyle name="Calc Currency (0) 3 3 2 3" xfId="9745" xr:uid="{00000000-0005-0000-0000-000056430000}"/>
    <cellStyle name="Calc Currency (0) 3 3 2 4" xfId="9746" xr:uid="{00000000-0005-0000-0000-000057430000}"/>
    <cellStyle name="Calc Currency (0) 3 3 2 5" xfId="9747" xr:uid="{00000000-0005-0000-0000-000058430000}"/>
    <cellStyle name="Calc Currency (0) 3 3 2 6" xfId="9748" xr:uid="{00000000-0005-0000-0000-000059430000}"/>
    <cellStyle name="Calc Currency (0) 3 3 2 7" xfId="9749" xr:uid="{00000000-0005-0000-0000-00005A430000}"/>
    <cellStyle name="Calc Currency (0) 3 3 2 8" xfId="9750" xr:uid="{00000000-0005-0000-0000-00005B430000}"/>
    <cellStyle name="Calc Currency (0) 3 3 2 9" xfId="9751" xr:uid="{00000000-0005-0000-0000-00005C430000}"/>
    <cellStyle name="Calc Currency (0) 3 3 3" xfId="9752" xr:uid="{00000000-0005-0000-0000-00005D430000}"/>
    <cellStyle name="Calc Currency (0) 3 3 3 2" xfId="9753" xr:uid="{00000000-0005-0000-0000-00005E430000}"/>
    <cellStyle name="Calc Currency (0) 3 3 3 3" xfId="9754" xr:uid="{00000000-0005-0000-0000-00005F430000}"/>
    <cellStyle name="Calc Currency (0) 3 3 3 4" xfId="9755" xr:uid="{00000000-0005-0000-0000-000060430000}"/>
    <cellStyle name="Calc Currency (0) 3 3 3 5" xfId="9756" xr:uid="{00000000-0005-0000-0000-000061430000}"/>
    <cellStyle name="Calc Currency (0) 3 3 3 6" xfId="9757" xr:uid="{00000000-0005-0000-0000-000062430000}"/>
    <cellStyle name="Calc Currency (0) 3 3 3 7" xfId="9758" xr:uid="{00000000-0005-0000-0000-000063430000}"/>
    <cellStyle name="Calc Currency (0) 3 3 3 8" xfId="9759" xr:uid="{00000000-0005-0000-0000-000064430000}"/>
    <cellStyle name="Calc Currency (0) 3 3 4" xfId="9760" xr:uid="{00000000-0005-0000-0000-000065430000}"/>
    <cellStyle name="Calc Currency (0) 3 3 5" xfId="9761" xr:uid="{00000000-0005-0000-0000-000066430000}"/>
    <cellStyle name="Calc Currency (0) 3 3 6" xfId="9762" xr:uid="{00000000-0005-0000-0000-000067430000}"/>
    <cellStyle name="Calc Currency (0) 3 3 7" xfId="9763" xr:uid="{00000000-0005-0000-0000-000068430000}"/>
    <cellStyle name="Calc Currency (0) 3 3 8" xfId="9764" xr:uid="{00000000-0005-0000-0000-000069430000}"/>
    <cellStyle name="Calc Currency (0) 3 3 9" xfId="9765" xr:uid="{00000000-0005-0000-0000-00006A430000}"/>
    <cellStyle name="Calc Currency (0) 3 4" xfId="9766" xr:uid="{00000000-0005-0000-0000-00006B430000}"/>
    <cellStyle name="Calc Currency (0) 3 4 2" xfId="9767" xr:uid="{00000000-0005-0000-0000-00006C430000}"/>
    <cellStyle name="Calc Currency (0) 3 4 3" xfId="9768" xr:uid="{00000000-0005-0000-0000-00006D430000}"/>
    <cellStyle name="Calc Currency (0) 3 4 4" xfId="9769" xr:uid="{00000000-0005-0000-0000-00006E430000}"/>
    <cellStyle name="Calc Currency (0) 3 4 5" xfId="9770" xr:uid="{00000000-0005-0000-0000-00006F430000}"/>
    <cellStyle name="Calc Currency (0) 3 4 6" xfId="9771" xr:uid="{00000000-0005-0000-0000-000070430000}"/>
    <cellStyle name="Calc Currency (0) 3 4 7" xfId="9772" xr:uid="{00000000-0005-0000-0000-000071430000}"/>
    <cellStyle name="Calc Currency (0) 3 4 8" xfId="9773" xr:uid="{00000000-0005-0000-0000-000072430000}"/>
    <cellStyle name="Calc Currency (0) 3 5" xfId="9774" xr:uid="{00000000-0005-0000-0000-000073430000}"/>
    <cellStyle name="Calc Currency (0) 3 6" xfId="9775" xr:uid="{00000000-0005-0000-0000-000074430000}"/>
    <cellStyle name="Calc Currency (0) 3 7" xfId="9776" xr:uid="{00000000-0005-0000-0000-000075430000}"/>
    <cellStyle name="Calc Currency (0) 3 8" xfId="9777" xr:uid="{00000000-0005-0000-0000-000076430000}"/>
    <cellStyle name="Calc Currency (0) 3 9" xfId="9778" xr:uid="{00000000-0005-0000-0000-000077430000}"/>
    <cellStyle name="Calc Currency (0) 30" xfId="9779" xr:uid="{00000000-0005-0000-0000-000078430000}"/>
    <cellStyle name="Calc Currency (0) 31" xfId="9780" xr:uid="{00000000-0005-0000-0000-000079430000}"/>
    <cellStyle name="Calc Currency (0) 32" xfId="9781" xr:uid="{00000000-0005-0000-0000-00007A430000}"/>
    <cellStyle name="Calc Currency (0) 33" xfId="9782" xr:uid="{00000000-0005-0000-0000-00007B430000}"/>
    <cellStyle name="Calc Currency (0) 34" xfId="9783" xr:uid="{00000000-0005-0000-0000-00007C430000}"/>
    <cellStyle name="Calc Currency (0) 35" xfId="9784" xr:uid="{00000000-0005-0000-0000-00007D430000}"/>
    <cellStyle name="Calc Currency (0) 36" xfId="9785" xr:uid="{00000000-0005-0000-0000-00007E430000}"/>
    <cellStyle name="Calc Currency (0) 4" xfId="9786" xr:uid="{00000000-0005-0000-0000-00007F430000}"/>
    <cellStyle name="Calc Currency (0) 4 10" xfId="9787" xr:uid="{00000000-0005-0000-0000-000080430000}"/>
    <cellStyle name="Calc Currency (0) 4 11" xfId="9788" xr:uid="{00000000-0005-0000-0000-000081430000}"/>
    <cellStyle name="Calc Currency (0) 4 2" xfId="9789" xr:uid="{00000000-0005-0000-0000-000082430000}"/>
    <cellStyle name="Calc Currency (0) 4 2 2" xfId="9790" xr:uid="{00000000-0005-0000-0000-000083430000}"/>
    <cellStyle name="Calc Currency (0) 4 2 3" xfId="9791" xr:uid="{00000000-0005-0000-0000-000084430000}"/>
    <cellStyle name="Calc Currency (0) 4 2 4" xfId="9792" xr:uid="{00000000-0005-0000-0000-000085430000}"/>
    <cellStyle name="Calc Currency (0) 4 2 5" xfId="9793" xr:uid="{00000000-0005-0000-0000-000086430000}"/>
    <cellStyle name="Calc Currency (0) 4 2 6" xfId="9794" xr:uid="{00000000-0005-0000-0000-000087430000}"/>
    <cellStyle name="Calc Currency (0) 4 2 7" xfId="9795" xr:uid="{00000000-0005-0000-0000-000088430000}"/>
    <cellStyle name="Calc Currency (0) 4 2 8" xfId="9796" xr:uid="{00000000-0005-0000-0000-000089430000}"/>
    <cellStyle name="Calc Currency (0) 4 2 9" xfId="9797" xr:uid="{00000000-0005-0000-0000-00008A430000}"/>
    <cellStyle name="Calc Currency (0) 4 3" xfId="9798" xr:uid="{00000000-0005-0000-0000-00008B430000}"/>
    <cellStyle name="Calc Currency (0) 4 3 2" xfId="9799" xr:uid="{00000000-0005-0000-0000-00008C430000}"/>
    <cellStyle name="Calc Currency (0) 4 3 3" xfId="9800" xr:uid="{00000000-0005-0000-0000-00008D430000}"/>
    <cellStyle name="Calc Currency (0) 4 3 4" xfId="9801" xr:uid="{00000000-0005-0000-0000-00008E430000}"/>
    <cellStyle name="Calc Currency (0) 4 3 5" xfId="9802" xr:uid="{00000000-0005-0000-0000-00008F430000}"/>
    <cellStyle name="Calc Currency (0) 4 3 6" xfId="9803" xr:uid="{00000000-0005-0000-0000-000090430000}"/>
    <cellStyle name="Calc Currency (0) 4 3 7" xfId="9804" xr:uid="{00000000-0005-0000-0000-000091430000}"/>
    <cellStyle name="Calc Currency (0) 4 3 8" xfId="9805" xr:uid="{00000000-0005-0000-0000-000092430000}"/>
    <cellStyle name="Calc Currency (0) 4 3 9" xfId="9806" xr:uid="{00000000-0005-0000-0000-000093430000}"/>
    <cellStyle name="Calc Currency (0) 4 4" xfId="9807" xr:uid="{00000000-0005-0000-0000-000094430000}"/>
    <cellStyle name="Calc Currency (0) 4 5" xfId="9808" xr:uid="{00000000-0005-0000-0000-000095430000}"/>
    <cellStyle name="Calc Currency (0) 4 6" xfId="9809" xr:uid="{00000000-0005-0000-0000-000096430000}"/>
    <cellStyle name="Calc Currency (0) 4 7" xfId="9810" xr:uid="{00000000-0005-0000-0000-000097430000}"/>
    <cellStyle name="Calc Currency (0) 4 8" xfId="9811" xr:uid="{00000000-0005-0000-0000-000098430000}"/>
    <cellStyle name="Calc Currency (0) 4 9" xfId="9812" xr:uid="{00000000-0005-0000-0000-000099430000}"/>
    <cellStyle name="Calc Currency (0) 5" xfId="9813" xr:uid="{00000000-0005-0000-0000-00009A430000}"/>
    <cellStyle name="Calc Currency (0) 5 10" xfId="9814" xr:uid="{00000000-0005-0000-0000-00009B430000}"/>
    <cellStyle name="Calc Currency (0) 5 11" xfId="9815" xr:uid="{00000000-0005-0000-0000-00009C430000}"/>
    <cellStyle name="Calc Currency (0) 5 2" xfId="9816" xr:uid="{00000000-0005-0000-0000-00009D430000}"/>
    <cellStyle name="Calc Currency (0) 5 2 10" xfId="9817" xr:uid="{00000000-0005-0000-0000-00009E430000}"/>
    <cellStyle name="Calc Currency (0) 5 2 11" xfId="9818" xr:uid="{00000000-0005-0000-0000-00009F430000}"/>
    <cellStyle name="Calc Currency (0) 5 2 12" xfId="9819" xr:uid="{00000000-0005-0000-0000-0000A0430000}"/>
    <cellStyle name="Calc Currency (0) 5 2 13" xfId="9820" xr:uid="{00000000-0005-0000-0000-0000A1430000}"/>
    <cellStyle name="Calc Currency (0) 5 2 14" xfId="9821" xr:uid="{00000000-0005-0000-0000-0000A2430000}"/>
    <cellStyle name="Calc Currency (0) 5 2 15" xfId="9822" xr:uid="{00000000-0005-0000-0000-0000A3430000}"/>
    <cellStyle name="Calc Currency (0) 5 2 16" xfId="9823" xr:uid="{00000000-0005-0000-0000-0000A4430000}"/>
    <cellStyle name="Calc Currency (0) 5 2 2" xfId="9824" xr:uid="{00000000-0005-0000-0000-0000A5430000}"/>
    <cellStyle name="Calc Currency (0) 5 2 2 2" xfId="9825" xr:uid="{00000000-0005-0000-0000-0000A6430000}"/>
    <cellStyle name="Calc Currency (0) 5 2 2 2 2" xfId="9826" xr:uid="{00000000-0005-0000-0000-0000A7430000}"/>
    <cellStyle name="Calc Currency (0) 5 2 2 2 3" xfId="9827" xr:uid="{00000000-0005-0000-0000-0000A8430000}"/>
    <cellStyle name="Calc Currency (0) 5 2 2 3" xfId="9828" xr:uid="{00000000-0005-0000-0000-0000A9430000}"/>
    <cellStyle name="Calc Currency (0) 5 2 3" xfId="9829" xr:uid="{00000000-0005-0000-0000-0000AA430000}"/>
    <cellStyle name="Calc Currency (0) 5 2 4" xfId="9830" xr:uid="{00000000-0005-0000-0000-0000AB430000}"/>
    <cellStyle name="Calc Currency (0) 5 2 5" xfId="9831" xr:uid="{00000000-0005-0000-0000-0000AC430000}"/>
    <cellStyle name="Calc Currency (0) 5 2 6" xfId="9832" xr:uid="{00000000-0005-0000-0000-0000AD430000}"/>
    <cellStyle name="Calc Currency (0) 5 2 7" xfId="9833" xr:uid="{00000000-0005-0000-0000-0000AE430000}"/>
    <cellStyle name="Calc Currency (0) 5 2 8" xfId="9834" xr:uid="{00000000-0005-0000-0000-0000AF430000}"/>
    <cellStyle name="Calc Currency (0) 5 2 9" xfId="9835" xr:uid="{00000000-0005-0000-0000-0000B0430000}"/>
    <cellStyle name="Calc Currency (0) 5 3" xfId="9836" xr:uid="{00000000-0005-0000-0000-0000B1430000}"/>
    <cellStyle name="Calc Currency (0) 5 3 2" xfId="9837" xr:uid="{00000000-0005-0000-0000-0000B2430000}"/>
    <cellStyle name="Calc Currency (0) 5 3 3" xfId="9838" xr:uid="{00000000-0005-0000-0000-0000B3430000}"/>
    <cellStyle name="Calc Currency (0) 5 3 4" xfId="9839" xr:uid="{00000000-0005-0000-0000-0000B4430000}"/>
    <cellStyle name="Calc Currency (0) 5 3 5" xfId="9840" xr:uid="{00000000-0005-0000-0000-0000B5430000}"/>
    <cellStyle name="Calc Currency (0) 5 3 6" xfId="9841" xr:uid="{00000000-0005-0000-0000-0000B6430000}"/>
    <cellStyle name="Calc Currency (0) 5 3 7" xfId="9842" xr:uid="{00000000-0005-0000-0000-0000B7430000}"/>
    <cellStyle name="Calc Currency (0) 5 3 8" xfId="9843" xr:uid="{00000000-0005-0000-0000-0000B8430000}"/>
    <cellStyle name="Calc Currency (0) 5 3 9" xfId="9844" xr:uid="{00000000-0005-0000-0000-0000B9430000}"/>
    <cellStyle name="Calc Currency (0) 5 4" xfId="9845" xr:uid="{00000000-0005-0000-0000-0000BA430000}"/>
    <cellStyle name="Calc Currency (0) 5 5" xfId="9846" xr:uid="{00000000-0005-0000-0000-0000BB430000}"/>
    <cellStyle name="Calc Currency (0) 5 6" xfId="9847" xr:uid="{00000000-0005-0000-0000-0000BC430000}"/>
    <cellStyle name="Calc Currency (0) 5 6 2" xfId="9848" xr:uid="{00000000-0005-0000-0000-0000BD430000}"/>
    <cellStyle name="Calc Currency (0) 5 6 3" xfId="9849" xr:uid="{00000000-0005-0000-0000-0000BE430000}"/>
    <cellStyle name="Calc Currency (0) 5 6 4" xfId="9850" xr:uid="{00000000-0005-0000-0000-0000BF430000}"/>
    <cellStyle name="Calc Currency (0) 5 6 5" xfId="9851" xr:uid="{00000000-0005-0000-0000-0000C0430000}"/>
    <cellStyle name="Calc Currency (0) 5 6 6" xfId="9852" xr:uid="{00000000-0005-0000-0000-0000C1430000}"/>
    <cellStyle name="Calc Currency (0) 5 6 7" xfId="9853" xr:uid="{00000000-0005-0000-0000-0000C2430000}"/>
    <cellStyle name="Calc Currency (0) 5 6 8" xfId="9854" xr:uid="{00000000-0005-0000-0000-0000C3430000}"/>
    <cellStyle name="Calc Currency (0) 5 7" xfId="9855" xr:uid="{00000000-0005-0000-0000-0000C4430000}"/>
    <cellStyle name="Calc Currency (0) 5 8" xfId="9856" xr:uid="{00000000-0005-0000-0000-0000C5430000}"/>
    <cellStyle name="Calc Currency (0) 5 9" xfId="9857" xr:uid="{00000000-0005-0000-0000-0000C6430000}"/>
    <cellStyle name="Calc Currency (0) 6" xfId="9858" xr:uid="{00000000-0005-0000-0000-0000C7430000}"/>
    <cellStyle name="Calc Currency (0) 6 10" xfId="9859" xr:uid="{00000000-0005-0000-0000-0000C8430000}"/>
    <cellStyle name="Calc Currency (0) 6 11" xfId="9860" xr:uid="{00000000-0005-0000-0000-0000C9430000}"/>
    <cellStyle name="Calc Currency (0) 6 2" xfId="9861" xr:uid="{00000000-0005-0000-0000-0000CA430000}"/>
    <cellStyle name="Calc Currency (0) 6 2 2" xfId="9862" xr:uid="{00000000-0005-0000-0000-0000CB430000}"/>
    <cellStyle name="Calc Currency (0) 6 2 3" xfId="9863" xr:uid="{00000000-0005-0000-0000-0000CC430000}"/>
    <cellStyle name="Calc Currency (0) 6 2 4" xfId="9864" xr:uid="{00000000-0005-0000-0000-0000CD430000}"/>
    <cellStyle name="Calc Currency (0) 6 2 5" xfId="9865" xr:uid="{00000000-0005-0000-0000-0000CE430000}"/>
    <cellStyle name="Calc Currency (0) 6 2 6" xfId="9866" xr:uid="{00000000-0005-0000-0000-0000CF430000}"/>
    <cellStyle name="Calc Currency (0) 6 2 7" xfId="9867" xr:uid="{00000000-0005-0000-0000-0000D0430000}"/>
    <cellStyle name="Calc Currency (0) 6 2 8" xfId="9868" xr:uid="{00000000-0005-0000-0000-0000D1430000}"/>
    <cellStyle name="Calc Currency (0) 6 2 9" xfId="9869" xr:uid="{00000000-0005-0000-0000-0000D2430000}"/>
    <cellStyle name="Calc Currency (0) 6 3" xfId="9870" xr:uid="{00000000-0005-0000-0000-0000D3430000}"/>
    <cellStyle name="Calc Currency (0) 6 3 2" xfId="9871" xr:uid="{00000000-0005-0000-0000-0000D4430000}"/>
    <cellStyle name="Calc Currency (0) 6 3 3" xfId="9872" xr:uid="{00000000-0005-0000-0000-0000D5430000}"/>
    <cellStyle name="Calc Currency (0) 6 3 4" xfId="9873" xr:uid="{00000000-0005-0000-0000-0000D6430000}"/>
    <cellStyle name="Calc Currency (0) 6 3 5" xfId="9874" xr:uid="{00000000-0005-0000-0000-0000D7430000}"/>
    <cellStyle name="Calc Currency (0) 6 3 6" xfId="9875" xr:uid="{00000000-0005-0000-0000-0000D8430000}"/>
    <cellStyle name="Calc Currency (0) 6 3 7" xfId="9876" xr:uid="{00000000-0005-0000-0000-0000D9430000}"/>
    <cellStyle name="Calc Currency (0) 6 3 8" xfId="9877" xr:uid="{00000000-0005-0000-0000-0000DA430000}"/>
    <cellStyle name="Calc Currency (0) 6 3 9" xfId="9878" xr:uid="{00000000-0005-0000-0000-0000DB430000}"/>
    <cellStyle name="Calc Currency (0) 6 4" xfId="9879" xr:uid="{00000000-0005-0000-0000-0000DC430000}"/>
    <cellStyle name="Calc Currency (0) 6 5" xfId="9880" xr:uid="{00000000-0005-0000-0000-0000DD430000}"/>
    <cellStyle name="Calc Currency (0) 6 6" xfId="9881" xr:uid="{00000000-0005-0000-0000-0000DE430000}"/>
    <cellStyle name="Calc Currency (0) 6 7" xfId="9882" xr:uid="{00000000-0005-0000-0000-0000DF430000}"/>
    <cellStyle name="Calc Currency (0) 6 8" xfId="9883" xr:uid="{00000000-0005-0000-0000-0000E0430000}"/>
    <cellStyle name="Calc Currency (0) 6 9" xfId="9884" xr:uid="{00000000-0005-0000-0000-0000E1430000}"/>
    <cellStyle name="Calc Currency (0) 7" xfId="9885" xr:uid="{00000000-0005-0000-0000-0000E2430000}"/>
    <cellStyle name="Calc Currency (0) 7 10" xfId="9886" xr:uid="{00000000-0005-0000-0000-0000E3430000}"/>
    <cellStyle name="Calc Currency (0) 7 11" xfId="9887" xr:uid="{00000000-0005-0000-0000-0000E4430000}"/>
    <cellStyle name="Calc Currency (0) 7 2" xfId="9888" xr:uid="{00000000-0005-0000-0000-0000E5430000}"/>
    <cellStyle name="Calc Currency (0) 7 2 2" xfId="9889" xr:uid="{00000000-0005-0000-0000-0000E6430000}"/>
    <cellStyle name="Calc Currency (0) 7 2 3" xfId="9890" xr:uid="{00000000-0005-0000-0000-0000E7430000}"/>
    <cellStyle name="Calc Currency (0) 7 2 4" xfId="9891" xr:uid="{00000000-0005-0000-0000-0000E8430000}"/>
    <cellStyle name="Calc Currency (0) 7 2 5" xfId="9892" xr:uid="{00000000-0005-0000-0000-0000E9430000}"/>
    <cellStyle name="Calc Currency (0) 7 2 6" xfId="9893" xr:uid="{00000000-0005-0000-0000-0000EA430000}"/>
    <cellStyle name="Calc Currency (0) 7 2 7" xfId="9894" xr:uid="{00000000-0005-0000-0000-0000EB430000}"/>
    <cellStyle name="Calc Currency (0) 7 2 8" xfId="9895" xr:uid="{00000000-0005-0000-0000-0000EC430000}"/>
    <cellStyle name="Calc Currency (0) 7 2 9" xfId="9896" xr:uid="{00000000-0005-0000-0000-0000ED430000}"/>
    <cellStyle name="Calc Currency (0) 7 3" xfId="9897" xr:uid="{00000000-0005-0000-0000-0000EE430000}"/>
    <cellStyle name="Calc Currency (0) 7 3 2" xfId="9898" xr:uid="{00000000-0005-0000-0000-0000EF430000}"/>
    <cellStyle name="Calc Currency (0) 7 3 3" xfId="9899" xr:uid="{00000000-0005-0000-0000-0000F0430000}"/>
    <cellStyle name="Calc Currency (0) 7 3 4" xfId="9900" xr:uid="{00000000-0005-0000-0000-0000F1430000}"/>
    <cellStyle name="Calc Currency (0) 7 3 5" xfId="9901" xr:uid="{00000000-0005-0000-0000-0000F2430000}"/>
    <cellStyle name="Calc Currency (0) 7 3 6" xfId="9902" xr:uid="{00000000-0005-0000-0000-0000F3430000}"/>
    <cellStyle name="Calc Currency (0) 7 3 7" xfId="9903" xr:uid="{00000000-0005-0000-0000-0000F4430000}"/>
    <cellStyle name="Calc Currency (0) 7 3 8" xfId="9904" xr:uid="{00000000-0005-0000-0000-0000F5430000}"/>
    <cellStyle name="Calc Currency (0) 7 3 9" xfId="9905" xr:uid="{00000000-0005-0000-0000-0000F6430000}"/>
    <cellStyle name="Calc Currency (0) 7 4" xfId="9906" xr:uid="{00000000-0005-0000-0000-0000F7430000}"/>
    <cellStyle name="Calc Currency (0) 7 5" xfId="9907" xr:uid="{00000000-0005-0000-0000-0000F8430000}"/>
    <cellStyle name="Calc Currency (0) 7 6" xfId="9908" xr:uid="{00000000-0005-0000-0000-0000F9430000}"/>
    <cellStyle name="Calc Currency (0) 7 7" xfId="9909" xr:uid="{00000000-0005-0000-0000-0000FA430000}"/>
    <cellStyle name="Calc Currency (0) 7 8" xfId="9910" xr:uid="{00000000-0005-0000-0000-0000FB430000}"/>
    <cellStyle name="Calc Currency (0) 7 9" xfId="9911" xr:uid="{00000000-0005-0000-0000-0000FC430000}"/>
    <cellStyle name="Calc Currency (0) 8" xfId="9912" xr:uid="{00000000-0005-0000-0000-0000FD430000}"/>
    <cellStyle name="Calc Currency (0) 8 10" xfId="9913" xr:uid="{00000000-0005-0000-0000-0000FE430000}"/>
    <cellStyle name="Calc Currency (0) 8 11" xfId="9914" xr:uid="{00000000-0005-0000-0000-0000FF430000}"/>
    <cellStyle name="Calc Currency (0) 8 2" xfId="9915" xr:uid="{00000000-0005-0000-0000-000000440000}"/>
    <cellStyle name="Calc Currency (0) 8 2 2" xfId="9916" xr:uid="{00000000-0005-0000-0000-000001440000}"/>
    <cellStyle name="Calc Currency (0) 8 2 3" xfId="9917" xr:uid="{00000000-0005-0000-0000-000002440000}"/>
    <cellStyle name="Calc Currency (0) 8 2 4" xfId="9918" xr:uid="{00000000-0005-0000-0000-000003440000}"/>
    <cellStyle name="Calc Currency (0) 8 2 5" xfId="9919" xr:uid="{00000000-0005-0000-0000-000004440000}"/>
    <cellStyle name="Calc Currency (0) 8 2 6" xfId="9920" xr:uid="{00000000-0005-0000-0000-000005440000}"/>
    <cellStyle name="Calc Currency (0) 8 2 7" xfId="9921" xr:uid="{00000000-0005-0000-0000-000006440000}"/>
    <cellStyle name="Calc Currency (0) 8 2 8" xfId="9922" xr:uid="{00000000-0005-0000-0000-000007440000}"/>
    <cellStyle name="Calc Currency (0) 8 2 9" xfId="9923" xr:uid="{00000000-0005-0000-0000-000008440000}"/>
    <cellStyle name="Calc Currency (0) 8 3" xfId="9924" xr:uid="{00000000-0005-0000-0000-000009440000}"/>
    <cellStyle name="Calc Currency (0) 8 3 2" xfId="9925" xr:uid="{00000000-0005-0000-0000-00000A440000}"/>
    <cellStyle name="Calc Currency (0) 8 3 3" xfId="9926" xr:uid="{00000000-0005-0000-0000-00000B440000}"/>
    <cellStyle name="Calc Currency (0) 8 3 4" xfId="9927" xr:uid="{00000000-0005-0000-0000-00000C440000}"/>
    <cellStyle name="Calc Currency (0) 8 3 5" xfId="9928" xr:uid="{00000000-0005-0000-0000-00000D440000}"/>
    <cellStyle name="Calc Currency (0) 8 3 6" xfId="9929" xr:uid="{00000000-0005-0000-0000-00000E440000}"/>
    <cellStyle name="Calc Currency (0) 8 3 7" xfId="9930" xr:uid="{00000000-0005-0000-0000-00000F440000}"/>
    <cellStyle name="Calc Currency (0) 8 3 8" xfId="9931" xr:uid="{00000000-0005-0000-0000-000010440000}"/>
    <cellStyle name="Calc Currency (0) 8 3 9" xfId="9932" xr:uid="{00000000-0005-0000-0000-000011440000}"/>
    <cellStyle name="Calc Currency (0) 8 4" xfId="9933" xr:uid="{00000000-0005-0000-0000-000012440000}"/>
    <cellStyle name="Calc Currency (0) 8 5" xfId="9934" xr:uid="{00000000-0005-0000-0000-000013440000}"/>
    <cellStyle name="Calc Currency (0) 8 6" xfId="9935" xr:uid="{00000000-0005-0000-0000-000014440000}"/>
    <cellStyle name="Calc Currency (0) 8 7" xfId="9936" xr:uid="{00000000-0005-0000-0000-000015440000}"/>
    <cellStyle name="Calc Currency (0) 8 8" xfId="9937" xr:uid="{00000000-0005-0000-0000-000016440000}"/>
    <cellStyle name="Calc Currency (0) 8 9" xfId="9938" xr:uid="{00000000-0005-0000-0000-000017440000}"/>
    <cellStyle name="Calc Currency (0) 9" xfId="9939" xr:uid="{00000000-0005-0000-0000-000018440000}"/>
    <cellStyle name="Calc Currency (0) 9 10" xfId="9940" xr:uid="{00000000-0005-0000-0000-000019440000}"/>
    <cellStyle name="Calc Currency (0) 9 11" xfId="9941" xr:uid="{00000000-0005-0000-0000-00001A440000}"/>
    <cellStyle name="Calc Currency (0) 9 2" xfId="9942" xr:uid="{00000000-0005-0000-0000-00001B440000}"/>
    <cellStyle name="Calc Currency (0) 9 2 10" xfId="9943" xr:uid="{00000000-0005-0000-0000-00001C440000}"/>
    <cellStyle name="Calc Currency (0) 9 2 11" xfId="9944" xr:uid="{00000000-0005-0000-0000-00001D440000}"/>
    <cellStyle name="Calc Currency (0) 9 2 12" xfId="9945" xr:uid="{00000000-0005-0000-0000-00001E440000}"/>
    <cellStyle name="Calc Currency (0) 9 2 13" xfId="9946" xr:uid="{00000000-0005-0000-0000-00001F440000}"/>
    <cellStyle name="Calc Currency (0) 9 2 14" xfId="9947" xr:uid="{00000000-0005-0000-0000-000020440000}"/>
    <cellStyle name="Calc Currency (0) 9 2 15" xfId="9948" xr:uid="{00000000-0005-0000-0000-000021440000}"/>
    <cellStyle name="Calc Currency (0) 9 2 16" xfId="9949" xr:uid="{00000000-0005-0000-0000-000022440000}"/>
    <cellStyle name="Calc Currency (0) 9 2 2" xfId="9950" xr:uid="{00000000-0005-0000-0000-000023440000}"/>
    <cellStyle name="Calc Currency (0) 9 2 3" xfId="9951" xr:uid="{00000000-0005-0000-0000-000024440000}"/>
    <cellStyle name="Calc Currency (0) 9 2 4" xfId="9952" xr:uid="{00000000-0005-0000-0000-000025440000}"/>
    <cellStyle name="Calc Currency (0) 9 2 5" xfId="9953" xr:uid="{00000000-0005-0000-0000-000026440000}"/>
    <cellStyle name="Calc Currency (0) 9 2 6" xfId="9954" xr:uid="{00000000-0005-0000-0000-000027440000}"/>
    <cellStyle name="Calc Currency (0) 9 2 7" xfId="9955" xr:uid="{00000000-0005-0000-0000-000028440000}"/>
    <cellStyle name="Calc Currency (0) 9 2 8" xfId="9956" xr:uid="{00000000-0005-0000-0000-000029440000}"/>
    <cellStyle name="Calc Currency (0) 9 2 9" xfId="9957" xr:uid="{00000000-0005-0000-0000-00002A440000}"/>
    <cellStyle name="Calc Currency (0) 9 3" xfId="9958" xr:uid="{00000000-0005-0000-0000-00002B440000}"/>
    <cellStyle name="Calc Currency (0) 9 3 2" xfId="9959" xr:uid="{00000000-0005-0000-0000-00002C440000}"/>
    <cellStyle name="Calc Currency (0) 9 3 3" xfId="9960" xr:uid="{00000000-0005-0000-0000-00002D440000}"/>
    <cellStyle name="Calc Currency (0) 9 3 4" xfId="9961" xr:uid="{00000000-0005-0000-0000-00002E440000}"/>
    <cellStyle name="Calc Currency (0) 9 3 5" xfId="9962" xr:uid="{00000000-0005-0000-0000-00002F440000}"/>
    <cellStyle name="Calc Currency (0) 9 3 6" xfId="9963" xr:uid="{00000000-0005-0000-0000-000030440000}"/>
    <cellStyle name="Calc Currency (0) 9 3 7" xfId="9964" xr:uid="{00000000-0005-0000-0000-000031440000}"/>
    <cellStyle name="Calc Currency (0) 9 3 8" xfId="9965" xr:uid="{00000000-0005-0000-0000-000032440000}"/>
    <cellStyle name="Calc Currency (0) 9 3 9" xfId="9966" xr:uid="{00000000-0005-0000-0000-000033440000}"/>
    <cellStyle name="Calc Currency (0) 9 4" xfId="9967" xr:uid="{00000000-0005-0000-0000-000034440000}"/>
    <cellStyle name="Calc Currency (0) 9 4 2" xfId="9968" xr:uid="{00000000-0005-0000-0000-000035440000}"/>
    <cellStyle name="Calc Currency (0) 9 4 3" xfId="9969" xr:uid="{00000000-0005-0000-0000-000036440000}"/>
    <cellStyle name="Calc Currency (0) 9 4 4" xfId="9970" xr:uid="{00000000-0005-0000-0000-000037440000}"/>
    <cellStyle name="Calc Currency (0) 9 4 5" xfId="9971" xr:uid="{00000000-0005-0000-0000-000038440000}"/>
    <cellStyle name="Calc Currency (0) 9 4 6" xfId="9972" xr:uid="{00000000-0005-0000-0000-000039440000}"/>
    <cellStyle name="Calc Currency (0) 9 4 7" xfId="9973" xr:uid="{00000000-0005-0000-0000-00003A440000}"/>
    <cellStyle name="Calc Currency (0) 9 4 8" xfId="9974" xr:uid="{00000000-0005-0000-0000-00003B440000}"/>
    <cellStyle name="Calc Currency (0) 9 5" xfId="9975" xr:uid="{00000000-0005-0000-0000-00003C440000}"/>
    <cellStyle name="Calc Currency (0) 9 6" xfId="9976" xr:uid="{00000000-0005-0000-0000-00003D440000}"/>
    <cellStyle name="Calc Currency (0) 9 7" xfId="9977" xr:uid="{00000000-0005-0000-0000-00003E440000}"/>
    <cellStyle name="Calc Currency (0) 9 8" xfId="9978" xr:uid="{00000000-0005-0000-0000-00003F440000}"/>
    <cellStyle name="Calc Currency (0) 9 9" xfId="9979" xr:uid="{00000000-0005-0000-0000-000040440000}"/>
    <cellStyle name="Calc Currency (2)" xfId="9980" xr:uid="{00000000-0005-0000-0000-000041440000}"/>
    <cellStyle name="Calc Currency (2) 10" xfId="9981" xr:uid="{00000000-0005-0000-0000-000042440000}"/>
    <cellStyle name="Calc Currency (2) 11" xfId="9982" xr:uid="{00000000-0005-0000-0000-000043440000}"/>
    <cellStyle name="Calc Currency (2) 11 2" xfId="9983" xr:uid="{00000000-0005-0000-0000-000044440000}"/>
    <cellStyle name="Calc Currency (2) 11 2 2" xfId="9984" xr:uid="{00000000-0005-0000-0000-000045440000}"/>
    <cellStyle name="Calc Currency (2) 11 2 3" xfId="9985" xr:uid="{00000000-0005-0000-0000-000046440000}"/>
    <cellStyle name="Calc Currency (2) 11 2 4" xfId="9986" xr:uid="{00000000-0005-0000-0000-000047440000}"/>
    <cellStyle name="Calc Currency (2) 11 2 5" xfId="9987" xr:uid="{00000000-0005-0000-0000-000048440000}"/>
    <cellStyle name="Calc Currency (2) 11 2 6" xfId="9988" xr:uid="{00000000-0005-0000-0000-000049440000}"/>
    <cellStyle name="Calc Currency (2) 11 2 7" xfId="9989" xr:uid="{00000000-0005-0000-0000-00004A440000}"/>
    <cellStyle name="Calc Currency (2) 11 2 8" xfId="9990" xr:uid="{00000000-0005-0000-0000-00004B440000}"/>
    <cellStyle name="Calc Currency (2) 11 3" xfId="9991" xr:uid="{00000000-0005-0000-0000-00004C440000}"/>
    <cellStyle name="Calc Currency (2) 11 4" xfId="9992" xr:uid="{00000000-0005-0000-0000-00004D440000}"/>
    <cellStyle name="Calc Currency (2) 11 5" xfId="9993" xr:uid="{00000000-0005-0000-0000-00004E440000}"/>
    <cellStyle name="Calc Currency (2) 11 6" xfId="9994" xr:uid="{00000000-0005-0000-0000-00004F440000}"/>
    <cellStyle name="Calc Currency (2) 11 7" xfId="9995" xr:uid="{00000000-0005-0000-0000-000050440000}"/>
    <cellStyle name="Calc Currency (2) 11 8" xfId="9996" xr:uid="{00000000-0005-0000-0000-000051440000}"/>
    <cellStyle name="Calc Currency (2) 12" xfId="9997" xr:uid="{00000000-0005-0000-0000-000052440000}"/>
    <cellStyle name="Calc Currency (2) 12 2" xfId="9998" xr:uid="{00000000-0005-0000-0000-000053440000}"/>
    <cellStyle name="Calc Currency (2) 12 3" xfId="9999" xr:uid="{00000000-0005-0000-0000-000054440000}"/>
    <cellStyle name="Calc Currency (2) 12 4" xfId="10000" xr:uid="{00000000-0005-0000-0000-000055440000}"/>
    <cellStyle name="Calc Currency (2) 12 5" xfId="10001" xr:uid="{00000000-0005-0000-0000-000056440000}"/>
    <cellStyle name="Calc Currency (2) 12 6" xfId="10002" xr:uid="{00000000-0005-0000-0000-000057440000}"/>
    <cellStyle name="Calc Currency (2) 12 7" xfId="10003" xr:uid="{00000000-0005-0000-0000-000058440000}"/>
    <cellStyle name="Calc Currency (2) 12 8" xfId="10004" xr:uid="{00000000-0005-0000-0000-000059440000}"/>
    <cellStyle name="Calc Currency (2) 13" xfId="10005" xr:uid="{00000000-0005-0000-0000-00005A440000}"/>
    <cellStyle name="Calc Currency (2) 14" xfId="10006" xr:uid="{00000000-0005-0000-0000-00005B440000}"/>
    <cellStyle name="Calc Currency (2) 15" xfId="10007" xr:uid="{00000000-0005-0000-0000-00005C440000}"/>
    <cellStyle name="Calc Currency (2) 16" xfId="10008" xr:uid="{00000000-0005-0000-0000-00005D440000}"/>
    <cellStyle name="Calc Currency (2) 17" xfId="10009" xr:uid="{00000000-0005-0000-0000-00005E440000}"/>
    <cellStyle name="Calc Currency (2) 18" xfId="10010" xr:uid="{00000000-0005-0000-0000-00005F440000}"/>
    <cellStyle name="Calc Currency (2) 19" xfId="10011" xr:uid="{00000000-0005-0000-0000-000060440000}"/>
    <cellStyle name="Calc Currency (2) 2" xfId="10012" xr:uid="{00000000-0005-0000-0000-000061440000}"/>
    <cellStyle name="Calc Currency (2) 2 10" xfId="10013" xr:uid="{00000000-0005-0000-0000-000062440000}"/>
    <cellStyle name="Calc Currency (2) 2 10 2" xfId="10014" xr:uid="{00000000-0005-0000-0000-000063440000}"/>
    <cellStyle name="Calc Currency (2) 2 10 3" xfId="10015" xr:uid="{00000000-0005-0000-0000-000064440000}"/>
    <cellStyle name="Calc Currency (2) 2 10 4" xfId="10016" xr:uid="{00000000-0005-0000-0000-000065440000}"/>
    <cellStyle name="Calc Currency (2) 2 10 5" xfId="10017" xr:uid="{00000000-0005-0000-0000-000066440000}"/>
    <cellStyle name="Calc Currency (2) 2 10 6" xfId="10018" xr:uid="{00000000-0005-0000-0000-000067440000}"/>
    <cellStyle name="Calc Currency (2) 2 10 7" xfId="10019" xr:uid="{00000000-0005-0000-0000-000068440000}"/>
    <cellStyle name="Calc Currency (2) 2 10 8" xfId="10020" xr:uid="{00000000-0005-0000-0000-000069440000}"/>
    <cellStyle name="Calc Currency (2) 2 10 9" xfId="10021" xr:uid="{00000000-0005-0000-0000-00006A440000}"/>
    <cellStyle name="Calc Currency (2) 2 11" xfId="10022" xr:uid="{00000000-0005-0000-0000-00006B440000}"/>
    <cellStyle name="Calc Currency (2) 2 11 2" xfId="10023" xr:uid="{00000000-0005-0000-0000-00006C440000}"/>
    <cellStyle name="Calc Currency (2) 2 11 2 2" xfId="10024" xr:uid="{00000000-0005-0000-0000-00006D440000}"/>
    <cellStyle name="Calc Currency (2) 2 11 2 3" xfId="10025" xr:uid="{00000000-0005-0000-0000-00006E440000}"/>
    <cellStyle name="Calc Currency (2) 2 11 2 4" xfId="10026" xr:uid="{00000000-0005-0000-0000-00006F440000}"/>
    <cellStyle name="Calc Currency (2) 2 11 2 5" xfId="10027" xr:uid="{00000000-0005-0000-0000-000070440000}"/>
    <cellStyle name="Calc Currency (2) 2 11 2 6" xfId="10028" xr:uid="{00000000-0005-0000-0000-000071440000}"/>
    <cellStyle name="Calc Currency (2) 2 11 2 7" xfId="10029" xr:uid="{00000000-0005-0000-0000-000072440000}"/>
    <cellStyle name="Calc Currency (2) 2 11 2 8" xfId="10030" xr:uid="{00000000-0005-0000-0000-000073440000}"/>
    <cellStyle name="Calc Currency (2) 2 11 3" xfId="10031" xr:uid="{00000000-0005-0000-0000-000074440000}"/>
    <cellStyle name="Calc Currency (2) 2 11 4" xfId="10032" xr:uid="{00000000-0005-0000-0000-000075440000}"/>
    <cellStyle name="Calc Currency (2) 2 11 5" xfId="10033" xr:uid="{00000000-0005-0000-0000-000076440000}"/>
    <cellStyle name="Calc Currency (2) 2 11 6" xfId="10034" xr:uid="{00000000-0005-0000-0000-000077440000}"/>
    <cellStyle name="Calc Currency (2) 2 11 7" xfId="10035" xr:uid="{00000000-0005-0000-0000-000078440000}"/>
    <cellStyle name="Calc Currency (2) 2 11 8" xfId="10036" xr:uid="{00000000-0005-0000-0000-000079440000}"/>
    <cellStyle name="Calc Currency (2) 2 11 9" xfId="10037" xr:uid="{00000000-0005-0000-0000-00007A440000}"/>
    <cellStyle name="Calc Currency (2) 2 12" xfId="10038" xr:uid="{00000000-0005-0000-0000-00007B440000}"/>
    <cellStyle name="Calc Currency (2) 2 13" xfId="10039" xr:uid="{00000000-0005-0000-0000-00007C440000}"/>
    <cellStyle name="Calc Currency (2) 2 14" xfId="10040" xr:uid="{00000000-0005-0000-0000-00007D440000}"/>
    <cellStyle name="Calc Currency (2) 2 15" xfId="10041" xr:uid="{00000000-0005-0000-0000-00007E440000}"/>
    <cellStyle name="Calc Currency (2) 2 16" xfId="10042" xr:uid="{00000000-0005-0000-0000-00007F440000}"/>
    <cellStyle name="Calc Currency (2) 2 17" xfId="10043" xr:uid="{00000000-0005-0000-0000-000080440000}"/>
    <cellStyle name="Calc Currency (2) 2 18" xfId="10044" xr:uid="{00000000-0005-0000-0000-000081440000}"/>
    <cellStyle name="Calc Currency (2) 2 19" xfId="10045" xr:uid="{00000000-0005-0000-0000-000082440000}"/>
    <cellStyle name="Calc Currency (2) 2 2" xfId="10046" xr:uid="{00000000-0005-0000-0000-000083440000}"/>
    <cellStyle name="Calc Currency (2) 2 2 10" xfId="10047" xr:uid="{00000000-0005-0000-0000-000084440000}"/>
    <cellStyle name="Calc Currency (2) 2 2 11" xfId="10048" xr:uid="{00000000-0005-0000-0000-000085440000}"/>
    <cellStyle name="Calc Currency (2) 2 2 12" xfId="10049" xr:uid="{00000000-0005-0000-0000-000086440000}"/>
    <cellStyle name="Calc Currency (2) 2 2 13" xfId="10050" xr:uid="{00000000-0005-0000-0000-000087440000}"/>
    <cellStyle name="Calc Currency (2) 2 2 14" xfId="10051" xr:uid="{00000000-0005-0000-0000-000088440000}"/>
    <cellStyle name="Calc Currency (2) 2 2 15" xfId="10052" xr:uid="{00000000-0005-0000-0000-000089440000}"/>
    <cellStyle name="Calc Currency (2) 2 2 16" xfId="10053" xr:uid="{00000000-0005-0000-0000-00008A440000}"/>
    <cellStyle name="Calc Currency (2) 2 2 17" xfId="10054" xr:uid="{00000000-0005-0000-0000-00008B440000}"/>
    <cellStyle name="Calc Currency (2) 2 2 2" xfId="10055" xr:uid="{00000000-0005-0000-0000-00008C440000}"/>
    <cellStyle name="Calc Currency (2) 2 2 2 10" xfId="10056" xr:uid="{00000000-0005-0000-0000-00008D440000}"/>
    <cellStyle name="Calc Currency (2) 2 2 2 11" xfId="10057" xr:uid="{00000000-0005-0000-0000-00008E440000}"/>
    <cellStyle name="Calc Currency (2) 2 2 2 12" xfId="10058" xr:uid="{00000000-0005-0000-0000-00008F440000}"/>
    <cellStyle name="Calc Currency (2) 2 2 2 13" xfId="10059" xr:uid="{00000000-0005-0000-0000-000090440000}"/>
    <cellStyle name="Calc Currency (2) 2 2 2 14" xfId="10060" xr:uid="{00000000-0005-0000-0000-000091440000}"/>
    <cellStyle name="Calc Currency (2) 2 2 2 15" xfId="10061" xr:uid="{00000000-0005-0000-0000-000092440000}"/>
    <cellStyle name="Calc Currency (2) 2 2 2 2" xfId="10062" xr:uid="{00000000-0005-0000-0000-000093440000}"/>
    <cellStyle name="Calc Currency (2) 2 2 2 2 2" xfId="10063" xr:uid="{00000000-0005-0000-0000-000094440000}"/>
    <cellStyle name="Calc Currency (2) 2 2 2 2 3" xfId="10064" xr:uid="{00000000-0005-0000-0000-000095440000}"/>
    <cellStyle name="Calc Currency (2) 2 2 2 2 4" xfId="10065" xr:uid="{00000000-0005-0000-0000-000096440000}"/>
    <cellStyle name="Calc Currency (2) 2 2 2 2 5" xfId="10066" xr:uid="{00000000-0005-0000-0000-000097440000}"/>
    <cellStyle name="Calc Currency (2) 2 2 2 2 6" xfId="10067" xr:uid="{00000000-0005-0000-0000-000098440000}"/>
    <cellStyle name="Calc Currency (2) 2 2 2 2 7" xfId="10068" xr:uid="{00000000-0005-0000-0000-000099440000}"/>
    <cellStyle name="Calc Currency (2) 2 2 2 2 8" xfId="10069" xr:uid="{00000000-0005-0000-0000-00009A440000}"/>
    <cellStyle name="Calc Currency (2) 2 2 2 3" xfId="10070" xr:uid="{00000000-0005-0000-0000-00009B440000}"/>
    <cellStyle name="Calc Currency (2) 2 2 2 4" xfId="10071" xr:uid="{00000000-0005-0000-0000-00009C440000}"/>
    <cellStyle name="Calc Currency (2) 2 2 2 5" xfId="10072" xr:uid="{00000000-0005-0000-0000-00009D440000}"/>
    <cellStyle name="Calc Currency (2) 2 2 2 6" xfId="10073" xr:uid="{00000000-0005-0000-0000-00009E440000}"/>
    <cellStyle name="Calc Currency (2) 2 2 2 7" xfId="10074" xr:uid="{00000000-0005-0000-0000-00009F440000}"/>
    <cellStyle name="Calc Currency (2) 2 2 2 8" xfId="10075" xr:uid="{00000000-0005-0000-0000-0000A0440000}"/>
    <cellStyle name="Calc Currency (2) 2 2 2 9" xfId="10076" xr:uid="{00000000-0005-0000-0000-0000A1440000}"/>
    <cellStyle name="Calc Currency (2) 2 2 3" xfId="10077" xr:uid="{00000000-0005-0000-0000-0000A2440000}"/>
    <cellStyle name="Calc Currency (2) 2 2 3 2" xfId="10078" xr:uid="{00000000-0005-0000-0000-0000A3440000}"/>
    <cellStyle name="Calc Currency (2) 2 2 3 3" xfId="10079" xr:uid="{00000000-0005-0000-0000-0000A4440000}"/>
    <cellStyle name="Calc Currency (2) 2 2 3 4" xfId="10080" xr:uid="{00000000-0005-0000-0000-0000A5440000}"/>
    <cellStyle name="Calc Currency (2) 2 2 3 5" xfId="10081" xr:uid="{00000000-0005-0000-0000-0000A6440000}"/>
    <cellStyle name="Calc Currency (2) 2 2 3 6" xfId="10082" xr:uid="{00000000-0005-0000-0000-0000A7440000}"/>
    <cellStyle name="Calc Currency (2) 2 2 3 7" xfId="10083" xr:uid="{00000000-0005-0000-0000-0000A8440000}"/>
    <cellStyle name="Calc Currency (2) 2 2 3 8" xfId="10084" xr:uid="{00000000-0005-0000-0000-0000A9440000}"/>
    <cellStyle name="Calc Currency (2) 2 2 4" xfId="10085" xr:uid="{00000000-0005-0000-0000-0000AA440000}"/>
    <cellStyle name="Calc Currency (2) 2 2 5" xfId="10086" xr:uid="{00000000-0005-0000-0000-0000AB440000}"/>
    <cellStyle name="Calc Currency (2) 2 2 6" xfId="10087" xr:uid="{00000000-0005-0000-0000-0000AC440000}"/>
    <cellStyle name="Calc Currency (2) 2 2 7" xfId="10088" xr:uid="{00000000-0005-0000-0000-0000AD440000}"/>
    <cellStyle name="Calc Currency (2) 2 2 8" xfId="10089" xr:uid="{00000000-0005-0000-0000-0000AE440000}"/>
    <cellStyle name="Calc Currency (2) 2 2 9" xfId="10090" xr:uid="{00000000-0005-0000-0000-0000AF440000}"/>
    <cellStyle name="Calc Currency (2) 2 3" xfId="10091" xr:uid="{00000000-0005-0000-0000-0000B0440000}"/>
    <cellStyle name="Calc Currency (2) 2 3 2" xfId="10092" xr:uid="{00000000-0005-0000-0000-0000B1440000}"/>
    <cellStyle name="Calc Currency (2) 2 3 3" xfId="10093" xr:uid="{00000000-0005-0000-0000-0000B2440000}"/>
    <cellStyle name="Calc Currency (2) 2 3 4" xfId="10094" xr:uid="{00000000-0005-0000-0000-0000B3440000}"/>
    <cellStyle name="Calc Currency (2) 2 3 5" xfId="10095" xr:uid="{00000000-0005-0000-0000-0000B4440000}"/>
    <cellStyle name="Calc Currency (2) 2 3 6" xfId="10096" xr:uid="{00000000-0005-0000-0000-0000B5440000}"/>
    <cellStyle name="Calc Currency (2) 2 3 7" xfId="10097" xr:uid="{00000000-0005-0000-0000-0000B6440000}"/>
    <cellStyle name="Calc Currency (2) 2 3 8" xfId="10098" xr:uid="{00000000-0005-0000-0000-0000B7440000}"/>
    <cellStyle name="Calc Currency (2) 2 4" xfId="10099" xr:uid="{00000000-0005-0000-0000-0000B8440000}"/>
    <cellStyle name="Calc Currency (2) 2 4 2" xfId="10100" xr:uid="{00000000-0005-0000-0000-0000B9440000}"/>
    <cellStyle name="Calc Currency (2) 2 4 3" xfId="10101" xr:uid="{00000000-0005-0000-0000-0000BA440000}"/>
    <cellStyle name="Calc Currency (2) 2 4 4" xfId="10102" xr:uid="{00000000-0005-0000-0000-0000BB440000}"/>
    <cellStyle name="Calc Currency (2) 2 4 5" xfId="10103" xr:uid="{00000000-0005-0000-0000-0000BC440000}"/>
    <cellStyle name="Calc Currency (2) 2 4 6" xfId="10104" xr:uid="{00000000-0005-0000-0000-0000BD440000}"/>
    <cellStyle name="Calc Currency (2) 2 4 7" xfId="10105" xr:uid="{00000000-0005-0000-0000-0000BE440000}"/>
    <cellStyle name="Calc Currency (2) 2 4 8" xfId="10106" xr:uid="{00000000-0005-0000-0000-0000BF440000}"/>
    <cellStyle name="Calc Currency (2) 2 5" xfId="10107" xr:uid="{00000000-0005-0000-0000-0000C0440000}"/>
    <cellStyle name="Calc Currency (2) 2 5 2" xfId="10108" xr:uid="{00000000-0005-0000-0000-0000C1440000}"/>
    <cellStyle name="Calc Currency (2) 2 5 3" xfId="10109" xr:uid="{00000000-0005-0000-0000-0000C2440000}"/>
    <cellStyle name="Calc Currency (2) 2 5 4" xfId="10110" xr:uid="{00000000-0005-0000-0000-0000C3440000}"/>
    <cellStyle name="Calc Currency (2) 2 5 5" xfId="10111" xr:uid="{00000000-0005-0000-0000-0000C4440000}"/>
    <cellStyle name="Calc Currency (2) 2 5 6" xfId="10112" xr:uid="{00000000-0005-0000-0000-0000C5440000}"/>
    <cellStyle name="Calc Currency (2) 2 5 7" xfId="10113" xr:uid="{00000000-0005-0000-0000-0000C6440000}"/>
    <cellStyle name="Calc Currency (2) 2 5 8" xfId="10114" xr:uid="{00000000-0005-0000-0000-0000C7440000}"/>
    <cellStyle name="Calc Currency (2) 2 6" xfId="10115" xr:uid="{00000000-0005-0000-0000-0000C8440000}"/>
    <cellStyle name="Calc Currency (2) 2 6 2" xfId="10116" xr:uid="{00000000-0005-0000-0000-0000C9440000}"/>
    <cellStyle name="Calc Currency (2) 2 6 3" xfId="10117" xr:uid="{00000000-0005-0000-0000-0000CA440000}"/>
    <cellStyle name="Calc Currency (2) 2 6 4" xfId="10118" xr:uid="{00000000-0005-0000-0000-0000CB440000}"/>
    <cellStyle name="Calc Currency (2) 2 6 5" xfId="10119" xr:uid="{00000000-0005-0000-0000-0000CC440000}"/>
    <cellStyle name="Calc Currency (2) 2 6 6" xfId="10120" xr:uid="{00000000-0005-0000-0000-0000CD440000}"/>
    <cellStyle name="Calc Currency (2) 2 6 7" xfId="10121" xr:uid="{00000000-0005-0000-0000-0000CE440000}"/>
    <cellStyle name="Calc Currency (2) 2 6 8" xfId="10122" xr:uid="{00000000-0005-0000-0000-0000CF440000}"/>
    <cellStyle name="Calc Currency (2) 2 7" xfId="10123" xr:uid="{00000000-0005-0000-0000-0000D0440000}"/>
    <cellStyle name="Calc Currency (2) 2 7 2" xfId="10124" xr:uid="{00000000-0005-0000-0000-0000D1440000}"/>
    <cellStyle name="Calc Currency (2) 2 7 3" xfId="10125" xr:uid="{00000000-0005-0000-0000-0000D2440000}"/>
    <cellStyle name="Calc Currency (2) 2 7 4" xfId="10126" xr:uid="{00000000-0005-0000-0000-0000D3440000}"/>
    <cellStyle name="Calc Currency (2) 2 7 5" xfId="10127" xr:uid="{00000000-0005-0000-0000-0000D4440000}"/>
    <cellStyle name="Calc Currency (2) 2 7 6" xfId="10128" xr:uid="{00000000-0005-0000-0000-0000D5440000}"/>
    <cellStyle name="Calc Currency (2) 2 7 7" xfId="10129" xr:uid="{00000000-0005-0000-0000-0000D6440000}"/>
    <cellStyle name="Calc Currency (2) 2 7 8" xfId="10130" xr:uid="{00000000-0005-0000-0000-0000D7440000}"/>
    <cellStyle name="Calc Currency (2) 2 8" xfId="10131" xr:uid="{00000000-0005-0000-0000-0000D8440000}"/>
    <cellStyle name="Calc Currency (2) 2 8 2" xfId="10132" xr:uid="{00000000-0005-0000-0000-0000D9440000}"/>
    <cellStyle name="Calc Currency (2) 2 8 3" xfId="10133" xr:uid="{00000000-0005-0000-0000-0000DA440000}"/>
    <cellStyle name="Calc Currency (2) 2 8 4" xfId="10134" xr:uid="{00000000-0005-0000-0000-0000DB440000}"/>
    <cellStyle name="Calc Currency (2) 2 8 5" xfId="10135" xr:uid="{00000000-0005-0000-0000-0000DC440000}"/>
    <cellStyle name="Calc Currency (2) 2 8 6" xfId="10136" xr:uid="{00000000-0005-0000-0000-0000DD440000}"/>
    <cellStyle name="Calc Currency (2) 2 8 7" xfId="10137" xr:uid="{00000000-0005-0000-0000-0000DE440000}"/>
    <cellStyle name="Calc Currency (2) 2 8 8" xfId="10138" xr:uid="{00000000-0005-0000-0000-0000DF440000}"/>
    <cellStyle name="Calc Currency (2) 2 9" xfId="10139" xr:uid="{00000000-0005-0000-0000-0000E0440000}"/>
    <cellStyle name="Calc Currency (2) 2 9 2" xfId="10140" xr:uid="{00000000-0005-0000-0000-0000E1440000}"/>
    <cellStyle name="Calc Currency (2) 2 9 3" xfId="10141" xr:uid="{00000000-0005-0000-0000-0000E2440000}"/>
    <cellStyle name="Calc Currency (2) 2 9 4" xfId="10142" xr:uid="{00000000-0005-0000-0000-0000E3440000}"/>
    <cellStyle name="Calc Currency (2) 2 9 5" xfId="10143" xr:uid="{00000000-0005-0000-0000-0000E4440000}"/>
    <cellStyle name="Calc Currency (2) 2 9 6" xfId="10144" xr:uid="{00000000-0005-0000-0000-0000E5440000}"/>
    <cellStyle name="Calc Currency (2) 2 9 7" xfId="10145" xr:uid="{00000000-0005-0000-0000-0000E6440000}"/>
    <cellStyle name="Calc Currency (2) 2 9 8" xfId="10146" xr:uid="{00000000-0005-0000-0000-0000E7440000}"/>
    <cellStyle name="Calc Currency (2) 2 9 9" xfId="10147" xr:uid="{00000000-0005-0000-0000-0000E8440000}"/>
    <cellStyle name="Calc Currency (2) 20" xfId="10148" xr:uid="{00000000-0005-0000-0000-0000E9440000}"/>
    <cellStyle name="Calc Currency (2) 21" xfId="10149" xr:uid="{00000000-0005-0000-0000-0000EA440000}"/>
    <cellStyle name="Calc Currency (2) 22" xfId="10150" xr:uid="{00000000-0005-0000-0000-0000EB440000}"/>
    <cellStyle name="Calc Currency (2) 23" xfId="10151" xr:uid="{00000000-0005-0000-0000-0000EC440000}"/>
    <cellStyle name="Calc Currency (2) 24" xfId="10152" xr:uid="{00000000-0005-0000-0000-0000ED440000}"/>
    <cellStyle name="Calc Currency (2) 25" xfId="10153" xr:uid="{00000000-0005-0000-0000-0000EE440000}"/>
    <cellStyle name="Calc Currency (2) 26" xfId="10154" xr:uid="{00000000-0005-0000-0000-0000EF440000}"/>
    <cellStyle name="Calc Currency (2) 27" xfId="10155" xr:uid="{00000000-0005-0000-0000-0000F0440000}"/>
    <cellStyle name="Calc Currency (2) 28" xfId="10156" xr:uid="{00000000-0005-0000-0000-0000F1440000}"/>
    <cellStyle name="Calc Currency (2) 29" xfId="10157" xr:uid="{00000000-0005-0000-0000-0000F2440000}"/>
    <cellStyle name="Calc Currency (2) 3" xfId="10158" xr:uid="{00000000-0005-0000-0000-0000F3440000}"/>
    <cellStyle name="Calc Currency (2) 30" xfId="10159" xr:uid="{00000000-0005-0000-0000-0000F4440000}"/>
    <cellStyle name="Calc Currency (2) 31" xfId="10160" xr:uid="{00000000-0005-0000-0000-0000F5440000}"/>
    <cellStyle name="Calc Currency (2) 32" xfId="10161" xr:uid="{00000000-0005-0000-0000-0000F6440000}"/>
    <cellStyle name="Calc Currency (2) 33" xfId="10162" xr:uid="{00000000-0005-0000-0000-0000F7440000}"/>
    <cellStyle name="Calc Currency (2) 34" xfId="10163" xr:uid="{00000000-0005-0000-0000-0000F8440000}"/>
    <cellStyle name="Calc Currency (2) 35" xfId="10164" xr:uid="{00000000-0005-0000-0000-0000F9440000}"/>
    <cellStyle name="Calc Currency (2) 36" xfId="10165" xr:uid="{00000000-0005-0000-0000-0000FA440000}"/>
    <cellStyle name="Calc Currency (2) 4" xfId="10166" xr:uid="{00000000-0005-0000-0000-0000FB440000}"/>
    <cellStyle name="Calc Currency (2) 5" xfId="10167" xr:uid="{00000000-0005-0000-0000-0000FC440000}"/>
    <cellStyle name="Calc Currency (2) 6" xfId="10168" xr:uid="{00000000-0005-0000-0000-0000FD440000}"/>
    <cellStyle name="Calc Currency (2) 7" xfId="10169" xr:uid="{00000000-0005-0000-0000-0000FE440000}"/>
    <cellStyle name="Calc Currency (2) 8" xfId="10170" xr:uid="{00000000-0005-0000-0000-0000FF440000}"/>
    <cellStyle name="Calc Currency (2) 8 2" xfId="10171" xr:uid="{00000000-0005-0000-0000-000000450000}"/>
    <cellStyle name="Calc Currency (2) 8 3" xfId="10172" xr:uid="{00000000-0005-0000-0000-000001450000}"/>
    <cellStyle name="Calc Currency (2) 8 4" xfId="10173" xr:uid="{00000000-0005-0000-0000-000002450000}"/>
    <cellStyle name="Calc Currency (2) 8 5" xfId="10174" xr:uid="{00000000-0005-0000-0000-000003450000}"/>
    <cellStyle name="Calc Currency (2) 8 6" xfId="10175" xr:uid="{00000000-0005-0000-0000-000004450000}"/>
    <cellStyle name="Calc Currency (2) 8 7" xfId="10176" xr:uid="{00000000-0005-0000-0000-000005450000}"/>
    <cellStyle name="Calc Currency (2) 8 8" xfId="10177" xr:uid="{00000000-0005-0000-0000-000006450000}"/>
    <cellStyle name="Calc Currency (2) 9" xfId="10178" xr:uid="{00000000-0005-0000-0000-000007450000}"/>
    <cellStyle name="Calc Percent (0)" xfId="10179" xr:uid="{00000000-0005-0000-0000-000008450000}"/>
    <cellStyle name="Calc Percent (0) 10" xfId="10180" xr:uid="{00000000-0005-0000-0000-000009450000}"/>
    <cellStyle name="Calc Percent (0) 11" xfId="10181" xr:uid="{00000000-0005-0000-0000-00000A450000}"/>
    <cellStyle name="Calc Percent (0) 11 2" xfId="10182" xr:uid="{00000000-0005-0000-0000-00000B450000}"/>
    <cellStyle name="Calc Percent (0) 11 2 2" xfId="10183" xr:uid="{00000000-0005-0000-0000-00000C450000}"/>
    <cellStyle name="Calc Percent (0) 11 2 3" xfId="10184" xr:uid="{00000000-0005-0000-0000-00000D450000}"/>
    <cellStyle name="Calc Percent (0) 11 2 4" xfId="10185" xr:uid="{00000000-0005-0000-0000-00000E450000}"/>
    <cellStyle name="Calc Percent (0) 11 2 5" xfId="10186" xr:uid="{00000000-0005-0000-0000-00000F450000}"/>
    <cellStyle name="Calc Percent (0) 11 2 6" xfId="10187" xr:uid="{00000000-0005-0000-0000-000010450000}"/>
    <cellStyle name="Calc Percent (0) 11 2 7" xfId="10188" xr:uid="{00000000-0005-0000-0000-000011450000}"/>
    <cellStyle name="Calc Percent (0) 11 2 8" xfId="10189" xr:uid="{00000000-0005-0000-0000-000012450000}"/>
    <cellStyle name="Calc Percent (0) 11 3" xfId="10190" xr:uid="{00000000-0005-0000-0000-000013450000}"/>
    <cellStyle name="Calc Percent (0) 11 4" xfId="10191" xr:uid="{00000000-0005-0000-0000-000014450000}"/>
    <cellStyle name="Calc Percent (0) 11 5" xfId="10192" xr:uid="{00000000-0005-0000-0000-000015450000}"/>
    <cellStyle name="Calc Percent (0) 11 6" xfId="10193" xr:uid="{00000000-0005-0000-0000-000016450000}"/>
    <cellStyle name="Calc Percent (0) 11 7" xfId="10194" xr:uid="{00000000-0005-0000-0000-000017450000}"/>
    <cellStyle name="Calc Percent (0) 11 8" xfId="10195" xr:uid="{00000000-0005-0000-0000-000018450000}"/>
    <cellStyle name="Calc Percent (0) 12" xfId="10196" xr:uid="{00000000-0005-0000-0000-000019450000}"/>
    <cellStyle name="Calc Percent (0) 12 2" xfId="10197" xr:uid="{00000000-0005-0000-0000-00001A450000}"/>
    <cellStyle name="Calc Percent (0) 12 3" xfId="10198" xr:uid="{00000000-0005-0000-0000-00001B450000}"/>
    <cellStyle name="Calc Percent (0) 12 4" xfId="10199" xr:uid="{00000000-0005-0000-0000-00001C450000}"/>
    <cellStyle name="Calc Percent (0) 12 5" xfId="10200" xr:uid="{00000000-0005-0000-0000-00001D450000}"/>
    <cellStyle name="Calc Percent (0) 12 6" xfId="10201" xr:uid="{00000000-0005-0000-0000-00001E450000}"/>
    <cellStyle name="Calc Percent (0) 12 7" xfId="10202" xr:uid="{00000000-0005-0000-0000-00001F450000}"/>
    <cellStyle name="Calc Percent (0) 12 8" xfId="10203" xr:uid="{00000000-0005-0000-0000-000020450000}"/>
    <cellStyle name="Calc Percent (0) 13" xfId="10204" xr:uid="{00000000-0005-0000-0000-000021450000}"/>
    <cellStyle name="Calc Percent (0) 14" xfId="10205" xr:uid="{00000000-0005-0000-0000-000022450000}"/>
    <cellStyle name="Calc Percent (0) 15" xfId="10206" xr:uid="{00000000-0005-0000-0000-000023450000}"/>
    <cellStyle name="Calc Percent (0) 16" xfId="10207" xr:uid="{00000000-0005-0000-0000-000024450000}"/>
    <cellStyle name="Calc Percent (0) 17" xfId="10208" xr:uid="{00000000-0005-0000-0000-000025450000}"/>
    <cellStyle name="Calc Percent (0) 18" xfId="10209" xr:uid="{00000000-0005-0000-0000-000026450000}"/>
    <cellStyle name="Calc Percent (0) 19" xfId="10210" xr:uid="{00000000-0005-0000-0000-000027450000}"/>
    <cellStyle name="Calc Percent (0) 2" xfId="10211" xr:uid="{00000000-0005-0000-0000-000028450000}"/>
    <cellStyle name="Calc Percent (0) 2 10" xfId="10212" xr:uid="{00000000-0005-0000-0000-000029450000}"/>
    <cellStyle name="Calc Percent (0) 2 10 2" xfId="10213" xr:uid="{00000000-0005-0000-0000-00002A450000}"/>
    <cellStyle name="Calc Percent (0) 2 10 3" xfId="10214" xr:uid="{00000000-0005-0000-0000-00002B450000}"/>
    <cellStyle name="Calc Percent (0) 2 10 4" xfId="10215" xr:uid="{00000000-0005-0000-0000-00002C450000}"/>
    <cellStyle name="Calc Percent (0) 2 10 5" xfId="10216" xr:uid="{00000000-0005-0000-0000-00002D450000}"/>
    <cellStyle name="Calc Percent (0) 2 10 6" xfId="10217" xr:uid="{00000000-0005-0000-0000-00002E450000}"/>
    <cellStyle name="Calc Percent (0) 2 10 7" xfId="10218" xr:uid="{00000000-0005-0000-0000-00002F450000}"/>
    <cellStyle name="Calc Percent (0) 2 10 8" xfId="10219" xr:uid="{00000000-0005-0000-0000-000030450000}"/>
    <cellStyle name="Calc Percent (0) 2 10 9" xfId="10220" xr:uid="{00000000-0005-0000-0000-000031450000}"/>
    <cellStyle name="Calc Percent (0) 2 11" xfId="10221" xr:uid="{00000000-0005-0000-0000-000032450000}"/>
    <cellStyle name="Calc Percent (0) 2 11 2" xfId="10222" xr:uid="{00000000-0005-0000-0000-000033450000}"/>
    <cellStyle name="Calc Percent (0) 2 11 2 2" xfId="10223" xr:uid="{00000000-0005-0000-0000-000034450000}"/>
    <cellStyle name="Calc Percent (0) 2 11 2 3" xfId="10224" xr:uid="{00000000-0005-0000-0000-000035450000}"/>
    <cellStyle name="Calc Percent (0) 2 11 2 4" xfId="10225" xr:uid="{00000000-0005-0000-0000-000036450000}"/>
    <cellStyle name="Calc Percent (0) 2 11 2 5" xfId="10226" xr:uid="{00000000-0005-0000-0000-000037450000}"/>
    <cellStyle name="Calc Percent (0) 2 11 2 6" xfId="10227" xr:uid="{00000000-0005-0000-0000-000038450000}"/>
    <cellStyle name="Calc Percent (0) 2 11 2 7" xfId="10228" xr:uid="{00000000-0005-0000-0000-000039450000}"/>
    <cellStyle name="Calc Percent (0) 2 11 2 8" xfId="10229" xr:uid="{00000000-0005-0000-0000-00003A450000}"/>
    <cellStyle name="Calc Percent (0) 2 11 3" xfId="10230" xr:uid="{00000000-0005-0000-0000-00003B450000}"/>
    <cellStyle name="Calc Percent (0) 2 11 4" xfId="10231" xr:uid="{00000000-0005-0000-0000-00003C450000}"/>
    <cellStyle name="Calc Percent (0) 2 11 5" xfId="10232" xr:uid="{00000000-0005-0000-0000-00003D450000}"/>
    <cellStyle name="Calc Percent (0) 2 11 6" xfId="10233" xr:uid="{00000000-0005-0000-0000-00003E450000}"/>
    <cellStyle name="Calc Percent (0) 2 11 7" xfId="10234" xr:uid="{00000000-0005-0000-0000-00003F450000}"/>
    <cellStyle name="Calc Percent (0) 2 11 8" xfId="10235" xr:uid="{00000000-0005-0000-0000-000040450000}"/>
    <cellStyle name="Calc Percent (0) 2 11 9" xfId="10236" xr:uid="{00000000-0005-0000-0000-000041450000}"/>
    <cellStyle name="Calc Percent (0) 2 12" xfId="10237" xr:uid="{00000000-0005-0000-0000-000042450000}"/>
    <cellStyle name="Calc Percent (0) 2 13" xfId="10238" xr:uid="{00000000-0005-0000-0000-000043450000}"/>
    <cellStyle name="Calc Percent (0) 2 14" xfId="10239" xr:uid="{00000000-0005-0000-0000-000044450000}"/>
    <cellStyle name="Calc Percent (0) 2 15" xfId="10240" xr:uid="{00000000-0005-0000-0000-000045450000}"/>
    <cellStyle name="Calc Percent (0) 2 16" xfId="10241" xr:uid="{00000000-0005-0000-0000-000046450000}"/>
    <cellStyle name="Calc Percent (0) 2 17" xfId="10242" xr:uid="{00000000-0005-0000-0000-000047450000}"/>
    <cellStyle name="Calc Percent (0) 2 18" xfId="10243" xr:uid="{00000000-0005-0000-0000-000048450000}"/>
    <cellStyle name="Calc Percent (0) 2 19" xfId="10244" xr:uid="{00000000-0005-0000-0000-000049450000}"/>
    <cellStyle name="Calc Percent (0) 2 2" xfId="10245" xr:uid="{00000000-0005-0000-0000-00004A450000}"/>
    <cellStyle name="Calc Percent (0) 2 2 10" xfId="10246" xr:uid="{00000000-0005-0000-0000-00004B450000}"/>
    <cellStyle name="Calc Percent (0) 2 2 11" xfId="10247" xr:uid="{00000000-0005-0000-0000-00004C450000}"/>
    <cellStyle name="Calc Percent (0) 2 2 12" xfId="10248" xr:uid="{00000000-0005-0000-0000-00004D450000}"/>
    <cellStyle name="Calc Percent (0) 2 2 13" xfId="10249" xr:uid="{00000000-0005-0000-0000-00004E450000}"/>
    <cellStyle name="Calc Percent (0) 2 2 14" xfId="10250" xr:uid="{00000000-0005-0000-0000-00004F450000}"/>
    <cellStyle name="Calc Percent (0) 2 2 15" xfId="10251" xr:uid="{00000000-0005-0000-0000-000050450000}"/>
    <cellStyle name="Calc Percent (0) 2 2 16" xfId="10252" xr:uid="{00000000-0005-0000-0000-000051450000}"/>
    <cellStyle name="Calc Percent (0) 2 2 17" xfId="10253" xr:uid="{00000000-0005-0000-0000-000052450000}"/>
    <cellStyle name="Calc Percent (0) 2 2 2" xfId="10254" xr:uid="{00000000-0005-0000-0000-000053450000}"/>
    <cellStyle name="Calc Percent (0) 2 2 2 10" xfId="10255" xr:uid="{00000000-0005-0000-0000-000054450000}"/>
    <cellStyle name="Calc Percent (0) 2 2 2 11" xfId="10256" xr:uid="{00000000-0005-0000-0000-000055450000}"/>
    <cellStyle name="Calc Percent (0) 2 2 2 12" xfId="10257" xr:uid="{00000000-0005-0000-0000-000056450000}"/>
    <cellStyle name="Calc Percent (0) 2 2 2 13" xfId="10258" xr:uid="{00000000-0005-0000-0000-000057450000}"/>
    <cellStyle name="Calc Percent (0) 2 2 2 14" xfId="10259" xr:uid="{00000000-0005-0000-0000-000058450000}"/>
    <cellStyle name="Calc Percent (0) 2 2 2 15" xfId="10260" xr:uid="{00000000-0005-0000-0000-000059450000}"/>
    <cellStyle name="Calc Percent (0) 2 2 2 2" xfId="10261" xr:uid="{00000000-0005-0000-0000-00005A450000}"/>
    <cellStyle name="Calc Percent (0) 2 2 2 2 2" xfId="10262" xr:uid="{00000000-0005-0000-0000-00005B450000}"/>
    <cellStyle name="Calc Percent (0) 2 2 2 2 3" xfId="10263" xr:uid="{00000000-0005-0000-0000-00005C450000}"/>
    <cellStyle name="Calc Percent (0) 2 2 2 2 4" xfId="10264" xr:uid="{00000000-0005-0000-0000-00005D450000}"/>
    <cellStyle name="Calc Percent (0) 2 2 2 2 5" xfId="10265" xr:uid="{00000000-0005-0000-0000-00005E450000}"/>
    <cellStyle name="Calc Percent (0) 2 2 2 2 6" xfId="10266" xr:uid="{00000000-0005-0000-0000-00005F450000}"/>
    <cellStyle name="Calc Percent (0) 2 2 2 2 7" xfId="10267" xr:uid="{00000000-0005-0000-0000-000060450000}"/>
    <cellStyle name="Calc Percent (0) 2 2 2 2 8" xfId="10268" xr:uid="{00000000-0005-0000-0000-000061450000}"/>
    <cellStyle name="Calc Percent (0) 2 2 2 3" xfId="10269" xr:uid="{00000000-0005-0000-0000-000062450000}"/>
    <cellStyle name="Calc Percent (0) 2 2 2 4" xfId="10270" xr:uid="{00000000-0005-0000-0000-000063450000}"/>
    <cellStyle name="Calc Percent (0) 2 2 2 5" xfId="10271" xr:uid="{00000000-0005-0000-0000-000064450000}"/>
    <cellStyle name="Calc Percent (0) 2 2 2 6" xfId="10272" xr:uid="{00000000-0005-0000-0000-000065450000}"/>
    <cellStyle name="Calc Percent (0) 2 2 2 7" xfId="10273" xr:uid="{00000000-0005-0000-0000-000066450000}"/>
    <cellStyle name="Calc Percent (0) 2 2 2 8" xfId="10274" xr:uid="{00000000-0005-0000-0000-000067450000}"/>
    <cellStyle name="Calc Percent (0) 2 2 2 9" xfId="10275" xr:uid="{00000000-0005-0000-0000-000068450000}"/>
    <cellStyle name="Calc Percent (0) 2 2 3" xfId="10276" xr:uid="{00000000-0005-0000-0000-000069450000}"/>
    <cellStyle name="Calc Percent (0) 2 2 3 2" xfId="10277" xr:uid="{00000000-0005-0000-0000-00006A450000}"/>
    <cellStyle name="Calc Percent (0) 2 2 3 3" xfId="10278" xr:uid="{00000000-0005-0000-0000-00006B450000}"/>
    <cellStyle name="Calc Percent (0) 2 2 3 4" xfId="10279" xr:uid="{00000000-0005-0000-0000-00006C450000}"/>
    <cellStyle name="Calc Percent (0) 2 2 3 5" xfId="10280" xr:uid="{00000000-0005-0000-0000-00006D450000}"/>
    <cellStyle name="Calc Percent (0) 2 2 3 6" xfId="10281" xr:uid="{00000000-0005-0000-0000-00006E450000}"/>
    <cellStyle name="Calc Percent (0) 2 2 3 7" xfId="10282" xr:uid="{00000000-0005-0000-0000-00006F450000}"/>
    <cellStyle name="Calc Percent (0) 2 2 3 8" xfId="10283" xr:uid="{00000000-0005-0000-0000-000070450000}"/>
    <cellStyle name="Calc Percent (0) 2 2 4" xfId="10284" xr:uid="{00000000-0005-0000-0000-000071450000}"/>
    <cellStyle name="Calc Percent (0) 2 2 5" xfId="10285" xr:uid="{00000000-0005-0000-0000-000072450000}"/>
    <cellStyle name="Calc Percent (0) 2 2 6" xfId="10286" xr:uid="{00000000-0005-0000-0000-000073450000}"/>
    <cellStyle name="Calc Percent (0) 2 2 7" xfId="10287" xr:uid="{00000000-0005-0000-0000-000074450000}"/>
    <cellStyle name="Calc Percent (0) 2 2 8" xfId="10288" xr:uid="{00000000-0005-0000-0000-000075450000}"/>
    <cellStyle name="Calc Percent (0) 2 2 9" xfId="10289" xr:uid="{00000000-0005-0000-0000-000076450000}"/>
    <cellStyle name="Calc Percent (0) 2 3" xfId="10290" xr:uid="{00000000-0005-0000-0000-000077450000}"/>
    <cellStyle name="Calc Percent (0) 2 3 2" xfId="10291" xr:uid="{00000000-0005-0000-0000-000078450000}"/>
    <cellStyle name="Calc Percent (0) 2 3 3" xfId="10292" xr:uid="{00000000-0005-0000-0000-000079450000}"/>
    <cellStyle name="Calc Percent (0) 2 3 4" xfId="10293" xr:uid="{00000000-0005-0000-0000-00007A450000}"/>
    <cellStyle name="Calc Percent (0) 2 3 5" xfId="10294" xr:uid="{00000000-0005-0000-0000-00007B450000}"/>
    <cellStyle name="Calc Percent (0) 2 3 6" xfId="10295" xr:uid="{00000000-0005-0000-0000-00007C450000}"/>
    <cellStyle name="Calc Percent (0) 2 3 7" xfId="10296" xr:uid="{00000000-0005-0000-0000-00007D450000}"/>
    <cellStyle name="Calc Percent (0) 2 3 8" xfId="10297" xr:uid="{00000000-0005-0000-0000-00007E450000}"/>
    <cellStyle name="Calc Percent (0) 2 4" xfId="10298" xr:uid="{00000000-0005-0000-0000-00007F450000}"/>
    <cellStyle name="Calc Percent (0) 2 4 2" xfId="10299" xr:uid="{00000000-0005-0000-0000-000080450000}"/>
    <cellStyle name="Calc Percent (0) 2 4 3" xfId="10300" xr:uid="{00000000-0005-0000-0000-000081450000}"/>
    <cellStyle name="Calc Percent (0) 2 4 4" xfId="10301" xr:uid="{00000000-0005-0000-0000-000082450000}"/>
    <cellStyle name="Calc Percent (0) 2 4 5" xfId="10302" xr:uid="{00000000-0005-0000-0000-000083450000}"/>
    <cellStyle name="Calc Percent (0) 2 4 6" xfId="10303" xr:uid="{00000000-0005-0000-0000-000084450000}"/>
    <cellStyle name="Calc Percent (0) 2 4 7" xfId="10304" xr:uid="{00000000-0005-0000-0000-000085450000}"/>
    <cellStyle name="Calc Percent (0) 2 4 8" xfId="10305" xr:uid="{00000000-0005-0000-0000-000086450000}"/>
    <cellStyle name="Calc Percent (0) 2 5" xfId="10306" xr:uid="{00000000-0005-0000-0000-000087450000}"/>
    <cellStyle name="Calc Percent (0) 2 5 2" xfId="10307" xr:uid="{00000000-0005-0000-0000-000088450000}"/>
    <cellStyle name="Calc Percent (0) 2 5 3" xfId="10308" xr:uid="{00000000-0005-0000-0000-000089450000}"/>
    <cellStyle name="Calc Percent (0) 2 5 4" xfId="10309" xr:uid="{00000000-0005-0000-0000-00008A450000}"/>
    <cellStyle name="Calc Percent (0) 2 5 5" xfId="10310" xr:uid="{00000000-0005-0000-0000-00008B450000}"/>
    <cellStyle name="Calc Percent (0) 2 5 6" xfId="10311" xr:uid="{00000000-0005-0000-0000-00008C450000}"/>
    <cellStyle name="Calc Percent (0) 2 5 7" xfId="10312" xr:uid="{00000000-0005-0000-0000-00008D450000}"/>
    <cellStyle name="Calc Percent (0) 2 5 8" xfId="10313" xr:uid="{00000000-0005-0000-0000-00008E450000}"/>
    <cellStyle name="Calc Percent (0) 2 6" xfId="10314" xr:uid="{00000000-0005-0000-0000-00008F450000}"/>
    <cellStyle name="Calc Percent (0) 2 6 2" xfId="10315" xr:uid="{00000000-0005-0000-0000-000090450000}"/>
    <cellStyle name="Calc Percent (0) 2 6 3" xfId="10316" xr:uid="{00000000-0005-0000-0000-000091450000}"/>
    <cellStyle name="Calc Percent (0) 2 6 4" xfId="10317" xr:uid="{00000000-0005-0000-0000-000092450000}"/>
    <cellStyle name="Calc Percent (0) 2 6 5" xfId="10318" xr:uid="{00000000-0005-0000-0000-000093450000}"/>
    <cellStyle name="Calc Percent (0) 2 6 6" xfId="10319" xr:uid="{00000000-0005-0000-0000-000094450000}"/>
    <cellStyle name="Calc Percent (0) 2 6 7" xfId="10320" xr:uid="{00000000-0005-0000-0000-000095450000}"/>
    <cellStyle name="Calc Percent (0) 2 6 8" xfId="10321" xr:uid="{00000000-0005-0000-0000-000096450000}"/>
    <cellStyle name="Calc Percent (0) 2 7" xfId="10322" xr:uid="{00000000-0005-0000-0000-000097450000}"/>
    <cellStyle name="Calc Percent (0) 2 7 2" xfId="10323" xr:uid="{00000000-0005-0000-0000-000098450000}"/>
    <cellStyle name="Calc Percent (0) 2 7 3" xfId="10324" xr:uid="{00000000-0005-0000-0000-000099450000}"/>
    <cellStyle name="Calc Percent (0) 2 7 4" xfId="10325" xr:uid="{00000000-0005-0000-0000-00009A450000}"/>
    <cellStyle name="Calc Percent (0) 2 7 5" xfId="10326" xr:uid="{00000000-0005-0000-0000-00009B450000}"/>
    <cellStyle name="Calc Percent (0) 2 7 6" xfId="10327" xr:uid="{00000000-0005-0000-0000-00009C450000}"/>
    <cellStyle name="Calc Percent (0) 2 7 7" xfId="10328" xr:uid="{00000000-0005-0000-0000-00009D450000}"/>
    <cellStyle name="Calc Percent (0) 2 7 8" xfId="10329" xr:uid="{00000000-0005-0000-0000-00009E450000}"/>
    <cellStyle name="Calc Percent (0) 2 8" xfId="10330" xr:uid="{00000000-0005-0000-0000-00009F450000}"/>
    <cellStyle name="Calc Percent (0) 2 8 2" xfId="10331" xr:uid="{00000000-0005-0000-0000-0000A0450000}"/>
    <cellStyle name="Calc Percent (0) 2 8 3" xfId="10332" xr:uid="{00000000-0005-0000-0000-0000A1450000}"/>
    <cellStyle name="Calc Percent (0) 2 8 4" xfId="10333" xr:uid="{00000000-0005-0000-0000-0000A2450000}"/>
    <cellStyle name="Calc Percent (0) 2 8 5" xfId="10334" xr:uid="{00000000-0005-0000-0000-0000A3450000}"/>
    <cellStyle name="Calc Percent (0) 2 8 6" xfId="10335" xr:uid="{00000000-0005-0000-0000-0000A4450000}"/>
    <cellStyle name="Calc Percent (0) 2 8 7" xfId="10336" xr:uid="{00000000-0005-0000-0000-0000A5450000}"/>
    <cellStyle name="Calc Percent (0) 2 8 8" xfId="10337" xr:uid="{00000000-0005-0000-0000-0000A6450000}"/>
    <cellStyle name="Calc Percent (0) 2 9" xfId="10338" xr:uid="{00000000-0005-0000-0000-0000A7450000}"/>
    <cellStyle name="Calc Percent (0) 2 9 2" xfId="10339" xr:uid="{00000000-0005-0000-0000-0000A8450000}"/>
    <cellStyle name="Calc Percent (0) 2 9 3" xfId="10340" xr:uid="{00000000-0005-0000-0000-0000A9450000}"/>
    <cellStyle name="Calc Percent (0) 2 9 4" xfId="10341" xr:uid="{00000000-0005-0000-0000-0000AA450000}"/>
    <cellStyle name="Calc Percent (0) 2 9 5" xfId="10342" xr:uid="{00000000-0005-0000-0000-0000AB450000}"/>
    <cellStyle name="Calc Percent (0) 2 9 6" xfId="10343" xr:uid="{00000000-0005-0000-0000-0000AC450000}"/>
    <cellStyle name="Calc Percent (0) 2 9 7" xfId="10344" xr:uid="{00000000-0005-0000-0000-0000AD450000}"/>
    <cellStyle name="Calc Percent (0) 2 9 8" xfId="10345" xr:uid="{00000000-0005-0000-0000-0000AE450000}"/>
    <cellStyle name="Calc Percent (0) 2 9 9" xfId="10346" xr:uid="{00000000-0005-0000-0000-0000AF450000}"/>
    <cellStyle name="Calc Percent (0) 20" xfId="10347" xr:uid="{00000000-0005-0000-0000-0000B0450000}"/>
    <cellStyle name="Calc Percent (0) 21" xfId="10348" xr:uid="{00000000-0005-0000-0000-0000B1450000}"/>
    <cellStyle name="Calc Percent (0) 22" xfId="10349" xr:uid="{00000000-0005-0000-0000-0000B2450000}"/>
    <cellStyle name="Calc Percent (0) 23" xfId="10350" xr:uid="{00000000-0005-0000-0000-0000B3450000}"/>
    <cellStyle name="Calc Percent (0) 24" xfId="10351" xr:uid="{00000000-0005-0000-0000-0000B4450000}"/>
    <cellStyle name="Calc Percent (0) 25" xfId="10352" xr:uid="{00000000-0005-0000-0000-0000B5450000}"/>
    <cellStyle name="Calc Percent (0) 26" xfId="10353" xr:uid="{00000000-0005-0000-0000-0000B6450000}"/>
    <cellStyle name="Calc Percent (0) 27" xfId="10354" xr:uid="{00000000-0005-0000-0000-0000B7450000}"/>
    <cellStyle name="Calc Percent (0) 28" xfId="10355" xr:uid="{00000000-0005-0000-0000-0000B8450000}"/>
    <cellStyle name="Calc Percent (0) 29" xfId="10356" xr:uid="{00000000-0005-0000-0000-0000B9450000}"/>
    <cellStyle name="Calc Percent (0) 3" xfId="10357" xr:uid="{00000000-0005-0000-0000-0000BA450000}"/>
    <cellStyle name="Calc Percent (0) 30" xfId="10358" xr:uid="{00000000-0005-0000-0000-0000BB450000}"/>
    <cellStyle name="Calc Percent (0) 31" xfId="10359" xr:uid="{00000000-0005-0000-0000-0000BC450000}"/>
    <cellStyle name="Calc Percent (0) 32" xfId="10360" xr:uid="{00000000-0005-0000-0000-0000BD450000}"/>
    <cellStyle name="Calc Percent (0) 33" xfId="10361" xr:uid="{00000000-0005-0000-0000-0000BE450000}"/>
    <cellStyle name="Calc Percent (0) 34" xfId="10362" xr:uid="{00000000-0005-0000-0000-0000BF450000}"/>
    <cellStyle name="Calc Percent (0) 35" xfId="10363" xr:uid="{00000000-0005-0000-0000-0000C0450000}"/>
    <cellStyle name="Calc Percent (0) 36" xfId="10364" xr:uid="{00000000-0005-0000-0000-0000C1450000}"/>
    <cellStyle name="Calc Percent (0) 4" xfId="10365" xr:uid="{00000000-0005-0000-0000-0000C2450000}"/>
    <cellStyle name="Calc Percent (0) 5" xfId="10366" xr:uid="{00000000-0005-0000-0000-0000C3450000}"/>
    <cellStyle name="Calc Percent (0) 6" xfId="10367" xr:uid="{00000000-0005-0000-0000-0000C4450000}"/>
    <cellStyle name="Calc Percent (0) 7" xfId="10368" xr:uid="{00000000-0005-0000-0000-0000C5450000}"/>
    <cellStyle name="Calc Percent (0) 8" xfId="10369" xr:uid="{00000000-0005-0000-0000-0000C6450000}"/>
    <cellStyle name="Calc Percent (0) 8 2" xfId="10370" xr:uid="{00000000-0005-0000-0000-0000C7450000}"/>
    <cellStyle name="Calc Percent (0) 8 3" xfId="10371" xr:uid="{00000000-0005-0000-0000-0000C8450000}"/>
    <cellStyle name="Calc Percent (0) 8 4" xfId="10372" xr:uid="{00000000-0005-0000-0000-0000C9450000}"/>
    <cellStyle name="Calc Percent (0) 8 5" xfId="10373" xr:uid="{00000000-0005-0000-0000-0000CA450000}"/>
    <cellStyle name="Calc Percent (0) 8 6" xfId="10374" xr:uid="{00000000-0005-0000-0000-0000CB450000}"/>
    <cellStyle name="Calc Percent (0) 8 7" xfId="10375" xr:uid="{00000000-0005-0000-0000-0000CC450000}"/>
    <cellStyle name="Calc Percent (0) 8 8" xfId="10376" xr:uid="{00000000-0005-0000-0000-0000CD450000}"/>
    <cellStyle name="Calc Percent (0) 9" xfId="10377" xr:uid="{00000000-0005-0000-0000-0000CE450000}"/>
    <cellStyle name="Calc Percent (1)" xfId="10378" xr:uid="{00000000-0005-0000-0000-0000CF450000}"/>
    <cellStyle name="Calc Percent (1) 10" xfId="10379" xr:uid="{00000000-0005-0000-0000-0000D0450000}"/>
    <cellStyle name="Calc Percent (1) 10 10" xfId="10380" xr:uid="{00000000-0005-0000-0000-0000D1450000}"/>
    <cellStyle name="Calc Percent (1) 10 11" xfId="10381" xr:uid="{00000000-0005-0000-0000-0000D2450000}"/>
    <cellStyle name="Calc Percent (1) 10 2" xfId="10382" xr:uid="{00000000-0005-0000-0000-0000D3450000}"/>
    <cellStyle name="Calc Percent (1) 10 2 2" xfId="10383" xr:uid="{00000000-0005-0000-0000-0000D4450000}"/>
    <cellStyle name="Calc Percent (1) 10 2 3" xfId="10384" xr:uid="{00000000-0005-0000-0000-0000D5450000}"/>
    <cellStyle name="Calc Percent (1) 10 2 4" xfId="10385" xr:uid="{00000000-0005-0000-0000-0000D6450000}"/>
    <cellStyle name="Calc Percent (1) 10 2 5" xfId="10386" xr:uid="{00000000-0005-0000-0000-0000D7450000}"/>
    <cellStyle name="Calc Percent (1) 10 2 6" xfId="10387" xr:uid="{00000000-0005-0000-0000-0000D8450000}"/>
    <cellStyle name="Calc Percent (1) 10 2 7" xfId="10388" xr:uid="{00000000-0005-0000-0000-0000D9450000}"/>
    <cellStyle name="Calc Percent (1) 10 2 8" xfId="10389" xr:uid="{00000000-0005-0000-0000-0000DA450000}"/>
    <cellStyle name="Calc Percent (1) 10 2 9" xfId="10390" xr:uid="{00000000-0005-0000-0000-0000DB450000}"/>
    <cellStyle name="Calc Percent (1) 10 3" xfId="10391" xr:uid="{00000000-0005-0000-0000-0000DC450000}"/>
    <cellStyle name="Calc Percent (1) 10 3 2" xfId="10392" xr:uid="{00000000-0005-0000-0000-0000DD450000}"/>
    <cellStyle name="Calc Percent (1) 10 3 3" xfId="10393" xr:uid="{00000000-0005-0000-0000-0000DE450000}"/>
    <cellStyle name="Calc Percent (1) 10 3 4" xfId="10394" xr:uid="{00000000-0005-0000-0000-0000DF450000}"/>
    <cellStyle name="Calc Percent (1) 10 3 5" xfId="10395" xr:uid="{00000000-0005-0000-0000-0000E0450000}"/>
    <cellStyle name="Calc Percent (1) 10 3 6" xfId="10396" xr:uid="{00000000-0005-0000-0000-0000E1450000}"/>
    <cellStyle name="Calc Percent (1) 10 3 7" xfId="10397" xr:uid="{00000000-0005-0000-0000-0000E2450000}"/>
    <cellStyle name="Calc Percent (1) 10 3 8" xfId="10398" xr:uid="{00000000-0005-0000-0000-0000E3450000}"/>
    <cellStyle name="Calc Percent (1) 10 3 9" xfId="10399" xr:uid="{00000000-0005-0000-0000-0000E4450000}"/>
    <cellStyle name="Calc Percent (1) 10 4" xfId="10400" xr:uid="{00000000-0005-0000-0000-0000E5450000}"/>
    <cellStyle name="Calc Percent (1) 10 5" xfId="10401" xr:uid="{00000000-0005-0000-0000-0000E6450000}"/>
    <cellStyle name="Calc Percent (1) 10 6" xfId="10402" xr:uid="{00000000-0005-0000-0000-0000E7450000}"/>
    <cellStyle name="Calc Percent (1) 10 7" xfId="10403" xr:uid="{00000000-0005-0000-0000-0000E8450000}"/>
    <cellStyle name="Calc Percent (1) 10 8" xfId="10404" xr:uid="{00000000-0005-0000-0000-0000E9450000}"/>
    <cellStyle name="Calc Percent (1) 10 9" xfId="10405" xr:uid="{00000000-0005-0000-0000-0000EA450000}"/>
    <cellStyle name="Calc Percent (1) 11" xfId="10406" xr:uid="{00000000-0005-0000-0000-0000EB450000}"/>
    <cellStyle name="Calc Percent (1) 11 2" xfId="10407" xr:uid="{00000000-0005-0000-0000-0000EC450000}"/>
    <cellStyle name="Calc Percent (1) 11 3" xfId="10408" xr:uid="{00000000-0005-0000-0000-0000ED450000}"/>
    <cellStyle name="Calc Percent (1) 11 4" xfId="10409" xr:uid="{00000000-0005-0000-0000-0000EE450000}"/>
    <cellStyle name="Calc Percent (1) 11 5" xfId="10410" xr:uid="{00000000-0005-0000-0000-0000EF450000}"/>
    <cellStyle name="Calc Percent (1) 11 6" xfId="10411" xr:uid="{00000000-0005-0000-0000-0000F0450000}"/>
    <cellStyle name="Calc Percent (1) 11 7" xfId="10412" xr:uid="{00000000-0005-0000-0000-0000F1450000}"/>
    <cellStyle name="Calc Percent (1) 11 8" xfId="10413" xr:uid="{00000000-0005-0000-0000-0000F2450000}"/>
    <cellStyle name="Calc Percent (1) 11 9" xfId="10414" xr:uid="{00000000-0005-0000-0000-0000F3450000}"/>
    <cellStyle name="Calc Percent (1) 12" xfId="10415" xr:uid="{00000000-0005-0000-0000-0000F4450000}"/>
    <cellStyle name="Calc Percent (1) 12 2" xfId="10416" xr:uid="{00000000-0005-0000-0000-0000F5450000}"/>
    <cellStyle name="Calc Percent (1) 12 3" xfId="10417" xr:uid="{00000000-0005-0000-0000-0000F6450000}"/>
    <cellStyle name="Calc Percent (1) 12 4" xfId="10418" xr:uid="{00000000-0005-0000-0000-0000F7450000}"/>
    <cellStyle name="Calc Percent (1) 12 5" xfId="10419" xr:uid="{00000000-0005-0000-0000-0000F8450000}"/>
    <cellStyle name="Calc Percent (1) 12 6" xfId="10420" xr:uid="{00000000-0005-0000-0000-0000F9450000}"/>
    <cellStyle name="Calc Percent (1) 12 7" xfId="10421" xr:uid="{00000000-0005-0000-0000-0000FA450000}"/>
    <cellStyle name="Calc Percent (1) 12 8" xfId="10422" xr:uid="{00000000-0005-0000-0000-0000FB450000}"/>
    <cellStyle name="Calc Percent (1) 12 9" xfId="10423" xr:uid="{00000000-0005-0000-0000-0000FC450000}"/>
    <cellStyle name="Calc Percent (1) 13" xfId="10424" xr:uid="{00000000-0005-0000-0000-0000FD450000}"/>
    <cellStyle name="Calc Percent (1) 13 10" xfId="10425" xr:uid="{00000000-0005-0000-0000-0000FE450000}"/>
    <cellStyle name="Calc Percent (1) 13 11" xfId="10426" xr:uid="{00000000-0005-0000-0000-0000FF450000}"/>
    <cellStyle name="Calc Percent (1) 13 12" xfId="10427" xr:uid="{00000000-0005-0000-0000-000000460000}"/>
    <cellStyle name="Calc Percent (1) 13 13" xfId="10428" xr:uid="{00000000-0005-0000-0000-000001460000}"/>
    <cellStyle name="Calc Percent (1) 13 14" xfId="10429" xr:uid="{00000000-0005-0000-0000-000002460000}"/>
    <cellStyle name="Calc Percent (1) 13 15" xfId="10430" xr:uid="{00000000-0005-0000-0000-000003460000}"/>
    <cellStyle name="Calc Percent (1) 13 16" xfId="10431" xr:uid="{00000000-0005-0000-0000-000004460000}"/>
    <cellStyle name="Calc Percent (1) 13 2" xfId="10432" xr:uid="{00000000-0005-0000-0000-000005460000}"/>
    <cellStyle name="Calc Percent (1) 13 3" xfId="10433" xr:uid="{00000000-0005-0000-0000-000006460000}"/>
    <cellStyle name="Calc Percent (1) 13 4" xfId="10434" xr:uid="{00000000-0005-0000-0000-000007460000}"/>
    <cellStyle name="Calc Percent (1) 13 5" xfId="10435" xr:uid="{00000000-0005-0000-0000-000008460000}"/>
    <cellStyle name="Calc Percent (1) 13 6" xfId="10436" xr:uid="{00000000-0005-0000-0000-000009460000}"/>
    <cellStyle name="Calc Percent (1) 13 7" xfId="10437" xr:uid="{00000000-0005-0000-0000-00000A460000}"/>
    <cellStyle name="Calc Percent (1) 13 8" xfId="10438" xr:uid="{00000000-0005-0000-0000-00000B460000}"/>
    <cellStyle name="Calc Percent (1) 13 9" xfId="10439" xr:uid="{00000000-0005-0000-0000-00000C460000}"/>
    <cellStyle name="Calc Percent (1) 14" xfId="10440" xr:uid="{00000000-0005-0000-0000-00000D460000}"/>
    <cellStyle name="Calc Percent (1) 14 10" xfId="10441" xr:uid="{00000000-0005-0000-0000-00000E460000}"/>
    <cellStyle name="Calc Percent (1) 14 11" xfId="10442" xr:uid="{00000000-0005-0000-0000-00000F460000}"/>
    <cellStyle name="Calc Percent (1) 14 12" xfId="10443" xr:uid="{00000000-0005-0000-0000-000010460000}"/>
    <cellStyle name="Calc Percent (1) 14 13" xfId="10444" xr:uid="{00000000-0005-0000-0000-000011460000}"/>
    <cellStyle name="Calc Percent (1) 14 14" xfId="10445" xr:uid="{00000000-0005-0000-0000-000012460000}"/>
    <cellStyle name="Calc Percent (1) 14 15" xfId="10446" xr:uid="{00000000-0005-0000-0000-000013460000}"/>
    <cellStyle name="Calc Percent (1) 14 16" xfId="10447" xr:uid="{00000000-0005-0000-0000-000014460000}"/>
    <cellStyle name="Calc Percent (1) 14 2" xfId="10448" xr:uid="{00000000-0005-0000-0000-000015460000}"/>
    <cellStyle name="Calc Percent (1) 14 3" xfId="10449" xr:uid="{00000000-0005-0000-0000-000016460000}"/>
    <cellStyle name="Calc Percent (1) 14 4" xfId="10450" xr:uid="{00000000-0005-0000-0000-000017460000}"/>
    <cellStyle name="Calc Percent (1) 14 5" xfId="10451" xr:uid="{00000000-0005-0000-0000-000018460000}"/>
    <cellStyle name="Calc Percent (1) 14 6" xfId="10452" xr:uid="{00000000-0005-0000-0000-000019460000}"/>
    <cellStyle name="Calc Percent (1) 14 7" xfId="10453" xr:uid="{00000000-0005-0000-0000-00001A460000}"/>
    <cellStyle name="Calc Percent (1) 14 8" xfId="10454" xr:uid="{00000000-0005-0000-0000-00001B460000}"/>
    <cellStyle name="Calc Percent (1) 14 9" xfId="10455" xr:uid="{00000000-0005-0000-0000-00001C460000}"/>
    <cellStyle name="Calc Percent (1) 15" xfId="10456" xr:uid="{00000000-0005-0000-0000-00001D460000}"/>
    <cellStyle name="Calc Percent (1) 15 10" xfId="10457" xr:uid="{00000000-0005-0000-0000-00001E460000}"/>
    <cellStyle name="Calc Percent (1) 15 11" xfId="10458" xr:uid="{00000000-0005-0000-0000-00001F460000}"/>
    <cellStyle name="Calc Percent (1) 15 12" xfId="10459" xr:uid="{00000000-0005-0000-0000-000020460000}"/>
    <cellStyle name="Calc Percent (1) 15 13" xfId="10460" xr:uid="{00000000-0005-0000-0000-000021460000}"/>
    <cellStyle name="Calc Percent (1) 15 14" xfId="10461" xr:uid="{00000000-0005-0000-0000-000022460000}"/>
    <cellStyle name="Calc Percent (1) 15 15" xfId="10462" xr:uid="{00000000-0005-0000-0000-000023460000}"/>
    <cellStyle name="Calc Percent (1) 15 16" xfId="10463" xr:uid="{00000000-0005-0000-0000-000024460000}"/>
    <cellStyle name="Calc Percent (1) 15 2" xfId="10464" xr:uid="{00000000-0005-0000-0000-000025460000}"/>
    <cellStyle name="Calc Percent (1) 15 3" xfId="10465" xr:uid="{00000000-0005-0000-0000-000026460000}"/>
    <cellStyle name="Calc Percent (1) 15 4" xfId="10466" xr:uid="{00000000-0005-0000-0000-000027460000}"/>
    <cellStyle name="Calc Percent (1) 15 5" xfId="10467" xr:uid="{00000000-0005-0000-0000-000028460000}"/>
    <cellStyle name="Calc Percent (1) 15 6" xfId="10468" xr:uid="{00000000-0005-0000-0000-000029460000}"/>
    <cellStyle name="Calc Percent (1) 15 7" xfId="10469" xr:uid="{00000000-0005-0000-0000-00002A460000}"/>
    <cellStyle name="Calc Percent (1) 15 8" xfId="10470" xr:uid="{00000000-0005-0000-0000-00002B460000}"/>
    <cellStyle name="Calc Percent (1) 15 9" xfId="10471" xr:uid="{00000000-0005-0000-0000-00002C460000}"/>
    <cellStyle name="Calc Percent (1) 16" xfId="10472" xr:uid="{00000000-0005-0000-0000-00002D460000}"/>
    <cellStyle name="Calc Percent (1) 16 2" xfId="10473" xr:uid="{00000000-0005-0000-0000-00002E460000}"/>
    <cellStyle name="Calc Percent (1) 16 3" xfId="10474" xr:uid="{00000000-0005-0000-0000-00002F460000}"/>
    <cellStyle name="Calc Percent (1) 16 4" xfId="10475" xr:uid="{00000000-0005-0000-0000-000030460000}"/>
    <cellStyle name="Calc Percent (1) 16 5" xfId="10476" xr:uid="{00000000-0005-0000-0000-000031460000}"/>
    <cellStyle name="Calc Percent (1) 16 6" xfId="10477" xr:uid="{00000000-0005-0000-0000-000032460000}"/>
    <cellStyle name="Calc Percent (1) 16 7" xfId="10478" xr:uid="{00000000-0005-0000-0000-000033460000}"/>
    <cellStyle name="Calc Percent (1) 16 8" xfId="10479" xr:uid="{00000000-0005-0000-0000-000034460000}"/>
    <cellStyle name="Calc Percent (1) 16 9" xfId="10480" xr:uid="{00000000-0005-0000-0000-000035460000}"/>
    <cellStyle name="Calc Percent (1) 17" xfId="10481" xr:uid="{00000000-0005-0000-0000-000036460000}"/>
    <cellStyle name="Calc Percent (1) 17 2" xfId="10482" xr:uid="{00000000-0005-0000-0000-000037460000}"/>
    <cellStyle name="Calc Percent (1) 17 3" xfId="10483" xr:uid="{00000000-0005-0000-0000-000038460000}"/>
    <cellStyle name="Calc Percent (1) 17 4" xfId="10484" xr:uid="{00000000-0005-0000-0000-000039460000}"/>
    <cellStyle name="Calc Percent (1) 17 5" xfId="10485" xr:uid="{00000000-0005-0000-0000-00003A460000}"/>
    <cellStyle name="Calc Percent (1) 17 6" xfId="10486" xr:uid="{00000000-0005-0000-0000-00003B460000}"/>
    <cellStyle name="Calc Percent (1) 17 7" xfId="10487" xr:uid="{00000000-0005-0000-0000-00003C460000}"/>
    <cellStyle name="Calc Percent (1) 17 8" xfId="10488" xr:uid="{00000000-0005-0000-0000-00003D460000}"/>
    <cellStyle name="Calc Percent (1) 17 9" xfId="10489" xr:uid="{00000000-0005-0000-0000-00003E460000}"/>
    <cellStyle name="Calc Percent (1) 18" xfId="10490" xr:uid="{00000000-0005-0000-0000-00003F460000}"/>
    <cellStyle name="Calc Percent (1) 18 2" xfId="10491" xr:uid="{00000000-0005-0000-0000-000040460000}"/>
    <cellStyle name="Calc Percent (1) 18 3" xfId="10492" xr:uid="{00000000-0005-0000-0000-000041460000}"/>
    <cellStyle name="Calc Percent (1) 18 4" xfId="10493" xr:uid="{00000000-0005-0000-0000-000042460000}"/>
    <cellStyle name="Calc Percent (1) 18 5" xfId="10494" xr:uid="{00000000-0005-0000-0000-000043460000}"/>
    <cellStyle name="Calc Percent (1) 18 6" xfId="10495" xr:uid="{00000000-0005-0000-0000-000044460000}"/>
    <cellStyle name="Calc Percent (1) 18 7" xfId="10496" xr:uid="{00000000-0005-0000-0000-000045460000}"/>
    <cellStyle name="Calc Percent (1) 18 8" xfId="10497" xr:uid="{00000000-0005-0000-0000-000046460000}"/>
    <cellStyle name="Calc Percent (1) 18 9" xfId="10498" xr:uid="{00000000-0005-0000-0000-000047460000}"/>
    <cellStyle name="Calc Percent (1) 19" xfId="10499" xr:uid="{00000000-0005-0000-0000-000048460000}"/>
    <cellStyle name="Calc Percent (1) 19 2" xfId="10500" xr:uid="{00000000-0005-0000-0000-000049460000}"/>
    <cellStyle name="Calc Percent (1) 19 3" xfId="10501" xr:uid="{00000000-0005-0000-0000-00004A460000}"/>
    <cellStyle name="Calc Percent (1) 19 4" xfId="10502" xr:uid="{00000000-0005-0000-0000-00004B460000}"/>
    <cellStyle name="Calc Percent (1) 19 5" xfId="10503" xr:uid="{00000000-0005-0000-0000-00004C460000}"/>
    <cellStyle name="Calc Percent (1) 19 6" xfId="10504" xr:uid="{00000000-0005-0000-0000-00004D460000}"/>
    <cellStyle name="Calc Percent (1) 19 7" xfId="10505" xr:uid="{00000000-0005-0000-0000-00004E460000}"/>
    <cellStyle name="Calc Percent (1) 19 8" xfId="10506" xr:uid="{00000000-0005-0000-0000-00004F460000}"/>
    <cellStyle name="Calc Percent (1) 19 9" xfId="10507" xr:uid="{00000000-0005-0000-0000-000050460000}"/>
    <cellStyle name="Calc Percent (1) 2" xfId="10508" xr:uid="{00000000-0005-0000-0000-000051460000}"/>
    <cellStyle name="Calc Percent (1) 2 10" xfId="10509" xr:uid="{00000000-0005-0000-0000-000052460000}"/>
    <cellStyle name="Calc Percent (1) 2 10 2" xfId="10510" xr:uid="{00000000-0005-0000-0000-000053460000}"/>
    <cellStyle name="Calc Percent (1) 2 10 3" xfId="10511" xr:uid="{00000000-0005-0000-0000-000054460000}"/>
    <cellStyle name="Calc Percent (1) 2 11" xfId="10512" xr:uid="{00000000-0005-0000-0000-000055460000}"/>
    <cellStyle name="Calc Percent (1) 2 11 2" xfId="10513" xr:uid="{00000000-0005-0000-0000-000056460000}"/>
    <cellStyle name="Calc Percent (1) 2 11 2 2" xfId="10514" xr:uid="{00000000-0005-0000-0000-000057460000}"/>
    <cellStyle name="Calc Percent (1) 2 11 2 3" xfId="10515" xr:uid="{00000000-0005-0000-0000-000058460000}"/>
    <cellStyle name="Calc Percent (1) 2 11 3" xfId="10516" xr:uid="{00000000-0005-0000-0000-000059460000}"/>
    <cellStyle name="Calc Percent (1) 2 12" xfId="10517" xr:uid="{00000000-0005-0000-0000-00005A460000}"/>
    <cellStyle name="Calc Percent (1) 2 13" xfId="10518" xr:uid="{00000000-0005-0000-0000-00005B460000}"/>
    <cellStyle name="Calc Percent (1) 2 14" xfId="10519" xr:uid="{00000000-0005-0000-0000-00005C460000}"/>
    <cellStyle name="Calc Percent (1) 2 2" xfId="10520" xr:uid="{00000000-0005-0000-0000-00005D460000}"/>
    <cellStyle name="Calc Percent (1) 2 2 10" xfId="10521" xr:uid="{00000000-0005-0000-0000-00005E460000}"/>
    <cellStyle name="Calc Percent (1) 2 2 11" xfId="10522" xr:uid="{00000000-0005-0000-0000-00005F460000}"/>
    <cellStyle name="Calc Percent (1) 2 2 12" xfId="10523" xr:uid="{00000000-0005-0000-0000-000060460000}"/>
    <cellStyle name="Calc Percent (1) 2 2 13" xfId="10524" xr:uid="{00000000-0005-0000-0000-000061460000}"/>
    <cellStyle name="Calc Percent (1) 2 2 14" xfId="10525" xr:uid="{00000000-0005-0000-0000-000062460000}"/>
    <cellStyle name="Calc Percent (1) 2 2 15" xfId="10526" xr:uid="{00000000-0005-0000-0000-000063460000}"/>
    <cellStyle name="Calc Percent (1) 2 2 16" xfId="10527" xr:uid="{00000000-0005-0000-0000-000064460000}"/>
    <cellStyle name="Calc Percent (1) 2 2 17" xfId="10528" xr:uid="{00000000-0005-0000-0000-000065460000}"/>
    <cellStyle name="Calc Percent (1) 2 2 18" xfId="10529" xr:uid="{00000000-0005-0000-0000-000066460000}"/>
    <cellStyle name="Calc Percent (1) 2 2 2" xfId="10530" xr:uid="{00000000-0005-0000-0000-000067460000}"/>
    <cellStyle name="Calc Percent (1) 2 2 2 2" xfId="10531" xr:uid="{00000000-0005-0000-0000-000068460000}"/>
    <cellStyle name="Calc Percent (1) 2 2 2 2 2" xfId="10532" xr:uid="{00000000-0005-0000-0000-000069460000}"/>
    <cellStyle name="Calc Percent (1) 2 2 2 2 3" xfId="10533" xr:uid="{00000000-0005-0000-0000-00006A460000}"/>
    <cellStyle name="Calc Percent (1) 2 2 2 2 4" xfId="10534" xr:uid="{00000000-0005-0000-0000-00006B460000}"/>
    <cellStyle name="Calc Percent (1) 2 2 2 2 5" xfId="10535" xr:uid="{00000000-0005-0000-0000-00006C460000}"/>
    <cellStyle name="Calc Percent (1) 2 2 2 2 6" xfId="10536" xr:uid="{00000000-0005-0000-0000-00006D460000}"/>
    <cellStyle name="Calc Percent (1) 2 2 2 2 7" xfId="10537" xr:uid="{00000000-0005-0000-0000-00006E460000}"/>
    <cellStyle name="Calc Percent (1) 2 2 2 2 8" xfId="10538" xr:uid="{00000000-0005-0000-0000-00006F460000}"/>
    <cellStyle name="Calc Percent (1) 2 2 2 3" xfId="10539" xr:uid="{00000000-0005-0000-0000-000070460000}"/>
    <cellStyle name="Calc Percent (1) 2 2 2 4" xfId="10540" xr:uid="{00000000-0005-0000-0000-000071460000}"/>
    <cellStyle name="Calc Percent (1) 2 2 2 5" xfId="10541" xr:uid="{00000000-0005-0000-0000-000072460000}"/>
    <cellStyle name="Calc Percent (1) 2 2 2 6" xfId="10542" xr:uid="{00000000-0005-0000-0000-000073460000}"/>
    <cellStyle name="Calc Percent (1) 2 2 2 7" xfId="10543" xr:uid="{00000000-0005-0000-0000-000074460000}"/>
    <cellStyle name="Calc Percent (1) 2 2 2 8" xfId="10544" xr:uid="{00000000-0005-0000-0000-000075460000}"/>
    <cellStyle name="Calc Percent (1) 2 2 2 9" xfId="10545" xr:uid="{00000000-0005-0000-0000-000076460000}"/>
    <cellStyle name="Calc Percent (1) 2 2 3" xfId="10546" xr:uid="{00000000-0005-0000-0000-000077460000}"/>
    <cellStyle name="Calc Percent (1) 2 2 3 2" xfId="10547" xr:uid="{00000000-0005-0000-0000-000078460000}"/>
    <cellStyle name="Calc Percent (1) 2 2 3 3" xfId="10548" xr:uid="{00000000-0005-0000-0000-000079460000}"/>
    <cellStyle name="Calc Percent (1) 2 2 3 4" xfId="10549" xr:uid="{00000000-0005-0000-0000-00007A460000}"/>
    <cellStyle name="Calc Percent (1) 2 2 3 5" xfId="10550" xr:uid="{00000000-0005-0000-0000-00007B460000}"/>
    <cellStyle name="Calc Percent (1) 2 2 3 6" xfId="10551" xr:uid="{00000000-0005-0000-0000-00007C460000}"/>
    <cellStyle name="Calc Percent (1) 2 2 3 7" xfId="10552" xr:uid="{00000000-0005-0000-0000-00007D460000}"/>
    <cellStyle name="Calc Percent (1) 2 2 3 8" xfId="10553" xr:uid="{00000000-0005-0000-0000-00007E460000}"/>
    <cellStyle name="Calc Percent (1) 2 2 3 9" xfId="10554" xr:uid="{00000000-0005-0000-0000-00007F460000}"/>
    <cellStyle name="Calc Percent (1) 2 2 4" xfId="10555" xr:uid="{00000000-0005-0000-0000-000080460000}"/>
    <cellStyle name="Calc Percent (1) 2 2 5" xfId="10556" xr:uid="{00000000-0005-0000-0000-000081460000}"/>
    <cellStyle name="Calc Percent (1) 2 2 6" xfId="10557" xr:uid="{00000000-0005-0000-0000-000082460000}"/>
    <cellStyle name="Calc Percent (1) 2 2 7" xfId="10558" xr:uid="{00000000-0005-0000-0000-000083460000}"/>
    <cellStyle name="Calc Percent (1) 2 2 8" xfId="10559" xr:uid="{00000000-0005-0000-0000-000084460000}"/>
    <cellStyle name="Calc Percent (1) 2 2 9" xfId="10560" xr:uid="{00000000-0005-0000-0000-000085460000}"/>
    <cellStyle name="Calc Percent (1) 2 3" xfId="10561" xr:uid="{00000000-0005-0000-0000-000086460000}"/>
    <cellStyle name="Calc Percent (1) 2 3 10" xfId="10562" xr:uid="{00000000-0005-0000-0000-000087460000}"/>
    <cellStyle name="Calc Percent (1) 2 3 11" xfId="10563" xr:uid="{00000000-0005-0000-0000-000088460000}"/>
    <cellStyle name="Calc Percent (1) 2 3 12" xfId="10564" xr:uid="{00000000-0005-0000-0000-000089460000}"/>
    <cellStyle name="Calc Percent (1) 2 3 13" xfId="10565" xr:uid="{00000000-0005-0000-0000-00008A460000}"/>
    <cellStyle name="Calc Percent (1) 2 3 14" xfId="10566" xr:uid="{00000000-0005-0000-0000-00008B460000}"/>
    <cellStyle name="Calc Percent (1) 2 3 15" xfId="10567" xr:uid="{00000000-0005-0000-0000-00008C460000}"/>
    <cellStyle name="Calc Percent (1) 2 3 16" xfId="10568" xr:uid="{00000000-0005-0000-0000-00008D460000}"/>
    <cellStyle name="Calc Percent (1) 2 3 2" xfId="10569" xr:uid="{00000000-0005-0000-0000-00008E460000}"/>
    <cellStyle name="Calc Percent (1) 2 3 2 2" xfId="10570" xr:uid="{00000000-0005-0000-0000-00008F460000}"/>
    <cellStyle name="Calc Percent (1) 2 3 2 2 2" xfId="10571" xr:uid="{00000000-0005-0000-0000-000090460000}"/>
    <cellStyle name="Calc Percent (1) 2 3 2 2 2 2" xfId="10572" xr:uid="{00000000-0005-0000-0000-000091460000}"/>
    <cellStyle name="Calc Percent (1) 2 3 2 2 2 2 2" xfId="10573" xr:uid="{00000000-0005-0000-0000-000092460000}"/>
    <cellStyle name="Calc Percent (1) 2 3 2 2 2 2 3" xfId="10574" xr:uid="{00000000-0005-0000-0000-000093460000}"/>
    <cellStyle name="Calc Percent (1) 2 3 2 2 2 2 4" xfId="10575" xr:uid="{00000000-0005-0000-0000-000094460000}"/>
    <cellStyle name="Calc Percent (1) 2 3 2 2 2 2 5" xfId="10576" xr:uid="{00000000-0005-0000-0000-000095460000}"/>
    <cellStyle name="Calc Percent (1) 2 3 2 2 2 2 6" xfId="10577" xr:uid="{00000000-0005-0000-0000-000096460000}"/>
    <cellStyle name="Calc Percent (1) 2 3 2 2 2 2 7" xfId="10578" xr:uid="{00000000-0005-0000-0000-000097460000}"/>
    <cellStyle name="Calc Percent (1) 2 3 2 2 2 2 8" xfId="10579" xr:uid="{00000000-0005-0000-0000-000098460000}"/>
    <cellStyle name="Calc Percent (1) 2 3 2 2 2 3" xfId="10580" xr:uid="{00000000-0005-0000-0000-000099460000}"/>
    <cellStyle name="Calc Percent (1) 2 3 2 2 2 4" xfId="10581" xr:uid="{00000000-0005-0000-0000-00009A460000}"/>
    <cellStyle name="Calc Percent (1) 2 3 2 2 2 5" xfId="10582" xr:uid="{00000000-0005-0000-0000-00009B460000}"/>
    <cellStyle name="Calc Percent (1) 2 3 2 2 2 6" xfId="10583" xr:uid="{00000000-0005-0000-0000-00009C460000}"/>
    <cellStyle name="Calc Percent (1) 2 3 2 2 2 7" xfId="10584" xr:uid="{00000000-0005-0000-0000-00009D460000}"/>
    <cellStyle name="Calc Percent (1) 2 3 2 2 2 8" xfId="10585" xr:uid="{00000000-0005-0000-0000-00009E460000}"/>
    <cellStyle name="Calc Percent (1) 2 3 2 2 2 9" xfId="10586" xr:uid="{00000000-0005-0000-0000-00009F460000}"/>
    <cellStyle name="Calc Percent (1) 2 3 2 2 3" xfId="10587" xr:uid="{00000000-0005-0000-0000-0000A0460000}"/>
    <cellStyle name="Calc Percent (1) 2 3 2 2 4" xfId="10588" xr:uid="{00000000-0005-0000-0000-0000A1460000}"/>
    <cellStyle name="Calc Percent (1) 2 3 2 2 5" xfId="10589" xr:uid="{00000000-0005-0000-0000-0000A2460000}"/>
    <cellStyle name="Calc Percent (1) 2 3 2 2 6" xfId="10590" xr:uid="{00000000-0005-0000-0000-0000A3460000}"/>
    <cellStyle name="Calc Percent (1) 2 3 2 2 7" xfId="10591" xr:uid="{00000000-0005-0000-0000-0000A4460000}"/>
    <cellStyle name="Calc Percent (1) 2 3 2 2 8" xfId="10592" xr:uid="{00000000-0005-0000-0000-0000A5460000}"/>
    <cellStyle name="Calc Percent (1) 2 3 2 2 9" xfId="10593" xr:uid="{00000000-0005-0000-0000-0000A6460000}"/>
    <cellStyle name="Calc Percent (1) 2 3 2 3" xfId="10594" xr:uid="{00000000-0005-0000-0000-0000A7460000}"/>
    <cellStyle name="Calc Percent (1) 2 3 2 4" xfId="10595" xr:uid="{00000000-0005-0000-0000-0000A8460000}"/>
    <cellStyle name="Calc Percent (1) 2 3 2 5" xfId="10596" xr:uid="{00000000-0005-0000-0000-0000A9460000}"/>
    <cellStyle name="Calc Percent (1) 2 3 2 6" xfId="10597" xr:uid="{00000000-0005-0000-0000-0000AA460000}"/>
    <cellStyle name="Calc Percent (1) 2 3 2 7" xfId="10598" xr:uid="{00000000-0005-0000-0000-0000AB460000}"/>
    <cellStyle name="Calc Percent (1) 2 3 2 8" xfId="10599" xr:uid="{00000000-0005-0000-0000-0000AC460000}"/>
    <cellStyle name="Calc Percent (1) 2 3 2 9" xfId="10600" xr:uid="{00000000-0005-0000-0000-0000AD460000}"/>
    <cellStyle name="Calc Percent (1) 2 3 3" xfId="10601" xr:uid="{00000000-0005-0000-0000-0000AE460000}"/>
    <cellStyle name="Calc Percent (1) 2 3 3 2" xfId="10602" xr:uid="{00000000-0005-0000-0000-0000AF460000}"/>
    <cellStyle name="Calc Percent (1) 2 3 3 3" xfId="10603" xr:uid="{00000000-0005-0000-0000-0000B0460000}"/>
    <cellStyle name="Calc Percent (1) 2 3 3 4" xfId="10604" xr:uid="{00000000-0005-0000-0000-0000B1460000}"/>
    <cellStyle name="Calc Percent (1) 2 3 3 5" xfId="10605" xr:uid="{00000000-0005-0000-0000-0000B2460000}"/>
    <cellStyle name="Calc Percent (1) 2 3 3 6" xfId="10606" xr:uid="{00000000-0005-0000-0000-0000B3460000}"/>
    <cellStyle name="Calc Percent (1) 2 3 3 7" xfId="10607" xr:uid="{00000000-0005-0000-0000-0000B4460000}"/>
    <cellStyle name="Calc Percent (1) 2 3 3 8" xfId="10608" xr:uid="{00000000-0005-0000-0000-0000B5460000}"/>
    <cellStyle name="Calc Percent (1) 2 3 4" xfId="10609" xr:uid="{00000000-0005-0000-0000-0000B6460000}"/>
    <cellStyle name="Calc Percent (1) 2 3 4 2" xfId="10610" xr:uid="{00000000-0005-0000-0000-0000B7460000}"/>
    <cellStyle name="Calc Percent (1) 2 3 4 3" xfId="10611" xr:uid="{00000000-0005-0000-0000-0000B8460000}"/>
    <cellStyle name="Calc Percent (1) 2 3 4 4" xfId="10612" xr:uid="{00000000-0005-0000-0000-0000B9460000}"/>
    <cellStyle name="Calc Percent (1) 2 3 4 5" xfId="10613" xr:uid="{00000000-0005-0000-0000-0000BA460000}"/>
    <cellStyle name="Calc Percent (1) 2 3 4 6" xfId="10614" xr:uid="{00000000-0005-0000-0000-0000BB460000}"/>
    <cellStyle name="Calc Percent (1) 2 3 4 7" xfId="10615" xr:uid="{00000000-0005-0000-0000-0000BC460000}"/>
    <cellStyle name="Calc Percent (1) 2 3 4 8" xfId="10616" xr:uid="{00000000-0005-0000-0000-0000BD460000}"/>
    <cellStyle name="Calc Percent (1) 2 3 5" xfId="10617" xr:uid="{00000000-0005-0000-0000-0000BE460000}"/>
    <cellStyle name="Calc Percent (1) 2 3 5 2" xfId="10618" xr:uid="{00000000-0005-0000-0000-0000BF460000}"/>
    <cellStyle name="Calc Percent (1) 2 3 5 3" xfId="10619" xr:uid="{00000000-0005-0000-0000-0000C0460000}"/>
    <cellStyle name="Calc Percent (1) 2 3 5 4" xfId="10620" xr:uid="{00000000-0005-0000-0000-0000C1460000}"/>
    <cellStyle name="Calc Percent (1) 2 3 5 5" xfId="10621" xr:uid="{00000000-0005-0000-0000-0000C2460000}"/>
    <cellStyle name="Calc Percent (1) 2 3 5 6" xfId="10622" xr:uid="{00000000-0005-0000-0000-0000C3460000}"/>
    <cellStyle name="Calc Percent (1) 2 3 5 7" xfId="10623" xr:uid="{00000000-0005-0000-0000-0000C4460000}"/>
    <cellStyle name="Calc Percent (1) 2 3 5 8" xfId="10624" xr:uid="{00000000-0005-0000-0000-0000C5460000}"/>
    <cellStyle name="Calc Percent (1) 2 3 6" xfId="10625" xr:uid="{00000000-0005-0000-0000-0000C6460000}"/>
    <cellStyle name="Calc Percent (1) 2 3 6 2" xfId="10626" xr:uid="{00000000-0005-0000-0000-0000C7460000}"/>
    <cellStyle name="Calc Percent (1) 2 3 6 3" xfId="10627" xr:uid="{00000000-0005-0000-0000-0000C8460000}"/>
    <cellStyle name="Calc Percent (1) 2 3 6 4" xfId="10628" xr:uid="{00000000-0005-0000-0000-0000C9460000}"/>
    <cellStyle name="Calc Percent (1) 2 3 6 5" xfId="10629" xr:uid="{00000000-0005-0000-0000-0000CA460000}"/>
    <cellStyle name="Calc Percent (1) 2 3 6 6" xfId="10630" xr:uid="{00000000-0005-0000-0000-0000CB460000}"/>
    <cellStyle name="Calc Percent (1) 2 3 6 7" xfId="10631" xr:uid="{00000000-0005-0000-0000-0000CC460000}"/>
    <cellStyle name="Calc Percent (1) 2 3 6 8" xfId="10632" xr:uid="{00000000-0005-0000-0000-0000CD460000}"/>
    <cellStyle name="Calc Percent (1) 2 3 7" xfId="10633" xr:uid="{00000000-0005-0000-0000-0000CE460000}"/>
    <cellStyle name="Calc Percent (1) 2 3 8" xfId="10634" xr:uid="{00000000-0005-0000-0000-0000CF460000}"/>
    <cellStyle name="Calc Percent (1) 2 3 9" xfId="10635" xr:uid="{00000000-0005-0000-0000-0000D0460000}"/>
    <cellStyle name="Calc Percent (1) 2 4" xfId="10636" xr:uid="{00000000-0005-0000-0000-0000D1460000}"/>
    <cellStyle name="Calc Percent (1) 2 4 2" xfId="10637" xr:uid="{00000000-0005-0000-0000-0000D2460000}"/>
    <cellStyle name="Calc Percent (1) 2 4 3" xfId="10638" xr:uid="{00000000-0005-0000-0000-0000D3460000}"/>
    <cellStyle name="Calc Percent (1) 2 5" xfId="10639" xr:uid="{00000000-0005-0000-0000-0000D4460000}"/>
    <cellStyle name="Calc Percent (1) 2 5 2" xfId="10640" xr:uid="{00000000-0005-0000-0000-0000D5460000}"/>
    <cellStyle name="Calc Percent (1) 2 5 3" xfId="10641" xr:uid="{00000000-0005-0000-0000-0000D6460000}"/>
    <cellStyle name="Calc Percent (1) 2 6" xfId="10642" xr:uid="{00000000-0005-0000-0000-0000D7460000}"/>
    <cellStyle name="Calc Percent (1) 2 6 2" xfId="10643" xr:uid="{00000000-0005-0000-0000-0000D8460000}"/>
    <cellStyle name="Calc Percent (1) 2 6 3" xfId="10644" xr:uid="{00000000-0005-0000-0000-0000D9460000}"/>
    <cellStyle name="Calc Percent (1) 2 7" xfId="10645" xr:uid="{00000000-0005-0000-0000-0000DA460000}"/>
    <cellStyle name="Calc Percent (1) 2 7 2" xfId="10646" xr:uid="{00000000-0005-0000-0000-0000DB460000}"/>
    <cellStyle name="Calc Percent (1) 2 7 3" xfId="10647" xr:uid="{00000000-0005-0000-0000-0000DC460000}"/>
    <cellStyle name="Calc Percent (1) 2 8" xfId="10648" xr:uid="{00000000-0005-0000-0000-0000DD460000}"/>
    <cellStyle name="Calc Percent (1) 2 8 2" xfId="10649" xr:uid="{00000000-0005-0000-0000-0000DE460000}"/>
    <cellStyle name="Calc Percent (1) 2 8 3" xfId="10650" xr:uid="{00000000-0005-0000-0000-0000DF460000}"/>
    <cellStyle name="Calc Percent (1) 2 9" xfId="10651" xr:uid="{00000000-0005-0000-0000-0000E0460000}"/>
    <cellStyle name="Calc Percent (1) 2 9 2" xfId="10652" xr:uid="{00000000-0005-0000-0000-0000E1460000}"/>
    <cellStyle name="Calc Percent (1) 2 9 3" xfId="10653" xr:uid="{00000000-0005-0000-0000-0000E2460000}"/>
    <cellStyle name="Calc Percent (1) 2_You Plus DCF Workpapers" xfId="10654" xr:uid="{00000000-0005-0000-0000-0000E3460000}"/>
    <cellStyle name="Calc Percent (1) 20" xfId="10655" xr:uid="{00000000-0005-0000-0000-0000E4460000}"/>
    <cellStyle name="Calc Percent (1) 20 2" xfId="10656" xr:uid="{00000000-0005-0000-0000-0000E5460000}"/>
    <cellStyle name="Calc Percent (1) 20 3" xfId="10657" xr:uid="{00000000-0005-0000-0000-0000E6460000}"/>
    <cellStyle name="Calc Percent (1) 20 4" xfId="10658" xr:uid="{00000000-0005-0000-0000-0000E7460000}"/>
    <cellStyle name="Calc Percent (1) 20 5" xfId="10659" xr:uid="{00000000-0005-0000-0000-0000E8460000}"/>
    <cellStyle name="Calc Percent (1) 20 6" xfId="10660" xr:uid="{00000000-0005-0000-0000-0000E9460000}"/>
    <cellStyle name="Calc Percent (1) 20 7" xfId="10661" xr:uid="{00000000-0005-0000-0000-0000EA460000}"/>
    <cellStyle name="Calc Percent (1) 20 8" xfId="10662" xr:uid="{00000000-0005-0000-0000-0000EB460000}"/>
    <cellStyle name="Calc Percent (1) 20 9" xfId="10663" xr:uid="{00000000-0005-0000-0000-0000EC460000}"/>
    <cellStyle name="Calc Percent (1) 21" xfId="10664" xr:uid="{00000000-0005-0000-0000-0000ED460000}"/>
    <cellStyle name="Calc Percent (1) 21 2" xfId="10665" xr:uid="{00000000-0005-0000-0000-0000EE460000}"/>
    <cellStyle name="Calc Percent (1) 21 3" xfId="10666" xr:uid="{00000000-0005-0000-0000-0000EF460000}"/>
    <cellStyle name="Calc Percent (1) 21 4" xfId="10667" xr:uid="{00000000-0005-0000-0000-0000F0460000}"/>
    <cellStyle name="Calc Percent (1) 21 5" xfId="10668" xr:uid="{00000000-0005-0000-0000-0000F1460000}"/>
    <cellStyle name="Calc Percent (1) 21 6" xfId="10669" xr:uid="{00000000-0005-0000-0000-0000F2460000}"/>
    <cellStyle name="Calc Percent (1) 21 7" xfId="10670" xr:uid="{00000000-0005-0000-0000-0000F3460000}"/>
    <cellStyle name="Calc Percent (1) 21 8" xfId="10671" xr:uid="{00000000-0005-0000-0000-0000F4460000}"/>
    <cellStyle name="Calc Percent (1) 21 9" xfId="10672" xr:uid="{00000000-0005-0000-0000-0000F5460000}"/>
    <cellStyle name="Calc Percent (1) 22" xfId="10673" xr:uid="{00000000-0005-0000-0000-0000F6460000}"/>
    <cellStyle name="Calc Percent (1) 22 2" xfId="10674" xr:uid="{00000000-0005-0000-0000-0000F7460000}"/>
    <cellStyle name="Calc Percent (1) 22 3" xfId="10675" xr:uid="{00000000-0005-0000-0000-0000F8460000}"/>
    <cellStyle name="Calc Percent (1) 22 4" xfId="10676" xr:uid="{00000000-0005-0000-0000-0000F9460000}"/>
    <cellStyle name="Calc Percent (1) 22 5" xfId="10677" xr:uid="{00000000-0005-0000-0000-0000FA460000}"/>
    <cellStyle name="Calc Percent (1) 22 6" xfId="10678" xr:uid="{00000000-0005-0000-0000-0000FB460000}"/>
    <cellStyle name="Calc Percent (1) 22 7" xfId="10679" xr:uid="{00000000-0005-0000-0000-0000FC460000}"/>
    <cellStyle name="Calc Percent (1) 22 8" xfId="10680" xr:uid="{00000000-0005-0000-0000-0000FD460000}"/>
    <cellStyle name="Calc Percent (1) 22 9" xfId="10681" xr:uid="{00000000-0005-0000-0000-0000FE460000}"/>
    <cellStyle name="Calc Percent (1) 23" xfId="10682" xr:uid="{00000000-0005-0000-0000-0000FF460000}"/>
    <cellStyle name="Calc Percent (1) 24" xfId="10683" xr:uid="{00000000-0005-0000-0000-000000470000}"/>
    <cellStyle name="Calc Percent (1) 25" xfId="10684" xr:uid="{00000000-0005-0000-0000-000001470000}"/>
    <cellStyle name="Calc Percent (1) 26" xfId="10685" xr:uid="{00000000-0005-0000-0000-000002470000}"/>
    <cellStyle name="Calc Percent (1) 27" xfId="10686" xr:uid="{00000000-0005-0000-0000-000003470000}"/>
    <cellStyle name="Calc Percent (1) 28" xfId="10687" xr:uid="{00000000-0005-0000-0000-000004470000}"/>
    <cellStyle name="Calc Percent (1) 29" xfId="10688" xr:uid="{00000000-0005-0000-0000-000005470000}"/>
    <cellStyle name="Calc Percent (1) 3" xfId="10689" xr:uid="{00000000-0005-0000-0000-000006470000}"/>
    <cellStyle name="Calc Percent (1) 3 10" xfId="10690" xr:uid="{00000000-0005-0000-0000-000007470000}"/>
    <cellStyle name="Calc Percent (1) 3 11" xfId="10691" xr:uid="{00000000-0005-0000-0000-000008470000}"/>
    <cellStyle name="Calc Percent (1) 3 2" xfId="10692" xr:uid="{00000000-0005-0000-0000-000009470000}"/>
    <cellStyle name="Calc Percent (1) 3 2 10" xfId="10693" xr:uid="{00000000-0005-0000-0000-00000A470000}"/>
    <cellStyle name="Calc Percent (1) 3 2 11" xfId="10694" xr:uid="{00000000-0005-0000-0000-00000B470000}"/>
    <cellStyle name="Calc Percent (1) 3 2 12" xfId="10695" xr:uid="{00000000-0005-0000-0000-00000C470000}"/>
    <cellStyle name="Calc Percent (1) 3 2 13" xfId="10696" xr:uid="{00000000-0005-0000-0000-00000D470000}"/>
    <cellStyle name="Calc Percent (1) 3 2 14" xfId="10697" xr:uid="{00000000-0005-0000-0000-00000E470000}"/>
    <cellStyle name="Calc Percent (1) 3 2 15" xfId="10698" xr:uid="{00000000-0005-0000-0000-00000F470000}"/>
    <cellStyle name="Calc Percent (1) 3 2 16" xfId="10699" xr:uid="{00000000-0005-0000-0000-000010470000}"/>
    <cellStyle name="Calc Percent (1) 3 2 2" xfId="10700" xr:uid="{00000000-0005-0000-0000-000011470000}"/>
    <cellStyle name="Calc Percent (1) 3 2 2 2" xfId="10701" xr:uid="{00000000-0005-0000-0000-000012470000}"/>
    <cellStyle name="Calc Percent (1) 3 2 2 3" xfId="10702" xr:uid="{00000000-0005-0000-0000-000013470000}"/>
    <cellStyle name="Calc Percent (1) 3 2 3" xfId="10703" xr:uid="{00000000-0005-0000-0000-000014470000}"/>
    <cellStyle name="Calc Percent (1) 3 2 3 2" xfId="10704" xr:uid="{00000000-0005-0000-0000-000015470000}"/>
    <cellStyle name="Calc Percent (1) 3 2 3 3" xfId="10705" xr:uid="{00000000-0005-0000-0000-000016470000}"/>
    <cellStyle name="Calc Percent (1) 3 2 3 4" xfId="10706" xr:uid="{00000000-0005-0000-0000-000017470000}"/>
    <cellStyle name="Calc Percent (1) 3 2 3 5" xfId="10707" xr:uid="{00000000-0005-0000-0000-000018470000}"/>
    <cellStyle name="Calc Percent (1) 3 2 3 6" xfId="10708" xr:uid="{00000000-0005-0000-0000-000019470000}"/>
    <cellStyle name="Calc Percent (1) 3 2 3 7" xfId="10709" xr:uid="{00000000-0005-0000-0000-00001A470000}"/>
    <cellStyle name="Calc Percent (1) 3 2 3 8" xfId="10710" xr:uid="{00000000-0005-0000-0000-00001B470000}"/>
    <cellStyle name="Calc Percent (1) 3 2 4" xfId="10711" xr:uid="{00000000-0005-0000-0000-00001C470000}"/>
    <cellStyle name="Calc Percent (1) 3 2 5" xfId="10712" xr:uid="{00000000-0005-0000-0000-00001D470000}"/>
    <cellStyle name="Calc Percent (1) 3 2 6" xfId="10713" xr:uid="{00000000-0005-0000-0000-00001E470000}"/>
    <cellStyle name="Calc Percent (1) 3 2 7" xfId="10714" xr:uid="{00000000-0005-0000-0000-00001F470000}"/>
    <cellStyle name="Calc Percent (1) 3 2 8" xfId="10715" xr:uid="{00000000-0005-0000-0000-000020470000}"/>
    <cellStyle name="Calc Percent (1) 3 2 9" xfId="10716" xr:uid="{00000000-0005-0000-0000-000021470000}"/>
    <cellStyle name="Calc Percent (1) 3 3" xfId="10717" xr:uid="{00000000-0005-0000-0000-000022470000}"/>
    <cellStyle name="Calc Percent (1) 3 3 2" xfId="10718" xr:uid="{00000000-0005-0000-0000-000023470000}"/>
    <cellStyle name="Calc Percent (1) 3 3 2 2" xfId="10719" xr:uid="{00000000-0005-0000-0000-000024470000}"/>
    <cellStyle name="Calc Percent (1) 3 3 2 2 2" xfId="10720" xr:uid="{00000000-0005-0000-0000-000025470000}"/>
    <cellStyle name="Calc Percent (1) 3 3 2 2 2 2" xfId="10721" xr:uid="{00000000-0005-0000-0000-000026470000}"/>
    <cellStyle name="Calc Percent (1) 3 3 2 2 2 3" xfId="10722" xr:uid="{00000000-0005-0000-0000-000027470000}"/>
    <cellStyle name="Calc Percent (1) 3 3 2 2 2 4" xfId="10723" xr:uid="{00000000-0005-0000-0000-000028470000}"/>
    <cellStyle name="Calc Percent (1) 3 3 2 2 2 5" xfId="10724" xr:uid="{00000000-0005-0000-0000-000029470000}"/>
    <cellStyle name="Calc Percent (1) 3 3 2 2 2 6" xfId="10725" xr:uid="{00000000-0005-0000-0000-00002A470000}"/>
    <cellStyle name="Calc Percent (1) 3 3 2 2 2 7" xfId="10726" xr:uid="{00000000-0005-0000-0000-00002B470000}"/>
    <cellStyle name="Calc Percent (1) 3 3 2 2 2 8" xfId="10727" xr:uid="{00000000-0005-0000-0000-00002C470000}"/>
    <cellStyle name="Calc Percent (1) 3 3 2 2 3" xfId="10728" xr:uid="{00000000-0005-0000-0000-00002D470000}"/>
    <cellStyle name="Calc Percent (1) 3 3 2 2 4" xfId="10729" xr:uid="{00000000-0005-0000-0000-00002E470000}"/>
    <cellStyle name="Calc Percent (1) 3 3 2 2 5" xfId="10730" xr:uid="{00000000-0005-0000-0000-00002F470000}"/>
    <cellStyle name="Calc Percent (1) 3 3 2 2 6" xfId="10731" xr:uid="{00000000-0005-0000-0000-000030470000}"/>
    <cellStyle name="Calc Percent (1) 3 3 2 2 7" xfId="10732" xr:uid="{00000000-0005-0000-0000-000031470000}"/>
    <cellStyle name="Calc Percent (1) 3 3 2 2 8" xfId="10733" xr:uid="{00000000-0005-0000-0000-000032470000}"/>
    <cellStyle name="Calc Percent (1) 3 3 2 2 9" xfId="10734" xr:uid="{00000000-0005-0000-0000-000033470000}"/>
    <cellStyle name="Calc Percent (1) 3 3 2 3" xfId="10735" xr:uid="{00000000-0005-0000-0000-000034470000}"/>
    <cellStyle name="Calc Percent (1) 3 3 2 4" xfId="10736" xr:uid="{00000000-0005-0000-0000-000035470000}"/>
    <cellStyle name="Calc Percent (1) 3 3 2 5" xfId="10737" xr:uid="{00000000-0005-0000-0000-000036470000}"/>
    <cellStyle name="Calc Percent (1) 3 3 2 6" xfId="10738" xr:uid="{00000000-0005-0000-0000-000037470000}"/>
    <cellStyle name="Calc Percent (1) 3 3 2 7" xfId="10739" xr:uid="{00000000-0005-0000-0000-000038470000}"/>
    <cellStyle name="Calc Percent (1) 3 3 2 8" xfId="10740" xr:uid="{00000000-0005-0000-0000-000039470000}"/>
    <cellStyle name="Calc Percent (1) 3 3 2 9" xfId="10741" xr:uid="{00000000-0005-0000-0000-00003A470000}"/>
    <cellStyle name="Calc Percent (1) 3 3 3" xfId="10742" xr:uid="{00000000-0005-0000-0000-00003B470000}"/>
    <cellStyle name="Calc Percent (1) 3 3 3 2" xfId="10743" xr:uid="{00000000-0005-0000-0000-00003C470000}"/>
    <cellStyle name="Calc Percent (1) 3 3 3 3" xfId="10744" xr:uid="{00000000-0005-0000-0000-00003D470000}"/>
    <cellStyle name="Calc Percent (1) 3 3 3 4" xfId="10745" xr:uid="{00000000-0005-0000-0000-00003E470000}"/>
    <cellStyle name="Calc Percent (1) 3 3 3 5" xfId="10746" xr:uid="{00000000-0005-0000-0000-00003F470000}"/>
    <cellStyle name="Calc Percent (1) 3 3 3 6" xfId="10747" xr:uid="{00000000-0005-0000-0000-000040470000}"/>
    <cellStyle name="Calc Percent (1) 3 3 3 7" xfId="10748" xr:uid="{00000000-0005-0000-0000-000041470000}"/>
    <cellStyle name="Calc Percent (1) 3 3 3 8" xfId="10749" xr:uid="{00000000-0005-0000-0000-000042470000}"/>
    <cellStyle name="Calc Percent (1) 3 3 4" xfId="10750" xr:uid="{00000000-0005-0000-0000-000043470000}"/>
    <cellStyle name="Calc Percent (1) 3 3 5" xfId="10751" xr:uid="{00000000-0005-0000-0000-000044470000}"/>
    <cellStyle name="Calc Percent (1) 3 3 6" xfId="10752" xr:uid="{00000000-0005-0000-0000-000045470000}"/>
    <cellStyle name="Calc Percent (1) 3 3 7" xfId="10753" xr:uid="{00000000-0005-0000-0000-000046470000}"/>
    <cellStyle name="Calc Percent (1) 3 3 8" xfId="10754" xr:uid="{00000000-0005-0000-0000-000047470000}"/>
    <cellStyle name="Calc Percent (1) 3 3 9" xfId="10755" xr:uid="{00000000-0005-0000-0000-000048470000}"/>
    <cellStyle name="Calc Percent (1) 3 4" xfId="10756" xr:uid="{00000000-0005-0000-0000-000049470000}"/>
    <cellStyle name="Calc Percent (1) 3 4 2" xfId="10757" xr:uid="{00000000-0005-0000-0000-00004A470000}"/>
    <cellStyle name="Calc Percent (1) 3 4 3" xfId="10758" xr:uid="{00000000-0005-0000-0000-00004B470000}"/>
    <cellStyle name="Calc Percent (1) 3 4 4" xfId="10759" xr:uid="{00000000-0005-0000-0000-00004C470000}"/>
    <cellStyle name="Calc Percent (1) 3 4 5" xfId="10760" xr:uid="{00000000-0005-0000-0000-00004D470000}"/>
    <cellStyle name="Calc Percent (1) 3 4 6" xfId="10761" xr:uid="{00000000-0005-0000-0000-00004E470000}"/>
    <cellStyle name="Calc Percent (1) 3 4 7" xfId="10762" xr:uid="{00000000-0005-0000-0000-00004F470000}"/>
    <cellStyle name="Calc Percent (1) 3 4 8" xfId="10763" xr:uid="{00000000-0005-0000-0000-000050470000}"/>
    <cellStyle name="Calc Percent (1) 3 5" xfId="10764" xr:uid="{00000000-0005-0000-0000-000051470000}"/>
    <cellStyle name="Calc Percent (1) 3 6" xfId="10765" xr:uid="{00000000-0005-0000-0000-000052470000}"/>
    <cellStyle name="Calc Percent (1) 3 7" xfId="10766" xr:uid="{00000000-0005-0000-0000-000053470000}"/>
    <cellStyle name="Calc Percent (1) 3 8" xfId="10767" xr:uid="{00000000-0005-0000-0000-000054470000}"/>
    <cellStyle name="Calc Percent (1) 3 9" xfId="10768" xr:uid="{00000000-0005-0000-0000-000055470000}"/>
    <cellStyle name="Calc Percent (1) 30" xfId="10769" xr:uid="{00000000-0005-0000-0000-000056470000}"/>
    <cellStyle name="Calc Percent (1) 31" xfId="10770" xr:uid="{00000000-0005-0000-0000-000057470000}"/>
    <cellStyle name="Calc Percent (1) 32" xfId="10771" xr:uid="{00000000-0005-0000-0000-000058470000}"/>
    <cellStyle name="Calc Percent (1) 33" xfId="10772" xr:uid="{00000000-0005-0000-0000-000059470000}"/>
    <cellStyle name="Calc Percent (1) 34" xfId="10773" xr:uid="{00000000-0005-0000-0000-00005A470000}"/>
    <cellStyle name="Calc Percent (1) 35" xfId="10774" xr:uid="{00000000-0005-0000-0000-00005B470000}"/>
    <cellStyle name="Calc Percent (1) 36" xfId="10775" xr:uid="{00000000-0005-0000-0000-00005C470000}"/>
    <cellStyle name="Calc Percent (1) 4" xfId="10776" xr:uid="{00000000-0005-0000-0000-00005D470000}"/>
    <cellStyle name="Calc Percent (1) 4 10" xfId="10777" xr:uid="{00000000-0005-0000-0000-00005E470000}"/>
    <cellStyle name="Calc Percent (1) 4 11" xfId="10778" xr:uid="{00000000-0005-0000-0000-00005F470000}"/>
    <cellStyle name="Calc Percent (1) 4 2" xfId="10779" xr:uid="{00000000-0005-0000-0000-000060470000}"/>
    <cellStyle name="Calc Percent (1) 4 2 2" xfId="10780" xr:uid="{00000000-0005-0000-0000-000061470000}"/>
    <cellStyle name="Calc Percent (1) 4 2 3" xfId="10781" xr:uid="{00000000-0005-0000-0000-000062470000}"/>
    <cellStyle name="Calc Percent (1) 4 2 4" xfId="10782" xr:uid="{00000000-0005-0000-0000-000063470000}"/>
    <cellStyle name="Calc Percent (1) 4 2 5" xfId="10783" xr:uid="{00000000-0005-0000-0000-000064470000}"/>
    <cellStyle name="Calc Percent (1) 4 2 6" xfId="10784" xr:uid="{00000000-0005-0000-0000-000065470000}"/>
    <cellStyle name="Calc Percent (1) 4 2 7" xfId="10785" xr:uid="{00000000-0005-0000-0000-000066470000}"/>
    <cellStyle name="Calc Percent (1) 4 2 8" xfId="10786" xr:uid="{00000000-0005-0000-0000-000067470000}"/>
    <cellStyle name="Calc Percent (1) 4 2 9" xfId="10787" xr:uid="{00000000-0005-0000-0000-000068470000}"/>
    <cellStyle name="Calc Percent (1) 4 3" xfId="10788" xr:uid="{00000000-0005-0000-0000-000069470000}"/>
    <cellStyle name="Calc Percent (1) 4 3 2" xfId="10789" xr:uid="{00000000-0005-0000-0000-00006A470000}"/>
    <cellStyle name="Calc Percent (1) 4 3 3" xfId="10790" xr:uid="{00000000-0005-0000-0000-00006B470000}"/>
    <cellStyle name="Calc Percent (1) 4 3 4" xfId="10791" xr:uid="{00000000-0005-0000-0000-00006C470000}"/>
    <cellStyle name="Calc Percent (1) 4 3 5" xfId="10792" xr:uid="{00000000-0005-0000-0000-00006D470000}"/>
    <cellStyle name="Calc Percent (1) 4 3 6" xfId="10793" xr:uid="{00000000-0005-0000-0000-00006E470000}"/>
    <cellStyle name="Calc Percent (1) 4 3 7" xfId="10794" xr:uid="{00000000-0005-0000-0000-00006F470000}"/>
    <cellStyle name="Calc Percent (1) 4 3 8" xfId="10795" xr:uid="{00000000-0005-0000-0000-000070470000}"/>
    <cellStyle name="Calc Percent (1) 4 3 9" xfId="10796" xr:uid="{00000000-0005-0000-0000-000071470000}"/>
    <cellStyle name="Calc Percent (1) 4 4" xfId="10797" xr:uid="{00000000-0005-0000-0000-000072470000}"/>
    <cellStyle name="Calc Percent (1) 4 5" xfId="10798" xr:uid="{00000000-0005-0000-0000-000073470000}"/>
    <cellStyle name="Calc Percent (1) 4 6" xfId="10799" xr:uid="{00000000-0005-0000-0000-000074470000}"/>
    <cellStyle name="Calc Percent (1) 4 7" xfId="10800" xr:uid="{00000000-0005-0000-0000-000075470000}"/>
    <cellStyle name="Calc Percent (1) 4 8" xfId="10801" xr:uid="{00000000-0005-0000-0000-000076470000}"/>
    <cellStyle name="Calc Percent (1) 4 9" xfId="10802" xr:uid="{00000000-0005-0000-0000-000077470000}"/>
    <cellStyle name="Calc Percent (1) 5" xfId="10803" xr:uid="{00000000-0005-0000-0000-000078470000}"/>
    <cellStyle name="Calc Percent (1) 5 10" xfId="10804" xr:uid="{00000000-0005-0000-0000-000079470000}"/>
    <cellStyle name="Calc Percent (1) 5 11" xfId="10805" xr:uid="{00000000-0005-0000-0000-00007A470000}"/>
    <cellStyle name="Calc Percent (1) 5 2" xfId="10806" xr:uid="{00000000-0005-0000-0000-00007B470000}"/>
    <cellStyle name="Calc Percent (1) 5 2 10" xfId="10807" xr:uid="{00000000-0005-0000-0000-00007C470000}"/>
    <cellStyle name="Calc Percent (1) 5 2 11" xfId="10808" xr:uid="{00000000-0005-0000-0000-00007D470000}"/>
    <cellStyle name="Calc Percent (1) 5 2 12" xfId="10809" xr:uid="{00000000-0005-0000-0000-00007E470000}"/>
    <cellStyle name="Calc Percent (1) 5 2 13" xfId="10810" xr:uid="{00000000-0005-0000-0000-00007F470000}"/>
    <cellStyle name="Calc Percent (1) 5 2 14" xfId="10811" xr:uid="{00000000-0005-0000-0000-000080470000}"/>
    <cellStyle name="Calc Percent (1) 5 2 15" xfId="10812" xr:uid="{00000000-0005-0000-0000-000081470000}"/>
    <cellStyle name="Calc Percent (1) 5 2 16" xfId="10813" xr:uid="{00000000-0005-0000-0000-000082470000}"/>
    <cellStyle name="Calc Percent (1) 5 2 2" xfId="10814" xr:uid="{00000000-0005-0000-0000-000083470000}"/>
    <cellStyle name="Calc Percent (1) 5 2 2 2" xfId="10815" xr:uid="{00000000-0005-0000-0000-000084470000}"/>
    <cellStyle name="Calc Percent (1) 5 2 2 2 2" xfId="10816" xr:uid="{00000000-0005-0000-0000-000085470000}"/>
    <cellStyle name="Calc Percent (1) 5 2 2 2 3" xfId="10817" xr:uid="{00000000-0005-0000-0000-000086470000}"/>
    <cellStyle name="Calc Percent (1) 5 2 2 3" xfId="10818" xr:uid="{00000000-0005-0000-0000-000087470000}"/>
    <cellStyle name="Calc Percent (1) 5 2 3" xfId="10819" xr:uid="{00000000-0005-0000-0000-000088470000}"/>
    <cellStyle name="Calc Percent (1) 5 2 4" xfId="10820" xr:uid="{00000000-0005-0000-0000-000089470000}"/>
    <cellStyle name="Calc Percent (1) 5 2 5" xfId="10821" xr:uid="{00000000-0005-0000-0000-00008A470000}"/>
    <cellStyle name="Calc Percent (1) 5 2 6" xfId="10822" xr:uid="{00000000-0005-0000-0000-00008B470000}"/>
    <cellStyle name="Calc Percent (1) 5 2 7" xfId="10823" xr:uid="{00000000-0005-0000-0000-00008C470000}"/>
    <cellStyle name="Calc Percent (1) 5 2 8" xfId="10824" xr:uid="{00000000-0005-0000-0000-00008D470000}"/>
    <cellStyle name="Calc Percent (1) 5 2 9" xfId="10825" xr:uid="{00000000-0005-0000-0000-00008E470000}"/>
    <cellStyle name="Calc Percent (1) 5 3" xfId="10826" xr:uid="{00000000-0005-0000-0000-00008F470000}"/>
    <cellStyle name="Calc Percent (1) 5 3 2" xfId="10827" xr:uid="{00000000-0005-0000-0000-000090470000}"/>
    <cellStyle name="Calc Percent (1) 5 3 3" xfId="10828" xr:uid="{00000000-0005-0000-0000-000091470000}"/>
    <cellStyle name="Calc Percent (1) 5 3 4" xfId="10829" xr:uid="{00000000-0005-0000-0000-000092470000}"/>
    <cellStyle name="Calc Percent (1) 5 3 5" xfId="10830" xr:uid="{00000000-0005-0000-0000-000093470000}"/>
    <cellStyle name="Calc Percent (1) 5 3 6" xfId="10831" xr:uid="{00000000-0005-0000-0000-000094470000}"/>
    <cellStyle name="Calc Percent (1) 5 3 7" xfId="10832" xr:uid="{00000000-0005-0000-0000-000095470000}"/>
    <cellStyle name="Calc Percent (1) 5 3 8" xfId="10833" xr:uid="{00000000-0005-0000-0000-000096470000}"/>
    <cellStyle name="Calc Percent (1) 5 3 9" xfId="10834" xr:uid="{00000000-0005-0000-0000-000097470000}"/>
    <cellStyle name="Calc Percent (1) 5 4" xfId="10835" xr:uid="{00000000-0005-0000-0000-000098470000}"/>
    <cellStyle name="Calc Percent (1) 5 5" xfId="10836" xr:uid="{00000000-0005-0000-0000-000099470000}"/>
    <cellStyle name="Calc Percent (1) 5 6" xfId="10837" xr:uid="{00000000-0005-0000-0000-00009A470000}"/>
    <cellStyle name="Calc Percent (1) 5 6 2" xfId="10838" xr:uid="{00000000-0005-0000-0000-00009B470000}"/>
    <cellStyle name="Calc Percent (1) 5 6 3" xfId="10839" xr:uid="{00000000-0005-0000-0000-00009C470000}"/>
    <cellStyle name="Calc Percent (1) 5 6 4" xfId="10840" xr:uid="{00000000-0005-0000-0000-00009D470000}"/>
    <cellStyle name="Calc Percent (1) 5 6 5" xfId="10841" xr:uid="{00000000-0005-0000-0000-00009E470000}"/>
    <cellStyle name="Calc Percent (1) 5 6 6" xfId="10842" xr:uid="{00000000-0005-0000-0000-00009F470000}"/>
    <cellStyle name="Calc Percent (1) 5 6 7" xfId="10843" xr:uid="{00000000-0005-0000-0000-0000A0470000}"/>
    <cellStyle name="Calc Percent (1) 5 6 8" xfId="10844" xr:uid="{00000000-0005-0000-0000-0000A1470000}"/>
    <cellStyle name="Calc Percent (1) 5 7" xfId="10845" xr:uid="{00000000-0005-0000-0000-0000A2470000}"/>
    <cellStyle name="Calc Percent (1) 5 8" xfId="10846" xr:uid="{00000000-0005-0000-0000-0000A3470000}"/>
    <cellStyle name="Calc Percent (1) 5 9" xfId="10847" xr:uid="{00000000-0005-0000-0000-0000A4470000}"/>
    <cellStyle name="Calc Percent (1) 6" xfId="10848" xr:uid="{00000000-0005-0000-0000-0000A5470000}"/>
    <cellStyle name="Calc Percent (1) 6 10" xfId="10849" xr:uid="{00000000-0005-0000-0000-0000A6470000}"/>
    <cellStyle name="Calc Percent (1) 6 11" xfId="10850" xr:uid="{00000000-0005-0000-0000-0000A7470000}"/>
    <cellStyle name="Calc Percent (1) 6 2" xfId="10851" xr:uid="{00000000-0005-0000-0000-0000A8470000}"/>
    <cellStyle name="Calc Percent (1) 6 2 2" xfId="10852" xr:uid="{00000000-0005-0000-0000-0000A9470000}"/>
    <cellStyle name="Calc Percent (1) 6 2 3" xfId="10853" xr:uid="{00000000-0005-0000-0000-0000AA470000}"/>
    <cellStyle name="Calc Percent (1) 6 2 4" xfId="10854" xr:uid="{00000000-0005-0000-0000-0000AB470000}"/>
    <cellStyle name="Calc Percent (1) 6 2 5" xfId="10855" xr:uid="{00000000-0005-0000-0000-0000AC470000}"/>
    <cellStyle name="Calc Percent (1) 6 2 6" xfId="10856" xr:uid="{00000000-0005-0000-0000-0000AD470000}"/>
    <cellStyle name="Calc Percent (1) 6 2 7" xfId="10857" xr:uid="{00000000-0005-0000-0000-0000AE470000}"/>
    <cellStyle name="Calc Percent (1) 6 2 8" xfId="10858" xr:uid="{00000000-0005-0000-0000-0000AF470000}"/>
    <cellStyle name="Calc Percent (1) 6 2 9" xfId="10859" xr:uid="{00000000-0005-0000-0000-0000B0470000}"/>
    <cellStyle name="Calc Percent (1) 6 3" xfId="10860" xr:uid="{00000000-0005-0000-0000-0000B1470000}"/>
    <cellStyle name="Calc Percent (1) 6 3 2" xfId="10861" xr:uid="{00000000-0005-0000-0000-0000B2470000}"/>
    <cellStyle name="Calc Percent (1) 6 3 3" xfId="10862" xr:uid="{00000000-0005-0000-0000-0000B3470000}"/>
    <cellStyle name="Calc Percent (1) 6 3 4" xfId="10863" xr:uid="{00000000-0005-0000-0000-0000B4470000}"/>
    <cellStyle name="Calc Percent (1) 6 3 5" xfId="10864" xr:uid="{00000000-0005-0000-0000-0000B5470000}"/>
    <cellStyle name="Calc Percent (1) 6 3 6" xfId="10865" xr:uid="{00000000-0005-0000-0000-0000B6470000}"/>
    <cellStyle name="Calc Percent (1) 6 3 7" xfId="10866" xr:uid="{00000000-0005-0000-0000-0000B7470000}"/>
    <cellStyle name="Calc Percent (1) 6 3 8" xfId="10867" xr:uid="{00000000-0005-0000-0000-0000B8470000}"/>
    <cellStyle name="Calc Percent (1) 6 3 9" xfId="10868" xr:uid="{00000000-0005-0000-0000-0000B9470000}"/>
    <cellStyle name="Calc Percent (1) 6 4" xfId="10869" xr:uid="{00000000-0005-0000-0000-0000BA470000}"/>
    <cellStyle name="Calc Percent (1) 6 5" xfId="10870" xr:uid="{00000000-0005-0000-0000-0000BB470000}"/>
    <cellStyle name="Calc Percent (1) 6 6" xfId="10871" xr:uid="{00000000-0005-0000-0000-0000BC470000}"/>
    <cellStyle name="Calc Percent (1) 6 7" xfId="10872" xr:uid="{00000000-0005-0000-0000-0000BD470000}"/>
    <cellStyle name="Calc Percent (1) 6 8" xfId="10873" xr:uid="{00000000-0005-0000-0000-0000BE470000}"/>
    <cellStyle name="Calc Percent (1) 6 9" xfId="10874" xr:uid="{00000000-0005-0000-0000-0000BF470000}"/>
    <cellStyle name="Calc Percent (1) 7" xfId="10875" xr:uid="{00000000-0005-0000-0000-0000C0470000}"/>
    <cellStyle name="Calc Percent (1) 7 10" xfId="10876" xr:uid="{00000000-0005-0000-0000-0000C1470000}"/>
    <cellStyle name="Calc Percent (1) 7 11" xfId="10877" xr:uid="{00000000-0005-0000-0000-0000C2470000}"/>
    <cellStyle name="Calc Percent (1) 7 2" xfId="10878" xr:uid="{00000000-0005-0000-0000-0000C3470000}"/>
    <cellStyle name="Calc Percent (1) 7 2 2" xfId="10879" xr:uid="{00000000-0005-0000-0000-0000C4470000}"/>
    <cellStyle name="Calc Percent (1) 7 2 3" xfId="10880" xr:uid="{00000000-0005-0000-0000-0000C5470000}"/>
    <cellStyle name="Calc Percent (1) 7 2 4" xfId="10881" xr:uid="{00000000-0005-0000-0000-0000C6470000}"/>
    <cellStyle name="Calc Percent (1) 7 2 5" xfId="10882" xr:uid="{00000000-0005-0000-0000-0000C7470000}"/>
    <cellStyle name="Calc Percent (1) 7 2 6" xfId="10883" xr:uid="{00000000-0005-0000-0000-0000C8470000}"/>
    <cellStyle name="Calc Percent (1) 7 2 7" xfId="10884" xr:uid="{00000000-0005-0000-0000-0000C9470000}"/>
    <cellStyle name="Calc Percent (1) 7 2 8" xfId="10885" xr:uid="{00000000-0005-0000-0000-0000CA470000}"/>
    <cellStyle name="Calc Percent (1) 7 2 9" xfId="10886" xr:uid="{00000000-0005-0000-0000-0000CB470000}"/>
    <cellStyle name="Calc Percent (1) 7 3" xfId="10887" xr:uid="{00000000-0005-0000-0000-0000CC470000}"/>
    <cellStyle name="Calc Percent (1) 7 3 2" xfId="10888" xr:uid="{00000000-0005-0000-0000-0000CD470000}"/>
    <cellStyle name="Calc Percent (1) 7 3 3" xfId="10889" xr:uid="{00000000-0005-0000-0000-0000CE470000}"/>
    <cellStyle name="Calc Percent (1) 7 3 4" xfId="10890" xr:uid="{00000000-0005-0000-0000-0000CF470000}"/>
    <cellStyle name="Calc Percent (1) 7 3 5" xfId="10891" xr:uid="{00000000-0005-0000-0000-0000D0470000}"/>
    <cellStyle name="Calc Percent (1) 7 3 6" xfId="10892" xr:uid="{00000000-0005-0000-0000-0000D1470000}"/>
    <cellStyle name="Calc Percent (1) 7 3 7" xfId="10893" xr:uid="{00000000-0005-0000-0000-0000D2470000}"/>
    <cellStyle name="Calc Percent (1) 7 3 8" xfId="10894" xr:uid="{00000000-0005-0000-0000-0000D3470000}"/>
    <cellStyle name="Calc Percent (1) 7 3 9" xfId="10895" xr:uid="{00000000-0005-0000-0000-0000D4470000}"/>
    <cellStyle name="Calc Percent (1) 7 4" xfId="10896" xr:uid="{00000000-0005-0000-0000-0000D5470000}"/>
    <cellStyle name="Calc Percent (1) 7 5" xfId="10897" xr:uid="{00000000-0005-0000-0000-0000D6470000}"/>
    <cellStyle name="Calc Percent (1) 7 6" xfId="10898" xr:uid="{00000000-0005-0000-0000-0000D7470000}"/>
    <cellStyle name="Calc Percent (1) 7 7" xfId="10899" xr:uid="{00000000-0005-0000-0000-0000D8470000}"/>
    <cellStyle name="Calc Percent (1) 7 8" xfId="10900" xr:uid="{00000000-0005-0000-0000-0000D9470000}"/>
    <cellStyle name="Calc Percent (1) 7 9" xfId="10901" xr:uid="{00000000-0005-0000-0000-0000DA470000}"/>
    <cellStyle name="Calc Percent (1) 8" xfId="10902" xr:uid="{00000000-0005-0000-0000-0000DB470000}"/>
    <cellStyle name="Calc Percent (1) 8 10" xfId="10903" xr:uid="{00000000-0005-0000-0000-0000DC470000}"/>
    <cellStyle name="Calc Percent (1) 8 11" xfId="10904" xr:uid="{00000000-0005-0000-0000-0000DD470000}"/>
    <cellStyle name="Calc Percent (1) 8 2" xfId="10905" xr:uid="{00000000-0005-0000-0000-0000DE470000}"/>
    <cellStyle name="Calc Percent (1) 8 2 2" xfId="10906" xr:uid="{00000000-0005-0000-0000-0000DF470000}"/>
    <cellStyle name="Calc Percent (1) 8 2 3" xfId="10907" xr:uid="{00000000-0005-0000-0000-0000E0470000}"/>
    <cellStyle name="Calc Percent (1) 8 2 4" xfId="10908" xr:uid="{00000000-0005-0000-0000-0000E1470000}"/>
    <cellStyle name="Calc Percent (1) 8 2 5" xfId="10909" xr:uid="{00000000-0005-0000-0000-0000E2470000}"/>
    <cellStyle name="Calc Percent (1) 8 2 6" xfId="10910" xr:uid="{00000000-0005-0000-0000-0000E3470000}"/>
    <cellStyle name="Calc Percent (1) 8 2 7" xfId="10911" xr:uid="{00000000-0005-0000-0000-0000E4470000}"/>
    <cellStyle name="Calc Percent (1) 8 2 8" xfId="10912" xr:uid="{00000000-0005-0000-0000-0000E5470000}"/>
    <cellStyle name="Calc Percent (1) 8 2 9" xfId="10913" xr:uid="{00000000-0005-0000-0000-0000E6470000}"/>
    <cellStyle name="Calc Percent (1) 8 3" xfId="10914" xr:uid="{00000000-0005-0000-0000-0000E7470000}"/>
    <cellStyle name="Calc Percent (1) 8 3 2" xfId="10915" xr:uid="{00000000-0005-0000-0000-0000E8470000}"/>
    <cellStyle name="Calc Percent (1) 8 3 3" xfId="10916" xr:uid="{00000000-0005-0000-0000-0000E9470000}"/>
    <cellStyle name="Calc Percent (1) 8 3 4" xfId="10917" xr:uid="{00000000-0005-0000-0000-0000EA470000}"/>
    <cellStyle name="Calc Percent (1) 8 3 5" xfId="10918" xr:uid="{00000000-0005-0000-0000-0000EB470000}"/>
    <cellStyle name="Calc Percent (1) 8 3 6" xfId="10919" xr:uid="{00000000-0005-0000-0000-0000EC470000}"/>
    <cellStyle name="Calc Percent (1) 8 3 7" xfId="10920" xr:uid="{00000000-0005-0000-0000-0000ED470000}"/>
    <cellStyle name="Calc Percent (1) 8 3 8" xfId="10921" xr:uid="{00000000-0005-0000-0000-0000EE470000}"/>
    <cellStyle name="Calc Percent (1) 8 3 9" xfId="10922" xr:uid="{00000000-0005-0000-0000-0000EF470000}"/>
    <cellStyle name="Calc Percent (1) 8 4" xfId="10923" xr:uid="{00000000-0005-0000-0000-0000F0470000}"/>
    <cellStyle name="Calc Percent (1) 8 5" xfId="10924" xr:uid="{00000000-0005-0000-0000-0000F1470000}"/>
    <cellStyle name="Calc Percent (1) 8 6" xfId="10925" xr:uid="{00000000-0005-0000-0000-0000F2470000}"/>
    <cellStyle name="Calc Percent (1) 8 7" xfId="10926" xr:uid="{00000000-0005-0000-0000-0000F3470000}"/>
    <cellStyle name="Calc Percent (1) 8 8" xfId="10927" xr:uid="{00000000-0005-0000-0000-0000F4470000}"/>
    <cellStyle name="Calc Percent (1) 8 9" xfId="10928" xr:uid="{00000000-0005-0000-0000-0000F5470000}"/>
    <cellStyle name="Calc Percent (1) 9" xfId="10929" xr:uid="{00000000-0005-0000-0000-0000F6470000}"/>
    <cellStyle name="Calc Percent (1) 9 10" xfId="10930" xr:uid="{00000000-0005-0000-0000-0000F7470000}"/>
    <cellStyle name="Calc Percent (1) 9 11" xfId="10931" xr:uid="{00000000-0005-0000-0000-0000F8470000}"/>
    <cellStyle name="Calc Percent (1) 9 2" xfId="10932" xr:uid="{00000000-0005-0000-0000-0000F9470000}"/>
    <cellStyle name="Calc Percent (1) 9 2 10" xfId="10933" xr:uid="{00000000-0005-0000-0000-0000FA470000}"/>
    <cellStyle name="Calc Percent (1) 9 2 11" xfId="10934" xr:uid="{00000000-0005-0000-0000-0000FB470000}"/>
    <cellStyle name="Calc Percent (1) 9 2 12" xfId="10935" xr:uid="{00000000-0005-0000-0000-0000FC470000}"/>
    <cellStyle name="Calc Percent (1) 9 2 13" xfId="10936" xr:uid="{00000000-0005-0000-0000-0000FD470000}"/>
    <cellStyle name="Calc Percent (1) 9 2 14" xfId="10937" xr:uid="{00000000-0005-0000-0000-0000FE470000}"/>
    <cellStyle name="Calc Percent (1) 9 2 15" xfId="10938" xr:uid="{00000000-0005-0000-0000-0000FF470000}"/>
    <cellStyle name="Calc Percent (1) 9 2 16" xfId="10939" xr:uid="{00000000-0005-0000-0000-000000480000}"/>
    <cellStyle name="Calc Percent (1) 9 2 2" xfId="10940" xr:uid="{00000000-0005-0000-0000-000001480000}"/>
    <cellStyle name="Calc Percent (1) 9 2 3" xfId="10941" xr:uid="{00000000-0005-0000-0000-000002480000}"/>
    <cellStyle name="Calc Percent (1) 9 2 4" xfId="10942" xr:uid="{00000000-0005-0000-0000-000003480000}"/>
    <cellStyle name="Calc Percent (1) 9 2 5" xfId="10943" xr:uid="{00000000-0005-0000-0000-000004480000}"/>
    <cellStyle name="Calc Percent (1) 9 2 6" xfId="10944" xr:uid="{00000000-0005-0000-0000-000005480000}"/>
    <cellStyle name="Calc Percent (1) 9 2 7" xfId="10945" xr:uid="{00000000-0005-0000-0000-000006480000}"/>
    <cellStyle name="Calc Percent (1) 9 2 8" xfId="10946" xr:uid="{00000000-0005-0000-0000-000007480000}"/>
    <cellStyle name="Calc Percent (1) 9 2 9" xfId="10947" xr:uid="{00000000-0005-0000-0000-000008480000}"/>
    <cellStyle name="Calc Percent (1) 9 3" xfId="10948" xr:uid="{00000000-0005-0000-0000-000009480000}"/>
    <cellStyle name="Calc Percent (1) 9 3 2" xfId="10949" xr:uid="{00000000-0005-0000-0000-00000A480000}"/>
    <cellStyle name="Calc Percent (1) 9 3 3" xfId="10950" xr:uid="{00000000-0005-0000-0000-00000B480000}"/>
    <cellStyle name="Calc Percent (1) 9 3 4" xfId="10951" xr:uid="{00000000-0005-0000-0000-00000C480000}"/>
    <cellStyle name="Calc Percent (1) 9 3 5" xfId="10952" xr:uid="{00000000-0005-0000-0000-00000D480000}"/>
    <cellStyle name="Calc Percent (1) 9 3 6" xfId="10953" xr:uid="{00000000-0005-0000-0000-00000E480000}"/>
    <cellStyle name="Calc Percent (1) 9 3 7" xfId="10954" xr:uid="{00000000-0005-0000-0000-00000F480000}"/>
    <cellStyle name="Calc Percent (1) 9 3 8" xfId="10955" xr:uid="{00000000-0005-0000-0000-000010480000}"/>
    <cellStyle name="Calc Percent (1) 9 3 9" xfId="10956" xr:uid="{00000000-0005-0000-0000-000011480000}"/>
    <cellStyle name="Calc Percent (1) 9 4" xfId="10957" xr:uid="{00000000-0005-0000-0000-000012480000}"/>
    <cellStyle name="Calc Percent (1) 9 4 2" xfId="10958" xr:uid="{00000000-0005-0000-0000-000013480000}"/>
    <cellStyle name="Calc Percent (1) 9 4 3" xfId="10959" xr:uid="{00000000-0005-0000-0000-000014480000}"/>
    <cellStyle name="Calc Percent (1) 9 4 4" xfId="10960" xr:uid="{00000000-0005-0000-0000-000015480000}"/>
    <cellStyle name="Calc Percent (1) 9 4 5" xfId="10961" xr:uid="{00000000-0005-0000-0000-000016480000}"/>
    <cellStyle name="Calc Percent (1) 9 4 6" xfId="10962" xr:uid="{00000000-0005-0000-0000-000017480000}"/>
    <cellStyle name="Calc Percent (1) 9 4 7" xfId="10963" xr:uid="{00000000-0005-0000-0000-000018480000}"/>
    <cellStyle name="Calc Percent (1) 9 4 8" xfId="10964" xr:uid="{00000000-0005-0000-0000-000019480000}"/>
    <cellStyle name="Calc Percent (1) 9 5" xfId="10965" xr:uid="{00000000-0005-0000-0000-00001A480000}"/>
    <cellStyle name="Calc Percent (1) 9 6" xfId="10966" xr:uid="{00000000-0005-0000-0000-00001B480000}"/>
    <cellStyle name="Calc Percent (1) 9 7" xfId="10967" xr:uid="{00000000-0005-0000-0000-00001C480000}"/>
    <cellStyle name="Calc Percent (1) 9 8" xfId="10968" xr:uid="{00000000-0005-0000-0000-00001D480000}"/>
    <cellStyle name="Calc Percent (1) 9 9" xfId="10969" xr:uid="{00000000-0005-0000-0000-00001E480000}"/>
    <cellStyle name="Calc Percent (2)" xfId="10970" xr:uid="{00000000-0005-0000-0000-00001F480000}"/>
    <cellStyle name="Calc Units (0)" xfId="10971" xr:uid="{00000000-0005-0000-0000-000020480000}"/>
    <cellStyle name="Calc Units (1)" xfId="10972" xr:uid="{00000000-0005-0000-0000-000021480000}"/>
    <cellStyle name="Calc Units (2)" xfId="10973" xr:uid="{00000000-0005-0000-0000-000022480000}"/>
    <cellStyle name="Calc x [1]" xfId="10974" xr:uid="{00000000-0005-0000-0000-000023480000}"/>
    <cellStyle name="Calc$" xfId="10975" xr:uid="{00000000-0005-0000-0000-000024480000}"/>
    <cellStyle name="Calc$ 2" xfId="10976" xr:uid="{00000000-0005-0000-0000-000025480000}"/>
    <cellStyle name="Calc%" xfId="10977" xr:uid="{00000000-0005-0000-0000-000026480000}"/>
    <cellStyle name="Calc% 2" xfId="10978" xr:uid="{00000000-0005-0000-0000-000027480000}"/>
    <cellStyle name="Calculation 10" xfId="10979" xr:uid="{00000000-0005-0000-0000-000028480000}"/>
    <cellStyle name="Calculation 11" xfId="10980" xr:uid="{00000000-0005-0000-0000-000029480000}"/>
    <cellStyle name="Calculation 12" xfId="10981" xr:uid="{00000000-0005-0000-0000-00002A480000}"/>
    <cellStyle name="Calculation 13" xfId="10982" xr:uid="{00000000-0005-0000-0000-00002B480000}"/>
    <cellStyle name="Calculation 14" xfId="10983" xr:uid="{00000000-0005-0000-0000-00002C480000}"/>
    <cellStyle name="Calculation 2" xfId="10984" xr:uid="{00000000-0005-0000-0000-00002D480000}"/>
    <cellStyle name="Calculation 2 2" xfId="10985" xr:uid="{00000000-0005-0000-0000-00002E480000}"/>
    <cellStyle name="Calculation 2 2 2" xfId="10986" xr:uid="{00000000-0005-0000-0000-00002F480000}"/>
    <cellStyle name="Calculation 2 2 2 2" xfId="20066" xr:uid="{00000000-0005-0000-0000-000030480000}"/>
    <cellStyle name="Calculation 2 2 3" xfId="20065" xr:uid="{00000000-0005-0000-0000-000031480000}"/>
    <cellStyle name="Calculation 3" xfId="10987" xr:uid="{00000000-0005-0000-0000-000032480000}"/>
    <cellStyle name="Calculation 3 2" xfId="10988" xr:uid="{00000000-0005-0000-0000-000033480000}"/>
    <cellStyle name="Calculation 3 2 2" xfId="10989" xr:uid="{00000000-0005-0000-0000-000034480000}"/>
    <cellStyle name="Calculation 3 2 2 2" xfId="20068" xr:uid="{00000000-0005-0000-0000-000035480000}"/>
    <cellStyle name="Calculation 3 2 3" xfId="20067" xr:uid="{00000000-0005-0000-0000-000036480000}"/>
    <cellStyle name="Calculation 4" xfId="10990" xr:uid="{00000000-0005-0000-0000-000037480000}"/>
    <cellStyle name="Calculation 5" xfId="10991" xr:uid="{00000000-0005-0000-0000-000038480000}"/>
    <cellStyle name="Calculation 6" xfId="10992" xr:uid="{00000000-0005-0000-0000-000039480000}"/>
    <cellStyle name="Calculation 7" xfId="10993" xr:uid="{00000000-0005-0000-0000-00003A480000}"/>
    <cellStyle name="Calculation 8" xfId="10994" xr:uid="{00000000-0005-0000-0000-00003B480000}"/>
    <cellStyle name="Calculation 9" xfId="10995" xr:uid="{00000000-0005-0000-0000-00003C480000}"/>
    <cellStyle name="Cálculo" xfId="10996" xr:uid="{00000000-0005-0000-0000-00003D480000}"/>
    <cellStyle name="Cancel" xfId="10997" xr:uid="{00000000-0005-0000-0000-00003E480000}"/>
    <cellStyle name="Caption" xfId="10998" xr:uid="{00000000-0005-0000-0000-00003F480000}"/>
    <cellStyle name="Case" xfId="10999" xr:uid="{00000000-0005-0000-0000-000040480000}"/>
    <cellStyle name="Case %" xfId="11000" xr:uid="{00000000-0005-0000-0000-000041480000}"/>
    <cellStyle name="Case 2" xfId="11001" xr:uid="{00000000-0005-0000-0000-000042480000}"/>
    <cellStyle name="Cash Flow Statement" xfId="11002" xr:uid="{00000000-0005-0000-0000-000043480000}"/>
    <cellStyle name="Cash Flow Statement 2" xfId="11003" xr:uid="{00000000-0005-0000-0000-000044480000}"/>
    <cellStyle name="Cash Flow Statement 2 2" xfId="11004" xr:uid="{00000000-0005-0000-0000-000045480000}"/>
    <cellStyle name="Cash Flow Statement 3" xfId="11005" xr:uid="{00000000-0005-0000-0000-000046480000}"/>
    <cellStyle name="Cash Flow Statement 4" xfId="11006" xr:uid="{00000000-0005-0000-0000-000047480000}"/>
    <cellStyle name="Cash Flow Statement 5" xfId="11007" xr:uid="{00000000-0005-0000-0000-000048480000}"/>
    <cellStyle name="category" xfId="11008" xr:uid="{00000000-0005-0000-0000-000049480000}"/>
    <cellStyle name="Category Name" xfId="11009" xr:uid="{00000000-0005-0000-0000-00004A480000}"/>
    <cellStyle name="Category Name 2" xfId="11010" xr:uid="{00000000-0005-0000-0000-00004B480000}"/>
    <cellStyle name="Category Name 2 2" xfId="11011" xr:uid="{00000000-0005-0000-0000-00004C480000}"/>
    <cellStyle name="Category Name 2 2 2" xfId="11012" xr:uid="{00000000-0005-0000-0000-00004D480000}"/>
    <cellStyle name="Category Name 2 2 2 2" xfId="11013" xr:uid="{00000000-0005-0000-0000-00004E480000}"/>
    <cellStyle name="Category Name 2 2 2 2 2" xfId="16074" xr:uid="{00000000-0005-0000-0000-00004F480000}"/>
    <cellStyle name="Category Name 2 2 2 2 3" xfId="20073" xr:uid="{00000000-0005-0000-0000-000050480000}"/>
    <cellStyle name="Category Name 2 2 2 3" xfId="16073" xr:uid="{00000000-0005-0000-0000-000051480000}"/>
    <cellStyle name="Category Name 2 2 2 4" xfId="20072" xr:uid="{00000000-0005-0000-0000-000052480000}"/>
    <cellStyle name="Category Name 2 2 3" xfId="11014" xr:uid="{00000000-0005-0000-0000-000053480000}"/>
    <cellStyle name="Category Name 2 2 3 2" xfId="16075" xr:uid="{00000000-0005-0000-0000-000054480000}"/>
    <cellStyle name="Category Name 2 2 3 3" xfId="20074" xr:uid="{00000000-0005-0000-0000-000055480000}"/>
    <cellStyle name="Category Name 2 2 4" xfId="16072" xr:uid="{00000000-0005-0000-0000-000056480000}"/>
    <cellStyle name="Category Name 2 2 5" xfId="20071" xr:uid="{00000000-0005-0000-0000-000057480000}"/>
    <cellStyle name="Category Name 2 3" xfId="11015" xr:uid="{00000000-0005-0000-0000-000058480000}"/>
    <cellStyle name="Category Name 2 3 2" xfId="11016" xr:uid="{00000000-0005-0000-0000-000059480000}"/>
    <cellStyle name="Category Name 2 3 2 2" xfId="11017" xr:uid="{00000000-0005-0000-0000-00005A480000}"/>
    <cellStyle name="Category Name 2 3 2 2 2" xfId="16078" xr:uid="{00000000-0005-0000-0000-00005B480000}"/>
    <cellStyle name="Category Name 2 3 2 2 3" xfId="20077" xr:uid="{00000000-0005-0000-0000-00005C480000}"/>
    <cellStyle name="Category Name 2 3 2 3" xfId="16077" xr:uid="{00000000-0005-0000-0000-00005D480000}"/>
    <cellStyle name="Category Name 2 3 2 4" xfId="20076" xr:uid="{00000000-0005-0000-0000-00005E480000}"/>
    <cellStyle name="Category Name 2 3 3" xfId="11018" xr:uid="{00000000-0005-0000-0000-00005F480000}"/>
    <cellStyle name="Category Name 2 3 3 2" xfId="16079" xr:uid="{00000000-0005-0000-0000-000060480000}"/>
    <cellStyle name="Category Name 2 3 3 3" xfId="20078" xr:uid="{00000000-0005-0000-0000-000061480000}"/>
    <cellStyle name="Category Name 2 3 4" xfId="16076" xr:uid="{00000000-0005-0000-0000-000062480000}"/>
    <cellStyle name="Category Name 2 3 5" xfId="20075" xr:uid="{00000000-0005-0000-0000-000063480000}"/>
    <cellStyle name="Category Name 2 4" xfId="11019" xr:uid="{00000000-0005-0000-0000-000064480000}"/>
    <cellStyle name="Category Name 2 4 2" xfId="11020" xr:uid="{00000000-0005-0000-0000-000065480000}"/>
    <cellStyle name="Category Name 2 4 2 2" xfId="11021" xr:uid="{00000000-0005-0000-0000-000066480000}"/>
    <cellStyle name="Category Name 2 4 2 2 2" xfId="16082" xr:uid="{00000000-0005-0000-0000-000067480000}"/>
    <cellStyle name="Category Name 2 4 2 2 3" xfId="20081" xr:uid="{00000000-0005-0000-0000-000068480000}"/>
    <cellStyle name="Category Name 2 4 2 3" xfId="16081" xr:uid="{00000000-0005-0000-0000-000069480000}"/>
    <cellStyle name="Category Name 2 4 2 4" xfId="20080" xr:uid="{00000000-0005-0000-0000-00006A480000}"/>
    <cellStyle name="Category Name 2 4 3" xfId="11022" xr:uid="{00000000-0005-0000-0000-00006B480000}"/>
    <cellStyle name="Category Name 2 4 3 2" xfId="16083" xr:uid="{00000000-0005-0000-0000-00006C480000}"/>
    <cellStyle name="Category Name 2 4 3 3" xfId="20082" xr:uid="{00000000-0005-0000-0000-00006D480000}"/>
    <cellStyle name="Category Name 2 4 4" xfId="16080" xr:uid="{00000000-0005-0000-0000-00006E480000}"/>
    <cellStyle name="Category Name 2 4 5" xfId="20079" xr:uid="{00000000-0005-0000-0000-00006F480000}"/>
    <cellStyle name="Category Name 2 5" xfId="11023" xr:uid="{00000000-0005-0000-0000-000070480000}"/>
    <cellStyle name="Category Name 2 5 2" xfId="16084" xr:uid="{00000000-0005-0000-0000-000071480000}"/>
    <cellStyle name="Category Name 2 5 3" xfId="20083" xr:uid="{00000000-0005-0000-0000-000072480000}"/>
    <cellStyle name="Category Name 2 6" xfId="16071" xr:uid="{00000000-0005-0000-0000-000073480000}"/>
    <cellStyle name="Category Name 2 7" xfId="20070" xr:uid="{00000000-0005-0000-0000-000074480000}"/>
    <cellStyle name="Category Name 3" xfId="11024" xr:uid="{00000000-0005-0000-0000-000075480000}"/>
    <cellStyle name="Category Name 3 2" xfId="11025" xr:uid="{00000000-0005-0000-0000-000076480000}"/>
    <cellStyle name="Category Name 3 2 2" xfId="11026" xr:uid="{00000000-0005-0000-0000-000077480000}"/>
    <cellStyle name="Category Name 3 2 2 2" xfId="16087" xr:uid="{00000000-0005-0000-0000-000078480000}"/>
    <cellStyle name="Category Name 3 2 2 3" xfId="20086" xr:uid="{00000000-0005-0000-0000-000079480000}"/>
    <cellStyle name="Category Name 3 2 3" xfId="16086" xr:uid="{00000000-0005-0000-0000-00007A480000}"/>
    <cellStyle name="Category Name 3 2 4" xfId="20085" xr:uid="{00000000-0005-0000-0000-00007B480000}"/>
    <cellStyle name="Category Name 3 3" xfId="11027" xr:uid="{00000000-0005-0000-0000-00007C480000}"/>
    <cellStyle name="Category Name 3 3 2" xfId="11028" xr:uid="{00000000-0005-0000-0000-00007D480000}"/>
    <cellStyle name="Category Name 3 3 2 2" xfId="16089" xr:uid="{00000000-0005-0000-0000-00007E480000}"/>
    <cellStyle name="Category Name 3 3 2 3" xfId="20088" xr:uid="{00000000-0005-0000-0000-00007F480000}"/>
    <cellStyle name="Category Name 3 3 3" xfId="16088" xr:uid="{00000000-0005-0000-0000-000080480000}"/>
    <cellStyle name="Category Name 3 3 4" xfId="20087" xr:uid="{00000000-0005-0000-0000-000081480000}"/>
    <cellStyle name="Category Name 3 4" xfId="11029" xr:uid="{00000000-0005-0000-0000-000082480000}"/>
    <cellStyle name="Category Name 3 4 2" xfId="16090" xr:uid="{00000000-0005-0000-0000-000083480000}"/>
    <cellStyle name="Category Name 3 4 3" xfId="20089" xr:uid="{00000000-0005-0000-0000-000084480000}"/>
    <cellStyle name="Category Name 3 5" xfId="16085" xr:uid="{00000000-0005-0000-0000-000085480000}"/>
    <cellStyle name="Category Name 3 6" xfId="20084" xr:uid="{00000000-0005-0000-0000-000086480000}"/>
    <cellStyle name="Category Name 4" xfId="11030" xr:uid="{00000000-0005-0000-0000-000087480000}"/>
    <cellStyle name="Category Name 4 2" xfId="11031" xr:uid="{00000000-0005-0000-0000-000088480000}"/>
    <cellStyle name="Category Name 4 2 2" xfId="11032" xr:uid="{00000000-0005-0000-0000-000089480000}"/>
    <cellStyle name="Category Name 4 2 2 2" xfId="16093" xr:uid="{00000000-0005-0000-0000-00008A480000}"/>
    <cellStyle name="Category Name 4 2 2 3" xfId="20092" xr:uid="{00000000-0005-0000-0000-00008B480000}"/>
    <cellStyle name="Category Name 4 2 3" xfId="16092" xr:uid="{00000000-0005-0000-0000-00008C480000}"/>
    <cellStyle name="Category Name 4 2 4" xfId="20091" xr:uid="{00000000-0005-0000-0000-00008D480000}"/>
    <cellStyle name="Category Name 4 3" xfId="11033" xr:uid="{00000000-0005-0000-0000-00008E480000}"/>
    <cellStyle name="Category Name 4 3 2" xfId="16094" xr:uid="{00000000-0005-0000-0000-00008F480000}"/>
    <cellStyle name="Category Name 4 3 3" xfId="20093" xr:uid="{00000000-0005-0000-0000-000090480000}"/>
    <cellStyle name="Category Name 4 4" xfId="16091" xr:uid="{00000000-0005-0000-0000-000091480000}"/>
    <cellStyle name="Category Name 4 5" xfId="20090" xr:uid="{00000000-0005-0000-0000-000092480000}"/>
    <cellStyle name="Category Name 5" xfId="11034" xr:uid="{00000000-0005-0000-0000-000093480000}"/>
    <cellStyle name="Category Name 5 2" xfId="11035" xr:uid="{00000000-0005-0000-0000-000094480000}"/>
    <cellStyle name="Category Name 5 2 2" xfId="11036" xr:uid="{00000000-0005-0000-0000-000095480000}"/>
    <cellStyle name="Category Name 5 2 2 2" xfId="16097" xr:uid="{00000000-0005-0000-0000-000096480000}"/>
    <cellStyle name="Category Name 5 2 2 3" xfId="20096" xr:uid="{00000000-0005-0000-0000-000097480000}"/>
    <cellStyle name="Category Name 5 2 3" xfId="16096" xr:uid="{00000000-0005-0000-0000-000098480000}"/>
    <cellStyle name="Category Name 5 2 4" xfId="20095" xr:uid="{00000000-0005-0000-0000-000099480000}"/>
    <cellStyle name="Category Name 5 3" xfId="11037" xr:uid="{00000000-0005-0000-0000-00009A480000}"/>
    <cellStyle name="Category Name 5 3 2" xfId="16098" xr:uid="{00000000-0005-0000-0000-00009B480000}"/>
    <cellStyle name="Category Name 5 3 3" xfId="20097" xr:uid="{00000000-0005-0000-0000-00009C480000}"/>
    <cellStyle name="Category Name 5 4" xfId="16095" xr:uid="{00000000-0005-0000-0000-00009D480000}"/>
    <cellStyle name="Category Name 5 5" xfId="20094" xr:uid="{00000000-0005-0000-0000-00009E480000}"/>
    <cellStyle name="Category Name 6" xfId="11038" xr:uid="{00000000-0005-0000-0000-00009F480000}"/>
    <cellStyle name="Category Name 6 2" xfId="16099" xr:uid="{00000000-0005-0000-0000-0000A0480000}"/>
    <cellStyle name="Category Name 6 3" xfId="20098" xr:uid="{00000000-0005-0000-0000-0000A1480000}"/>
    <cellStyle name="Category Name 7" xfId="16070" xr:uid="{00000000-0005-0000-0000-0000A2480000}"/>
    <cellStyle name="Category Name 8" xfId="20069" xr:uid="{00000000-0005-0000-0000-0000A3480000}"/>
    <cellStyle name="Celda de comprobación" xfId="11039" xr:uid="{00000000-0005-0000-0000-0000A4480000}"/>
    <cellStyle name="Celda vinculada" xfId="11040" xr:uid="{00000000-0005-0000-0000-0000A5480000}"/>
    <cellStyle name="Célula de Verificação" xfId="11041" xr:uid="{00000000-0005-0000-0000-0000A6480000}"/>
    <cellStyle name="Célula Vinculada" xfId="11042" xr:uid="{00000000-0005-0000-0000-0000A7480000}"/>
    <cellStyle name="Center" xfId="11043" xr:uid="{00000000-0005-0000-0000-0000A8480000}"/>
    <cellStyle name="Center 2" xfId="11044" xr:uid="{00000000-0005-0000-0000-0000A9480000}"/>
    <cellStyle name="Center 2 2" xfId="20263" xr:uid="{00000000-0005-0000-0000-0000AA480000}"/>
    <cellStyle name="Center 3" xfId="11045" xr:uid="{00000000-0005-0000-0000-0000AB480000}"/>
    <cellStyle name="Center 3 2" xfId="20264" xr:uid="{00000000-0005-0000-0000-0000AC480000}"/>
    <cellStyle name="Center 4" xfId="20265" xr:uid="{00000000-0005-0000-0000-0000AD480000}"/>
    <cellStyle name="CenterBold" xfId="11046" xr:uid="{00000000-0005-0000-0000-0000AE480000}"/>
    <cellStyle name="Centered Heading" xfId="11047" xr:uid="{00000000-0005-0000-0000-0000AF480000}"/>
    <cellStyle name="Centered Heading 2" xfId="11048" xr:uid="{00000000-0005-0000-0000-0000B0480000}"/>
    <cellStyle name="CenterItalic" xfId="11049" xr:uid="{00000000-0005-0000-0000-0000B1480000}"/>
    <cellStyle name="Cents" xfId="11050" xr:uid="{00000000-0005-0000-0000-0000B2480000}"/>
    <cellStyle name="Cents 2" xfId="11051" xr:uid="{00000000-0005-0000-0000-0000B3480000}"/>
    <cellStyle name="Changeable" xfId="11052" xr:uid="{00000000-0005-0000-0000-0000B4480000}"/>
    <cellStyle name="ChartingText" xfId="11053" xr:uid="{00000000-0005-0000-0000-0000B5480000}"/>
    <cellStyle name="ChartingText 2" xfId="11054" xr:uid="{00000000-0005-0000-0000-0000B6480000}"/>
    <cellStyle name="ChartingText 3" xfId="11055" xr:uid="{00000000-0005-0000-0000-0000B7480000}"/>
    <cellStyle name="ChartingText 4" xfId="11056" xr:uid="{00000000-0005-0000-0000-0000B8480000}"/>
    <cellStyle name="Check Cell 10" xfId="11057" xr:uid="{00000000-0005-0000-0000-0000B9480000}"/>
    <cellStyle name="Check Cell 11" xfId="11058" xr:uid="{00000000-0005-0000-0000-0000BA480000}"/>
    <cellStyle name="Check Cell 12" xfId="11059" xr:uid="{00000000-0005-0000-0000-0000BB480000}"/>
    <cellStyle name="Check Cell 13" xfId="11060" xr:uid="{00000000-0005-0000-0000-0000BC480000}"/>
    <cellStyle name="Check Cell 2" xfId="11061" xr:uid="{00000000-0005-0000-0000-0000BD480000}"/>
    <cellStyle name="Check Cell 3" xfId="11062" xr:uid="{00000000-0005-0000-0000-0000BE480000}"/>
    <cellStyle name="Check Cell 4" xfId="11063" xr:uid="{00000000-0005-0000-0000-0000BF480000}"/>
    <cellStyle name="Check Cell 5" xfId="11064" xr:uid="{00000000-0005-0000-0000-0000C0480000}"/>
    <cellStyle name="Check Cell 6" xfId="11065" xr:uid="{00000000-0005-0000-0000-0000C1480000}"/>
    <cellStyle name="Check Cell 7" xfId="11066" xr:uid="{00000000-0005-0000-0000-0000C2480000}"/>
    <cellStyle name="Check Cell 8" xfId="11067" xr:uid="{00000000-0005-0000-0000-0000C3480000}"/>
    <cellStyle name="Check Cell 9" xfId="11068" xr:uid="{00000000-0005-0000-0000-0000C4480000}"/>
    <cellStyle name="CHPTop" xfId="11069" xr:uid="{00000000-0005-0000-0000-0000C5480000}"/>
    <cellStyle name="Co. Names" xfId="11070" xr:uid="{00000000-0005-0000-0000-0000C6480000}"/>
    <cellStyle name="Code" xfId="11071" xr:uid="{00000000-0005-0000-0000-0000C7480000}"/>
    <cellStyle name="Code 2" xfId="11072" xr:uid="{00000000-0005-0000-0000-0000C8480000}"/>
    <cellStyle name="Colhead_left" xfId="11073" xr:uid="{00000000-0005-0000-0000-0000C9480000}"/>
    <cellStyle name="ColHeading" xfId="11074" xr:uid="{00000000-0005-0000-0000-0000CA480000}"/>
    <cellStyle name="colheadleft" xfId="11075" xr:uid="{00000000-0005-0000-0000-0000CB480000}"/>
    <cellStyle name="colheadright" xfId="11076" xr:uid="{00000000-0005-0000-0000-0000CC480000}"/>
    <cellStyle name="Color" xfId="11077" xr:uid="{00000000-0005-0000-0000-0000CD480000}"/>
    <cellStyle name="Color 2" xfId="11078" xr:uid="{00000000-0005-0000-0000-0000CE480000}"/>
    <cellStyle name="Column Header" xfId="11079" xr:uid="{00000000-0005-0000-0000-0000CF480000}"/>
    <cellStyle name="Column Header 2" xfId="11080" xr:uid="{00000000-0005-0000-0000-0000D0480000}"/>
    <cellStyle name="Column Headings" xfId="11081" xr:uid="{00000000-0005-0000-0000-0000D1480000}"/>
    <cellStyle name="Column_Title" xfId="11082" xr:uid="{00000000-0005-0000-0000-0000D2480000}"/>
    <cellStyle name="column1" xfId="11083" xr:uid="{00000000-0005-0000-0000-0000D3480000}"/>
    <cellStyle name="column1 2" xfId="11084" xr:uid="{00000000-0005-0000-0000-0000D4480000}"/>
    <cellStyle name="column1BigNoWrap" xfId="11085" xr:uid="{00000000-0005-0000-0000-0000D5480000}"/>
    <cellStyle name="column1BigNoWrap 2" xfId="11086" xr:uid="{00000000-0005-0000-0000-0000D6480000}"/>
    <cellStyle name="column1Date" xfId="11087" xr:uid="{00000000-0005-0000-0000-0000D7480000}"/>
    <cellStyle name="column1Date 2" xfId="11088" xr:uid="{00000000-0005-0000-0000-0000D8480000}"/>
    <cellStyle name="column1Date 2 2" xfId="11089" xr:uid="{00000000-0005-0000-0000-0000D9480000}"/>
    <cellStyle name="column1Date 3" xfId="11090" xr:uid="{00000000-0005-0000-0000-0000DA480000}"/>
    <cellStyle name="column1Date 4" xfId="11091" xr:uid="{00000000-0005-0000-0000-0000DB480000}"/>
    <cellStyle name="column1Date 5" xfId="11092" xr:uid="{00000000-0005-0000-0000-0000DC480000}"/>
    <cellStyle name="column2Date" xfId="11093" xr:uid="{00000000-0005-0000-0000-0000DD480000}"/>
    <cellStyle name="column2Date 2" xfId="11094" xr:uid="{00000000-0005-0000-0000-0000DE480000}"/>
    <cellStyle name="column2Date 3" xfId="11095" xr:uid="{00000000-0005-0000-0000-0000DF480000}"/>
    <cellStyle name="column2Date 3 2" xfId="20266" xr:uid="{00000000-0005-0000-0000-0000E0480000}"/>
    <cellStyle name="column3Date" xfId="11096" xr:uid="{00000000-0005-0000-0000-0000E1480000}"/>
    <cellStyle name="column3Date 2" xfId="11097" xr:uid="{00000000-0005-0000-0000-0000E2480000}"/>
    <cellStyle name="column3Date 3" xfId="11098" xr:uid="{00000000-0005-0000-0000-0000E3480000}"/>
    <cellStyle name="column3Date 3 2" xfId="20267" xr:uid="{00000000-0005-0000-0000-0000E4480000}"/>
    <cellStyle name="ColumnHeaderNormal" xfId="11099" xr:uid="{00000000-0005-0000-0000-0000E5480000}"/>
    <cellStyle name="ColumnHeaderNormal 2" xfId="11100" xr:uid="{00000000-0005-0000-0000-0000E6480000}"/>
    <cellStyle name="ColumnHeaderNormal 3" xfId="11101" xr:uid="{00000000-0005-0000-0000-0000E7480000}"/>
    <cellStyle name="ColumnHeaderNormal 4" xfId="11102" xr:uid="{00000000-0005-0000-0000-0000E8480000}"/>
    <cellStyle name="Comma" xfId="12427" builtinId="3"/>
    <cellStyle name="Comma  - Style1" xfId="11103" xr:uid="{00000000-0005-0000-0000-0000EA480000}"/>
    <cellStyle name="Comma  - Style2" xfId="11104" xr:uid="{00000000-0005-0000-0000-0000EB480000}"/>
    <cellStyle name="Comma  - Style3" xfId="11105" xr:uid="{00000000-0005-0000-0000-0000EC480000}"/>
    <cellStyle name="Comma  - Style4" xfId="11106" xr:uid="{00000000-0005-0000-0000-0000ED480000}"/>
    <cellStyle name="Comma  - Style5" xfId="11107" xr:uid="{00000000-0005-0000-0000-0000EE480000}"/>
    <cellStyle name="Comma  - Style6" xfId="11108" xr:uid="{00000000-0005-0000-0000-0000EF480000}"/>
    <cellStyle name="Comma  - Style7" xfId="11109" xr:uid="{00000000-0005-0000-0000-0000F0480000}"/>
    <cellStyle name="Comma  - Style8" xfId="11110" xr:uid="{00000000-0005-0000-0000-0000F1480000}"/>
    <cellStyle name="Comma %" xfId="11111" xr:uid="{00000000-0005-0000-0000-0000F2480000}"/>
    <cellStyle name="Comma (1)" xfId="11112" xr:uid="{00000000-0005-0000-0000-0000F3480000}"/>
    <cellStyle name="Comma (1) 2" xfId="11113" xr:uid="{00000000-0005-0000-0000-0000F4480000}"/>
    <cellStyle name="Comma (1) 2 2" xfId="11114" xr:uid="{00000000-0005-0000-0000-0000F5480000}"/>
    <cellStyle name="Comma (1) 3" xfId="11115" xr:uid="{00000000-0005-0000-0000-0000F6480000}"/>
    <cellStyle name="Comma (1) 4" xfId="11116" xr:uid="{00000000-0005-0000-0000-0000F7480000}"/>
    <cellStyle name="Comma (1) 5" xfId="11117" xr:uid="{00000000-0005-0000-0000-0000F8480000}"/>
    <cellStyle name="Comma ," xfId="11118" xr:uid="{00000000-0005-0000-0000-0000F9480000}"/>
    <cellStyle name="Comma [0] 2" xfId="11119" xr:uid="{00000000-0005-0000-0000-0000FA480000}"/>
    <cellStyle name="Comma [0] 2 2" xfId="11120" xr:uid="{00000000-0005-0000-0000-0000FB480000}"/>
    <cellStyle name="Comma [0] 3" xfId="11121" xr:uid="{00000000-0005-0000-0000-0000FC480000}"/>
    <cellStyle name="Comma [0] 3 2" xfId="11122" xr:uid="{00000000-0005-0000-0000-0000FD480000}"/>
    <cellStyle name="Comma [0] 4" xfId="11123" xr:uid="{00000000-0005-0000-0000-0000FE480000}"/>
    <cellStyle name="Comma [0] 5" xfId="11124" xr:uid="{00000000-0005-0000-0000-0000FF480000}"/>
    <cellStyle name="Comma [00]" xfId="11125" xr:uid="{00000000-0005-0000-0000-000000490000}"/>
    <cellStyle name="Comma [1]" xfId="11126" xr:uid="{00000000-0005-0000-0000-000001490000}"/>
    <cellStyle name="Comma [1] 2" xfId="11127" xr:uid="{00000000-0005-0000-0000-000002490000}"/>
    <cellStyle name="Comma [2]" xfId="11128" xr:uid="{00000000-0005-0000-0000-000003490000}"/>
    <cellStyle name="Comma [2] 2" xfId="11129" xr:uid="{00000000-0005-0000-0000-000004490000}"/>
    <cellStyle name="Comma [3]" xfId="11130" xr:uid="{00000000-0005-0000-0000-000005490000}"/>
    <cellStyle name="Comma [3] 2" xfId="11131" xr:uid="{00000000-0005-0000-0000-000006490000}"/>
    <cellStyle name="Comma [4]" xfId="11132" xr:uid="{00000000-0005-0000-0000-000007490000}"/>
    <cellStyle name="Comma 0" xfId="11133" xr:uid="{00000000-0005-0000-0000-000008490000}"/>
    <cellStyle name="Comma 0*" xfId="11134" xr:uid="{00000000-0005-0000-0000-000009490000}"/>
    <cellStyle name="Comma 0* 2" xfId="11135" xr:uid="{00000000-0005-0000-0000-00000A490000}"/>
    <cellStyle name="Comma 0.0" xfId="11136" xr:uid="{00000000-0005-0000-0000-00000B490000}"/>
    <cellStyle name="Comma 0.0 2" xfId="11137" xr:uid="{00000000-0005-0000-0000-00000C490000}"/>
    <cellStyle name="Comma 0.0%" xfId="11138" xr:uid="{00000000-0005-0000-0000-00000D490000}"/>
    <cellStyle name="Comma 0.0% 2" xfId="11139" xr:uid="{00000000-0005-0000-0000-00000E490000}"/>
    <cellStyle name="Comma 0.00" xfId="11140" xr:uid="{00000000-0005-0000-0000-00000F490000}"/>
    <cellStyle name="Comma 0.00 2" xfId="11141" xr:uid="{00000000-0005-0000-0000-000010490000}"/>
    <cellStyle name="Comma 0.00%" xfId="11142" xr:uid="{00000000-0005-0000-0000-000011490000}"/>
    <cellStyle name="Comma 0.00% 2" xfId="11143" xr:uid="{00000000-0005-0000-0000-000012490000}"/>
    <cellStyle name="Comma 0.00_Aprio - Public Comps1" xfId="11144" xr:uid="{00000000-0005-0000-0000-000013490000}"/>
    <cellStyle name="Comma 0.000" xfId="11145" xr:uid="{00000000-0005-0000-0000-000014490000}"/>
    <cellStyle name="Comma 0.000 2" xfId="11146" xr:uid="{00000000-0005-0000-0000-000015490000}"/>
    <cellStyle name="Comma 0.000%" xfId="11147" xr:uid="{00000000-0005-0000-0000-000016490000}"/>
    <cellStyle name="Comma 0.000% 2" xfId="11148" xr:uid="{00000000-0005-0000-0000-000017490000}"/>
    <cellStyle name="Comma 0.000_Aprio - Public Comps1" xfId="11149" xr:uid="{00000000-0005-0000-0000-000018490000}"/>
    <cellStyle name="Comma 0_comps" xfId="11150" xr:uid="{00000000-0005-0000-0000-000019490000}"/>
    <cellStyle name="Comma 10" xfId="11151" xr:uid="{00000000-0005-0000-0000-00001A490000}"/>
    <cellStyle name="Comma 10 2" xfId="20395" xr:uid="{00000000-0005-0000-0000-00001B490000}"/>
    <cellStyle name="Comma 11" xfId="11152" xr:uid="{00000000-0005-0000-0000-00001C490000}"/>
    <cellStyle name="Comma 12" xfId="11153" xr:uid="{00000000-0005-0000-0000-00001D490000}"/>
    <cellStyle name="Comma 13" xfId="1" xr:uid="{00000000-0005-0000-0000-00001E490000}"/>
    <cellStyle name="Comma 13 2" xfId="12428" xr:uid="{00000000-0005-0000-0000-00001F490000}"/>
    <cellStyle name="Comma 13 3" xfId="16384" xr:uid="{00000000-0005-0000-0000-000020490000}"/>
    <cellStyle name="Comma 14" xfId="11154" xr:uid="{00000000-0005-0000-0000-000021490000}"/>
    <cellStyle name="Comma 15" xfId="16217" xr:uid="{00000000-0005-0000-0000-000022490000}"/>
    <cellStyle name="Comma 15 2" xfId="20394" xr:uid="{00000000-0005-0000-0000-000023490000}"/>
    <cellStyle name="Comma 16" xfId="20268" xr:uid="{00000000-0005-0000-0000-000024490000}"/>
    <cellStyle name="Comma 16 2 3 2" xfId="20387" xr:uid="{00000000-0005-0000-0000-000025490000}"/>
    <cellStyle name="Comma 16 2 3 2 2" xfId="20398" xr:uid="{00000000-0005-0000-0000-000026490000}"/>
    <cellStyle name="Comma 16 2 3 2 2 2" xfId="20405" xr:uid="{00000000-0005-0000-0000-000027490000}"/>
    <cellStyle name="Comma 16 3" xfId="20400" xr:uid="{00000000-0005-0000-0000-000028490000}"/>
    <cellStyle name="Comma 2" xfId="11155" xr:uid="{00000000-0005-0000-0000-000029490000}"/>
    <cellStyle name="Comma 2 2" xfId="11156" xr:uid="{00000000-0005-0000-0000-00002A490000}"/>
    <cellStyle name="Comma 2 2 2" xfId="11157" xr:uid="{00000000-0005-0000-0000-00002B490000}"/>
    <cellStyle name="Comma 2 3" xfId="11158" xr:uid="{00000000-0005-0000-0000-00002C490000}"/>
    <cellStyle name="Comma 2 3 2" xfId="11159" xr:uid="{00000000-0005-0000-0000-00002D490000}"/>
    <cellStyle name="Comma 2 3 3" xfId="11160" xr:uid="{00000000-0005-0000-0000-00002E490000}"/>
    <cellStyle name="Comma 2 3 3 2" xfId="16100" xr:uid="{00000000-0005-0000-0000-00002F490000}"/>
    <cellStyle name="Comma 2 3 3 3" xfId="20099" xr:uid="{00000000-0005-0000-0000-000030490000}"/>
    <cellStyle name="Comma 2 4" xfId="11161" xr:uid="{00000000-0005-0000-0000-000031490000}"/>
    <cellStyle name="Comma 2 4 2" xfId="11162" xr:uid="{00000000-0005-0000-0000-000032490000}"/>
    <cellStyle name="Comma 2 5" xfId="11163" xr:uid="{00000000-0005-0000-0000-000033490000}"/>
    <cellStyle name="Comma 2 5 2" xfId="11164" xr:uid="{00000000-0005-0000-0000-000034490000}"/>
    <cellStyle name="Comma 2 6" xfId="11165" xr:uid="{00000000-0005-0000-0000-000035490000}"/>
    <cellStyle name="Comma 2*" xfId="11166" xr:uid="{00000000-0005-0000-0000-000036490000}"/>
    <cellStyle name="Comma 2* 2" xfId="11167" xr:uid="{00000000-0005-0000-0000-000037490000}"/>
    <cellStyle name="Comma 2_2008 SVB Financial Information v.2" xfId="11168" xr:uid="{00000000-0005-0000-0000-000038490000}"/>
    <cellStyle name="Comma 24 2" xfId="20269" xr:uid="{00000000-0005-0000-0000-000039490000}"/>
    <cellStyle name="Comma 24 2 2" xfId="20270" xr:uid="{00000000-0005-0000-0000-00003A490000}"/>
    <cellStyle name="Comma 3" xfId="11169" xr:uid="{00000000-0005-0000-0000-00003B490000}"/>
    <cellStyle name="Comma 3 2" xfId="11170" xr:uid="{00000000-0005-0000-0000-00003C490000}"/>
    <cellStyle name="Comma 3 2 2" xfId="11171" xr:uid="{00000000-0005-0000-0000-00003D490000}"/>
    <cellStyle name="Comma 3 2 3" xfId="20271" xr:uid="{00000000-0005-0000-0000-00003E490000}"/>
    <cellStyle name="Comma 3 3" xfId="11172" xr:uid="{00000000-0005-0000-0000-00003F490000}"/>
    <cellStyle name="Comma 3 3 2" xfId="11173" xr:uid="{00000000-0005-0000-0000-000040490000}"/>
    <cellStyle name="Comma 3 4" xfId="11174" xr:uid="{00000000-0005-0000-0000-000041490000}"/>
    <cellStyle name="Comma 3 5" xfId="11175" xr:uid="{00000000-0005-0000-0000-000042490000}"/>
    <cellStyle name="Comma 3 6" xfId="16101" xr:uid="{00000000-0005-0000-0000-000043490000}"/>
    <cellStyle name="Comma 3 7" xfId="20100" xr:uid="{00000000-0005-0000-0000-000044490000}"/>
    <cellStyle name="Comma 3*" xfId="11176" xr:uid="{00000000-0005-0000-0000-000045490000}"/>
    <cellStyle name="Comma 39" xfId="12426" xr:uid="{00000000-0005-0000-0000-000046490000}"/>
    <cellStyle name="Comma 4" xfId="11177" xr:uid="{00000000-0005-0000-0000-000047490000}"/>
    <cellStyle name="Comma 4 2" xfId="11178" xr:uid="{00000000-0005-0000-0000-000048490000}"/>
    <cellStyle name="Comma 4 5" xfId="12425" xr:uid="{00000000-0005-0000-0000-000049490000}"/>
    <cellStyle name="Comma 5" xfId="11179" xr:uid="{00000000-0005-0000-0000-00004A490000}"/>
    <cellStyle name="Comma 5 2" xfId="11180" xr:uid="{00000000-0005-0000-0000-00004B490000}"/>
    <cellStyle name="Comma 6" xfId="11181" xr:uid="{00000000-0005-0000-0000-00004C490000}"/>
    <cellStyle name="Comma 6 2" xfId="11182" xr:uid="{00000000-0005-0000-0000-00004D490000}"/>
    <cellStyle name="Comma 6 2 2" xfId="16102" xr:uid="{00000000-0005-0000-0000-00004E490000}"/>
    <cellStyle name="Comma 6 2 3" xfId="20101" xr:uid="{00000000-0005-0000-0000-00004F490000}"/>
    <cellStyle name="Comma 6 3" xfId="11183" xr:uid="{00000000-0005-0000-0000-000050490000}"/>
    <cellStyle name="Comma 7" xfId="11184" xr:uid="{00000000-0005-0000-0000-000051490000}"/>
    <cellStyle name="Comma 7 2" xfId="11185" xr:uid="{00000000-0005-0000-0000-000052490000}"/>
    <cellStyle name="Comma 7 2 2" xfId="16103" xr:uid="{00000000-0005-0000-0000-000053490000}"/>
    <cellStyle name="Comma 7 2 3" xfId="20102" xr:uid="{00000000-0005-0000-0000-000054490000}"/>
    <cellStyle name="Comma 7 3" xfId="11186" xr:uid="{00000000-0005-0000-0000-000055490000}"/>
    <cellStyle name="Comma 7 3 2" xfId="16104" xr:uid="{00000000-0005-0000-0000-000056490000}"/>
    <cellStyle name="Comma 7 3 3" xfId="20103" xr:uid="{00000000-0005-0000-0000-000057490000}"/>
    <cellStyle name="Comma 8" xfId="11187" xr:uid="{00000000-0005-0000-0000-000058490000}"/>
    <cellStyle name="Comma 9" xfId="11188" xr:uid="{00000000-0005-0000-0000-000059490000}"/>
    <cellStyle name="Comma Input" xfId="11189" xr:uid="{00000000-0005-0000-0000-00005A490000}"/>
    <cellStyle name="Comma Input 2" xfId="11190" xr:uid="{00000000-0005-0000-0000-00005B490000}"/>
    <cellStyle name="Comma Input 2 2" xfId="11191" xr:uid="{00000000-0005-0000-0000-00005C490000}"/>
    <cellStyle name="Comma Input 3" xfId="11192" xr:uid="{00000000-0005-0000-0000-00005D490000}"/>
    <cellStyle name="Comma Input 4" xfId="11193" xr:uid="{00000000-0005-0000-0000-00005E490000}"/>
    <cellStyle name="Comma Input 5" xfId="11194" xr:uid="{00000000-0005-0000-0000-00005F490000}"/>
    <cellStyle name="comma zerodec" xfId="11195" xr:uid="{00000000-0005-0000-0000-000060490000}"/>
    <cellStyle name="Comma*" xfId="11196" xr:uid="{00000000-0005-0000-0000-000061490000}"/>
    <cellStyle name="Comma0" xfId="11197" xr:uid="{00000000-0005-0000-0000-000062490000}"/>
    <cellStyle name="Comma0 - Modelo1" xfId="11198" xr:uid="{00000000-0005-0000-0000-000063490000}"/>
    <cellStyle name="Comma0 - Modelo1 2" xfId="11199" xr:uid="{00000000-0005-0000-0000-000064490000}"/>
    <cellStyle name="Comma0 - Style1" xfId="11200" xr:uid="{00000000-0005-0000-0000-000065490000}"/>
    <cellStyle name="Comma0 - Style1 2" xfId="11201" xr:uid="{00000000-0005-0000-0000-000066490000}"/>
    <cellStyle name="Comma0 - Style2" xfId="11202" xr:uid="{00000000-0005-0000-0000-000067490000}"/>
    <cellStyle name="Comma0 - Style3" xfId="11203" xr:uid="{00000000-0005-0000-0000-000068490000}"/>
    <cellStyle name="Comma0 - Style4" xfId="11204" xr:uid="{00000000-0005-0000-0000-000069490000}"/>
    <cellStyle name="Comma0 2" xfId="11205" xr:uid="{00000000-0005-0000-0000-00006A490000}"/>
    <cellStyle name="Comma0_~8944579" xfId="11206" xr:uid="{00000000-0005-0000-0000-00006B490000}"/>
    <cellStyle name="Comma1" xfId="11207" xr:uid="{00000000-0005-0000-0000-00006C490000}"/>
    <cellStyle name="Comma1 - Modelo2" xfId="11208" xr:uid="{00000000-0005-0000-0000-00006D490000}"/>
    <cellStyle name="Comma1 - Modelo2 2" xfId="11209" xr:uid="{00000000-0005-0000-0000-00006E490000}"/>
    <cellStyle name="Comma1 - Style2" xfId="11210" xr:uid="{00000000-0005-0000-0000-00006F490000}"/>
    <cellStyle name="Comma1 - Style2 2" xfId="11211" xr:uid="{00000000-0005-0000-0000-000070490000}"/>
    <cellStyle name="Comma1 2" xfId="11212" xr:uid="{00000000-0005-0000-0000-000071490000}"/>
    <cellStyle name="Comma2" xfId="11213" xr:uid="{00000000-0005-0000-0000-000072490000}"/>
    <cellStyle name="Comma2 2" xfId="11214" xr:uid="{00000000-0005-0000-0000-000073490000}"/>
    <cellStyle name="Comments" xfId="11215" xr:uid="{00000000-0005-0000-0000-000074490000}"/>
    <cellStyle name="Company" xfId="11216" xr:uid="{00000000-0005-0000-0000-000075490000}"/>
    <cellStyle name="Company 2" xfId="11217" xr:uid="{00000000-0005-0000-0000-000076490000}"/>
    <cellStyle name="Company Name" xfId="11218" xr:uid="{00000000-0005-0000-0000-000077490000}"/>
    <cellStyle name="Company Name 2" xfId="11219" xr:uid="{00000000-0005-0000-0000-000078490000}"/>
    <cellStyle name="Company_Boston Power VD 01 31 2008 Model 02 26 2008" xfId="11220" xr:uid="{00000000-0005-0000-0000-000079490000}"/>
    <cellStyle name="CompanyName" xfId="11221" xr:uid="{00000000-0005-0000-0000-00007A490000}"/>
    <cellStyle name="CompanyName 2" xfId="11222" xr:uid="{00000000-0005-0000-0000-00007B490000}"/>
    <cellStyle name="Compressed" xfId="11223" xr:uid="{00000000-0005-0000-0000-00007C490000}"/>
    <cellStyle name="Copied" xfId="11224" xr:uid="{00000000-0005-0000-0000-00007D490000}"/>
    <cellStyle name="Copied 2" xfId="11225" xr:uid="{00000000-0005-0000-0000-00007E490000}"/>
    <cellStyle name="COST1" xfId="11226" xr:uid="{00000000-0005-0000-0000-00007F490000}"/>
    <cellStyle name="Coverage" xfId="11227" xr:uid="{00000000-0005-0000-0000-000080490000}"/>
    <cellStyle name="CR Comma" xfId="11228" xr:uid="{00000000-0005-0000-0000-000081490000}"/>
    <cellStyle name="CR Comma 2" xfId="11229" xr:uid="{00000000-0005-0000-0000-000082490000}"/>
    <cellStyle name="CR Currency" xfId="11230" xr:uid="{00000000-0005-0000-0000-000083490000}"/>
    <cellStyle name="CR Currency 2" xfId="11231" xr:uid="{00000000-0005-0000-0000-000084490000}"/>
    <cellStyle name="Curr $ [0]" xfId="11232" xr:uid="{00000000-0005-0000-0000-000085490000}"/>
    <cellStyle name="Curr $ [0] 2" xfId="11233" xr:uid="{00000000-0005-0000-0000-000086490000}"/>
    <cellStyle name="Curr $ [0] 3" xfId="11234" xr:uid="{00000000-0005-0000-0000-000087490000}"/>
    <cellStyle name="Curr $ [2]" xfId="11235" xr:uid="{00000000-0005-0000-0000-000088490000}"/>
    <cellStyle name="Curr $ [2] 2" xfId="11236" xr:uid="{00000000-0005-0000-0000-000089490000}"/>
    <cellStyle name="Curr $ [2] 3" xfId="11237" xr:uid="{00000000-0005-0000-0000-00008A490000}"/>
    <cellStyle name="Curr $k [0]" xfId="11238" xr:uid="{00000000-0005-0000-0000-00008B490000}"/>
    <cellStyle name="Curr $k [0] 2" xfId="11239" xr:uid="{00000000-0005-0000-0000-00008C490000}"/>
    <cellStyle name="Curr $k [0] 3" xfId="11240" xr:uid="{00000000-0005-0000-0000-00008D490000}"/>
    <cellStyle name="Curr £ [0]" xfId="11241" xr:uid="{00000000-0005-0000-0000-00008E490000}"/>
    <cellStyle name="Curr £ [0] 2" xfId="11242" xr:uid="{00000000-0005-0000-0000-00008F490000}"/>
    <cellStyle name="Curr £ [0] 3" xfId="11243" xr:uid="{00000000-0005-0000-0000-000090490000}"/>
    <cellStyle name="Curr £ [2]" xfId="11244" xr:uid="{00000000-0005-0000-0000-000091490000}"/>
    <cellStyle name="Curr £ [2] 2" xfId="11245" xr:uid="{00000000-0005-0000-0000-000092490000}"/>
    <cellStyle name="Curr £ [2] 3" xfId="11246" xr:uid="{00000000-0005-0000-0000-000093490000}"/>
    <cellStyle name="CurRatio" xfId="11247" xr:uid="{00000000-0005-0000-0000-000094490000}"/>
    <cellStyle name="Curren - Style2" xfId="11248" xr:uid="{00000000-0005-0000-0000-000095490000}"/>
    <cellStyle name="Curren - Style2 2" xfId="11249" xr:uid="{00000000-0005-0000-0000-000096490000}"/>
    <cellStyle name="Curren - Style4" xfId="11250" xr:uid="{00000000-0005-0000-0000-000097490000}"/>
    <cellStyle name="Currency" xfId="20305" builtinId="4"/>
    <cellStyle name="Currency %" xfId="11251" xr:uid="{00000000-0005-0000-0000-000099490000}"/>
    <cellStyle name="Currency % 2" xfId="11252" xr:uid="{00000000-0005-0000-0000-00009A490000}"/>
    <cellStyle name="Currency ($)" xfId="11253" xr:uid="{00000000-0005-0000-0000-00009B490000}"/>
    <cellStyle name="Currency (£)" xfId="11254" xr:uid="{00000000-0005-0000-0000-00009C490000}"/>
    <cellStyle name="Currency (0.00)" xfId="11255" xr:uid="{00000000-0005-0000-0000-00009D490000}"/>
    <cellStyle name="Currency (0.00) 2" xfId="11256" xr:uid="{00000000-0005-0000-0000-00009E490000}"/>
    <cellStyle name="Currency (0.00) 2 2" xfId="11257" xr:uid="{00000000-0005-0000-0000-00009F490000}"/>
    <cellStyle name="Currency (0.00) 2 2 2" xfId="11258" xr:uid="{00000000-0005-0000-0000-0000A0490000}"/>
    <cellStyle name="Currency (0.00) 2 2 2 2" xfId="11259" xr:uid="{00000000-0005-0000-0000-0000A1490000}"/>
    <cellStyle name="Currency (0.00) 2 2 2 2 2" xfId="16109" xr:uid="{00000000-0005-0000-0000-0000A2490000}"/>
    <cellStyle name="Currency (0.00) 2 2 2 2 3" xfId="20108" xr:uid="{00000000-0005-0000-0000-0000A3490000}"/>
    <cellStyle name="Currency (0.00) 2 2 2 3" xfId="16108" xr:uid="{00000000-0005-0000-0000-0000A4490000}"/>
    <cellStyle name="Currency (0.00) 2 2 2 4" xfId="20107" xr:uid="{00000000-0005-0000-0000-0000A5490000}"/>
    <cellStyle name="Currency (0.00) 2 2 3" xfId="11260" xr:uid="{00000000-0005-0000-0000-0000A6490000}"/>
    <cellStyle name="Currency (0.00) 2 2 3 2" xfId="16110" xr:uid="{00000000-0005-0000-0000-0000A7490000}"/>
    <cellStyle name="Currency (0.00) 2 2 3 3" xfId="20109" xr:uid="{00000000-0005-0000-0000-0000A8490000}"/>
    <cellStyle name="Currency (0.00) 2 2 4" xfId="16107" xr:uid="{00000000-0005-0000-0000-0000A9490000}"/>
    <cellStyle name="Currency (0.00) 2 2 5" xfId="20106" xr:uid="{00000000-0005-0000-0000-0000AA490000}"/>
    <cellStyle name="Currency (0.00) 2 3" xfId="11261" xr:uid="{00000000-0005-0000-0000-0000AB490000}"/>
    <cellStyle name="Currency (0.00) 2 3 2" xfId="11262" xr:uid="{00000000-0005-0000-0000-0000AC490000}"/>
    <cellStyle name="Currency (0.00) 2 3 2 2" xfId="11263" xr:uid="{00000000-0005-0000-0000-0000AD490000}"/>
    <cellStyle name="Currency (0.00) 2 3 2 2 2" xfId="16113" xr:uid="{00000000-0005-0000-0000-0000AE490000}"/>
    <cellStyle name="Currency (0.00) 2 3 2 2 3" xfId="20112" xr:uid="{00000000-0005-0000-0000-0000AF490000}"/>
    <cellStyle name="Currency (0.00) 2 3 2 3" xfId="16112" xr:uid="{00000000-0005-0000-0000-0000B0490000}"/>
    <cellStyle name="Currency (0.00) 2 3 2 4" xfId="20111" xr:uid="{00000000-0005-0000-0000-0000B1490000}"/>
    <cellStyle name="Currency (0.00) 2 3 3" xfId="11264" xr:uid="{00000000-0005-0000-0000-0000B2490000}"/>
    <cellStyle name="Currency (0.00) 2 3 3 2" xfId="16114" xr:uid="{00000000-0005-0000-0000-0000B3490000}"/>
    <cellStyle name="Currency (0.00) 2 3 3 3" xfId="20113" xr:uid="{00000000-0005-0000-0000-0000B4490000}"/>
    <cellStyle name="Currency (0.00) 2 3 4" xfId="16111" xr:uid="{00000000-0005-0000-0000-0000B5490000}"/>
    <cellStyle name="Currency (0.00) 2 3 5" xfId="20110" xr:uid="{00000000-0005-0000-0000-0000B6490000}"/>
    <cellStyle name="Currency (0.00) 2 4" xfId="11265" xr:uid="{00000000-0005-0000-0000-0000B7490000}"/>
    <cellStyle name="Currency (0.00) 2 4 2" xfId="11266" xr:uid="{00000000-0005-0000-0000-0000B8490000}"/>
    <cellStyle name="Currency (0.00) 2 4 2 2" xfId="11267" xr:uid="{00000000-0005-0000-0000-0000B9490000}"/>
    <cellStyle name="Currency (0.00) 2 4 2 2 2" xfId="16117" xr:uid="{00000000-0005-0000-0000-0000BA490000}"/>
    <cellStyle name="Currency (0.00) 2 4 2 2 3" xfId="20116" xr:uid="{00000000-0005-0000-0000-0000BB490000}"/>
    <cellStyle name="Currency (0.00) 2 4 2 3" xfId="16116" xr:uid="{00000000-0005-0000-0000-0000BC490000}"/>
    <cellStyle name="Currency (0.00) 2 4 2 4" xfId="20115" xr:uid="{00000000-0005-0000-0000-0000BD490000}"/>
    <cellStyle name="Currency (0.00) 2 4 3" xfId="11268" xr:uid="{00000000-0005-0000-0000-0000BE490000}"/>
    <cellStyle name="Currency (0.00) 2 4 3 2" xfId="16118" xr:uid="{00000000-0005-0000-0000-0000BF490000}"/>
    <cellStyle name="Currency (0.00) 2 4 3 3" xfId="20117" xr:uid="{00000000-0005-0000-0000-0000C0490000}"/>
    <cellStyle name="Currency (0.00) 2 4 4" xfId="16115" xr:uid="{00000000-0005-0000-0000-0000C1490000}"/>
    <cellStyle name="Currency (0.00) 2 4 5" xfId="20114" xr:uid="{00000000-0005-0000-0000-0000C2490000}"/>
    <cellStyle name="Currency (0.00) 2 5" xfId="11269" xr:uid="{00000000-0005-0000-0000-0000C3490000}"/>
    <cellStyle name="Currency (0.00) 2 5 2" xfId="16119" xr:uid="{00000000-0005-0000-0000-0000C4490000}"/>
    <cellStyle name="Currency (0.00) 2 5 3" xfId="20118" xr:uid="{00000000-0005-0000-0000-0000C5490000}"/>
    <cellStyle name="Currency (0.00) 2 6" xfId="16106" xr:uid="{00000000-0005-0000-0000-0000C6490000}"/>
    <cellStyle name="Currency (0.00) 2 7" xfId="20105" xr:uid="{00000000-0005-0000-0000-0000C7490000}"/>
    <cellStyle name="Currency (0.00) 3" xfId="11270" xr:uid="{00000000-0005-0000-0000-0000C8490000}"/>
    <cellStyle name="Currency (0.00) 3 2" xfId="11271" xr:uid="{00000000-0005-0000-0000-0000C9490000}"/>
    <cellStyle name="Currency (0.00) 3 2 2" xfId="11272" xr:uid="{00000000-0005-0000-0000-0000CA490000}"/>
    <cellStyle name="Currency (0.00) 3 2 2 2" xfId="16122" xr:uid="{00000000-0005-0000-0000-0000CB490000}"/>
    <cellStyle name="Currency (0.00) 3 2 2 3" xfId="20121" xr:uid="{00000000-0005-0000-0000-0000CC490000}"/>
    <cellStyle name="Currency (0.00) 3 2 3" xfId="16121" xr:uid="{00000000-0005-0000-0000-0000CD490000}"/>
    <cellStyle name="Currency (0.00) 3 2 4" xfId="20120" xr:uid="{00000000-0005-0000-0000-0000CE490000}"/>
    <cellStyle name="Currency (0.00) 3 3" xfId="11273" xr:uid="{00000000-0005-0000-0000-0000CF490000}"/>
    <cellStyle name="Currency (0.00) 3 3 2" xfId="11274" xr:uid="{00000000-0005-0000-0000-0000D0490000}"/>
    <cellStyle name="Currency (0.00) 3 3 2 2" xfId="16124" xr:uid="{00000000-0005-0000-0000-0000D1490000}"/>
    <cellStyle name="Currency (0.00) 3 3 2 3" xfId="20123" xr:uid="{00000000-0005-0000-0000-0000D2490000}"/>
    <cellStyle name="Currency (0.00) 3 3 3" xfId="16123" xr:uid="{00000000-0005-0000-0000-0000D3490000}"/>
    <cellStyle name="Currency (0.00) 3 3 4" xfId="20122" xr:uid="{00000000-0005-0000-0000-0000D4490000}"/>
    <cellStyle name="Currency (0.00) 3 4" xfId="11275" xr:uid="{00000000-0005-0000-0000-0000D5490000}"/>
    <cellStyle name="Currency (0.00) 3 4 2" xfId="16125" xr:uid="{00000000-0005-0000-0000-0000D6490000}"/>
    <cellStyle name="Currency (0.00) 3 4 3" xfId="20124" xr:uid="{00000000-0005-0000-0000-0000D7490000}"/>
    <cellStyle name="Currency (0.00) 3 5" xfId="16120" xr:uid="{00000000-0005-0000-0000-0000D8490000}"/>
    <cellStyle name="Currency (0.00) 3 6" xfId="20119" xr:uid="{00000000-0005-0000-0000-0000D9490000}"/>
    <cellStyle name="Currency (0.00) 4" xfId="11276" xr:uid="{00000000-0005-0000-0000-0000DA490000}"/>
    <cellStyle name="Currency (0.00) 4 2" xfId="11277" xr:uid="{00000000-0005-0000-0000-0000DB490000}"/>
    <cellStyle name="Currency (0.00) 4 2 2" xfId="11278" xr:uid="{00000000-0005-0000-0000-0000DC490000}"/>
    <cellStyle name="Currency (0.00) 4 2 2 2" xfId="16128" xr:uid="{00000000-0005-0000-0000-0000DD490000}"/>
    <cellStyle name="Currency (0.00) 4 2 2 3" xfId="20127" xr:uid="{00000000-0005-0000-0000-0000DE490000}"/>
    <cellStyle name="Currency (0.00) 4 2 3" xfId="16127" xr:uid="{00000000-0005-0000-0000-0000DF490000}"/>
    <cellStyle name="Currency (0.00) 4 2 4" xfId="20126" xr:uid="{00000000-0005-0000-0000-0000E0490000}"/>
    <cellStyle name="Currency (0.00) 4 3" xfId="11279" xr:uid="{00000000-0005-0000-0000-0000E1490000}"/>
    <cellStyle name="Currency (0.00) 4 3 2" xfId="16129" xr:uid="{00000000-0005-0000-0000-0000E2490000}"/>
    <cellStyle name="Currency (0.00) 4 3 3" xfId="20128" xr:uid="{00000000-0005-0000-0000-0000E3490000}"/>
    <cellStyle name="Currency (0.00) 4 4" xfId="16126" xr:uid="{00000000-0005-0000-0000-0000E4490000}"/>
    <cellStyle name="Currency (0.00) 4 5" xfId="20125" xr:uid="{00000000-0005-0000-0000-0000E5490000}"/>
    <cellStyle name="Currency (0.00) 5" xfId="11280" xr:uid="{00000000-0005-0000-0000-0000E6490000}"/>
    <cellStyle name="Currency (0.00) 5 2" xfId="11281" xr:uid="{00000000-0005-0000-0000-0000E7490000}"/>
    <cellStyle name="Currency (0.00) 5 2 2" xfId="11282" xr:uid="{00000000-0005-0000-0000-0000E8490000}"/>
    <cellStyle name="Currency (0.00) 5 2 2 2" xfId="16132" xr:uid="{00000000-0005-0000-0000-0000E9490000}"/>
    <cellStyle name="Currency (0.00) 5 2 2 3" xfId="20131" xr:uid="{00000000-0005-0000-0000-0000EA490000}"/>
    <cellStyle name="Currency (0.00) 5 2 3" xfId="16131" xr:uid="{00000000-0005-0000-0000-0000EB490000}"/>
    <cellStyle name="Currency (0.00) 5 2 4" xfId="20130" xr:uid="{00000000-0005-0000-0000-0000EC490000}"/>
    <cellStyle name="Currency (0.00) 5 3" xfId="11283" xr:uid="{00000000-0005-0000-0000-0000ED490000}"/>
    <cellStyle name="Currency (0.00) 5 3 2" xfId="16133" xr:uid="{00000000-0005-0000-0000-0000EE490000}"/>
    <cellStyle name="Currency (0.00) 5 3 3" xfId="20132" xr:uid="{00000000-0005-0000-0000-0000EF490000}"/>
    <cellStyle name="Currency (0.00) 5 4" xfId="16130" xr:uid="{00000000-0005-0000-0000-0000F0490000}"/>
    <cellStyle name="Currency (0.00) 5 5" xfId="20129" xr:uid="{00000000-0005-0000-0000-0000F1490000}"/>
    <cellStyle name="Currency (0.00) 6" xfId="11284" xr:uid="{00000000-0005-0000-0000-0000F2490000}"/>
    <cellStyle name="Currency (0.00) 6 2" xfId="16134" xr:uid="{00000000-0005-0000-0000-0000F3490000}"/>
    <cellStyle name="Currency (0.00) 6 3" xfId="20133" xr:uid="{00000000-0005-0000-0000-0000F4490000}"/>
    <cellStyle name="Currency (0.00) 7" xfId="16105" xr:uid="{00000000-0005-0000-0000-0000F5490000}"/>
    <cellStyle name="Currency (0.00) 8" xfId="20104" xr:uid="{00000000-0005-0000-0000-0000F6490000}"/>
    <cellStyle name="Currency [0] 2" xfId="11285" xr:uid="{00000000-0005-0000-0000-0000F7490000}"/>
    <cellStyle name="Currency [0] 2 2" xfId="11286" xr:uid="{00000000-0005-0000-0000-0000F8490000}"/>
    <cellStyle name="Currency [00]" xfId="11287" xr:uid="{00000000-0005-0000-0000-0000F9490000}"/>
    <cellStyle name="Currency [1]" xfId="11288" xr:uid="{00000000-0005-0000-0000-0000FA490000}"/>
    <cellStyle name="Currency [1] 2" xfId="11289" xr:uid="{00000000-0005-0000-0000-0000FB490000}"/>
    <cellStyle name="Currency [1] 2 2" xfId="11290" xr:uid="{00000000-0005-0000-0000-0000FC490000}"/>
    <cellStyle name="Currency [1] 3" xfId="11291" xr:uid="{00000000-0005-0000-0000-0000FD490000}"/>
    <cellStyle name="Currency [1] 4" xfId="11292" xr:uid="{00000000-0005-0000-0000-0000FE490000}"/>
    <cellStyle name="Currency [1] 5" xfId="11293" xr:uid="{00000000-0005-0000-0000-0000FF490000}"/>
    <cellStyle name="Currency [2]" xfId="11294" xr:uid="{00000000-0005-0000-0000-0000004A0000}"/>
    <cellStyle name="Currency [3]" xfId="11295" xr:uid="{00000000-0005-0000-0000-0000014A0000}"/>
    <cellStyle name="Currency [3] 2" xfId="11296" xr:uid="{00000000-0005-0000-0000-0000024A0000}"/>
    <cellStyle name="Currency [4]" xfId="11297" xr:uid="{00000000-0005-0000-0000-0000034A0000}"/>
    <cellStyle name="Currency 0" xfId="11298" xr:uid="{00000000-0005-0000-0000-0000044A0000}"/>
    <cellStyle name="Currency 0 2" xfId="11299" xr:uid="{00000000-0005-0000-0000-0000054A0000}"/>
    <cellStyle name="Currency 0.0" xfId="11300" xr:uid="{00000000-0005-0000-0000-0000064A0000}"/>
    <cellStyle name="Currency 0.0%" xfId="11301" xr:uid="{00000000-0005-0000-0000-0000074A0000}"/>
    <cellStyle name="Currency 0.0% 2" xfId="11302" xr:uid="{00000000-0005-0000-0000-0000084A0000}"/>
    <cellStyle name="Currency 0.00" xfId="11303" xr:uid="{00000000-0005-0000-0000-0000094A0000}"/>
    <cellStyle name="Currency 0.00%" xfId="11304" xr:uid="{00000000-0005-0000-0000-00000A4A0000}"/>
    <cellStyle name="Currency 0.00% 2" xfId="11305" xr:uid="{00000000-0005-0000-0000-00000B4A0000}"/>
    <cellStyle name="Currency 0.000" xfId="11306" xr:uid="{00000000-0005-0000-0000-00000C4A0000}"/>
    <cellStyle name="Currency 0.000%" xfId="11307" xr:uid="{00000000-0005-0000-0000-00000D4A0000}"/>
    <cellStyle name="Currency 0.000% 2" xfId="11308" xr:uid="{00000000-0005-0000-0000-00000E4A0000}"/>
    <cellStyle name="Currency 14" xfId="20311" xr:uid="{00000000-0005-0000-0000-00000F4A0000}"/>
    <cellStyle name="Currency 2" xfId="3" xr:uid="{00000000-0005-0000-0000-0000104A0000}"/>
    <cellStyle name="Currency 2 2" xfId="11309" xr:uid="{00000000-0005-0000-0000-0000114A0000}"/>
    <cellStyle name="Currency 2 2 2" xfId="11310" xr:uid="{00000000-0005-0000-0000-0000124A0000}"/>
    <cellStyle name="Currency 2 2 2 2" xfId="11311" xr:uid="{00000000-0005-0000-0000-0000134A0000}"/>
    <cellStyle name="Currency 2 2 2 2 2" xfId="16135" xr:uid="{00000000-0005-0000-0000-0000144A0000}"/>
    <cellStyle name="Currency 2 2 2 2 3" xfId="20134" xr:uid="{00000000-0005-0000-0000-0000154A0000}"/>
    <cellStyle name="Currency 2 2 3" xfId="11312" xr:uid="{00000000-0005-0000-0000-0000164A0000}"/>
    <cellStyle name="Currency 2 2 3 2" xfId="16136" xr:uid="{00000000-0005-0000-0000-0000174A0000}"/>
    <cellStyle name="Currency 2 2 3 3" xfId="20135" xr:uid="{00000000-0005-0000-0000-0000184A0000}"/>
    <cellStyle name="Currency 2 3" xfId="11313" xr:uid="{00000000-0005-0000-0000-0000194A0000}"/>
    <cellStyle name="Currency 2 3 2" xfId="11314" xr:uid="{00000000-0005-0000-0000-00001A4A0000}"/>
    <cellStyle name="Currency 2 4" xfId="11315" xr:uid="{00000000-0005-0000-0000-00001B4A0000}"/>
    <cellStyle name="Currency 2 4 2" xfId="11316" xr:uid="{00000000-0005-0000-0000-00001C4A0000}"/>
    <cellStyle name="Currency 2 5" xfId="11317" xr:uid="{00000000-0005-0000-0000-00001D4A0000}"/>
    <cellStyle name="Currency 2 5 2" xfId="11318" xr:uid="{00000000-0005-0000-0000-00001E4A0000}"/>
    <cellStyle name="Currency 2 6" xfId="11319" xr:uid="{00000000-0005-0000-0000-00001F4A0000}"/>
    <cellStyle name="Currency 2 7" xfId="12430" xr:uid="{00000000-0005-0000-0000-0000204A0000}"/>
    <cellStyle name="Currency 2 8" xfId="16386" xr:uid="{00000000-0005-0000-0000-0000214A0000}"/>
    <cellStyle name="Currency 2*" xfId="11320" xr:uid="{00000000-0005-0000-0000-0000224A0000}"/>
    <cellStyle name="Currency 2_ Budgeted Income Statement for Y2008 (071508)" xfId="11321" xr:uid="{00000000-0005-0000-0000-0000234A0000}"/>
    <cellStyle name="Currency 3" xfId="11322" xr:uid="{00000000-0005-0000-0000-0000244A0000}"/>
    <cellStyle name="Currency 3 2" xfId="11323" xr:uid="{00000000-0005-0000-0000-0000254A0000}"/>
    <cellStyle name="Currency 3*" xfId="11324" xr:uid="{00000000-0005-0000-0000-0000264A0000}"/>
    <cellStyle name="Currency 3_ Budgeted Income Statement for Y2009 (071508)" xfId="11325" xr:uid="{00000000-0005-0000-0000-0000274A0000}"/>
    <cellStyle name="Currency 39" xfId="20396" xr:uid="{00000000-0005-0000-0000-0000284A0000}"/>
    <cellStyle name="Currency 4" xfId="11326" xr:uid="{00000000-0005-0000-0000-0000294A0000}"/>
    <cellStyle name="Currency 4 2" xfId="11327" xr:uid="{00000000-0005-0000-0000-00002A4A0000}"/>
    <cellStyle name="Currency 4 2 2" xfId="11328" xr:uid="{00000000-0005-0000-0000-00002B4A0000}"/>
    <cellStyle name="Currency 4 2 2 2" xfId="16137" xr:uid="{00000000-0005-0000-0000-00002C4A0000}"/>
    <cellStyle name="Currency 4 2 2 3" xfId="20136" xr:uid="{00000000-0005-0000-0000-00002D4A0000}"/>
    <cellStyle name="Currency 4 3" xfId="11329" xr:uid="{00000000-0005-0000-0000-00002E4A0000}"/>
    <cellStyle name="Currency 4 3 2" xfId="16138" xr:uid="{00000000-0005-0000-0000-00002F4A0000}"/>
    <cellStyle name="Currency 4 3 3" xfId="20137" xr:uid="{00000000-0005-0000-0000-0000304A0000}"/>
    <cellStyle name="Currency 5" xfId="11330" xr:uid="{00000000-0005-0000-0000-0000314A0000}"/>
    <cellStyle name="Currency 5 4" xfId="12423" xr:uid="{00000000-0005-0000-0000-0000324A0000}"/>
    <cellStyle name="Currency 6" xfId="11331" xr:uid="{00000000-0005-0000-0000-0000334A0000}"/>
    <cellStyle name="Currency 6 2" xfId="16139" xr:uid="{00000000-0005-0000-0000-0000344A0000}"/>
    <cellStyle name="Currency 6 3" xfId="20138" xr:uid="{00000000-0005-0000-0000-0000354A0000}"/>
    <cellStyle name="Currency 7" xfId="16218" xr:uid="{00000000-0005-0000-0000-0000364A0000}"/>
    <cellStyle name="Currency 7 2" xfId="20401" xr:uid="{00000000-0005-0000-0000-0000374A0000}"/>
    <cellStyle name="Currency 7 2 2" xfId="20272" xr:uid="{00000000-0005-0000-0000-0000384A0000}"/>
    <cellStyle name="Currency 9 3" xfId="20273" xr:uid="{00000000-0005-0000-0000-0000394A0000}"/>
    <cellStyle name="Currency 9 3 2" xfId="20274" xr:uid="{00000000-0005-0000-0000-00003A4A0000}"/>
    <cellStyle name="Currency Input" xfId="11332" xr:uid="{00000000-0005-0000-0000-00003B4A0000}"/>
    <cellStyle name="Currency Input 2" xfId="11333" xr:uid="{00000000-0005-0000-0000-00003C4A0000}"/>
    <cellStyle name="Currency*" xfId="11334" xr:uid="{00000000-0005-0000-0000-00003D4A0000}"/>
    <cellStyle name="Currency0" xfId="11335" xr:uid="{00000000-0005-0000-0000-00003E4A0000}"/>
    <cellStyle name="Currency0 2" xfId="11336" xr:uid="{00000000-0005-0000-0000-00003F4A0000}"/>
    <cellStyle name="Currency1" xfId="11337" xr:uid="{00000000-0005-0000-0000-0000404A0000}"/>
    <cellStyle name="Currency2" xfId="11338" xr:uid="{00000000-0005-0000-0000-0000414A0000}"/>
    <cellStyle name="Currsmall" xfId="11339" xr:uid="{00000000-0005-0000-0000-0000424A0000}"/>
    <cellStyle name="custom" xfId="11340" xr:uid="{00000000-0005-0000-0000-0000434A0000}"/>
    <cellStyle name="d" xfId="11341" xr:uid="{00000000-0005-0000-0000-0000444A0000}"/>
    <cellStyle name="d/m/yr" xfId="11342" xr:uid="{00000000-0005-0000-0000-0000454A0000}"/>
    <cellStyle name="DARK" xfId="11343" xr:uid="{00000000-0005-0000-0000-0000464A0000}"/>
    <cellStyle name="darren" xfId="11344" xr:uid="{00000000-0005-0000-0000-0000474A0000}"/>
    <cellStyle name="Dash" xfId="11345" xr:uid="{00000000-0005-0000-0000-0000484A0000}"/>
    <cellStyle name="Data entry" xfId="11346" xr:uid="{00000000-0005-0000-0000-0000494A0000}"/>
    <cellStyle name="Data Link" xfId="11347" xr:uid="{00000000-0005-0000-0000-00004A4A0000}"/>
    <cellStyle name="DataBases" xfId="11348" xr:uid="{00000000-0005-0000-0000-00004B4A0000}"/>
    <cellStyle name="DATASTYLE" xfId="11349" xr:uid="{00000000-0005-0000-0000-00004C4A0000}"/>
    <cellStyle name="DataToHide" xfId="11350" xr:uid="{00000000-0005-0000-0000-00004D4A0000}"/>
    <cellStyle name="Date" xfId="11351" xr:uid="{00000000-0005-0000-0000-00004E4A0000}"/>
    <cellStyle name="Date - Style1" xfId="11352" xr:uid="{00000000-0005-0000-0000-00004F4A0000}"/>
    <cellStyle name="Date - Style3" xfId="11353" xr:uid="{00000000-0005-0000-0000-0000504A0000}"/>
    <cellStyle name="Date [d-mmm-yy]" xfId="11354" xr:uid="{00000000-0005-0000-0000-0000514A0000}"/>
    <cellStyle name="Date [d-mmm-yy] 2" xfId="20312" xr:uid="{00000000-0005-0000-0000-0000524A0000}"/>
    <cellStyle name="Date [mm-d-yy]" xfId="11355" xr:uid="{00000000-0005-0000-0000-0000534A0000}"/>
    <cellStyle name="Date [mm-d-yy] 2" xfId="20313" xr:uid="{00000000-0005-0000-0000-0000544A0000}"/>
    <cellStyle name="Date [mm-d-yyyy]" xfId="11356" xr:uid="{00000000-0005-0000-0000-0000554A0000}"/>
    <cellStyle name="Date [mm-d-yyyy] 2" xfId="11357" xr:uid="{00000000-0005-0000-0000-0000564A0000}"/>
    <cellStyle name="Date [mmm-d-yyyy]" xfId="11358" xr:uid="{00000000-0005-0000-0000-0000574A0000}"/>
    <cellStyle name="Date [mmm-yy]" xfId="11359" xr:uid="{00000000-0005-0000-0000-0000584A0000}"/>
    <cellStyle name="Date [mmm-yy] 2" xfId="20314" xr:uid="{00000000-0005-0000-0000-0000594A0000}"/>
    <cellStyle name="Date 2" xfId="11360" xr:uid="{00000000-0005-0000-0000-00005A4A0000}"/>
    <cellStyle name="Date Aligned" xfId="11361" xr:uid="{00000000-0005-0000-0000-00005B4A0000}"/>
    <cellStyle name="Date Aligned*" xfId="11362" xr:uid="{00000000-0005-0000-0000-00005C4A0000}"/>
    <cellStyle name="Date Aligned_comps" xfId="11363" xr:uid="{00000000-0005-0000-0000-00005D4A0000}"/>
    <cellStyle name="Date Short" xfId="11364" xr:uid="{00000000-0005-0000-0000-00005E4A0000}"/>
    <cellStyle name="Date Short 2" xfId="20315" xr:uid="{00000000-0005-0000-0000-00005F4A0000}"/>
    <cellStyle name="Date Year" xfId="11365" xr:uid="{00000000-0005-0000-0000-0000604A0000}"/>
    <cellStyle name="Date_ACC_DIL Template" xfId="11366" xr:uid="{00000000-0005-0000-0000-0000614A0000}"/>
    <cellStyle name="Date1" xfId="11367" xr:uid="{00000000-0005-0000-0000-0000624A0000}"/>
    <cellStyle name="DateL" xfId="11368" xr:uid="{00000000-0005-0000-0000-0000634A0000}"/>
    <cellStyle name="DateLong" xfId="11369" xr:uid="{00000000-0005-0000-0000-0000644A0000}"/>
    <cellStyle name="DateLong 2" xfId="11370" xr:uid="{00000000-0005-0000-0000-0000654A0000}"/>
    <cellStyle name="DateLong 3" xfId="11371" xr:uid="{00000000-0005-0000-0000-0000664A0000}"/>
    <cellStyle name="DATES" xfId="11372" xr:uid="{00000000-0005-0000-0000-0000674A0000}"/>
    <cellStyle name="DATES 2" xfId="20316" xr:uid="{00000000-0005-0000-0000-0000684A0000}"/>
    <cellStyle name="DateShort" xfId="11373" xr:uid="{00000000-0005-0000-0000-0000694A0000}"/>
    <cellStyle name="DateShort 2" xfId="11374" xr:uid="{00000000-0005-0000-0000-00006A4A0000}"/>
    <cellStyle name="DateShort 3" xfId="11375" xr:uid="{00000000-0005-0000-0000-00006B4A0000}"/>
    <cellStyle name="DateYear" xfId="11376" xr:uid="{00000000-0005-0000-0000-00006C4A0000}"/>
    <cellStyle name="DateYearEstimate" xfId="11377" xr:uid="{00000000-0005-0000-0000-00006D4A0000}"/>
    <cellStyle name="DateYearEstimate 2" xfId="11378" xr:uid="{00000000-0005-0000-0000-00006E4A0000}"/>
    <cellStyle name="DateYearEstimate 2 2" xfId="11379" xr:uid="{00000000-0005-0000-0000-00006F4A0000}"/>
    <cellStyle name="DateYearEstimate 2 2 2" xfId="16142" xr:uid="{00000000-0005-0000-0000-0000704A0000}"/>
    <cellStyle name="DateYearEstimate 2 2 3" xfId="20141" xr:uid="{00000000-0005-0000-0000-0000714A0000}"/>
    <cellStyle name="DateYearEstimate 2 3" xfId="16141" xr:uid="{00000000-0005-0000-0000-0000724A0000}"/>
    <cellStyle name="DateYearEstimate 2 4" xfId="20140" xr:uid="{00000000-0005-0000-0000-0000734A0000}"/>
    <cellStyle name="DateYearEstimate 3" xfId="11380" xr:uid="{00000000-0005-0000-0000-0000744A0000}"/>
    <cellStyle name="DateYearEstimate 3 2" xfId="11381" xr:uid="{00000000-0005-0000-0000-0000754A0000}"/>
    <cellStyle name="DateYearEstimate 3 2 2" xfId="16144" xr:uid="{00000000-0005-0000-0000-0000764A0000}"/>
    <cellStyle name="DateYearEstimate 3 2 3" xfId="20143" xr:uid="{00000000-0005-0000-0000-0000774A0000}"/>
    <cellStyle name="DateYearEstimate 3 3" xfId="16143" xr:uid="{00000000-0005-0000-0000-0000784A0000}"/>
    <cellStyle name="DateYearEstimate 3 4" xfId="20142" xr:uid="{00000000-0005-0000-0000-0000794A0000}"/>
    <cellStyle name="DateYearEstimate 4" xfId="11382" xr:uid="{00000000-0005-0000-0000-00007A4A0000}"/>
    <cellStyle name="DateYearEstimate 4 2" xfId="16145" xr:uid="{00000000-0005-0000-0000-00007B4A0000}"/>
    <cellStyle name="DateYearEstimate 4 3" xfId="20144" xr:uid="{00000000-0005-0000-0000-00007C4A0000}"/>
    <cellStyle name="DateYearEstimate 5" xfId="16140" xr:uid="{00000000-0005-0000-0000-00007D4A0000}"/>
    <cellStyle name="DateYearEstimate 6" xfId="20139" xr:uid="{00000000-0005-0000-0000-00007E4A0000}"/>
    <cellStyle name="DateYearWholeEstimate" xfId="11383" xr:uid="{00000000-0005-0000-0000-00007F4A0000}"/>
    <cellStyle name="DateYearWholeEstimate 2" xfId="11384" xr:uid="{00000000-0005-0000-0000-0000804A0000}"/>
    <cellStyle name="DateYearWholeEstimate 2 2" xfId="11385" xr:uid="{00000000-0005-0000-0000-0000814A0000}"/>
    <cellStyle name="DateYearWholeEstimate 2 2 2" xfId="16148" xr:uid="{00000000-0005-0000-0000-0000824A0000}"/>
    <cellStyle name="DateYearWholeEstimate 2 2 3" xfId="20147" xr:uid="{00000000-0005-0000-0000-0000834A0000}"/>
    <cellStyle name="DateYearWholeEstimate 2 3" xfId="16147" xr:uid="{00000000-0005-0000-0000-0000844A0000}"/>
    <cellStyle name="DateYearWholeEstimate 2 4" xfId="20146" xr:uid="{00000000-0005-0000-0000-0000854A0000}"/>
    <cellStyle name="DateYearWholeEstimate 3" xfId="11386" xr:uid="{00000000-0005-0000-0000-0000864A0000}"/>
    <cellStyle name="DateYearWholeEstimate 3 2" xfId="11387" xr:uid="{00000000-0005-0000-0000-0000874A0000}"/>
    <cellStyle name="DateYearWholeEstimate 3 2 2" xfId="16150" xr:uid="{00000000-0005-0000-0000-0000884A0000}"/>
    <cellStyle name="DateYearWholeEstimate 3 2 3" xfId="20149" xr:uid="{00000000-0005-0000-0000-0000894A0000}"/>
    <cellStyle name="DateYearWholeEstimate 3 3" xfId="16149" xr:uid="{00000000-0005-0000-0000-00008A4A0000}"/>
    <cellStyle name="DateYearWholeEstimate 3 4" xfId="20148" xr:uid="{00000000-0005-0000-0000-00008B4A0000}"/>
    <cellStyle name="DateYearWholeEstimate 4" xfId="11388" xr:uid="{00000000-0005-0000-0000-00008C4A0000}"/>
    <cellStyle name="DateYearWholeEstimate 4 2" xfId="16151" xr:uid="{00000000-0005-0000-0000-00008D4A0000}"/>
    <cellStyle name="DateYearWholeEstimate 4 3" xfId="20150" xr:uid="{00000000-0005-0000-0000-00008E4A0000}"/>
    <cellStyle name="DateYearWholeEstimate 5" xfId="16146" xr:uid="{00000000-0005-0000-0000-00008F4A0000}"/>
    <cellStyle name="DateYearWholeEstimate 6" xfId="20145" xr:uid="{00000000-0005-0000-0000-0000904A0000}"/>
    <cellStyle name="Daydate" xfId="11389" xr:uid="{00000000-0005-0000-0000-0000914A0000}"/>
    <cellStyle name="Day-Mon-Yr" xfId="11390" xr:uid="{00000000-0005-0000-0000-0000924A0000}"/>
    <cellStyle name="Decimal" xfId="11391" xr:uid="{00000000-0005-0000-0000-0000934A0000}"/>
    <cellStyle name="Decimal Number" xfId="11392" xr:uid="{00000000-0005-0000-0000-0000944A0000}"/>
    <cellStyle name="default" xfId="11393" xr:uid="{00000000-0005-0000-0000-0000954A0000}"/>
    <cellStyle name="Default SS" xfId="11394" xr:uid="{00000000-0005-0000-0000-0000964A0000}"/>
    <cellStyle name="Default TB" xfId="11395" xr:uid="{00000000-0005-0000-0000-0000974A0000}"/>
    <cellStyle name="Default_affinityfin12-11-06" xfId="11396" xr:uid="{00000000-0005-0000-0000-0000984A0000}"/>
    <cellStyle name="DELTA" xfId="11397" xr:uid="{00000000-0005-0000-0000-0000994A0000}"/>
    <cellStyle name="Dezimal [0]_!!!GO" xfId="11398" xr:uid="{00000000-0005-0000-0000-00009A4A0000}"/>
    <cellStyle name="Dezimal_!!!GO" xfId="11399" xr:uid="{00000000-0005-0000-0000-00009B4A0000}"/>
    <cellStyle name="Dollar" xfId="11400" xr:uid="{00000000-0005-0000-0000-00009C4A0000}"/>
    <cellStyle name="Dollar (zero dec)" xfId="11401" xr:uid="{00000000-0005-0000-0000-00009D4A0000}"/>
    <cellStyle name="Dollar 2" xfId="20317" xr:uid="{00000000-0005-0000-0000-00009E4A0000}"/>
    <cellStyle name="Dollar1" xfId="11402" xr:uid="{00000000-0005-0000-0000-00009F4A0000}"/>
    <cellStyle name="Dollar1Blue" xfId="11403" xr:uid="{00000000-0005-0000-0000-0000A04A0000}"/>
    <cellStyle name="Dollar2" xfId="11404" xr:uid="{00000000-0005-0000-0000-0000A14A0000}"/>
    <cellStyle name="DOLLARLIN" xfId="11405" xr:uid="{00000000-0005-0000-0000-0000A24A0000}"/>
    <cellStyle name="dollars" xfId="11406" xr:uid="{00000000-0005-0000-0000-0000A34A0000}"/>
    <cellStyle name="Dollars []" xfId="11407" xr:uid="{00000000-0005-0000-0000-0000A44A0000}"/>
    <cellStyle name="dollars 2" xfId="20318" xr:uid="{00000000-0005-0000-0000-0000A54A0000}"/>
    <cellStyle name="dollars 3" xfId="20319" xr:uid="{00000000-0005-0000-0000-0000A64A0000}"/>
    <cellStyle name="dollars_Book2" xfId="11408" xr:uid="{00000000-0005-0000-0000-0000A74A0000}"/>
    <cellStyle name="DOLLARSIN" xfId="11409" xr:uid="{00000000-0005-0000-0000-0000A84A0000}"/>
    <cellStyle name="DollarWhole" xfId="11410" xr:uid="{00000000-0005-0000-0000-0000A94A0000}"/>
    <cellStyle name="DollarWhole 2" xfId="20320" xr:uid="{00000000-0005-0000-0000-0000AA4A0000}"/>
    <cellStyle name="Dotted Line" xfId="11411" xr:uid="{00000000-0005-0000-0000-0000AB4A0000}"/>
    <cellStyle name="Double Accounting" xfId="11412" xr:uid="{00000000-0005-0000-0000-0000AC4A0000}"/>
    <cellStyle name="Double Underline" xfId="11413" xr:uid="{00000000-0005-0000-0000-0000AD4A0000}"/>
    <cellStyle name="Download" xfId="11414" xr:uid="{00000000-0005-0000-0000-0000AE4A0000}"/>
    <cellStyle name="Download 2" xfId="20321" xr:uid="{00000000-0005-0000-0000-0000AF4A0000}"/>
    <cellStyle name="Enter Currency (0)" xfId="11415" xr:uid="{00000000-0005-0000-0000-0000B04A0000}"/>
    <cellStyle name="Enter Currency (2)" xfId="11416" xr:uid="{00000000-0005-0000-0000-0000B14A0000}"/>
    <cellStyle name="Enter Units (0)" xfId="11417" xr:uid="{00000000-0005-0000-0000-0000B24A0000}"/>
    <cellStyle name="Enter Units (1)" xfId="11418" xr:uid="{00000000-0005-0000-0000-0000B34A0000}"/>
    <cellStyle name="Enter Units (2)" xfId="11419" xr:uid="{00000000-0005-0000-0000-0000B44A0000}"/>
    <cellStyle name="ENTER_DATA" xfId="11420" xr:uid="{00000000-0005-0000-0000-0000B54A0000}"/>
    <cellStyle name="Entered" xfId="11421" xr:uid="{00000000-0005-0000-0000-0000B64A0000}"/>
    <cellStyle name="Entities" xfId="11422" xr:uid="{00000000-0005-0000-0000-0000B74A0000}"/>
    <cellStyle name="Euro" xfId="11423" xr:uid="{00000000-0005-0000-0000-0000B84A0000}"/>
    <cellStyle name="Euro 10" xfId="11424" xr:uid="{00000000-0005-0000-0000-0000B94A0000}"/>
    <cellStyle name="Euro 11" xfId="11425" xr:uid="{00000000-0005-0000-0000-0000BA4A0000}"/>
    <cellStyle name="Euro 2" xfId="11426" xr:uid="{00000000-0005-0000-0000-0000BB4A0000}"/>
    <cellStyle name="Euro 3" xfId="11427" xr:uid="{00000000-0005-0000-0000-0000BC4A0000}"/>
    <cellStyle name="Euro 4" xfId="11428" xr:uid="{00000000-0005-0000-0000-0000BD4A0000}"/>
    <cellStyle name="Euro 5" xfId="11429" xr:uid="{00000000-0005-0000-0000-0000BE4A0000}"/>
    <cellStyle name="Euro 6" xfId="11430" xr:uid="{00000000-0005-0000-0000-0000BF4A0000}"/>
    <cellStyle name="Euro 7" xfId="11431" xr:uid="{00000000-0005-0000-0000-0000C04A0000}"/>
    <cellStyle name="Euro 8" xfId="11432" xr:uid="{00000000-0005-0000-0000-0000C14A0000}"/>
    <cellStyle name="Euro 8 2" xfId="11433" xr:uid="{00000000-0005-0000-0000-0000C24A0000}"/>
    <cellStyle name="Euro 9" xfId="11434" xr:uid="{00000000-0005-0000-0000-0000C34A0000}"/>
    <cellStyle name="Euro 9 2" xfId="11435" xr:uid="{00000000-0005-0000-0000-0000C44A0000}"/>
    <cellStyle name="Excel Built-in Comma" xfId="11436" xr:uid="{00000000-0005-0000-0000-0000C54A0000}"/>
    <cellStyle name="Excel Built-in Normal" xfId="11437" xr:uid="{00000000-0005-0000-0000-0000C64A0000}"/>
    <cellStyle name="Explanatory Text 10" xfId="11438" xr:uid="{00000000-0005-0000-0000-0000C74A0000}"/>
    <cellStyle name="Explanatory Text 11" xfId="11439" xr:uid="{00000000-0005-0000-0000-0000C84A0000}"/>
    <cellStyle name="Explanatory Text 12" xfId="11440" xr:uid="{00000000-0005-0000-0000-0000C94A0000}"/>
    <cellStyle name="Explanatory Text 13" xfId="11441" xr:uid="{00000000-0005-0000-0000-0000CA4A0000}"/>
    <cellStyle name="Explanatory Text 2" xfId="11442" xr:uid="{00000000-0005-0000-0000-0000CB4A0000}"/>
    <cellStyle name="Explanatory Text 3" xfId="11443" xr:uid="{00000000-0005-0000-0000-0000CC4A0000}"/>
    <cellStyle name="Explanatory Text 4" xfId="11444" xr:uid="{00000000-0005-0000-0000-0000CD4A0000}"/>
    <cellStyle name="Explanatory Text 5" xfId="11445" xr:uid="{00000000-0005-0000-0000-0000CE4A0000}"/>
    <cellStyle name="Explanatory Text 6" xfId="11446" xr:uid="{00000000-0005-0000-0000-0000CF4A0000}"/>
    <cellStyle name="Explanatory Text 7" xfId="11447" xr:uid="{00000000-0005-0000-0000-0000D04A0000}"/>
    <cellStyle name="Explanatory Text 8" xfId="11448" xr:uid="{00000000-0005-0000-0000-0000D14A0000}"/>
    <cellStyle name="Explanatory Text 9" xfId="11449" xr:uid="{00000000-0005-0000-0000-0000D24A0000}"/>
    <cellStyle name="F2" xfId="11450" xr:uid="{00000000-0005-0000-0000-0000D34A0000}"/>
    <cellStyle name="F3" xfId="11451" xr:uid="{00000000-0005-0000-0000-0000D44A0000}"/>
    <cellStyle name="F4" xfId="11452" xr:uid="{00000000-0005-0000-0000-0000D54A0000}"/>
    <cellStyle name="F5" xfId="11453" xr:uid="{00000000-0005-0000-0000-0000D64A0000}"/>
    <cellStyle name="F6" xfId="11454" xr:uid="{00000000-0005-0000-0000-0000D74A0000}"/>
    <cellStyle name="F7" xfId="11455" xr:uid="{00000000-0005-0000-0000-0000D84A0000}"/>
    <cellStyle name="F8" xfId="11456" xr:uid="{00000000-0005-0000-0000-0000D94A0000}"/>
    <cellStyle name="factsheet" xfId="11457" xr:uid="{00000000-0005-0000-0000-0000DA4A0000}"/>
    <cellStyle name="Final_Data" xfId="11458" xr:uid="{00000000-0005-0000-0000-0000DB4A0000}"/>
    <cellStyle name="First_nums" xfId="11459" xr:uid="{00000000-0005-0000-0000-0000DC4A0000}"/>
    <cellStyle name="Fixed" xfId="11460" xr:uid="{00000000-0005-0000-0000-0000DD4A0000}"/>
    <cellStyle name="Fixed [0]" xfId="11461" xr:uid="{00000000-0005-0000-0000-0000DE4A0000}"/>
    <cellStyle name="Fixed_Burdick DCF Model -10" xfId="11462" xr:uid="{00000000-0005-0000-0000-0000DF4A0000}"/>
    <cellStyle name="Fixed0" xfId="11463" xr:uid="{00000000-0005-0000-0000-0000E04A0000}"/>
    <cellStyle name="Fixed2 - Style2" xfId="11464" xr:uid="{00000000-0005-0000-0000-0000E14A0000}"/>
    <cellStyle name="Fixlong" xfId="11465" xr:uid="{00000000-0005-0000-0000-0000E24A0000}"/>
    <cellStyle name="Följd hyperlänk_Analysis of building cost to 300904.xls" xfId="11466" xr:uid="{00000000-0005-0000-0000-0000E34A0000}"/>
    <cellStyle name="Följde hyperlänken_2001 EPS SUMMARY" xfId="11467" xr:uid="{00000000-0005-0000-0000-0000E44A0000}"/>
    <cellStyle name="Footer" xfId="11468" xr:uid="{00000000-0005-0000-0000-0000E54A0000}"/>
    <cellStyle name="Footnote" xfId="11469" xr:uid="{00000000-0005-0000-0000-0000E64A0000}"/>
    <cellStyle name="Footnote 2" xfId="20322" xr:uid="{00000000-0005-0000-0000-0000E74A0000}"/>
    <cellStyle name="ForecastInput" xfId="11470" xr:uid="{00000000-0005-0000-0000-0000E84A0000}"/>
    <cellStyle name="Format Number Column" xfId="11471" xr:uid="{00000000-0005-0000-0000-0000E94A0000}"/>
    <cellStyle name="Formula" xfId="11472" xr:uid="{00000000-0005-0000-0000-0000EA4A0000}"/>
    <cellStyle name="FRxAmtStyle" xfId="11473" xr:uid="{00000000-0005-0000-0000-0000EB4A0000}"/>
    <cellStyle name="FRxAmtStyle 2" xfId="11474" xr:uid="{00000000-0005-0000-0000-0000EC4A0000}"/>
    <cellStyle name="FRxCurrStyle" xfId="11475" xr:uid="{00000000-0005-0000-0000-0000ED4A0000}"/>
    <cellStyle name="FRxPcntStyle" xfId="11476" xr:uid="{00000000-0005-0000-0000-0000EE4A0000}"/>
    <cellStyle name="Global" xfId="11477" xr:uid="{00000000-0005-0000-0000-0000EF4A0000}"/>
    <cellStyle name="Global 2" xfId="11478" xr:uid="{00000000-0005-0000-0000-0000F04A0000}"/>
    <cellStyle name="Global 2 2" xfId="11479" xr:uid="{00000000-0005-0000-0000-0000F14A0000}"/>
    <cellStyle name="Global 2 2 2" xfId="16154" xr:uid="{00000000-0005-0000-0000-0000F24A0000}"/>
    <cellStyle name="Global 2 2 3" xfId="20153" xr:uid="{00000000-0005-0000-0000-0000F34A0000}"/>
    <cellStyle name="Global 2 3" xfId="16153" xr:uid="{00000000-0005-0000-0000-0000F44A0000}"/>
    <cellStyle name="Global 2 4" xfId="20152" xr:uid="{00000000-0005-0000-0000-0000F54A0000}"/>
    <cellStyle name="Global 3" xfId="11480" xr:uid="{00000000-0005-0000-0000-0000F64A0000}"/>
    <cellStyle name="Global 3 2" xfId="11481" xr:uid="{00000000-0005-0000-0000-0000F74A0000}"/>
    <cellStyle name="Global 3 2 2" xfId="16156" xr:uid="{00000000-0005-0000-0000-0000F84A0000}"/>
    <cellStyle name="Global 3 2 3" xfId="20155" xr:uid="{00000000-0005-0000-0000-0000F94A0000}"/>
    <cellStyle name="Global 3 3" xfId="16155" xr:uid="{00000000-0005-0000-0000-0000FA4A0000}"/>
    <cellStyle name="Global 3 4" xfId="20154" xr:uid="{00000000-0005-0000-0000-0000FB4A0000}"/>
    <cellStyle name="Global 4" xfId="11482" xr:uid="{00000000-0005-0000-0000-0000FC4A0000}"/>
    <cellStyle name="Global 4 2" xfId="16157" xr:uid="{00000000-0005-0000-0000-0000FD4A0000}"/>
    <cellStyle name="Global 4 3" xfId="20156" xr:uid="{00000000-0005-0000-0000-0000FE4A0000}"/>
    <cellStyle name="Global 5" xfId="16152" xr:uid="{00000000-0005-0000-0000-0000FF4A0000}"/>
    <cellStyle name="Global 6" xfId="20151" xr:uid="{00000000-0005-0000-0000-0000004B0000}"/>
    <cellStyle name="Good 10" xfId="11483" xr:uid="{00000000-0005-0000-0000-0000014B0000}"/>
    <cellStyle name="Good 11" xfId="11484" xr:uid="{00000000-0005-0000-0000-0000024B0000}"/>
    <cellStyle name="Good 12" xfId="11485" xr:uid="{00000000-0005-0000-0000-0000034B0000}"/>
    <cellStyle name="Good 13" xfId="11486" xr:uid="{00000000-0005-0000-0000-0000044B0000}"/>
    <cellStyle name="Good 2" xfId="11487" xr:uid="{00000000-0005-0000-0000-0000054B0000}"/>
    <cellStyle name="Good 3" xfId="11488" xr:uid="{00000000-0005-0000-0000-0000064B0000}"/>
    <cellStyle name="Good 4" xfId="11489" xr:uid="{00000000-0005-0000-0000-0000074B0000}"/>
    <cellStyle name="Good 5" xfId="11490" xr:uid="{00000000-0005-0000-0000-0000084B0000}"/>
    <cellStyle name="Good 6" xfId="11491" xr:uid="{00000000-0005-0000-0000-0000094B0000}"/>
    <cellStyle name="Good 7" xfId="11492" xr:uid="{00000000-0005-0000-0000-00000A4B0000}"/>
    <cellStyle name="Good 8" xfId="11493" xr:uid="{00000000-0005-0000-0000-00000B4B0000}"/>
    <cellStyle name="Good 9" xfId="11494" xr:uid="{00000000-0005-0000-0000-00000C4B0000}"/>
    <cellStyle name="grayText2" xfId="11495" xr:uid="{00000000-0005-0000-0000-00000D4B0000}"/>
    <cellStyle name="grayText2Big" xfId="11496" xr:uid="{00000000-0005-0000-0000-00000E4B0000}"/>
    <cellStyle name="grayText2Big 2" xfId="20323" xr:uid="{00000000-0005-0000-0000-00000F4B0000}"/>
    <cellStyle name="Grey" xfId="11497" xr:uid="{00000000-0005-0000-0000-0000104B0000}"/>
    <cellStyle name="Grey 2" xfId="11498" xr:uid="{00000000-0005-0000-0000-0000114B0000}"/>
    <cellStyle name="Grey 3" xfId="11499" xr:uid="{00000000-0005-0000-0000-0000124B0000}"/>
    <cellStyle name="Grey 4" xfId="11500" xr:uid="{00000000-0005-0000-0000-0000134B0000}"/>
    <cellStyle name="Growth" xfId="11501" xr:uid="{00000000-0005-0000-0000-0000144B0000}"/>
    <cellStyle name="Growth 2" xfId="20324" xr:uid="{00000000-0005-0000-0000-0000154B0000}"/>
    <cellStyle name="GrowthRate" xfId="11502" xr:uid="{00000000-0005-0000-0000-0000164B0000}"/>
    <cellStyle name="GrowthRate 2" xfId="20325" xr:uid="{00000000-0005-0000-0000-0000174B0000}"/>
    <cellStyle name="H 2" xfId="11503" xr:uid="{00000000-0005-0000-0000-0000184B0000}"/>
    <cellStyle name="hard no" xfId="11504" xr:uid="{00000000-0005-0000-0000-0000194B0000}"/>
    <cellStyle name="Hard Percent" xfId="11505" xr:uid="{00000000-0005-0000-0000-00001A4B0000}"/>
    <cellStyle name="hardno" xfId="11506" xr:uid="{00000000-0005-0000-0000-00001B4B0000}"/>
    <cellStyle name="Head" xfId="11507" xr:uid="{00000000-0005-0000-0000-00001C4B0000}"/>
    <cellStyle name="header" xfId="11508" xr:uid="{00000000-0005-0000-0000-00001D4B0000}"/>
    <cellStyle name="header 2" xfId="20326" xr:uid="{00000000-0005-0000-0000-00001E4B0000}"/>
    <cellStyle name="Header Total" xfId="11509" xr:uid="{00000000-0005-0000-0000-00001F4B0000}"/>
    <cellStyle name="Header_affinityfin12-11-06" xfId="11510" xr:uid="{00000000-0005-0000-0000-0000204B0000}"/>
    <cellStyle name="Header1" xfId="11511" xr:uid="{00000000-0005-0000-0000-0000214B0000}"/>
    <cellStyle name="Header1 2" xfId="20327" xr:uid="{00000000-0005-0000-0000-0000224B0000}"/>
    <cellStyle name="Header2" xfId="11512" xr:uid="{00000000-0005-0000-0000-0000234B0000}"/>
    <cellStyle name="Header2 2" xfId="11513" xr:uid="{00000000-0005-0000-0000-0000244B0000}"/>
    <cellStyle name="Header2 2 2" xfId="11514" xr:uid="{00000000-0005-0000-0000-0000254B0000}"/>
    <cellStyle name="Header2 2 2 2" xfId="16159" xr:uid="{00000000-0005-0000-0000-0000264B0000}"/>
    <cellStyle name="Header2 2 2 3" xfId="20158" xr:uid="{00000000-0005-0000-0000-0000274B0000}"/>
    <cellStyle name="Header2 2 3" xfId="16158" xr:uid="{00000000-0005-0000-0000-0000284B0000}"/>
    <cellStyle name="Header2 2 4" xfId="20157" xr:uid="{00000000-0005-0000-0000-0000294B0000}"/>
    <cellStyle name="Header2 3" xfId="11515" xr:uid="{00000000-0005-0000-0000-00002A4B0000}"/>
    <cellStyle name="Header2 3 2" xfId="11516" xr:uid="{00000000-0005-0000-0000-00002B4B0000}"/>
    <cellStyle name="Header2 3 2 2" xfId="16161" xr:uid="{00000000-0005-0000-0000-00002C4B0000}"/>
    <cellStyle name="Header2 3 2 3" xfId="20160" xr:uid="{00000000-0005-0000-0000-00002D4B0000}"/>
    <cellStyle name="Header2 3 3" xfId="16160" xr:uid="{00000000-0005-0000-0000-00002E4B0000}"/>
    <cellStyle name="Header2 3 4" xfId="20159" xr:uid="{00000000-0005-0000-0000-00002F4B0000}"/>
    <cellStyle name="Header3" xfId="11517" xr:uid="{00000000-0005-0000-0000-0000304B0000}"/>
    <cellStyle name="Header4" xfId="11518" xr:uid="{00000000-0005-0000-0000-0000314B0000}"/>
    <cellStyle name="Heading" xfId="11519" xr:uid="{00000000-0005-0000-0000-0000324B0000}"/>
    <cellStyle name="Heading 1 10" xfId="11520" xr:uid="{00000000-0005-0000-0000-0000334B0000}"/>
    <cellStyle name="Heading 1 11" xfId="11521" xr:uid="{00000000-0005-0000-0000-0000344B0000}"/>
    <cellStyle name="Heading 1 12" xfId="11522" xr:uid="{00000000-0005-0000-0000-0000354B0000}"/>
    <cellStyle name="Heading 1 13" xfId="11523" xr:uid="{00000000-0005-0000-0000-0000364B0000}"/>
    <cellStyle name="Heading 1 2" xfId="11524" xr:uid="{00000000-0005-0000-0000-0000374B0000}"/>
    <cellStyle name="Heading 1 3" xfId="11525" xr:uid="{00000000-0005-0000-0000-0000384B0000}"/>
    <cellStyle name="Heading 1 4" xfId="11526" xr:uid="{00000000-0005-0000-0000-0000394B0000}"/>
    <cellStyle name="Heading 1 5" xfId="11527" xr:uid="{00000000-0005-0000-0000-00003A4B0000}"/>
    <cellStyle name="Heading 1 6" xfId="11528" xr:uid="{00000000-0005-0000-0000-00003B4B0000}"/>
    <cellStyle name="Heading 1 7" xfId="11529" xr:uid="{00000000-0005-0000-0000-00003C4B0000}"/>
    <cellStyle name="Heading 1 8" xfId="11530" xr:uid="{00000000-0005-0000-0000-00003D4B0000}"/>
    <cellStyle name="Heading 1 9" xfId="11531" xr:uid="{00000000-0005-0000-0000-00003E4B0000}"/>
    <cellStyle name="Heading 2 10" xfId="11532" xr:uid="{00000000-0005-0000-0000-00003F4B0000}"/>
    <cellStyle name="Heading 2 11" xfId="11533" xr:uid="{00000000-0005-0000-0000-0000404B0000}"/>
    <cellStyle name="Heading 2 12" xfId="11534" xr:uid="{00000000-0005-0000-0000-0000414B0000}"/>
    <cellStyle name="Heading 2 13" xfId="11535" xr:uid="{00000000-0005-0000-0000-0000424B0000}"/>
    <cellStyle name="Heading 2 2" xfId="11536" xr:uid="{00000000-0005-0000-0000-0000434B0000}"/>
    <cellStyle name="Heading 2 3" xfId="11537" xr:uid="{00000000-0005-0000-0000-0000444B0000}"/>
    <cellStyle name="Heading 2 4" xfId="11538" xr:uid="{00000000-0005-0000-0000-0000454B0000}"/>
    <cellStyle name="Heading 2 5" xfId="11539" xr:uid="{00000000-0005-0000-0000-0000464B0000}"/>
    <cellStyle name="Heading 2 6" xfId="11540" xr:uid="{00000000-0005-0000-0000-0000474B0000}"/>
    <cellStyle name="Heading 2 7" xfId="11541" xr:uid="{00000000-0005-0000-0000-0000484B0000}"/>
    <cellStyle name="Heading 2 8" xfId="11542" xr:uid="{00000000-0005-0000-0000-0000494B0000}"/>
    <cellStyle name="Heading 2 9" xfId="11543" xr:uid="{00000000-0005-0000-0000-00004A4B0000}"/>
    <cellStyle name="Heading 3 10" xfId="11544" xr:uid="{00000000-0005-0000-0000-00004B4B0000}"/>
    <cellStyle name="Heading 3 11" xfId="11545" xr:uid="{00000000-0005-0000-0000-00004C4B0000}"/>
    <cellStyle name="Heading 3 12" xfId="11546" xr:uid="{00000000-0005-0000-0000-00004D4B0000}"/>
    <cellStyle name="Heading 3 13" xfId="11547" xr:uid="{00000000-0005-0000-0000-00004E4B0000}"/>
    <cellStyle name="Heading 3 2" xfId="11548" xr:uid="{00000000-0005-0000-0000-00004F4B0000}"/>
    <cellStyle name="Heading 3 3" xfId="11549" xr:uid="{00000000-0005-0000-0000-0000504B0000}"/>
    <cellStyle name="Heading 3 4" xfId="11550" xr:uid="{00000000-0005-0000-0000-0000514B0000}"/>
    <cellStyle name="Heading 3 5" xfId="11551" xr:uid="{00000000-0005-0000-0000-0000524B0000}"/>
    <cellStyle name="Heading 3 6" xfId="11552" xr:uid="{00000000-0005-0000-0000-0000534B0000}"/>
    <cellStyle name="Heading 3 7" xfId="11553" xr:uid="{00000000-0005-0000-0000-0000544B0000}"/>
    <cellStyle name="Heading 3 8" xfId="11554" xr:uid="{00000000-0005-0000-0000-0000554B0000}"/>
    <cellStyle name="Heading 3 9" xfId="11555" xr:uid="{00000000-0005-0000-0000-0000564B0000}"/>
    <cellStyle name="Heading 4 10" xfId="11556" xr:uid="{00000000-0005-0000-0000-0000574B0000}"/>
    <cellStyle name="Heading 4 11" xfId="11557" xr:uid="{00000000-0005-0000-0000-0000584B0000}"/>
    <cellStyle name="Heading 4 12" xfId="11558" xr:uid="{00000000-0005-0000-0000-0000594B0000}"/>
    <cellStyle name="Heading 4 13" xfId="11559" xr:uid="{00000000-0005-0000-0000-00005A4B0000}"/>
    <cellStyle name="Heading 4 2" xfId="11560" xr:uid="{00000000-0005-0000-0000-00005B4B0000}"/>
    <cellStyle name="Heading 4 3" xfId="11561" xr:uid="{00000000-0005-0000-0000-00005C4B0000}"/>
    <cellStyle name="Heading 4 4" xfId="11562" xr:uid="{00000000-0005-0000-0000-00005D4B0000}"/>
    <cellStyle name="Heading 4 5" xfId="11563" xr:uid="{00000000-0005-0000-0000-00005E4B0000}"/>
    <cellStyle name="Heading 4 6" xfId="11564" xr:uid="{00000000-0005-0000-0000-00005F4B0000}"/>
    <cellStyle name="Heading 4 7" xfId="11565" xr:uid="{00000000-0005-0000-0000-0000604B0000}"/>
    <cellStyle name="Heading 4 8" xfId="11566" xr:uid="{00000000-0005-0000-0000-0000614B0000}"/>
    <cellStyle name="Heading 4 9" xfId="11567" xr:uid="{00000000-0005-0000-0000-0000624B0000}"/>
    <cellStyle name="Heading 5" xfId="11568" xr:uid="{00000000-0005-0000-0000-0000634B0000}"/>
    <cellStyle name="Heading No Underline" xfId="11569" xr:uid="{00000000-0005-0000-0000-0000644B0000}"/>
    <cellStyle name="Heading With Underline" xfId="11570" xr:uid="{00000000-0005-0000-0000-0000654B0000}"/>
    <cellStyle name="Heading With Underline 2" xfId="11571" xr:uid="{00000000-0005-0000-0000-0000664B0000}"/>
    <cellStyle name="Heading With Underline 2 2" xfId="20275" xr:uid="{00000000-0005-0000-0000-0000674B0000}"/>
    <cellStyle name="Heading With Underline 3" xfId="11572" xr:uid="{00000000-0005-0000-0000-0000684B0000}"/>
    <cellStyle name="Heading With Underline 3 2" xfId="20276" xr:uid="{00000000-0005-0000-0000-0000694B0000}"/>
    <cellStyle name="Heading With Underline 4" xfId="20277" xr:uid="{00000000-0005-0000-0000-00006A4B0000}"/>
    <cellStyle name="Heading1" xfId="11573" xr:uid="{00000000-0005-0000-0000-00006B4B0000}"/>
    <cellStyle name="Heading2" xfId="11574" xr:uid="{00000000-0005-0000-0000-00006C4B0000}"/>
    <cellStyle name="Heading3" xfId="11575" xr:uid="{00000000-0005-0000-0000-00006D4B0000}"/>
    <cellStyle name="HEADINGS" xfId="11576" xr:uid="{00000000-0005-0000-0000-00006E4B0000}"/>
    <cellStyle name="Headings2" xfId="11577" xr:uid="{00000000-0005-0000-0000-00006F4B0000}"/>
    <cellStyle name="Headings2 2" xfId="11578" xr:uid="{00000000-0005-0000-0000-0000704B0000}"/>
    <cellStyle name="Headings2 2 2" xfId="11579" xr:uid="{00000000-0005-0000-0000-0000714B0000}"/>
    <cellStyle name="Headings2 2 2 2" xfId="20163" xr:uid="{00000000-0005-0000-0000-0000724B0000}"/>
    <cellStyle name="Headings2 2 3" xfId="20162" xr:uid="{00000000-0005-0000-0000-0000734B0000}"/>
    <cellStyle name="Headings2 3" xfId="11580" xr:uid="{00000000-0005-0000-0000-0000744B0000}"/>
    <cellStyle name="Headings2 3 2" xfId="11581" xr:uid="{00000000-0005-0000-0000-0000754B0000}"/>
    <cellStyle name="Headings2 3 2 2" xfId="20165" xr:uid="{00000000-0005-0000-0000-0000764B0000}"/>
    <cellStyle name="Headings2 3 3" xfId="20164" xr:uid="{00000000-0005-0000-0000-0000774B0000}"/>
    <cellStyle name="Headings2 4" xfId="11582" xr:uid="{00000000-0005-0000-0000-0000784B0000}"/>
    <cellStyle name="Headings2 4 2" xfId="20166" xr:uid="{00000000-0005-0000-0000-0000794B0000}"/>
    <cellStyle name="Headings2 5" xfId="20161" xr:uid="{00000000-0005-0000-0000-00007A4B0000}"/>
    <cellStyle name="Headings2b" xfId="11583" xr:uid="{00000000-0005-0000-0000-00007B4B0000}"/>
    <cellStyle name="Headings2b 2" xfId="11584" xr:uid="{00000000-0005-0000-0000-00007C4B0000}"/>
    <cellStyle name="Headings2b 2 2" xfId="11585" xr:uid="{00000000-0005-0000-0000-00007D4B0000}"/>
    <cellStyle name="Headings2b 2 2 2" xfId="20169" xr:uid="{00000000-0005-0000-0000-00007E4B0000}"/>
    <cellStyle name="Headings2b 2 3" xfId="20168" xr:uid="{00000000-0005-0000-0000-00007F4B0000}"/>
    <cellStyle name="Headings2b 3" xfId="11586" xr:uid="{00000000-0005-0000-0000-0000804B0000}"/>
    <cellStyle name="Headings2b 3 2" xfId="11587" xr:uid="{00000000-0005-0000-0000-0000814B0000}"/>
    <cellStyle name="Headings2b 3 2 2" xfId="20171" xr:uid="{00000000-0005-0000-0000-0000824B0000}"/>
    <cellStyle name="Headings2b 3 3" xfId="20170" xr:uid="{00000000-0005-0000-0000-0000834B0000}"/>
    <cellStyle name="Headings2b 4" xfId="11588" xr:uid="{00000000-0005-0000-0000-0000844B0000}"/>
    <cellStyle name="Headings2b 4 2" xfId="20172" xr:uid="{00000000-0005-0000-0000-0000854B0000}"/>
    <cellStyle name="Headings2b 5" xfId="20167" xr:uid="{00000000-0005-0000-0000-0000864B0000}"/>
    <cellStyle name="HEADINGSTOP" xfId="11589" xr:uid="{00000000-0005-0000-0000-0000874B0000}"/>
    <cellStyle name="Hidden" xfId="11590" xr:uid="{00000000-0005-0000-0000-0000884B0000}"/>
    <cellStyle name="HIDDEN 2" xfId="20328" xr:uid="{00000000-0005-0000-0000-0000894B0000}"/>
    <cellStyle name="HIGHLIGHT" xfId="11591" xr:uid="{00000000-0005-0000-0000-00008A4B0000}"/>
    <cellStyle name="Hyperlänk_2000 DVD COSTS.xls" xfId="11592" xr:uid="{00000000-0005-0000-0000-00008B4B0000}"/>
    <cellStyle name="Hyperlink" xfId="20385" builtinId="8"/>
    <cellStyle name="Hyperlink 2" xfId="11593" xr:uid="{00000000-0005-0000-0000-00008D4B0000}"/>
    <cellStyle name="Hyperlink 3" xfId="11594" xr:uid="{00000000-0005-0000-0000-00008E4B0000}"/>
    <cellStyle name="IDEO" xfId="11595" xr:uid="{00000000-0005-0000-0000-00008F4B0000}"/>
    <cellStyle name="iemens" xfId="11596" xr:uid="{00000000-0005-0000-0000-0000904B0000}"/>
    <cellStyle name="IncomeStatement" xfId="11597" xr:uid="{00000000-0005-0000-0000-0000914B0000}"/>
    <cellStyle name="IncomeStatement 2" xfId="20329" xr:uid="{00000000-0005-0000-0000-0000924B0000}"/>
    <cellStyle name="Input [yellow]" xfId="11598" xr:uid="{00000000-0005-0000-0000-0000934B0000}"/>
    <cellStyle name="Input [yellow] 2" xfId="11599" xr:uid="{00000000-0005-0000-0000-0000944B0000}"/>
    <cellStyle name="Input [yellow] 3" xfId="11600" xr:uid="{00000000-0005-0000-0000-0000954B0000}"/>
    <cellStyle name="Input [yellow] 4" xfId="11601" xr:uid="{00000000-0005-0000-0000-0000964B0000}"/>
    <cellStyle name="Input 10" xfId="11602" xr:uid="{00000000-0005-0000-0000-0000974B0000}"/>
    <cellStyle name="Input 11" xfId="11603" xr:uid="{00000000-0005-0000-0000-0000984B0000}"/>
    <cellStyle name="Input 12" xfId="11604" xr:uid="{00000000-0005-0000-0000-0000994B0000}"/>
    <cellStyle name="Input 13" xfId="11605" xr:uid="{00000000-0005-0000-0000-00009A4B0000}"/>
    <cellStyle name="Input 14" xfId="11606" xr:uid="{00000000-0005-0000-0000-00009B4B0000}"/>
    <cellStyle name="Input 15" xfId="11607" xr:uid="{00000000-0005-0000-0000-00009C4B0000}"/>
    <cellStyle name="Input 16" xfId="11608" xr:uid="{00000000-0005-0000-0000-00009D4B0000}"/>
    <cellStyle name="Input 2" xfId="11609" xr:uid="{00000000-0005-0000-0000-00009E4B0000}"/>
    <cellStyle name="Input 3" xfId="11610" xr:uid="{00000000-0005-0000-0000-00009F4B0000}"/>
    <cellStyle name="Input 4" xfId="11611" xr:uid="{00000000-0005-0000-0000-0000A04B0000}"/>
    <cellStyle name="Input 5" xfId="11612" xr:uid="{00000000-0005-0000-0000-0000A14B0000}"/>
    <cellStyle name="Input 6" xfId="11613" xr:uid="{00000000-0005-0000-0000-0000A24B0000}"/>
    <cellStyle name="Input 7" xfId="11614" xr:uid="{00000000-0005-0000-0000-0000A34B0000}"/>
    <cellStyle name="Input 8" xfId="11615" xr:uid="{00000000-0005-0000-0000-0000A44B0000}"/>
    <cellStyle name="Input 9" xfId="11616" xr:uid="{00000000-0005-0000-0000-0000A54B0000}"/>
    <cellStyle name="input cell" xfId="11617" xr:uid="{00000000-0005-0000-0000-0000A64B0000}"/>
    <cellStyle name="Input Cells" xfId="11618" xr:uid="{00000000-0005-0000-0000-0000A74B0000}"/>
    <cellStyle name="Input Currency" xfId="11619" xr:uid="{00000000-0005-0000-0000-0000A84B0000}"/>
    <cellStyle name="Input Currency 2" xfId="20330" xr:uid="{00000000-0005-0000-0000-0000A94B0000}"/>
    <cellStyle name="Input Date" xfId="11620" xr:uid="{00000000-0005-0000-0000-0000AA4B0000}"/>
    <cellStyle name="Input Date 2" xfId="20331" xr:uid="{00000000-0005-0000-0000-0000AB4B0000}"/>
    <cellStyle name="Input Fixed [0]" xfId="11621" xr:uid="{00000000-0005-0000-0000-0000AC4B0000}"/>
    <cellStyle name="Input Fixed [0] 2" xfId="20332" xr:uid="{00000000-0005-0000-0000-0000AD4B0000}"/>
    <cellStyle name="Input Normal" xfId="11622" xr:uid="{00000000-0005-0000-0000-0000AE4B0000}"/>
    <cellStyle name="Input Normal 2" xfId="20333" xr:uid="{00000000-0005-0000-0000-0000AF4B0000}"/>
    <cellStyle name="Input Percent" xfId="11623" xr:uid="{00000000-0005-0000-0000-0000B04B0000}"/>
    <cellStyle name="Input Percent [2]" xfId="11624" xr:uid="{00000000-0005-0000-0000-0000B14B0000}"/>
    <cellStyle name="Input Percent [2] 2" xfId="20334" xr:uid="{00000000-0005-0000-0000-0000B24B0000}"/>
    <cellStyle name="Input Percent 2" xfId="20335" xr:uid="{00000000-0005-0000-0000-0000B34B0000}"/>
    <cellStyle name="Input Percent 3" xfId="20336" xr:uid="{00000000-0005-0000-0000-0000B44B0000}"/>
    <cellStyle name="Input Titles" xfId="11625" xr:uid="{00000000-0005-0000-0000-0000B54B0000}"/>
    <cellStyle name="Input$" xfId="11626" xr:uid="{00000000-0005-0000-0000-0000B64B0000}"/>
    <cellStyle name="Input$ 2" xfId="11627" xr:uid="{00000000-0005-0000-0000-0000B74B0000}"/>
    <cellStyle name="Input$ 3" xfId="11628" xr:uid="{00000000-0005-0000-0000-0000B84B0000}"/>
    <cellStyle name="Input%" xfId="11629" xr:uid="{00000000-0005-0000-0000-0000B94B0000}"/>
    <cellStyle name="Input% 2" xfId="11630" xr:uid="{00000000-0005-0000-0000-0000BA4B0000}"/>
    <cellStyle name="Input% 3" xfId="11631" xr:uid="{00000000-0005-0000-0000-0000BB4B0000}"/>
    <cellStyle name="Input1" xfId="11632" xr:uid="{00000000-0005-0000-0000-0000BC4B0000}"/>
    <cellStyle name="Input2" xfId="11633" xr:uid="{00000000-0005-0000-0000-0000BD4B0000}"/>
    <cellStyle name="InputBlueFont" xfId="11634" xr:uid="{00000000-0005-0000-0000-0000BE4B0000}"/>
    <cellStyle name="InputCell" xfId="11635" xr:uid="{00000000-0005-0000-0000-0000BF4B0000}"/>
    <cellStyle name="InputCell 2" xfId="11636" xr:uid="{00000000-0005-0000-0000-0000C04B0000}"/>
    <cellStyle name="InputCell 2 2" xfId="11637" xr:uid="{00000000-0005-0000-0000-0000C14B0000}"/>
    <cellStyle name="InputCell 2 2 2" xfId="20175" xr:uid="{00000000-0005-0000-0000-0000C24B0000}"/>
    <cellStyle name="InputCell 2 3" xfId="20174" xr:uid="{00000000-0005-0000-0000-0000C34B0000}"/>
    <cellStyle name="InputCell 3" xfId="11638" xr:uid="{00000000-0005-0000-0000-0000C44B0000}"/>
    <cellStyle name="InputCell 3 2" xfId="11639" xr:uid="{00000000-0005-0000-0000-0000C54B0000}"/>
    <cellStyle name="InputCell 3 2 2" xfId="20177" xr:uid="{00000000-0005-0000-0000-0000C64B0000}"/>
    <cellStyle name="InputCell 3 3" xfId="20176" xr:uid="{00000000-0005-0000-0000-0000C74B0000}"/>
    <cellStyle name="InputCell 4" xfId="11640" xr:uid="{00000000-0005-0000-0000-0000C84B0000}"/>
    <cellStyle name="InputCell 4 2" xfId="20178" xr:uid="{00000000-0005-0000-0000-0000C94B0000}"/>
    <cellStyle name="InputCell 5" xfId="20173" xr:uid="{00000000-0005-0000-0000-0000CA4B0000}"/>
    <cellStyle name="InputPop" xfId="11641" xr:uid="{00000000-0005-0000-0000-0000CB4B0000}"/>
    <cellStyle name="InputPop 2" xfId="20337" xr:uid="{00000000-0005-0000-0000-0000CC4B0000}"/>
    <cellStyle name="Inputs" xfId="11642" xr:uid="{00000000-0005-0000-0000-0000CD4B0000}"/>
    <cellStyle name="Input-Text Only" xfId="11643" xr:uid="{00000000-0005-0000-0000-0000CE4B0000}"/>
    <cellStyle name="Integer" xfId="11644" xr:uid="{00000000-0005-0000-0000-0000CF4B0000}"/>
    <cellStyle name="Invisible" xfId="11645" xr:uid="{00000000-0005-0000-0000-0000D04B0000}"/>
    <cellStyle name="Invisible 2" xfId="11646" xr:uid="{00000000-0005-0000-0000-0000D14B0000}"/>
    <cellStyle name="Invisible 3" xfId="11647" xr:uid="{00000000-0005-0000-0000-0000D24B0000}"/>
    <cellStyle name="Item" xfId="11648" xr:uid="{00000000-0005-0000-0000-0000D34B0000}"/>
    <cellStyle name="ItemTypeClass" xfId="11649" xr:uid="{00000000-0005-0000-0000-0000D44B0000}"/>
    <cellStyle name="ItemTypeClass 2" xfId="11650" xr:uid="{00000000-0005-0000-0000-0000D54B0000}"/>
    <cellStyle name="ItemTypeClass 2 2" xfId="11651" xr:uid="{00000000-0005-0000-0000-0000D64B0000}"/>
    <cellStyle name="ItemTypeClass 2 2 2" xfId="20181" xr:uid="{00000000-0005-0000-0000-0000D74B0000}"/>
    <cellStyle name="ItemTypeClass 2 3" xfId="20180" xr:uid="{00000000-0005-0000-0000-0000D84B0000}"/>
    <cellStyle name="ItemTypeClass 3" xfId="11652" xr:uid="{00000000-0005-0000-0000-0000D94B0000}"/>
    <cellStyle name="ItemTypeClass 3 2" xfId="11653" xr:uid="{00000000-0005-0000-0000-0000DA4B0000}"/>
    <cellStyle name="ItemTypeClass 3 2 2" xfId="20183" xr:uid="{00000000-0005-0000-0000-0000DB4B0000}"/>
    <cellStyle name="ItemTypeClass 3 3" xfId="20182" xr:uid="{00000000-0005-0000-0000-0000DC4B0000}"/>
    <cellStyle name="ItemTypeClass 4" xfId="11654" xr:uid="{00000000-0005-0000-0000-0000DD4B0000}"/>
    <cellStyle name="ItemTypeClass 4 2" xfId="20184" xr:uid="{00000000-0005-0000-0000-0000DE4B0000}"/>
    <cellStyle name="ItemTypeClass 5" xfId="20179" xr:uid="{00000000-0005-0000-0000-0000DF4B0000}"/>
    <cellStyle name="Ivan" xfId="11655" xr:uid="{00000000-0005-0000-0000-0000E04B0000}"/>
    <cellStyle name="îÿî_x0002_" xfId="11656" xr:uid="{00000000-0005-0000-0000-0000E14B0000}"/>
    <cellStyle name="îÿî_x0002__x0010_" xfId="11657" xr:uid="{00000000-0005-0000-0000-0000E24B0000}"/>
    <cellStyle name="îÿî_x0002__CardioSolutions 05 31 2007 Final Model 09 27 2007" xfId="11658" xr:uid="{00000000-0005-0000-0000-0000E34B0000}"/>
    <cellStyle name="Jason" xfId="11659" xr:uid="{00000000-0005-0000-0000-0000E44B0000}"/>
    <cellStyle name="JustOneDec" xfId="11660" xr:uid="{00000000-0005-0000-0000-0000E54B0000}"/>
    <cellStyle name="JustOneDec 2" xfId="20338" xr:uid="{00000000-0005-0000-0000-0000E64B0000}"/>
    <cellStyle name="Komma [0]_laroux" xfId="11661" xr:uid="{00000000-0005-0000-0000-0000E74B0000}"/>
    <cellStyle name="Komma_laroux" xfId="11662" xr:uid="{00000000-0005-0000-0000-0000E84B0000}"/>
    <cellStyle name="Kommatecken [0]_2000 DVD COSTS.xls" xfId="11663" xr:uid="{00000000-0005-0000-0000-0000E94B0000}"/>
    <cellStyle name="KPMG Heading 1" xfId="11664" xr:uid="{00000000-0005-0000-0000-0000EA4B0000}"/>
    <cellStyle name="KPMG Heading 2" xfId="11665" xr:uid="{00000000-0005-0000-0000-0000EB4B0000}"/>
    <cellStyle name="KPMG Heading 3" xfId="11666" xr:uid="{00000000-0005-0000-0000-0000EC4B0000}"/>
    <cellStyle name="KPMG Heading 4" xfId="11667" xr:uid="{00000000-0005-0000-0000-0000ED4B0000}"/>
    <cellStyle name="KPMG Normal" xfId="11668" xr:uid="{00000000-0005-0000-0000-0000EE4B0000}"/>
    <cellStyle name="KPMG Normal Text" xfId="11669" xr:uid="{00000000-0005-0000-0000-0000EF4B0000}"/>
    <cellStyle name="KPMG Normal_2006 Model (3-2-06) v1 3" xfId="11670" xr:uid="{00000000-0005-0000-0000-0000F04B0000}"/>
    <cellStyle name="LABEL_NUMBER" xfId="11671" xr:uid="{00000000-0005-0000-0000-0000F14B0000}"/>
    <cellStyle name="Lable8Left" xfId="11672" xr:uid="{00000000-0005-0000-0000-0000F24B0000}"/>
    <cellStyle name="Large Page Heading" xfId="11673" xr:uid="{00000000-0005-0000-0000-0000F34B0000}"/>
    <cellStyle name="Last_nums" xfId="11674" xr:uid="{00000000-0005-0000-0000-0000F44B0000}"/>
    <cellStyle name="left" xfId="11675" xr:uid="{00000000-0005-0000-0000-0000F54B0000}"/>
    <cellStyle name="left 2" xfId="20339" xr:uid="{00000000-0005-0000-0000-0000F64B0000}"/>
    <cellStyle name="Left Heading 1" xfId="11676" xr:uid="{00000000-0005-0000-0000-0000F74B0000}"/>
    <cellStyle name="Left Heading 2" xfId="11677" xr:uid="{00000000-0005-0000-0000-0000F84B0000}"/>
    <cellStyle name="leftStyle" xfId="11678" xr:uid="{00000000-0005-0000-0000-0000F94B0000}"/>
    <cellStyle name="leftStyle2" xfId="11679" xr:uid="{00000000-0005-0000-0000-0000FA4B0000}"/>
    <cellStyle name="Lien hypertexte_NEGS" xfId="11680" xr:uid="{00000000-0005-0000-0000-0000FB4B0000}"/>
    <cellStyle name="LineBottom" xfId="11681" xr:uid="{00000000-0005-0000-0000-0000FC4B0000}"/>
    <cellStyle name="LineBottom 2" xfId="11682" xr:uid="{00000000-0005-0000-0000-0000FD4B0000}"/>
    <cellStyle name="LineBottom 2 2" xfId="20278" xr:uid="{00000000-0005-0000-0000-0000FE4B0000}"/>
    <cellStyle name="LineBottom 3" xfId="11683" xr:uid="{00000000-0005-0000-0000-0000FF4B0000}"/>
    <cellStyle name="LineBottom 3 2" xfId="20279" xr:uid="{00000000-0005-0000-0000-0000004C0000}"/>
    <cellStyle name="LineBottom 4" xfId="20280" xr:uid="{00000000-0005-0000-0000-0000014C0000}"/>
    <cellStyle name="LineItem" xfId="11684" xr:uid="{00000000-0005-0000-0000-0000024C0000}"/>
    <cellStyle name="LineItems" xfId="11685" xr:uid="{00000000-0005-0000-0000-0000034C0000}"/>
    <cellStyle name="LineItems 2" xfId="20340" xr:uid="{00000000-0005-0000-0000-0000044C0000}"/>
    <cellStyle name="LineTop" xfId="11686" xr:uid="{00000000-0005-0000-0000-0000054C0000}"/>
    <cellStyle name="LineTop 2" xfId="11687" xr:uid="{00000000-0005-0000-0000-0000064C0000}"/>
    <cellStyle name="LineTop 2 2" xfId="11688" xr:uid="{00000000-0005-0000-0000-0000074C0000}"/>
    <cellStyle name="LineTop 2 2 2" xfId="16164" xr:uid="{00000000-0005-0000-0000-0000084C0000}"/>
    <cellStyle name="LineTop 2 2 3" xfId="20187" xr:uid="{00000000-0005-0000-0000-0000094C0000}"/>
    <cellStyle name="LineTop 2 3" xfId="16163" xr:uid="{00000000-0005-0000-0000-00000A4C0000}"/>
    <cellStyle name="LineTop 2 4" xfId="20186" xr:uid="{00000000-0005-0000-0000-00000B4C0000}"/>
    <cellStyle name="LineTop 3" xfId="11689" xr:uid="{00000000-0005-0000-0000-00000C4C0000}"/>
    <cellStyle name="LineTop 3 2" xfId="11690" xr:uid="{00000000-0005-0000-0000-00000D4C0000}"/>
    <cellStyle name="LineTop 3 2 2" xfId="16166" xr:uid="{00000000-0005-0000-0000-00000E4C0000}"/>
    <cellStyle name="LineTop 3 2 3" xfId="20189" xr:uid="{00000000-0005-0000-0000-00000F4C0000}"/>
    <cellStyle name="LineTop 3 3" xfId="16165" xr:uid="{00000000-0005-0000-0000-0000104C0000}"/>
    <cellStyle name="LineTop 3 4" xfId="20188" xr:uid="{00000000-0005-0000-0000-0000114C0000}"/>
    <cellStyle name="LineTop 4" xfId="11691" xr:uid="{00000000-0005-0000-0000-0000124C0000}"/>
    <cellStyle name="LineTop 4 2" xfId="16167" xr:uid="{00000000-0005-0000-0000-0000134C0000}"/>
    <cellStyle name="LineTop 4 3" xfId="20190" xr:uid="{00000000-0005-0000-0000-0000144C0000}"/>
    <cellStyle name="LineTop 5" xfId="16162" xr:uid="{00000000-0005-0000-0000-0000154C0000}"/>
    <cellStyle name="LineTop 6" xfId="20185" xr:uid="{00000000-0005-0000-0000-0000164C0000}"/>
    <cellStyle name="Link Currency (0)" xfId="11692" xr:uid="{00000000-0005-0000-0000-0000174C0000}"/>
    <cellStyle name="Link Currency (2)" xfId="11693" xr:uid="{00000000-0005-0000-0000-0000184C0000}"/>
    <cellStyle name="Link Units (0)" xfId="11694" xr:uid="{00000000-0005-0000-0000-0000194C0000}"/>
    <cellStyle name="Link Units (1)" xfId="11695" xr:uid="{00000000-0005-0000-0000-00001A4C0000}"/>
    <cellStyle name="Link Units (2)" xfId="11696" xr:uid="{00000000-0005-0000-0000-00001B4C0000}"/>
    <cellStyle name="Linked Cell 10" xfId="11697" xr:uid="{00000000-0005-0000-0000-00001C4C0000}"/>
    <cellStyle name="Linked Cell 11" xfId="11698" xr:uid="{00000000-0005-0000-0000-00001D4C0000}"/>
    <cellStyle name="Linked Cell 12" xfId="11699" xr:uid="{00000000-0005-0000-0000-00001E4C0000}"/>
    <cellStyle name="Linked Cell 13" xfId="11700" xr:uid="{00000000-0005-0000-0000-00001F4C0000}"/>
    <cellStyle name="Linked Cell 2" xfId="11701" xr:uid="{00000000-0005-0000-0000-0000204C0000}"/>
    <cellStyle name="Linked Cell 3" xfId="11702" xr:uid="{00000000-0005-0000-0000-0000214C0000}"/>
    <cellStyle name="Linked Cell 4" xfId="11703" xr:uid="{00000000-0005-0000-0000-0000224C0000}"/>
    <cellStyle name="Linked Cell 5" xfId="11704" xr:uid="{00000000-0005-0000-0000-0000234C0000}"/>
    <cellStyle name="Linked Cell 6" xfId="11705" xr:uid="{00000000-0005-0000-0000-0000244C0000}"/>
    <cellStyle name="Linked Cell 7" xfId="11706" xr:uid="{00000000-0005-0000-0000-0000254C0000}"/>
    <cellStyle name="Linked Cell 8" xfId="11707" xr:uid="{00000000-0005-0000-0000-0000264C0000}"/>
    <cellStyle name="Linked Cell 9" xfId="11708" xr:uid="{00000000-0005-0000-0000-0000274C0000}"/>
    <cellStyle name="Linked Cells" xfId="11709" xr:uid="{00000000-0005-0000-0000-0000284C0000}"/>
    <cellStyle name="locked" xfId="11710" xr:uid="{00000000-0005-0000-0000-0000294C0000}"/>
    <cellStyle name="LookUpText" xfId="11711" xr:uid="{00000000-0005-0000-0000-00002A4C0000}"/>
    <cellStyle name="lou" xfId="11712" xr:uid="{00000000-0005-0000-0000-00002B4C0000}"/>
    <cellStyle name="m&amp;a" xfId="11713" xr:uid="{00000000-0005-0000-0000-00002C4C0000}"/>
    <cellStyle name="ManualInput" xfId="11714" xr:uid="{00000000-0005-0000-0000-00002D4C0000}"/>
    <cellStyle name="ManualInput 2" xfId="20341" xr:uid="{00000000-0005-0000-0000-00002E4C0000}"/>
    <cellStyle name="Map Labels" xfId="11715" xr:uid="{00000000-0005-0000-0000-00002F4C0000}"/>
    <cellStyle name="Map Legend" xfId="11716" xr:uid="{00000000-0005-0000-0000-0000304C0000}"/>
    <cellStyle name="Map Title" xfId="11717" xr:uid="{00000000-0005-0000-0000-0000314C0000}"/>
    <cellStyle name="Margins" xfId="11718" xr:uid="{00000000-0005-0000-0000-0000324C0000}"/>
    <cellStyle name="Margins 2" xfId="20342" xr:uid="{00000000-0005-0000-0000-0000334C0000}"/>
    <cellStyle name="Migliaia (0)_ACTUAL 31-12-95" xfId="11719" xr:uid="{00000000-0005-0000-0000-0000344C0000}"/>
    <cellStyle name="Migliaia_ACTUAL 30-06-95.XLS" xfId="11720" xr:uid="{00000000-0005-0000-0000-0000354C0000}"/>
    <cellStyle name="mil" xfId="11721" xr:uid="{00000000-0005-0000-0000-0000364C0000}"/>
    <cellStyle name="Miles" xfId="11722" xr:uid="{00000000-0005-0000-0000-0000374C0000}"/>
    <cellStyle name="Millares [0]_laroux" xfId="11723" xr:uid="{00000000-0005-0000-0000-0000384C0000}"/>
    <cellStyle name="Millares_laroux" xfId="11724" xr:uid="{00000000-0005-0000-0000-0000394C0000}"/>
    <cellStyle name="Milliers [0]_!!!GO" xfId="11725" xr:uid="{00000000-0005-0000-0000-00003A4C0000}"/>
    <cellStyle name="Milliers 2" xfId="11726" xr:uid="{00000000-0005-0000-0000-00003B4C0000}"/>
    <cellStyle name="Milliers_!!!GO" xfId="11727" xr:uid="{00000000-0005-0000-0000-00003C4C0000}"/>
    <cellStyle name="Mills" xfId="11728" xr:uid="{00000000-0005-0000-0000-00003D4C0000}"/>
    <cellStyle name="Mills 2" xfId="11729" xr:uid="{00000000-0005-0000-0000-00003E4C0000}"/>
    <cellStyle name="Mills 2 2" xfId="20281" xr:uid="{00000000-0005-0000-0000-00003F4C0000}"/>
    <cellStyle name="Mills 3" xfId="11730" xr:uid="{00000000-0005-0000-0000-0000404C0000}"/>
    <cellStyle name="Mills 3 2" xfId="20282" xr:uid="{00000000-0005-0000-0000-0000414C0000}"/>
    <cellStyle name="Mills 4" xfId="20283" xr:uid="{00000000-0005-0000-0000-0000424C0000}"/>
    <cellStyle name="mm/d/yy" xfId="11731" xr:uid="{00000000-0005-0000-0000-0000434C0000}"/>
    <cellStyle name="mm/dd/yy" xfId="11732" xr:uid="{00000000-0005-0000-0000-0000444C0000}"/>
    <cellStyle name="MMM-YY" xfId="11733" xr:uid="{00000000-0005-0000-0000-0000454C0000}"/>
    <cellStyle name="MMs1Place" xfId="11734" xr:uid="{00000000-0005-0000-0000-0000464C0000}"/>
    <cellStyle name="MMs2Places" xfId="11735" xr:uid="{00000000-0005-0000-0000-0000474C0000}"/>
    <cellStyle name="mo" xfId="11736" xr:uid="{00000000-0005-0000-0000-0000484C0000}"/>
    <cellStyle name="mo end" xfId="11737" xr:uid="{00000000-0005-0000-0000-0000494C0000}"/>
    <cellStyle name="mo_~8080122" xfId="11738" xr:uid="{00000000-0005-0000-0000-00004A4C0000}"/>
    <cellStyle name="Model" xfId="11739" xr:uid="{00000000-0005-0000-0000-00004B4C0000}"/>
    <cellStyle name="Moneda [0]_laroux" xfId="11740" xr:uid="{00000000-0005-0000-0000-00004C4C0000}"/>
    <cellStyle name="Moneda_laroux" xfId="11741" xr:uid="{00000000-0005-0000-0000-00004D4C0000}"/>
    <cellStyle name="Monétaire [0]_!!!GO" xfId="11742" xr:uid="{00000000-0005-0000-0000-00004E4C0000}"/>
    <cellStyle name="Monétaire 2" xfId="11743" xr:uid="{00000000-0005-0000-0000-00004F4C0000}"/>
    <cellStyle name="Monétaire 2 10" xfId="11744" xr:uid="{00000000-0005-0000-0000-0000504C0000}"/>
    <cellStyle name="Monétaire 2 2" xfId="11745" xr:uid="{00000000-0005-0000-0000-0000514C0000}"/>
    <cellStyle name="Monétaire 2 2 2" xfId="11746" xr:uid="{00000000-0005-0000-0000-0000524C0000}"/>
    <cellStyle name="Monétaire 2 2 2 2" xfId="11747" xr:uid="{00000000-0005-0000-0000-0000534C0000}"/>
    <cellStyle name="Monétaire 2 2 2 3" xfId="11748" xr:uid="{00000000-0005-0000-0000-0000544C0000}"/>
    <cellStyle name="Monétaire 2 2 2 4" xfId="11749" xr:uid="{00000000-0005-0000-0000-0000554C0000}"/>
    <cellStyle name="Monétaire 2 2 2 5" xfId="11750" xr:uid="{00000000-0005-0000-0000-0000564C0000}"/>
    <cellStyle name="Monétaire 2 2 3" xfId="11751" xr:uid="{00000000-0005-0000-0000-0000574C0000}"/>
    <cellStyle name="Monétaire 2 2 4" xfId="11752" xr:uid="{00000000-0005-0000-0000-0000584C0000}"/>
    <cellStyle name="Monétaire 2 2 5" xfId="11753" xr:uid="{00000000-0005-0000-0000-0000594C0000}"/>
    <cellStyle name="Monétaire 2 3" xfId="11754" xr:uid="{00000000-0005-0000-0000-00005A4C0000}"/>
    <cellStyle name="Monétaire 2 4" xfId="11755" xr:uid="{00000000-0005-0000-0000-00005B4C0000}"/>
    <cellStyle name="Monétaire 2 5" xfId="11756" xr:uid="{00000000-0005-0000-0000-00005C4C0000}"/>
    <cellStyle name="Monétaire 2 6" xfId="11757" xr:uid="{00000000-0005-0000-0000-00005D4C0000}"/>
    <cellStyle name="Monétaire 2 7" xfId="11758" xr:uid="{00000000-0005-0000-0000-00005E4C0000}"/>
    <cellStyle name="Monétaire 2 8" xfId="11759" xr:uid="{00000000-0005-0000-0000-00005F4C0000}"/>
    <cellStyle name="Monétaire 2 9" xfId="11760" xr:uid="{00000000-0005-0000-0000-0000604C0000}"/>
    <cellStyle name="Monétaire_!!!GO" xfId="11761" xr:uid="{00000000-0005-0000-0000-0000614C0000}"/>
    <cellStyle name="MonthYear" xfId="11762" xr:uid="{00000000-0005-0000-0000-0000624C0000}"/>
    <cellStyle name="Mon-Yr" xfId="11763" xr:uid="{00000000-0005-0000-0000-0000634C0000}"/>
    <cellStyle name="Mult No x" xfId="11764" xr:uid="{00000000-0005-0000-0000-0000644C0000}"/>
    <cellStyle name="Mult No x 2" xfId="11765" xr:uid="{00000000-0005-0000-0000-0000654C0000}"/>
    <cellStyle name="Mult No x 2 2" xfId="20284" xr:uid="{00000000-0005-0000-0000-0000664C0000}"/>
    <cellStyle name="Mult No x 3" xfId="11766" xr:uid="{00000000-0005-0000-0000-0000674C0000}"/>
    <cellStyle name="Mult No x 3 2" xfId="20285" xr:uid="{00000000-0005-0000-0000-0000684C0000}"/>
    <cellStyle name="Mult No x 4" xfId="20286" xr:uid="{00000000-0005-0000-0000-0000694C0000}"/>
    <cellStyle name="Mult With x" xfId="11767" xr:uid="{00000000-0005-0000-0000-00006A4C0000}"/>
    <cellStyle name="Mult With x 2" xfId="11768" xr:uid="{00000000-0005-0000-0000-00006B4C0000}"/>
    <cellStyle name="Mult With x 2 2" xfId="20287" xr:uid="{00000000-0005-0000-0000-00006C4C0000}"/>
    <cellStyle name="Mult With x 3" xfId="11769" xr:uid="{00000000-0005-0000-0000-00006D4C0000}"/>
    <cellStyle name="Mult With x 3 2" xfId="20288" xr:uid="{00000000-0005-0000-0000-00006E4C0000}"/>
    <cellStyle name="Mult With x 4" xfId="20289" xr:uid="{00000000-0005-0000-0000-00006F4C0000}"/>
    <cellStyle name="Multiple" xfId="11770" xr:uid="{00000000-0005-0000-0000-0000704C0000}"/>
    <cellStyle name="Multiple (no x)" xfId="11771" xr:uid="{00000000-0005-0000-0000-0000714C0000}"/>
    <cellStyle name="Multiple (x)" xfId="11772" xr:uid="{00000000-0005-0000-0000-0000724C0000}"/>
    <cellStyle name="Multiple []" xfId="11773" xr:uid="{00000000-0005-0000-0000-0000734C0000}"/>
    <cellStyle name="Multiple [0]" xfId="11774" xr:uid="{00000000-0005-0000-0000-0000744C0000}"/>
    <cellStyle name="Multiple [0] []" xfId="11775" xr:uid="{00000000-0005-0000-0000-0000754C0000}"/>
    <cellStyle name="Multiple [1]" xfId="11776" xr:uid="{00000000-0005-0000-0000-0000764C0000}"/>
    <cellStyle name="Multiple [1] []" xfId="11777" xr:uid="{00000000-0005-0000-0000-0000774C0000}"/>
    <cellStyle name="Multiple[,]" xfId="11778" xr:uid="{00000000-0005-0000-0000-0000784C0000}"/>
    <cellStyle name="Multiple[1]" xfId="11779" xr:uid="{00000000-0005-0000-0000-0000794C0000}"/>
    <cellStyle name="Multiple[2]" xfId="11780" xr:uid="{00000000-0005-0000-0000-00007A4C0000}"/>
    <cellStyle name="Multiple_Abacus1" xfId="11781" xr:uid="{00000000-0005-0000-0000-00007B4C0000}"/>
    <cellStyle name="MultipleBelow" xfId="11782" xr:uid="{00000000-0005-0000-0000-00007C4C0000}"/>
    <cellStyle name="NA is zero" xfId="11783" xr:uid="{00000000-0005-0000-0000-00007D4C0000}"/>
    <cellStyle name="NA is zero 2" xfId="20343" xr:uid="{00000000-0005-0000-0000-00007E4C0000}"/>
    <cellStyle name="Neutral 10" xfId="11784" xr:uid="{00000000-0005-0000-0000-00007F4C0000}"/>
    <cellStyle name="Neutral 11" xfId="11785" xr:uid="{00000000-0005-0000-0000-0000804C0000}"/>
    <cellStyle name="Neutral 12" xfId="11786" xr:uid="{00000000-0005-0000-0000-0000814C0000}"/>
    <cellStyle name="Neutral 13" xfId="11787" xr:uid="{00000000-0005-0000-0000-0000824C0000}"/>
    <cellStyle name="Neutral 2" xfId="11788" xr:uid="{00000000-0005-0000-0000-0000834C0000}"/>
    <cellStyle name="Neutral 3" xfId="11789" xr:uid="{00000000-0005-0000-0000-0000844C0000}"/>
    <cellStyle name="Neutral 4" xfId="11790" xr:uid="{00000000-0005-0000-0000-0000854C0000}"/>
    <cellStyle name="Neutral 5" xfId="11791" xr:uid="{00000000-0005-0000-0000-0000864C0000}"/>
    <cellStyle name="Neutral 6" xfId="11792" xr:uid="{00000000-0005-0000-0000-0000874C0000}"/>
    <cellStyle name="Neutral 7" xfId="11793" xr:uid="{00000000-0005-0000-0000-0000884C0000}"/>
    <cellStyle name="Neutral 8" xfId="11794" xr:uid="{00000000-0005-0000-0000-0000894C0000}"/>
    <cellStyle name="Neutral 9" xfId="11795" xr:uid="{00000000-0005-0000-0000-00008A4C0000}"/>
    <cellStyle name="new" xfId="11796" xr:uid="{00000000-0005-0000-0000-00008B4C0000}"/>
    <cellStyle name="NewColumnHeaderNormal" xfId="11797" xr:uid="{00000000-0005-0000-0000-00008C4C0000}"/>
    <cellStyle name="NewPeso" xfId="11798" xr:uid="{00000000-0005-0000-0000-00008D4C0000}"/>
    <cellStyle name="NewPeso 2" xfId="20344" xr:uid="{00000000-0005-0000-0000-00008E4C0000}"/>
    <cellStyle name="NewSectionHeaderNormal" xfId="11799" xr:uid="{00000000-0005-0000-0000-00008F4C0000}"/>
    <cellStyle name="NewSectionHeaderNormal 2" xfId="20345" xr:uid="{00000000-0005-0000-0000-0000904C0000}"/>
    <cellStyle name="NewTitleNormal" xfId="11800" xr:uid="{00000000-0005-0000-0000-0000914C0000}"/>
    <cellStyle name="No Border" xfId="11801" xr:uid="{00000000-0005-0000-0000-0000924C0000}"/>
    <cellStyle name="No Border 2" xfId="20346" xr:uid="{00000000-0005-0000-0000-0000934C0000}"/>
    <cellStyle name="no dec" xfId="11802" xr:uid="{00000000-0005-0000-0000-0000944C0000}"/>
    <cellStyle name="nobuild" xfId="11803" xr:uid="{00000000-0005-0000-0000-0000954C0000}"/>
    <cellStyle name="nonmultiple" xfId="11804" xr:uid="{00000000-0005-0000-0000-0000964C0000}"/>
    <cellStyle name="NonPrint_Heading" xfId="11805" xr:uid="{00000000-0005-0000-0000-0000974C0000}"/>
    <cellStyle name="Norm੎੎" xfId="11806" xr:uid="{00000000-0005-0000-0000-0000984C0000}"/>
    <cellStyle name="Norm੎੎ 2" xfId="20347" xr:uid="{00000000-0005-0000-0000-0000994C0000}"/>
    <cellStyle name="Normal" xfId="0" builtinId="0"/>
    <cellStyle name="Normal - Style1" xfId="11807" xr:uid="{00000000-0005-0000-0000-00009B4C0000}"/>
    <cellStyle name="Normal - Style2" xfId="11808" xr:uid="{00000000-0005-0000-0000-00009C4C0000}"/>
    <cellStyle name="Normal - Style2 2" xfId="11809" xr:uid="{00000000-0005-0000-0000-00009D4C0000}"/>
    <cellStyle name="Normal - Style3" xfId="11810" xr:uid="{00000000-0005-0000-0000-00009E4C0000}"/>
    <cellStyle name="Normal - Style4" xfId="11811" xr:uid="{00000000-0005-0000-0000-00009F4C0000}"/>
    <cellStyle name="Normal - Style5" xfId="11812" xr:uid="{00000000-0005-0000-0000-0000A04C0000}"/>
    <cellStyle name="Normal - Style6" xfId="11813" xr:uid="{00000000-0005-0000-0000-0000A14C0000}"/>
    <cellStyle name="Normal - Style7" xfId="11814" xr:uid="{00000000-0005-0000-0000-0000A24C0000}"/>
    <cellStyle name="Normal - Style8" xfId="11815" xr:uid="{00000000-0005-0000-0000-0000A34C0000}"/>
    <cellStyle name="Normal - Style8 2" xfId="11816" xr:uid="{00000000-0005-0000-0000-0000A44C0000}"/>
    <cellStyle name="Normal [0]" xfId="11817" xr:uid="{00000000-0005-0000-0000-0000A54C0000}"/>
    <cellStyle name="Normal [0] 2" xfId="20348" xr:uid="{00000000-0005-0000-0000-0000A64C0000}"/>
    <cellStyle name="Normal [1]" xfId="11818" xr:uid="{00000000-0005-0000-0000-0000A74C0000}"/>
    <cellStyle name="Normal [2]" xfId="11819" xr:uid="{00000000-0005-0000-0000-0000A84C0000}"/>
    <cellStyle name="Normal [2] 2" xfId="20349" xr:uid="{00000000-0005-0000-0000-0000A94C0000}"/>
    <cellStyle name="Normal [3]" xfId="11820" xr:uid="{00000000-0005-0000-0000-0000AA4C0000}"/>
    <cellStyle name="Normal [3] 2" xfId="20350" xr:uid="{00000000-0005-0000-0000-0000AB4C0000}"/>
    <cellStyle name="Normal 10" xfId="11821" xr:uid="{00000000-0005-0000-0000-0000AC4C0000}"/>
    <cellStyle name="Normal 10 11 2" xfId="11822" xr:uid="{00000000-0005-0000-0000-0000AD4C0000}"/>
    <cellStyle name="Normal 10 11 2 2" xfId="16168" xr:uid="{00000000-0005-0000-0000-0000AE4C0000}"/>
    <cellStyle name="Normal 10 11 2 2 2" xfId="20310" xr:uid="{00000000-0005-0000-0000-0000AF4C0000}"/>
    <cellStyle name="Normal 10 11 2 2 3" xfId="20381" xr:uid="{00000000-0005-0000-0000-0000B04C0000}"/>
    <cellStyle name="Normal 10 11 2 3" xfId="20191" xr:uid="{00000000-0005-0000-0000-0000B14C0000}"/>
    <cellStyle name="Normal 10 2" xfId="11823" xr:uid="{00000000-0005-0000-0000-0000B24C0000}"/>
    <cellStyle name="Normal 10 2 2" xfId="20351" xr:uid="{00000000-0005-0000-0000-0000B34C0000}"/>
    <cellStyle name="Normal 10 3" xfId="11824" xr:uid="{00000000-0005-0000-0000-0000B44C0000}"/>
    <cellStyle name="Normal 10 4" xfId="11825" xr:uid="{00000000-0005-0000-0000-0000B54C0000}"/>
    <cellStyle name="Normal 11" xfId="11826" xr:uid="{00000000-0005-0000-0000-0000B64C0000}"/>
    <cellStyle name="Normal 11 2" xfId="11827" xr:uid="{00000000-0005-0000-0000-0000B74C0000}"/>
    <cellStyle name="Normal 11 3" xfId="20307" xr:uid="{00000000-0005-0000-0000-0000B84C0000}"/>
    <cellStyle name="Normal 11 4" xfId="20380" xr:uid="{00000000-0005-0000-0000-0000B94C0000}"/>
    <cellStyle name="Normal 12" xfId="11828" xr:uid="{00000000-0005-0000-0000-0000BA4C0000}"/>
    <cellStyle name="Normal 12 2" xfId="11829" xr:uid="{00000000-0005-0000-0000-0000BB4C0000}"/>
    <cellStyle name="Normal 12 2 2" xfId="16169" xr:uid="{00000000-0005-0000-0000-0000BC4C0000}"/>
    <cellStyle name="Normal 12 2 3" xfId="20192" xr:uid="{00000000-0005-0000-0000-0000BD4C0000}"/>
    <cellStyle name="Normal 13" xfId="11830" xr:uid="{00000000-0005-0000-0000-0000BE4C0000}"/>
    <cellStyle name="Normal 13 2" xfId="11831" xr:uid="{00000000-0005-0000-0000-0000BF4C0000}"/>
    <cellStyle name="Normal 14" xfId="11832" xr:uid="{00000000-0005-0000-0000-0000C04C0000}"/>
    <cellStyle name="Normal 14 2" xfId="11833" xr:uid="{00000000-0005-0000-0000-0000C14C0000}"/>
    <cellStyle name="Normal 14 2 2" xfId="16170" xr:uid="{00000000-0005-0000-0000-0000C24C0000}"/>
    <cellStyle name="Normal 14 2 3" xfId="20193" xr:uid="{00000000-0005-0000-0000-0000C34C0000}"/>
    <cellStyle name="Normal 15" xfId="11834" xr:uid="{00000000-0005-0000-0000-0000C44C0000}"/>
    <cellStyle name="Normal 15 2" xfId="11835" xr:uid="{00000000-0005-0000-0000-0000C54C0000}"/>
    <cellStyle name="Normal 15 2 2" xfId="16171" xr:uid="{00000000-0005-0000-0000-0000C64C0000}"/>
    <cellStyle name="Normal 15 2 3" xfId="20194" xr:uid="{00000000-0005-0000-0000-0000C74C0000}"/>
    <cellStyle name="Normal 16" xfId="11836" xr:uid="{00000000-0005-0000-0000-0000C84C0000}"/>
    <cellStyle name="Normal 16 2" xfId="11837" xr:uid="{00000000-0005-0000-0000-0000C94C0000}"/>
    <cellStyle name="Normal 16 2 2" xfId="16172" xr:uid="{00000000-0005-0000-0000-0000CA4C0000}"/>
    <cellStyle name="Normal 16 2 3" xfId="20195" xr:uid="{00000000-0005-0000-0000-0000CB4C0000}"/>
    <cellStyle name="Normal 17" xfId="11838" xr:uid="{00000000-0005-0000-0000-0000CC4C0000}"/>
    <cellStyle name="Normal 17 2" xfId="11839" xr:uid="{00000000-0005-0000-0000-0000CD4C0000}"/>
    <cellStyle name="Normal 17 2 2" xfId="16173" xr:uid="{00000000-0005-0000-0000-0000CE4C0000}"/>
    <cellStyle name="Normal 17 2 3" xfId="20196" xr:uid="{00000000-0005-0000-0000-0000CF4C0000}"/>
    <cellStyle name="Normal 17 3" xfId="11840" xr:uid="{00000000-0005-0000-0000-0000D04C0000}"/>
    <cellStyle name="Normal 18" xfId="11841" xr:uid="{00000000-0005-0000-0000-0000D14C0000}"/>
    <cellStyle name="Normal 18 2" xfId="11842" xr:uid="{00000000-0005-0000-0000-0000D24C0000}"/>
    <cellStyle name="Normal 18 2 2" xfId="16174" xr:uid="{00000000-0005-0000-0000-0000D34C0000}"/>
    <cellStyle name="Normal 18 2 3" xfId="20197" xr:uid="{00000000-0005-0000-0000-0000D44C0000}"/>
    <cellStyle name="Normal 19" xfId="11843" xr:uid="{00000000-0005-0000-0000-0000D54C0000}"/>
    <cellStyle name="Normal 19 2" xfId="11844" xr:uid="{00000000-0005-0000-0000-0000D64C0000}"/>
    <cellStyle name="Normal 19 2 2" xfId="16175" xr:uid="{00000000-0005-0000-0000-0000D74C0000}"/>
    <cellStyle name="Normal 19 2 3" xfId="20198" xr:uid="{00000000-0005-0000-0000-0000D84C0000}"/>
    <cellStyle name="Normal 2" xfId="11845" xr:uid="{00000000-0005-0000-0000-0000D94C0000}"/>
    <cellStyle name="Normal 2 10" xfId="11846" xr:uid="{00000000-0005-0000-0000-0000DA4C0000}"/>
    <cellStyle name="Normal 2 11" xfId="11847" xr:uid="{00000000-0005-0000-0000-0000DB4C0000}"/>
    <cellStyle name="Normal 2 12" xfId="11848" xr:uid="{00000000-0005-0000-0000-0000DC4C0000}"/>
    <cellStyle name="Normal 2 13" xfId="11849" xr:uid="{00000000-0005-0000-0000-0000DD4C0000}"/>
    <cellStyle name="Normal 2 14" xfId="11850" xr:uid="{00000000-0005-0000-0000-0000DE4C0000}"/>
    <cellStyle name="Normal 2 15" xfId="11851" xr:uid="{00000000-0005-0000-0000-0000DF4C0000}"/>
    <cellStyle name="Normal 2 16" xfId="16176" xr:uid="{00000000-0005-0000-0000-0000E04C0000}"/>
    <cellStyle name="Normal 2 17" xfId="20199" xr:uid="{00000000-0005-0000-0000-0000E14C0000}"/>
    <cellStyle name="Normal 2 18" xfId="20382" xr:uid="{00000000-0005-0000-0000-0000E24C0000}"/>
    <cellStyle name="Normal 2 2" xfId="11852" xr:uid="{00000000-0005-0000-0000-0000E34C0000}"/>
    <cellStyle name="Normal 2 2 2" xfId="11853" xr:uid="{00000000-0005-0000-0000-0000E44C0000}"/>
    <cellStyle name="Normal 2 2 3" xfId="11854" xr:uid="{00000000-0005-0000-0000-0000E54C0000}"/>
    <cellStyle name="Normal 2 2 4" xfId="11855" xr:uid="{00000000-0005-0000-0000-0000E64C0000}"/>
    <cellStyle name="Normal 2 2 5" xfId="20290" xr:uid="{00000000-0005-0000-0000-0000E74C0000}"/>
    <cellStyle name="Normal 2 3" xfId="11856" xr:uid="{00000000-0005-0000-0000-0000E84C0000}"/>
    <cellStyle name="Normal 2 3 2" xfId="11857" xr:uid="{00000000-0005-0000-0000-0000E94C0000}"/>
    <cellStyle name="Normal 2 4" xfId="11858" xr:uid="{00000000-0005-0000-0000-0000EA4C0000}"/>
    <cellStyle name="Normal 2 5" xfId="11859" xr:uid="{00000000-0005-0000-0000-0000EB4C0000}"/>
    <cellStyle name="Normal 2 6" xfId="11860" xr:uid="{00000000-0005-0000-0000-0000EC4C0000}"/>
    <cellStyle name="Normal 2 7" xfId="11861" xr:uid="{00000000-0005-0000-0000-0000ED4C0000}"/>
    <cellStyle name="Normal 2 8" xfId="11862" xr:uid="{00000000-0005-0000-0000-0000EE4C0000}"/>
    <cellStyle name="Normal 2 9" xfId="11863" xr:uid="{00000000-0005-0000-0000-0000EF4C0000}"/>
    <cellStyle name="Normal 20" xfId="11864" xr:uid="{00000000-0005-0000-0000-0000F04C0000}"/>
    <cellStyle name="Normal 20 2" xfId="11865" xr:uid="{00000000-0005-0000-0000-0000F14C0000}"/>
    <cellStyle name="Normal 20 2 2" xfId="16177" xr:uid="{00000000-0005-0000-0000-0000F24C0000}"/>
    <cellStyle name="Normal 20 2 3" xfId="20200" xr:uid="{00000000-0005-0000-0000-0000F34C0000}"/>
    <cellStyle name="Normal 21" xfId="11866" xr:uid="{00000000-0005-0000-0000-0000F44C0000}"/>
    <cellStyle name="Normal 21 2" xfId="20291" xr:uid="{00000000-0005-0000-0000-0000F54C0000}"/>
    <cellStyle name="Normal 21 2 2 2" xfId="20388" xr:uid="{00000000-0005-0000-0000-0000F64C0000}"/>
    <cellStyle name="Normal 21 2 2 2 2" xfId="20399" xr:uid="{00000000-0005-0000-0000-0000F74C0000}"/>
    <cellStyle name="Normal 21 2 2 2 2 2" xfId="20404" xr:uid="{00000000-0005-0000-0000-0000F84C0000}"/>
    <cellStyle name="Normal 22" xfId="11867" xr:uid="{00000000-0005-0000-0000-0000F94C0000}"/>
    <cellStyle name="Normal 23" xfId="11868" xr:uid="{00000000-0005-0000-0000-0000FA4C0000}"/>
    <cellStyle name="Normal 24" xfId="11869" xr:uid="{00000000-0005-0000-0000-0000FB4C0000}"/>
    <cellStyle name="Normal 25" xfId="11870" xr:uid="{00000000-0005-0000-0000-0000FC4C0000}"/>
    <cellStyle name="Normal 26" xfId="11871" xr:uid="{00000000-0005-0000-0000-0000FD4C0000}"/>
    <cellStyle name="Normal 27" xfId="11872" xr:uid="{00000000-0005-0000-0000-0000FE4C0000}"/>
    <cellStyle name="Normal 28" xfId="11873" xr:uid="{00000000-0005-0000-0000-0000FF4C0000}"/>
    <cellStyle name="Normal 28 2" xfId="16178" xr:uid="{00000000-0005-0000-0000-0000004D0000}"/>
    <cellStyle name="Normal 28 3" xfId="20201" xr:uid="{00000000-0005-0000-0000-0000014D0000}"/>
    <cellStyle name="Normal 29" xfId="11874" xr:uid="{00000000-0005-0000-0000-0000024D0000}"/>
    <cellStyle name="Normal 3" xfId="11875" xr:uid="{00000000-0005-0000-0000-0000034D0000}"/>
    <cellStyle name="Normal 3 10" xfId="11876" xr:uid="{00000000-0005-0000-0000-0000044D0000}"/>
    <cellStyle name="Normal 3 2" xfId="11877" xr:uid="{00000000-0005-0000-0000-0000054D0000}"/>
    <cellStyle name="Normal 3 2 2" xfId="11878" xr:uid="{00000000-0005-0000-0000-0000064D0000}"/>
    <cellStyle name="Normal 3 2 3" xfId="11879" xr:uid="{00000000-0005-0000-0000-0000074D0000}"/>
    <cellStyle name="Normal 3 2 4" xfId="11880" xr:uid="{00000000-0005-0000-0000-0000084D0000}"/>
    <cellStyle name="Normal 3 2 5" xfId="11881" xr:uid="{00000000-0005-0000-0000-0000094D0000}"/>
    <cellStyle name="Normal 3 3" xfId="11882" xr:uid="{00000000-0005-0000-0000-00000A4D0000}"/>
    <cellStyle name="Normal 3 3 2" xfId="11883" xr:uid="{00000000-0005-0000-0000-00000B4D0000}"/>
    <cellStyle name="Normal 3 3 3" xfId="11884" xr:uid="{00000000-0005-0000-0000-00000C4D0000}"/>
    <cellStyle name="Normal 3 3 4" xfId="20292" xr:uid="{00000000-0005-0000-0000-00000D4D0000}"/>
    <cellStyle name="Normal 3 4" xfId="11885" xr:uid="{00000000-0005-0000-0000-00000E4D0000}"/>
    <cellStyle name="Normal 3 4 2" xfId="11886" xr:uid="{00000000-0005-0000-0000-00000F4D0000}"/>
    <cellStyle name="Normal 3 5" xfId="11887" xr:uid="{00000000-0005-0000-0000-0000104D0000}"/>
    <cellStyle name="Normal 3 6" xfId="11888" xr:uid="{00000000-0005-0000-0000-0000114D0000}"/>
    <cellStyle name="Normal 3 7" xfId="11889" xr:uid="{00000000-0005-0000-0000-0000124D0000}"/>
    <cellStyle name="Normal 30" xfId="11890" xr:uid="{00000000-0005-0000-0000-0000134D0000}"/>
    <cellStyle name="Normal 30 2" xfId="11891" xr:uid="{00000000-0005-0000-0000-0000144D0000}"/>
    <cellStyle name="Normal 31" xfId="11892" xr:uid="{00000000-0005-0000-0000-0000154D0000}"/>
    <cellStyle name="Normal 32" xfId="11893" xr:uid="{00000000-0005-0000-0000-0000164D0000}"/>
    <cellStyle name="Normal 33" xfId="11894" xr:uid="{00000000-0005-0000-0000-0000174D0000}"/>
    <cellStyle name="Normal 33 2" xfId="11895" xr:uid="{00000000-0005-0000-0000-0000184D0000}"/>
    <cellStyle name="Normal 33 3" xfId="16179" xr:uid="{00000000-0005-0000-0000-0000194D0000}"/>
    <cellStyle name="Normal 33 4" xfId="20202" xr:uid="{00000000-0005-0000-0000-00001A4D0000}"/>
    <cellStyle name="Normal 34" xfId="11896" xr:uid="{00000000-0005-0000-0000-00001B4D0000}"/>
    <cellStyle name="Normal 35" xfId="11897" xr:uid="{00000000-0005-0000-0000-00001C4D0000}"/>
    <cellStyle name="Normal 36" xfId="16216" xr:uid="{00000000-0005-0000-0000-00001D4D0000}"/>
    <cellStyle name="Normal 36 2" xfId="20293" xr:uid="{00000000-0005-0000-0000-00001E4D0000}"/>
    <cellStyle name="Normal 37" xfId="16219" xr:uid="{00000000-0005-0000-0000-00001F4D0000}"/>
    <cellStyle name="Normal 38" xfId="16382" xr:uid="{00000000-0005-0000-0000-0000204D0000}"/>
    <cellStyle name="Normal 39" xfId="16383" xr:uid="{00000000-0005-0000-0000-0000214D0000}"/>
    <cellStyle name="Normal 39 2 2" xfId="20386" xr:uid="{00000000-0005-0000-0000-0000224D0000}"/>
    <cellStyle name="Normal 39 2 2 2" xfId="20397" xr:uid="{00000000-0005-0000-0000-0000234D0000}"/>
    <cellStyle name="Normal 39 2 2 2 2" xfId="20403" xr:uid="{00000000-0005-0000-0000-0000244D0000}"/>
    <cellStyle name="Normal 4" xfId="11898" xr:uid="{00000000-0005-0000-0000-0000254D0000}"/>
    <cellStyle name="Normal 4 2" xfId="11899" xr:uid="{00000000-0005-0000-0000-0000264D0000}"/>
    <cellStyle name="Normal 4 2 2" xfId="11900" xr:uid="{00000000-0005-0000-0000-0000274D0000}"/>
    <cellStyle name="Normal 4 2 3" xfId="20294" xr:uid="{00000000-0005-0000-0000-0000284D0000}"/>
    <cellStyle name="Normal 4 3" xfId="11901" xr:uid="{00000000-0005-0000-0000-0000294D0000}"/>
    <cellStyle name="Normal 4 3 2" xfId="11902" xr:uid="{00000000-0005-0000-0000-00002A4D0000}"/>
    <cellStyle name="Normal 4 3 3" xfId="20295" xr:uid="{00000000-0005-0000-0000-00002B4D0000}"/>
    <cellStyle name="Normal 4 4" xfId="11903" xr:uid="{00000000-0005-0000-0000-00002C4D0000}"/>
    <cellStyle name="Normal 4 5" xfId="11904" xr:uid="{00000000-0005-0000-0000-00002D4D0000}"/>
    <cellStyle name="Normal 4 6" xfId="11905" xr:uid="{00000000-0005-0000-0000-00002E4D0000}"/>
    <cellStyle name="Normal 40" xfId="20306" xr:uid="{00000000-0005-0000-0000-00002F4D0000}"/>
    <cellStyle name="Normal 41" xfId="20392" xr:uid="{00000000-0005-0000-0000-0000304D0000}"/>
    <cellStyle name="Normal 42 2" xfId="20390" xr:uid="{00000000-0005-0000-0000-0000314D0000}"/>
    <cellStyle name="Normal 43 2" xfId="20389" xr:uid="{00000000-0005-0000-0000-0000324D0000}"/>
    <cellStyle name="Normal 5" xfId="11906" xr:uid="{00000000-0005-0000-0000-0000334D0000}"/>
    <cellStyle name="Normal 5 2" xfId="11907" xr:uid="{00000000-0005-0000-0000-0000344D0000}"/>
    <cellStyle name="Normal 5 2 2" xfId="11908" xr:uid="{00000000-0005-0000-0000-0000354D0000}"/>
    <cellStyle name="Normal 5 3" xfId="11909" xr:uid="{00000000-0005-0000-0000-0000364D0000}"/>
    <cellStyle name="Normal 5 4" xfId="11910" xr:uid="{00000000-0005-0000-0000-0000374D0000}"/>
    <cellStyle name="Normal 6" xfId="11911" xr:uid="{00000000-0005-0000-0000-0000384D0000}"/>
    <cellStyle name="Normal 6 2" xfId="11912" xr:uid="{00000000-0005-0000-0000-0000394D0000}"/>
    <cellStyle name="Normal 6 2 2" xfId="11913" xr:uid="{00000000-0005-0000-0000-00003A4D0000}"/>
    <cellStyle name="Normal 6 3" xfId="11914" xr:uid="{00000000-0005-0000-0000-00003B4D0000}"/>
    <cellStyle name="Normal 60" xfId="12421" xr:uid="{00000000-0005-0000-0000-00003C4D0000}"/>
    <cellStyle name="Normal 66" xfId="11915" xr:uid="{00000000-0005-0000-0000-00003D4D0000}"/>
    <cellStyle name="Normal 7" xfId="11916" xr:uid="{00000000-0005-0000-0000-00003E4D0000}"/>
    <cellStyle name="Normal 7 2" xfId="11917" xr:uid="{00000000-0005-0000-0000-00003F4D0000}"/>
    <cellStyle name="Normal 7 3" xfId="11918" xr:uid="{00000000-0005-0000-0000-0000404D0000}"/>
    <cellStyle name="Normal 8" xfId="11919" xr:uid="{00000000-0005-0000-0000-0000414D0000}"/>
    <cellStyle name="Normal 8 2" xfId="11920" xr:uid="{00000000-0005-0000-0000-0000424D0000}"/>
    <cellStyle name="Normal 8 2 2" xfId="16180" xr:uid="{00000000-0005-0000-0000-0000434D0000}"/>
    <cellStyle name="Normal 8 2 3" xfId="20203" xr:uid="{00000000-0005-0000-0000-0000444D0000}"/>
    <cellStyle name="Normal 88" xfId="20402" xr:uid="{00000000-0005-0000-0000-0000454D0000}"/>
    <cellStyle name="Normal 9" xfId="11921" xr:uid="{00000000-0005-0000-0000-0000464D0000}"/>
    <cellStyle name="Normal 9 2" xfId="11922" xr:uid="{00000000-0005-0000-0000-0000474D0000}"/>
    <cellStyle name="Normal 9 2 2" xfId="16181" xr:uid="{00000000-0005-0000-0000-0000484D0000}"/>
    <cellStyle name="Normal 9 2 3" xfId="20204" xr:uid="{00000000-0005-0000-0000-0000494D0000}"/>
    <cellStyle name="Normal Bold" xfId="11923" xr:uid="{00000000-0005-0000-0000-00004A4D0000}"/>
    <cellStyle name="Normal Bold 2" xfId="20352" xr:uid="{00000000-0005-0000-0000-00004B4D0000}"/>
    <cellStyle name="Normal Currency" xfId="11924" xr:uid="{00000000-0005-0000-0000-00004C4D0000}"/>
    <cellStyle name="Normal Dollar" xfId="11925" xr:uid="{00000000-0005-0000-0000-00004D4D0000}"/>
    <cellStyle name="Normal- Enter (1)" xfId="11926" xr:uid="{00000000-0005-0000-0000-00004E4D0000}"/>
    <cellStyle name="Normal Number" xfId="11927" xr:uid="{00000000-0005-0000-0000-00004F4D0000}"/>
    <cellStyle name="Normal Pct" xfId="11928" xr:uid="{00000000-0005-0000-0000-0000504D0000}"/>
    <cellStyle name="Normal Pct 2" xfId="20353" xr:uid="{00000000-0005-0000-0000-0000514D0000}"/>
    <cellStyle name="Normal/DBL" xfId="11929" xr:uid="{00000000-0005-0000-0000-0000524D0000}"/>
    <cellStyle name="Normal_Input Sheet" xfId="20308" xr:uid="{00000000-0005-0000-0000-0000534D0000}"/>
    <cellStyle name="Normal_LG RECON PPA 7.03.08" xfId="20391" xr:uid="{00000000-0005-0000-0000-0000544D0000}"/>
    <cellStyle name="Normal_NEW-WACC" xfId="20379" xr:uid="{00000000-0005-0000-0000-0000554D0000}"/>
    <cellStyle name="Normal_WACC calc" xfId="20393" xr:uid="{00000000-0005-0000-0000-0000564D0000}"/>
    <cellStyle name="Normal1" xfId="11930" xr:uid="{00000000-0005-0000-0000-0000574D0000}"/>
    <cellStyle name="Normal1 2" xfId="20354" xr:uid="{00000000-0005-0000-0000-0000584D0000}"/>
    <cellStyle name="Normal1Places" xfId="11931" xr:uid="{00000000-0005-0000-0000-0000594D0000}"/>
    <cellStyle name="Normal1Places 2" xfId="20355" xr:uid="{00000000-0005-0000-0000-00005A4D0000}"/>
    <cellStyle name="Normal2" xfId="11932" xr:uid="{00000000-0005-0000-0000-00005B4D0000}"/>
    <cellStyle name="Normal2Places" xfId="11933" xr:uid="{00000000-0005-0000-0000-00005C4D0000}"/>
    <cellStyle name="Normal2Places 2" xfId="20356" xr:uid="{00000000-0005-0000-0000-00005D4D0000}"/>
    <cellStyle name="Normal3Places" xfId="11934" xr:uid="{00000000-0005-0000-0000-00005E4D0000}"/>
    <cellStyle name="Normal8" xfId="11935" xr:uid="{00000000-0005-0000-0000-00005F4D0000}"/>
    <cellStyle name="NormalBlue" xfId="11936" xr:uid="{00000000-0005-0000-0000-0000604D0000}"/>
    <cellStyle name="NormalBold" xfId="11937" xr:uid="{00000000-0005-0000-0000-0000614D0000}"/>
    <cellStyle name="NormalBold 2" xfId="20357" xr:uid="{00000000-0005-0000-0000-0000624D0000}"/>
    <cellStyle name="Normale_ACTUAL 30-06-95.XLS" xfId="11938" xr:uid="{00000000-0005-0000-0000-0000634D0000}"/>
    <cellStyle name="Normal-Entry" xfId="11939" xr:uid="{00000000-0005-0000-0000-0000644D0000}"/>
    <cellStyle name="NormalEPS" xfId="11940" xr:uid="{00000000-0005-0000-0000-0000654D0000}"/>
    <cellStyle name="NormalGB" xfId="11941" xr:uid="{00000000-0005-0000-0000-0000664D0000}"/>
    <cellStyle name="NormalGB 2" xfId="20358" xr:uid="{00000000-0005-0000-0000-0000674D0000}"/>
    <cellStyle name="NormalHelv" xfId="11942" xr:uid="{00000000-0005-0000-0000-0000684D0000}"/>
    <cellStyle name="Normal-Input(1)" xfId="11943" xr:uid="{00000000-0005-0000-0000-0000694D0000}"/>
    <cellStyle name="NormalJEM" xfId="11944" xr:uid="{00000000-0005-0000-0000-00006A4D0000}"/>
    <cellStyle name="normální_M Schedules 2008 v02 - pracovní" xfId="11945" xr:uid="{00000000-0005-0000-0000-00006B4D0000}"/>
    <cellStyle name="NormalPop" xfId="11946" xr:uid="{00000000-0005-0000-0000-00006C4D0000}"/>
    <cellStyle name="NormalPop 2" xfId="20359" xr:uid="{00000000-0005-0000-0000-00006D4D0000}"/>
    <cellStyle name="Note 10" xfId="11947" xr:uid="{00000000-0005-0000-0000-00006E4D0000}"/>
    <cellStyle name="Note 10 2" xfId="11948" xr:uid="{00000000-0005-0000-0000-00006F4D0000}"/>
    <cellStyle name="Note 10 2 2" xfId="16182" xr:uid="{00000000-0005-0000-0000-0000704D0000}"/>
    <cellStyle name="Note 10 2 3" xfId="20205" xr:uid="{00000000-0005-0000-0000-0000714D0000}"/>
    <cellStyle name="Note 11" xfId="11949" xr:uid="{00000000-0005-0000-0000-0000724D0000}"/>
    <cellStyle name="Note 11 2" xfId="11950" xr:uid="{00000000-0005-0000-0000-0000734D0000}"/>
    <cellStyle name="Note 11 2 2" xfId="16183" xr:uid="{00000000-0005-0000-0000-0000744D0000}"/>
    <cellStyle name="Note 11 2 3" xfId="20206" xr:uid="{00000000-0005-0000-0000-0000754D0000}"/>
    <cellStyle name="Note 12" xfId="11951" xr:uid="{00000000-0005-0000-0000-0000764D0000}"/>
    <cellStyle name="Note 12 2" xfId="11952" xr:uid="{00000000-0005-0000-0000-0000774D0000}"/>
    <cellStyle name="Note 12 2 2" xfId="16184" xr:uid="{00000000-0005-0000-0000-0000784D0000}"/>
    <cellStyle name="Note 12 2 3" xfId="20207" xr:uid="{00000000-0005-0000-0000-0000794D0000}"/>
    <cellStyle name="Note 13" xfId="11953" xr:uid="{00000000-0005-0000-0000-00007A4D0000}"/>
    <cellStyle name="Note 13 2" xfId="11954" xr:uid="{00000000-0005-0000-0000-00007B4D0000}"/>
    <cellStyle name="Note 13 2 2" xfId="16185" xr:uid="{00000000-0005-0000-0000-00007C4D0000}"/>
    <cellStyle name="Note 13 2 3" xfId="20208" xr:uid="{00000000-0005-0000-0000-00007D4D0000}"/>
    <cellStyle name="Note 14" xfId="11955" xr:uid="{00000000-0005-0000-0000-00007E4D0000}"/>
    <cellStyle name="Note 15" xfId="11956" xr:uid="{00000000-0005-0000-0000-00007F4D0000}"/>
    <cellStyle name="Note 2" xfId="11957" xr:uid="{00000000-0005-0000-0000-0000804D0000}"/>
    <cellStyle name="Note 2 2" xfId="11958" xr:uid="{00000000-0005-0000-0000-0000814D0000}"/>
    <cellStyle name="Note 2 2 2" xfId="16186" xr:uid="{00000000-0005-0000-0000-0000824D0000}"/>
    <cellStyle name="Note 2 2 3" xfId="20209" xr:uid="{00000000-0005-0000-0000-0000834D0000}"/>
    <cellStyle name="Note 3" xfId="11959" xr:uid="{00000000-0005-0000-0000-0000844D0000}"/>
    <cellStyle name="Note 3 2" xfId="11960" xr:uid="{00000000-0005-0000-0000-0000854D0000}"/>
    <cellStyle name="Note 3 2 2" xfId="16187" xr:uid="{00000000-0005-0000-0000-0000864D0000}"/>
    <cellStyle name="Note 3 2 3" xfId="20210" xr:uid="{00000000-0005-0000-0000-0000874D0000}"/>
    <cellStyle name="Note 4" xfId="11961" xr:uid="{00000000-0005-0000-0000-0000884D0000}"/>
    <cellStyle name="Note 4 2" xfId="11962" xr:uid="{00000000-0005-0000-0000-0000894D0000}"/>
    <cellStyle name="Note 4 2 2" xfId="16188" xr:uid="{00000000-0005-0000-0000-00008A4D0000}"/>
    <cellStyle name="Note 4 2 3" xfId="20211" xr:uid="{00000000-0005-0000-0000-00008B4D0000}"/>
    <cellStyle name="Note 5" xfId="11963" xr:uid="{00000000-0005-0000-0000-00008C4D0000}"/>
    <cellStyle name="Note 5 2" xfId="11964" xr:uid="{00000000-0005-0000-0000-00008D4D0000}"/>
    <cellStyle name="Note 5 2 2" xfId="16189" xr:uid="{00000000-0005-0000-0000-00008E4D0000}"/>
    <cellStyle name="Note 5 2 3" xfId="20212" xr:uid="{00000000-0005-0000-0000-00008F4D0000}"/>
    <cellStyle name="Note 6" xfId="11965" xr:uid="{00000000-0005-0000-0000-0000904D0000}"/>
    <cellStyle name="Note 6 2" xfId="11966" xr:uid="{00000000-0005-0000-0000-0000914D0000}"/>
    <cellStyle name="Note 6 2 2" xfId="16190" xr:uid="{00000000-0005-0000-0000-0000924D0000}"/>
    <cellStyle name="Note 6 2 3" xfId="20213" xr:uid="{00000000-0005-0000-0000-0000934D0000}"/>
    <cellStyle name="Note 7" xfId="11967" xr:uid="{00000000-0005-0000-0000-0000944D0000}"/>
    <cellStyle name="Note 7 2" xfId="11968" xr:uid="{00000000-0005-0000-0000-0000954D0000}"/>
    <cellStyle name="Note 7 2 2" xfId="16191" xr:uid="{00000000-0005-0000-0000-0000964D0000}"/>
    <cellStyle name="Note 7 2 3" xfId="20214" xr:uid="{00000000-0005-0000-0000-0000974D0000}"/>
    <cellStyle name="Note 8" xfId="11969" xr:uid="{00000000-0005-0000-0000-0000984D0000}"/>
    <cellStyle name="Note 8 2" xfId="11970" xr:uid="{00000000-0005-0000-0000-0000994D0000}"/>
    <cellStyle name="Note 8 2 2" xfId="16192" xr:uid="{00000000-0005-0000-0000-00009A4D0000}"/>
    <cellStyle name="Note 8 2 3" xfId="20215" xr:uid="{00000000-0005-0000-0000-00009B4D0000}"/>
    <cellStyle name="Note 9" xfId="11971" xr:uid="{00000000-0005-0000-0000-00009C4D0000}"/>
    <cellStyle name="Note 9 2" xfId="11972" xr:uid="{00000000-0005-0000-0000-00009D4D0000}"/>
    <cellStyle name="Note 9 2 2" xfId="16193" xr:uid="{00000000-0005-0000-0000-00009E4D0000}"/>
    <cellStyle name="Note 9 2 3" xfId="20216" xr:uid="{00000000-0005-0000-0000-00009F4D0000}"/>
    <cellStyle name="NPPESalesPct" xfId="11973" xr:uid="{00000000-0005-0000-0000-0000A04D0000}"/>
    <cellStyle name="NPPESalesPct 2" xfId="20360" xr:uid="{00000000-0005-0000-0000-0000A14D0000}"/>
    <cellStyle name="Num1" xfId="11974" xr:uid="{00000000-0005-0000-0000-0000A24D0000}"/>
    <cellStyle name="Num1Blue" xfId="11975" xr:uid="{00000000-0005-0000-0000-0000A34D0000}"/>
    <cellStyle name="num1Style" xfId="11976" xr:uid="{00000000-0005-0000-0000-0000A44D0000}"/>
    <cellStyle name="num1Styleb" xfId="11977" xr:uid="{00000000-0005-0000-0000-0000A54D0000}"/>
    <cellStyle name="Num2" xfId="11978" xr:uid="{00000000-0005-0000-0000-0000A64D0000}"/>
    <cellStyle name="num4Style" xfId="11979" xr:uid="{00000000-0005-0000-0000-0000A74D0000}"/>
    <cellStyle name="num4Styleb" xfId="11980" xr:uid="{00000000-0005-0000-0000-0000A84D0000}"/>
    <cellStyle name="Number" xfId="11981" xr:uid="{00000000-0005-0000-0000-0000A94D0000}"/>
    <cellStyle name="Number 2" xfId="20361" xr:uid="{00000000-0005-0000-0000-0000AA4D0000}"/>
    <cellStyle name="numbers" xfId="11982" xr:uid="{00000000-0005-0000-0000-0000AB4D0000}"/>
    <cellStyle name="numbers 2" xfId="20362" xr:uid="{00000000-0005-0000-0000-0000AC4D0000}"/>
    <cellStyle name="numPStyle" xfId="11983" xr:uid="{00000000-0005-0000-0000-0000AD4D0000}"/>
    <cellStyle name="numPStyleb" xfId="11984" xr:uid="{00000000-0005-0000-0000-0000AE4D0000}"/>
    <cellStyle name="numXStyle" xfId="11985" xr:uid="{00000000-0005-0000-0000-0000AF4D0000}"/>
    <cellStyle name="numXStyleb" xfId="11986" xr:uid="{00000000-0005-0000-0000-0000B04D0000}"/>
    <cellStyle name="Œ…‹æ_Ø‚è [0.00]_Affiliate Fcst Inputs" xfId="11987" xr:uid="{00000000-0005-0000-0000-0000B14D0000}"/>
    <cellStyle name="Œ…‹æØ‚è [0.00]_!!!GO" xfId="11988" xr:uid="{00000000-0005-0000-0000-0000B24D0000}"/>
    <cellStyle name="Œ…‹æØ‚è_!!!GO" xfId="11989" xr:uid="{00000000-0005-0000-0000-0000B34D0000}"/>
    <cellStyle name="OScommands" xfId="11990" xr:uid="{00000000-0005-0000-0000-0000B44D0000}"/>
    <cellStyle name="OSW_ColumnLabels" xfId="11991" xr:uid="{00000000-0005-0000-0000-0000B54D0000}"/>
    <cellStyle name="Output 10" xfId="11992" xr:uid="{00000000-0005-0000-0000-0000B64D0000}"/>
    <cellStyle name="Output 11" xfId="11993" xr:uid="{00000000-0005-0000-0000-0000B74D0000}"/>
    <cellStyle name="Output 12" xfId="11994" xr:uid="{00000000-0005-0000-0000-0000B84D0000}"/>
    <cellStyle name="Output 13" xfId="11995" xr:uid="{00000000-0005-0000-0000-0000B94D0000}"/>
    <cellStyle name="Output 2" xfId="11996" xr:uid="{00000000-0005-0000-0000-0000BA4D0000}"/>
    <cellStyle name="Output 3" xfId="11997" xr:uid="{00000000-0005-0000-0000-0000BB4D0000}"/>
    <cellStyle name="Output 4" xfId="11998" xr:uid="{00000000-0005-0000-0000-0000BC4D0000}"/>
    <cellStyle name="Output 5" xfId="11999" xr:uid="{00000000-0005-0000-0000-0000BD4D0000}"/>
    <cellStyle name="Output 6" xfId="12000" xr:uid="{00000000-0005-0000-0000-0000BE4D0000}"/>
    <cellStyle name="Output 7" xfId="12001" xr:uid="{00000000-0005-0000-0000-0000BF4D0000}"/>
    <cellStyle name="Output 8" xfId="12002" xr:uid="{00000000-0005-0000-0000-0000C04D0000}"/>
    <cellStyle name="Output 9" xfId="12003" xr:uid="{00000000-0005-0000-0000-0000C14D0000}"/>
    <cellStyle name="Output Amounts" xfId="12004" xr:uid="{00000000-0005-0000-0000-0000C24D0000}"/>
    <cellStyle name="Output Column Headings" xfId="12005" xr:uid="{00000000-0005-0000-0000-0000C34D0000}"/>
    <cellStyle name="Output Line Items" xfId="12006" xr:uid="{00000000-0005-0000-0000-0000C44D0000}"/>
    <cellStyle name="Output Report Heading" xfId="12007" xr:uid="{00000000-0005-0000-0000-0000C54D0000}"/>
    <cellStyle name="Output Report Title" xfId="12008" xr:uid="{00000000-0005-0000-0000-0000C64D0000}"/>
    <cellStyle name="Outputs" xfId="12009" xr:uid="{00000000-0005-0000-0000-0000C74D0000}"/>
    <cellStyle name="Outputs 2" xfId="12010" xr:uid="{00000000-0005-0000-0000-0000C84D0000}"/>
    <cellStyle name="Outputs 2 2" xfId="20296" xr:uid="{00000000-0005-0000-0000-0000C94D0000}"/>
    <cellStyle name="Outputs 3" xfId="12011" xr:uid="{00000000-0005-0000-0000-0000CA4D0000}"/>
    <cellStyle name="Outputs 3 2" xfId="20297" xr:uid="{00000000-0005-0000-0000-0000CB4D0000}"/>
    <cellStyle name="Outputs 4" xfId="20298" xr:uid="{00000000-0005-0000-0000-0000CC4D0000}"/>
    <cellStyle name="OVER" xfId="12012" xr:uid="{00000000-0005-0000-0000-0000CD4D0000}"/>
    <cellStyle name="p" xfId="12013" xr:uid="{00000000-0005-0000-0000-0000CE4D0000}"/>
    <cellStyle name="P&amp;L Numbers" xfId="12014" xr:uid="{00000000-0005-0000-0000-0000CF4D0000}"/>
    <cellStyle name="p_DCF" xfId="12015" xr:uid="{00000000-0005-0000-0000-0000D04D0000}"/>
    <cellStyle name="Page Heading" xfId="12016" xr:uid="{00000000-0005-0000-0000-0000D14D0000}"/>
    <cellStyle name="Page Heading Large" xfId="12017" xr:uid="{00000000-0005-0000-0000-0000D24D0000}"/>
    <cellStyle name="Page Heading Small" xfId="12018" xr:uid="{00000000-0005-0000-0000-0000D34D0000}"/>
    <cellStyle name="Page Number" xfId="12019" xr:uid="{00000000-0005-0000-0000-0000D44D0000}"/>
    <cellStyle name="paint" xfId="12020" xr:uid="{00000000-0005-0000-0000-0000D54D0000}"/>
    <cellStyle name="Palatino" xfId="12021" xr:uid="{00000000-0005-0000-0000-0000D64D0000}"/>
    <cellStyle name="pc1" xfId="12022" xr:uid="{00000000-0005-0000-0000-0000D74D0000}"/>
    <cellStyle name="pc1 2" xfId="20363" xr:uid="{00000000-0005-0000-0000-0000D84D0000}"/>
    <cellStyle name="pct_sub" xfId="12023" xr:uid="{00000000-0005-0000-0000-0000D94D0000}"/>
    <cellStyle name="per.style" xfId="12024" xr:uid="{00000000-0005-0000-0000-0000DA4D0000}"/>
    <cellStyle name="per.style 2" xfId="20364" xr:uid="{00000000-0005-0000-0000-0000DB4D0000}"/>
    <cellStyle name="Percen" xfId="12025" xr:uid="{00000000-0005-0000-0000-0000DC4D0000}"/>
    <cellStyle name="Percen - Style1" xfId="12026" xr:uid="{00000000-0005-0000-0000-0000DD4D0000}"/>
    <cellStyle name="Percen - Style5" xfId="12027" xr:uid="{00000000-0005-0000-0000-0000DE4D0000}"/>
    <cellStyle name="Percent" xfId="12422" builtinId="5"/>
    <cellStyle name="Percent %" xfId="12028" xr:uid="{00000000-0005-0000-0000-0000E04D0000}"/>
    <cellStyle name="Percent % Long Underline" xfId="12029" xr:uid="{00000000-0005-0000-0000-0000E14D0000}"/>
    <cellStyle name="Percent (0)" xfId="12030" xr:uid="{00000000-0005-0000-0000-0000E24D0000}"/>
    <cellStyle name="Percent (1)" xfId="12031" xr:uid="{00000000-0005-0000-0000-0000E34D0000}"/>
    <cellStyle name="Percent (2)" xfId="12032" xr:uid="{00000000-0005-0000-0000-0000E44D0000}"/>
    <cellStyle name="Percent [0]" xfId="12033" xr:uid="{00000000-0005-0000-0000-0000E54D0000}"/>
    <cellStyle name="Percent [00]" xfId="12034" xr:uid="{00000000-0005-0000-0000-0000E64D0000}"/>
    <cellStyle name="Percent [1]" xfId="12035" xr:uid="{00000000-0005-0000-0000-0000E74D0000}"/>
    <cellStyle name="Percent [1] 2" xfId="20365" xr:uid="{00000000-0005-0000-0000-0000E84D0000}"/>
    <cellStyle name="Percent [1][]" xfId="12036" xr:uid="{00000000-0005-0000-0000-0000E94D0000}"/>
    <cellStyle name="Percent [1]_Aprio - Public Comps1" xfId="12037" xr:uid="{00000000-0005-0000-0000-0000EA4D0000}"/>
    <cellStyle name="Percent [2]" xfId="12038" xr:uid="{00000000-0005-0000-0000-0000EB4D0000}"/>
    <cellStyle name="Percent [2] 2" xfId="12039" xr:uid="{00000000-0005-0000-0000-0000EC4D0000}"/>
    <cellStyle name="Percent [2] 3" xfId="12040" xr:uid="{00000000-0005-0000-0000-0000ED4D0000}"/>
    <cellStyle name="Percent 0.0%" xfId="12041" xr:uid="{00000000-0005-0000-0000-0000EE4D0000}"/>
    <cellStyle name="Percent 0.0% Long Underline" xfId="12042" xr:uid="{00000000-0005-0000-0000-0000EF4D0000}"/>
    <cellStyle name="Percent 0.00%" xfId="12043" xr:uid="{00000000-0005-0000-0000-0000F04D0000}"/>
    <cellStyle name="Percent 0.00% Long Underline" xfId="12044" xr:uid="{00000000-0005-0000-0000-0000F14D0000}"/>
    <cellStyle name="Percent 0.000%" xfId="12045" xr:uid="{00000000-0005-0000-0000-0000F24D0000}"/>
    <cellStyle name="Percent 0.000% Long Underline" xfId="12046" xr:uid="{00000000-0005-0000-0000-0000F34D0000}"/>
    <cellStyle name="Percent 0.000%_Aprio - Public Comps1" xfId="12047" xr:uid="{00000000-0005-0000-0000-0000F44D0000}"/>
    <cellStyle name="Percent 1" xfId="12048" xr:uid="{00000000-0005-0000-0000-0000F54D0000}"/>
    <cellStyle name="Percent 10" xfId="2" xr:uid="{00000000-0005-0000-0000-0000F64D0000}"/>
    <cellStyle name="Percent 10 2" xfId="12429" xr:uid="{00000000-0005-0000-0000-0000F74D0000}"/>
    <cellStyle name="Percent 10 3" xfId="16385" xr:uid="{00000000-0005-0000-0000-0000F84D0000}"/>
    <cellStyle name="Percent 11" xfId="12049" xr:uid="{00000000-0005-0000-0000-0000F94D0000}"/>
    <cellStyle name="Percent 12" xfId="12050" xr:uid="{00000000-0005-0000-0000-0000FA4D0000}"/>
    <cellStyle name="Percent 13" xfId="12051" xr:uid="{00000000-0005-0000-0000-0000FB4D0000}"/>
    <cellStyle name="Percent 13 2" xfId="16194" xr:uid="{00000000-0005-0000-0000-0000FC4D0000}"/>
    <cellStyle name="Percent 13 3" xfId="20217" xr:uid="{00000000-0005-0000-0000-0000FD4D0000}"/>
    <cellStyle name="Percent 14" xfId="12052" xr:uid="{00000000-0005-0000-0000-0000FE4D0000}"/>
    <cellStyle name="Percent 15" xfId="12053" xr:uid="{00000000-0005-0000-0000-0000FF4D0000}"/>
    <cellStyle name="Percent 16" xfId="20366" xr:uid="{00000000-0005-0000-0000-0000004E0000}"/>
    <cellStyle name="Percent 18" xfId="20384" xr:uid="{00000000-0005-0000-0000-0000014E0000}"/>
    <cellStyle name="Percent 2" xfId="12054" xr:uid="{00000000-0005-0000-0000-0000024E0000}"/>
    <cellStyle name="Percent 2 2" xfId="12055" xr:uid="{00000000-0005-0000-0000-0000034E0000}"/>
    <cellStyle name="Percent 2 2 2" xfId="12056" xr:uid="{00000000-0005-0000-0000-0000044E0000}"/>
    <cellStyle name="Percent 2 3" xfId="12057" xr:uid="{00000000-0005-0000-0000-0000054E0000}"/>
    <cellStyle name="Percent 2 3 2" xfId="12058" xr:uid="{00000000-0005-0000-0000-0000064E0000}"/>
    <cellStyle name="Percent 2 4" xfId="12059" xr:uid="{00000000-0005-0000-0000-0000074E0000}"/>
    <cellStyle name="Percent 2 4 2" xfId="12060" xr:uid="{00000000-0005-0000-0000-0000084E0000}"/>
    <cellStyle name="Percent 2 5" xfId="12061" xr:uid="{00000000-0005-0000-0000-0000094E0000}"/>
    <cellStyle name="Percent 2 6" xfId="12062" xr:uid="{00000000-0005-0000-0000-00000A4E0000}"/>
    <cellStyle name="Percent 2 7" xfId="16195" xr:uid="{00000000-0005-0000-0000-00000B4E0000}"/>
    <cellStyle name="Percent 2 8" xfId="20218" xr:uid="{00000000-0005-0000-0000-00000C4E0000}"/>
    <cellStyle name="Percent 2 9" xfId="20383" xr:uid="{00000000-0005-0000-0000-00000D4E0000}"/>
    <cellStyle name="Percent 3" xfId="12063" xr:uid="{00000000-0005-0000-0000-00000E4E0000}"/>
    <cellStyle name="Percent 3 2" xfId="12064" xr:uid="{00000000-0005-0000-0000-00000F4E0000}"/>
    <cellStyle name="Percent 3 2 2" xfId="12065" xr:uid="{00000000-0005-0000-0000-0000104E0000}"/>
    <cellStyle name="Percent 3 2 3" xfId="20299" xr:uid="{00000000-0005-0000-0000-0000114E0000}"/>
    <cellStyle name="Percent 3 3" xfId="12066" xr:uid="{00000000-0005-0000-0000-0000124E0000}"/>
    <cellStyle name="Percent 3 4" xfId="12067" xr:uid="{00000000-0005-0000-0000-0000134E0000}"/>
    <cellStyle name="Percent 3 5" xfId="12068" xr:uid="{00000000-0005-0000-0000-0000144E0000}"/>
    <cellStyle name="Percent 4" xfId="12069" xr:uid="{00000000-0005-0000-0000-0000154E0000}"/>
    <cellStyle name="Percent 4 2" xfId="12070" xr:uid="{00000000-0005-0000-0000-0000164E0000}"/>
    <cellStyle name="Percent 5" xfId="12071" xr:uid="{00000000-0005-0000-0000-0000174E0000}"/>
    <cellStyle name="Percent 6" xfId="12072" xr:uid="{00000000-0005-0000-0000-0000184E0000}"/>
    <cellStyle name="Percent 7" xfId="12073" xr:uid="{00000000-0005-0000-0000-0000194E0000}"/>
    <cellStyle name="Percent 7 3" xfId="12424" xr:uid="{00000000-0005-0000-0000-00001A4E0000}"/>
    <cellStyle name="Percent 8" xfId="12074" xr:uid="{00000000-0005-0000-0000-00001B4E0000}"/>
    <cellStyle name="Percent 8 2" xfId="20309" xr:uid="{00000000-0005-0000-0000-00001C4E0000}"/>
    <cellStyle name="Percent 8 3" xfId="12075" xr:uid="{00000000-0005-0000-0000-00001D4E0000}"/>
    <cellStyle name="Percent 9" xfId="12076" xr:uid="{00000000-0005-0000-0000-00001E4E0000}"/>
    <cellStyle name="Percent Decimal" xfId="12077" xr:uid="{00000000-0005-0000-0000-00001F4E0000}"/>
    <cellStyle name="Percent Hard" xfId="12078" xr:uid="{00000000-0005-0000-0000-0000204E0000}"/>
    <cellStyle name="Percent Hard 2" xfId="20367" xr:uid="{00000000-0005-0000-0000-0000214E0000}"/>
    <cellStyle name="Percent Input" xfId="12079" xr:uid="{00000000-0005-0000-0000-0000224E0000}"/>
    <cellStyle name="Percent Input 2" xfId="20368" xr:uid="{00000000-0005-0000-0000-0000234E0000}"/>
    <cellStyle name="Percent*" xfId="12080" xr:uid="{00000000-0005-0000-0000-0000244E0000}"/>
    <cellStyle name="Percent1" xfId="12081" xr:uid="{00000000-0005-0000-0000-0000254E0000}"/>
    <cellStyle name="Percent1Blue" xfId="12082" xr:uid="{00000000-0005-0000-0000-0000264E0000}"/>
    <cellStyle name="Percent2" xfId="12083" xr:uid="{00000000-0005-0000-0000-0000274E0000}"/>
    <cellStyle name="Percent2 [0]" xfId="12084" xr:uid="{00000000-0005-0000-0000-0000284E0000}"/>
    <cellStyle name="Percent2 [1]" xfId="12085" xr:uid="{00000000-0005-0000-0000-0000294E0000}"/>
    <cellStyle name="Percent2Blue" xfId="12086" xr:uid="{00000000-0005-0000-0000-00002A4E0000}"/>
    <cellStyle name="Percentage" xfId="12087" xr:uid="{00000000-0005-0000-0000-00002B4E0000}"/>
    <cellStyle name="PercentChange" xfId="12088" xr:uid="{00000000-0005-0000-0000-00002C4E0000}"/>
    <cellStyle name="PercentDash0" xfId="12089" xr:uid="{00000000-0005-0000-0000-00002D4E0000}"/>
    <cellStyle name="PercentF [0]" xfId="12090" xr:uid="{00000000-0005-0000-0000-00002E4E0000}"/>
    <cellStyle name="PercentF [1]" xfId="12091" xr:uid="{00000000-0005-0000-0000-00002F4E0000}"/>
    <cellStyle name="PercentSales" xfId="12092" xr:uid="{00000000-0005-0000-0000-0000304E0000}"/>
    <cellStyle name="PercentSales 2" xfId="20369" xr:uid="{00000000-0005-0000-0000-0000314E0000}"/>
    <cellStyle name="PercentText0" xfId="12093" xr:uid="{00000000-0005-0000-0000-0000324E0000}"/>
    <cellStyle name="Periods" xfId="12094" xr:uid="{00000000-0005-0000-0000-0000334E0000}"/>
    <cellStyle name="Perlong" xfId="12095" xr:uid="{00000000-0005-0000-0000-0000344E0000}"/>
    <cellStyle name="Plain" xfId="12096" xr:uid="{00000000-0005-0000-0000-0000354E0000}"/>
    <cellStyle name="Plan" xfId="12097" xr:uid="{00000000-0005-0000-0000-0000364E0000}"/>
    <cellStyle name="pound" xfId="12098" xr:uid="{00000000-0005-0000-0000-0000374E0000}"/>
    <cellStyle name="pound 2" xfId="20370" xr:uid="{00000000-0005-0000-0000-0000384E0000}"/>
    <cellStyle name="Pourcentage 2" xfId="12099" xr:uid="{00000000-0005-0000-0000-0000394E0000}"/>
    <cellStyle name="Pourcentage 3" xfId="12100" xr:uid="{00000000-0005-0000-0000-00003A4E0000}"/>
    <cellStyle name="PrePop Currency (0)" xfId="12101" xr:uid="{00000000-0005-0000-0000-00003B4E0000}"/>
    <cellStyle name="PrePop Currency (2)" xfId="12102" xr:uid="{00000000-0005-0000-0000-00003C4E0000}"/>
    <cellStyle name="PrePop Units (0)" xfId="12103" xr:uid="{00000000-0005-0000-0000-00003D4E0000}"/>
    <cellStyle name="PrePop Units (1)" xfId="12104" xr:uid="{00000000-0005-0000-0000-00003E4E0000}"/>
    <cellStyle name="PrePop Units (2)" xfId="12105" xr:uid="{00000000-0005-0000-0000-00003F4E0000}"/>
    <cellStyle name="Price" xfId="12106" xr:uid="{00000000-0005-0000-0000-0000404E0000}"/>
    <cellStyle name="pricing" xfId="12107" xr:uid="{00000000-0005-0000-0000-0000414E0000}"/>
    <cellStyle name="Private" xfId="12108" xr:uid="{00000000-0005-0000-0000-0000424E0000}"/>
    <cellStyle name="Private1" xfId="12109" xr:uid="{00000000-0005-0000-0000-0000434E0000}"/>
    <cellStyle name="Product Title" xfId="12110" xr:uid="{00000000-0005-0000-0000-0000444E0000}"/>
    <cellStyle name="PROJECT" xfId="12111" xr:uid="{00000000-0005-0000-0000-0000454E0000}"/>
    <cellStyle name="PROJECT R" xfId="12112" xr:uid="{00000000-0005-0000-0000-0000464E0000}"/>
    <cellStyle name="PROJECT_Boston Power VD 01 31 2008 Model 02 26 2008" xfId="12113" xr:uid="{00000000-0005-0000-0000-0000474E0000}"/>
    <cellStyle name="Protected" xfId="12114" xr:uid="{00000000-0005-0000-0000-0000484E0000}"/>
    <cellStyle name="Protection" xfId="12115" xr:uid="{00000000-0005-0000-0000-0000494E0000}"/>
    <cellStyle name="PSChar" xfId="12116" xr:uid="{00000000-0005-0000-0000-00004A4E0000}"/>
    <cellStyle name="PSDate" xfId="12117" xr:uid="{00000000-0005-0000-0000-00004B4E0000}"/>
    <cellStyle name="PSDec" xfId="12118" xr:uid="{00000000-0005-0000-0000-00004C4E0000}"/>
    <cellStyle name="PSHeading" xfId="12119" xr:uid="{00000000-0005-0000-0000-00004D4E0000}"/>
    <cellStyle name="PSHeading 2" xfId="20371" xr:uid="{00000000-0005-0000-0000-00004E4E0000}"/>
    <cellStyle name="PSInt" xfId="12120" xr:uid="{00000000-0005-0000-0000-00004F4E0000}"/>
    <cellStyle name="PSSpacer" xfId="12121" xr:uid="{00000000-0005-0000-0000-0000504E0000}"/>
    <cellStyle name="question" xfId="12122" xr:uid="{00000000-0005-0000-0000-0000514E0000}"/>
    <cellStyle name="Ratio (1)" xfId="12123" xr:uid="{00000000-0005-0000-0000-0000524E0000}"/>
    <cellStyle name="Ratio (2)" xfId="12124" xr:uid="{00000000-0005-0000-0000-0000534E0000}"/>
    <cellStyle name="Ratio_U (1)" xfId="12125" xr:uid="{00000000-0005-0000-0000-0000544E0000}"/>
    <cellStyle name="RatioX" xfId="12126" xr:uid="{00000000-0005-0000-0000-0000554E0000}"/>
    <cellStyle name="Read" xfId="12127" xr:uid="{00000000-0005-0000-0000-0000564E0000}"/>
    <cellStyle name="Read$" xfId="12128" xr:uid="{00000000-0005-0000-0000-0000574E0000}"/>
    <cellStyle name="Read%" xfId="12129" xr:uid="{00000000-0005-0000-0000-0000584E0000}"/>
    <cellStyle name="ReadInData" xfId="12130" xr:uid="{00000000-0005-0000-0000-0000594E0000}"/>
    <cellStyle name="Réalisé" xfId="12131" xr:uid="{00000000-0005-0000-0000-00005A4E0000}"/>
    <cellStyle name="Red font" xfId="12132" xr:uid="{00000000-0005-0000-0000-00005B4E0000}"/>
    <cellStyle name="Red Text" xfId="12133" xr:uid="{00000000-0005-0000-0000-00005C4E0000}"/>
    <cellStyle name="regstoresfromspecstores" xfId="12134" xr:uid="{00000000-0005-0000-0000-00005D4E0000}"/>
    <cellStyle name="Regular" xfId="12135" xr:uid="{00000000-0005-0000-0000-00005E4E0000}"/>
    <cellStyle name="ReportNums" xfId="12136" xr:uid="{00000000-0005-0000-0000-00005F4E0000}"/>
    <cellStyle name="ReportNums 2" xfId="12137" xr:uid="{00000000-0005-0000-0000-0000604E0000}"/>
    <cellStyle name="ReportNums 2 2" xfId="12138" xr:uid="{00000000-0005-0000-0000-0000614E0000}"/>
    <cellStyle name="ReportNums 2 2 2" xfId="16197" xr:uid="{00000000-0005-0000-0000-0000624E0000}"/>
    <cellStyle name="ReportNums 2 2 3" xfId="20220" xr:uid="{00000000-0005-0000-0000-0000634E0000}"/>
    <cellStyle name="ReportNums 2 3" xfId="16196" xr:uid="{00000000-0005-0000-0000-0000644E0000}"/>
    <cellStyle name="ReportNums 2 4" xfId="20219" xr:uid="{00000000-0005-0000-0000-0000654E0000}"/>
    <cellStyle name="ReportNums 3" xfId="12139" xr:uid="{00000000-0005-0000-0000-0000664E0000}"/>
    <cellStyle name="ReportNums 3 2" xfId="12140" xr:uid="{00000000-0005-0000-0000-0000674E0000}"/>
    <cellStyle name="ReportNums 3 2 2" xfId="16199" xr:uid="{00000000-0005-0000-0000-0000684E0000}"/>
    <cellStyle name="ReportNums 3 2 3" xfId="20222" xr:uid="{00000000-0005-0000-0000-0000694E0000}"/>
    <cellStyle name="ReportNums 3 3" xfId="16198" xr:uid="{00000000-0005-0000-0000-00006A4E0000}"/>
    <cellStyle name="ReportNums 3 4" xfId="20221" xr:uid="{00000000-0005-0000-0000-00006B4E0000}"/>
    <cellStyle name="Results % 3 dp" xfId="12141" xr:uid="{00000000-0005-0000-0000-00006C4E0000}"/>
    <cellStyle name="Results 3 dp" xfId="12142" xr:uid="{00000000-0005-0000-0000-00006D4E0000}"/>
    <cellStyle name="RevList" xfId="12143" xr:uid="{00000000-0005-0000-0000-00006E4E0000}"/>
    <cellStyle name="Right Heading 1" xfId="12144" xr:uid="{00000000-0005-0000-0000-00006F4E0000}"/>
    <cellStyle name="Right Heading 2" xfId="12145" xr:uid="{00000000-0005-0000-0000-0000704E0000}"/>
    <cellStyle name="Row Headings" xfId="12146" xr:uid="{00000000-0005-0000-0000-0000714E0000}"/>
    <cellStyle name="Row Lvl 1" xfId="12147" xr:uid="{00000000-0005-0000-0000-0000724E0000}"/>
    <cellStyle name="Row Lvl 2" xfId="12148" xr:uid="{00000000-0005-0000-0000-0000734E0000}"/>
    <cellStyle name="s]_x000d__x000a_load=nwpopup.exe_x000d__x000a_run=_x000d__x000a_Beep=yes_x000d__x000a_NullPort=None_x000d__x000a_BorderWidth=3_x000d__x000a_CursorBlinkRate=530_x000d__x000a_DoubleClickSpeed=452_x000d__x000a_Programs" xfId="12149" xr:uid="{00000000-0005-0000-0000-0000744E0000}"/>
    <cellStyle name="Salomon Logo" xfId="12150" xr:uid="{00000000-0005-0000-0000-0000754E0000}"/>
    <cellStyle name="SAPBEXaggData" xfId="12151" xr:uid="{00000000-0005-0000-0000-0000764E0000}"/>
    <cellStyle name="SAPBEXaggDataEmph" xfId="12152" xr:uid="{00000000-0005-0000-0000-0000774E0000}"/>
    <cellStyle name="SAPBEXaggItem" xfId="12153" xr:uid="{00000000-0005-0000-0000-0000784E0000}"/>
    <cellStyle name="SAPBEXchaText" xfId="12154" xr:uid="{00000000-0005-0000-0000-0000794E0000}"/>
    <cellStyle name="SAPBEXexcBad7" xfId="12155" xr:uid="{00000000-0005-0000-0000-00007A4E0000}"/>
    <cellStyle name="SAPBEXexcBad8" xfId="12156" xr:uid="{00000000-0005-0000-0000-00007B4E0000}"/>
    <cellStyle name="SAPBEXexcBad9" xfId="12157" xr:uid="{00000000-0005-0000-0000-00007C4E0000}"/>
    <cellStyle name="SAPBEXexcCritical4" xfId="12158" xr:uid="{00000000-0005-0000-0000-00007D4E0000}"/>
    <cellStyle name="SAPBEXexcCritical5" xfId="12159" xr:uid="{00000000-0005-0000-0000-00007E4E0000}"/>
    <cellStyle name="SAPBEXexcCritical6" xfId="12160" xr:uid="{00000000-0005-0000-0000-00007F4E0000}"/>
    <cellStyle name="SAPBEXexcGood1" xfId="12161" xr:uid="{00000000-0005-0000-0000-0000804E0000}"/>
    <cellStyle name="SAPBEXexcGood2" xfId="12162" xr:uid="{00000000-0005-0000-0000-0000814E0000}"/>
    <cellStyle name="SAPBEXexcGood3" xfId="12163" xr:uid="{00000000-0005-0000-0000-0000824E0000}"/>
    <cellStyle name="SAPBEXfilterDrill" xfId="12164" xr:uid="{00000000-0005-0000-0000-0000834E0000}"/>
    <cellStyle name="SAPBEXfilterItem" xfId="12165" xr:uid="{00000000-0005-0000-0000-0000844E0000}"/>
    <cellStyle name="SAPBEXfilterText" xfId="12166" xr:uid="{00000000-0005-0000-0000-0000854E0000}"/>
    <cellStyle name="SAPBEXformats" xfId="12167" xr:uid="{00000000-0005-0000-0000-0000864E0000}"/>
    <cellStyle name="SAPBEXheaderItem" xfId="12168" xr:uid="{00000000-0005-0000-0000-0000874E0000}"/>
    <cellStyle name="SAPBEXheaderText" xfId="12169" xr:uid="{00000000-0005-0000-0000-0000884E0000}"/>
    <cellStyle name="SAPBEXresData" xfId="12170" xr:uid="{00000000-0005-0000-0000-0000894E0000}"/>
    <cellStyle name="SAPBEXresDataEmph" xfId="12171" xr:uid="{00000000-0005-0000-0000-00008A4E0000}"/>
    <cellStyle name="SAPBEXresItem" xfId="12172" xr:uid="{00000000-0005-0000-0000-00008B4E0000}"/>
    <cellStyle name="SAPBEXstdData" xfId="12173" xr:uid="{00000000-0005-0000-0000-00008C4E0000}"/>
    <cellStyle name="SAPBEXstdDataEmph" xfId="12174" xr:uid="{00000000-0005-0000-0000-00008D4E0000}"/>
    <cellStyle name="SAPBEXstdItem" xfId="12175" xr:uid="{00000000-0005-0000-0000-00008E4E0000}"/>
    <cellStyle name="SAPBEXtitle" xfId="12176" xr:uid="{00000000-0005-0000-0000-00008F4E0000}"/>
    <cellStyle name="SAPBEXundefined" xfId="12177" xr:uid="{00000000-0005-0000-0000-0000904E0000}"/>
    <cellStyle name="SAPKey" xfId="12178" xr:uid="{00000000-0005-0000-0000-0000914E0000}"/>
    <cellStyle name="SAPKey 2" xfId="12179" xr:uid="{00000000-0005-0000-0000-0000924E0000}"/>
    <cellStyle name="SAPKey 3" xfId="12180" xr:uid="{00000000-0005-0000-0000-0000934E0000}"/>
    <cellStyle name="SAPLocked" xfId="12181" xr:uid="{00000000-0005-0000-0000-0000944E0000}"/>
    <cellStyle name="SAPLocked 2" xfId="12182" xr:uid="{00000000-0005-0000-0000-0000954E0000}"/>
    <cellStyle name="SAPLocked 3" xfId="12183" xr:uid="{00000000-0005-0000-0000-0000964E0000}"/>
    <cellStyle name="SAPOutput" xfId="12184" xr:uid="{00000000-0005-0000-0000-0000974E0000}"/>
    <cellStyle name="SAPOutput 2" xfId="12185" xr:uid="{00000000-0005-0000-0000-0000984E0000}"/>
    <cellStyle name="SAPOutput 3" xfId="12186" xr:uid="{00000000-0005-0000-0000-0000994E0000}"/>
    <cellStyle name="SAPSpace" xfId="12187" xr:uid="{00000000-0005-0000-0000-00009A4E0000}"/>
    <cellStyle name="SAPSpace 2" xfId="12188" xr:uid="{00000000-0005-0000-0000-00009B4E0000}"/>
    <cellStyle name="SAPSpace 3" xfId="12189" xr:uid="{00000000-0005-0000-0000-00009C4E0000}"/>
    <cellStyle name="SAPText" xfId="12190" xr:uid="{00000000-0005-0000-0000-00009D4E0000}"/>
    <cellStyle name="SAPText 2" xfId="12191" xr:uid="{00000000-0005-0000-0000-00009E4E0000}"/>
    <cellStyle name="SAPText 3" xfId="12192" xr:uid="{00000000-0005-0000-0000-00009F4E0000}"/>
    <cellStyle name="SAPUnLocked" xfId="12193" xr:uid="{00000000-0005-0000-0000-0000A04E0000}"/>
    <cellStyle name="SAPUnLocked 2" xfId="12194" xr:uid="{00000000-0005-0000-0000-0000A14E0000}"/>
    <cellStyle name="SAPUnLocked 3" xfId="12195" xr:uid="{00000000-0005-0000-0000-0000A24E0000}"/>
    <cellStyle name="sbt2" xfId="12196" xr:uid="{00000000-0005-0000-0000-0000A34E0000}"/>
    <cellStyle name="sbt2 2" xfId="12197" xr:uid="{00000000-0005-0000-0000-0000A44E0000}"/>
    <cellStyle name="sbt2 2 2" xfId="12198" xr:uid="{00000000-0005-0000-0000-0000A54E0000}"/>
    <cellStyle name="sbt2 2 2 2" xfId="20225" xr:uid="{00000000-0005-0000-0000-0000A64E0000}"/>
    <cellStyle name="sbt2 2 3" xfId="20224" xr:uid="{00000000-0005-0000-0000-0000A74E0000}"/>
    <cellStyle name="sbt2 3" xfId="12199" xr:uid="{00000000-0005-0000-0000-0000A84E0000}"/>
    <cellStyle name="sbt2 3 2" xfId="12200" xr:uid="{00000000-0005-0000-0000-0000A94E0000}"/>
    <cellStyle name="sbt2 3 2 2" xfId="20227" xr:uid="{00000000-0005-0000-0000-0000AA4E0000}"/>
    <cellStyle name="sbt2 3 3" xfId="20226" xr:uid="{00000000-0005-0000-0000-0000AB4E0000}"/>
    <cellStyle name="sbt2 4" xfId="12201" xr:uid="{00000000-0005-0000-0000-0000AC4E0000}"/>
    <cellStyle name="sbt2 4 2" xfId="20228" xr:uid="{00000000-0005-0000-0000-0000AD4E0000}"/>
    <cellStyle name="sbt2 5" xfId="20223" xr:uid="{00000000-0005-0000-0000-0000AE4E0000}"/>
    <cellStyle name="SectionHeaderNormal" xfId="12202" xr:uid="{00000000-0005-0000-0000-0000AF4E0000}"/>
    <cellStyle name="SectionHeading" xfId="12203" xr:uid="{00000000-0005-0000-0000-0000B04E0000}"/>
    <cellStyle name="SectionHeading 2" xfId="12204" xr:uid="{00000000-0005-0000-0000-0000B14E0000}"/>
    <cellStyle name="SectionHeading 2 2" xfId="12205" xr:uid="{00000000-0005-0000-0000-0000B24E0000}"/>
    <cellStyle name="SectionHeading 2 2 2" xfId="16202" xr:uid="{00000000-0005-0000-0000-0000B34E0000}"/>
    <cellStyle name="SectionHeading 2 2 3" xfId="20231" xr:uid="{00000000-0005-0000-0000-0000B44E0000}"/>
    <cellStyle name="SectionHeading 2 3" xfId="16201" xr:uid="{00000000-0005-0000-0000-0000B54E0000}"/>
    <cellStyle name="SectionHeading 2 4" xfId="20230" xr:uid="{00000000-0005-0000-0000-0000B64E0000}"/>
    <cellStyle name="SectionHeading 3" xfId="12206" xr:uid="{00000000-0005-0000-0000-0000B74E0000}"/>
    <cellStyle name="SectionHeading 3 2" xfId="12207" xr:uid="{00000000-0005-0000-0000-0000B84E0000}"/>
    <cellStyle name="SectionHeading 3 2 2" xfId="16204" xr:uid="{00000000-0005-0000-0000-0000B94E0000}"/>
    <cellStyle name="SectionHeading 3 2 3" xfId="20233" xr:uid="{00000000-0005-0000-0000-0000BA4E0000}"/>
    <cellStyle name="SectionHeading 3 3" xfId="16203" xr:uid="{00000000-0005-0000-0000-0000BB4E0000}"/>
    <cellStyle name="SectionHeading 3 4" xfId="20232" xr:uid="{00000000-0005-0000-0000-0000BC4E0000}"/>
    <cellStyle name="SectionHeading 4" xfId="12208" xr:uid="{00000000-0005-0000-0000-0000BD4E0000}"/>
    <cellStyle name="SectionHeading 4 2" xfId="16205" xr:uid="{00000000-0005-0000-0000-0000BE4E0000}"/>
    <cellStyle name="SectionHeading 4 3" xfId="20234" xr:uid="{00000000-0005-0000-0000-0000BF4E0000}"/>
    <cellStyle name="SectionHeading 5" xfId="16200" xr:uid="{00000000-0005-0000-0000-0000C04E0000}"/>
    <cellStyle name="SectionHeading 6" xfId="20229" xr:uid="{00000000-0005-0000-0000-0000C14E0000}"/>
    <cellStyle name="SGD 2" xfId="12209" xr:uid="{00000000-0005-0000-0000-0000C24E0000}"/>
    <cellStyle name="SGD 2 2" xfId="20372" xr:uid="{00000000-0005-0000-0000-0000C34E0000}"/>
    <cellStyle name="Shaded" xfId="12210" xr:uid="{00000000-0005-0000-0000-0000C44E0000}"/>
    <cellStyle name="SHADEDSTORES" xfId="12211" xr:uid="{00000000-0005-0000-0000-0000C54E0000}"/>
    <cellStyle name="SHADEDSTORES 2" xfId="12212" xr:uid="{00000000-0005-0000-0000-0000C64E0000}"/>
    <cellStyle name="SHADEDSTORES 2 2" xfId="12213" xr:uid="{00000000-0005-0000-0000-0000C74E0000}"/>
    <cellStyle name="SHADEDSTORES 2 2 2" xfId="16207" xr:uid="{00000000-0005-0000-0000-0000C84E0000}"/>
    <cellStyle name="SHADEDSTORES 2 2 3" xfId="20236" xr:uid="{00000000-0005-0000-0000-0000C94E0000}"/>
    <cellStyle name="SHADEDSTORES 2 3" xfId="16206" xr:uid="{00000000-0005-0000-0000-0000CA4E0000}"/>
    <cellStyle name="SHADEDSTORES 2 4" xfId="20235" xr:uid="{00000000-0005-0000-0000-0000CB4E0000}"/>
    <cellStyle name="SHADEDSTORES 3" xfId="12214" xr:uid="{00000000-0005-0000-0000-0000CC4E0000}"/>
    <cellStyle name="SHADEDSTORES 3 2" xfId="12215" xr:uid="{00000000-0005-0000-0000-0000CD4E0000}"/>
    <cellStyle name="SHADEDSTORES 3 2 2" xfId="16209" xr:uid="{00000000-0005-0000-0000-0000CE4E0000}"/>
    <cellStyle name="SHADEDSTORES 3 2 3" xfId="20238" xr:uid="{00000000-0005-0000-0000-0000CF4E0000}"/>
    <cellStyle name="SHADEDSTORES 3 3" xfId="16208" xr:uid="{00000000-0005-0000-0000-0000D04E0000}"/>
    <cellStyle name="SHADEDSTORES 3 4" xfId="20237" xr:uid="{00000000-0005-0000-0000-0000D14E0000}"/>
    <cellStyle name="Shading" xfId="12216" xr:uid="{00000000-0005-0000-0000-0000D24E0000}"/>
    <cellStyle name="Shares" xfId="12217" xr:uid="{00000000-0005-0000-0000-0000D34E0000}"/>
    <cellStyle name="Shares 2" xfId="20373" xr:uid="{00000000-0005-0000-0000-0000D44E0000}"/>
    <cellStyle name="sharesout" xfId="12218" xr:uid="{00000000-0005-0000-0000-0000D54E0000}"/>
    <cellStyle name="sharesout 2" xfId="12219" xr:uid="{00000000-0005-0000-0000-0000D64E0000}"/>
    <cellStyle name="sharesout 2 2" xfId="12220" xr:uid="{00000000-0005-0000-0000-0000D74E0000}"/>
    <cellStyle name="sharesout 2 2 2" xfId="16212" xr:uid="{00000000-0005-0000-0000-0000D84E0000}"/>
    <cellStyle name="sharesout 2 2 3" xfId="20241" xr:uid="{00000000-0005-0000-0000-0000D94E0000}"/>
    <cellStyle name="sharesout 2 3" xfId="16211" xr:uid="{00000000-0005-0000-0000-0000DA4E0000}"/>
    <cellStyle name="sharesout 2 4" xfId="20240" xr:uid="{00000000-0005-0000-0000-0000DB4E0000}"/>
    <cellStyle name="sharesout 3" xfId="12221" xr:uid="{00000000-0005-0000-0000-0000DC4E0000}"/>
    <cellStyle name="sharesout 3 2" xfId="12222" xr:uid="{00000000-0005-0000-0000-0000DD4E0000}"/>
    <cellStyle name="sharesout 3 2 2" xfId="16214" xr:uid="{00000000-0005-0000-0000-0000DE4E0000}"/>
    <cellStyle name="sharesout 3 2 3" xfId="20243" xr:uid="{00000000-0005-0000-0000-0000DF4E0000}"/>
    <cellStyle name="sharesout 3 3" xfId="16213" xr:uid="{00000000-0005-0000-0000-0000E04E0000}"/>
    <cellStyle name="sharesout 3 4" xfId="20242" xr:uid="{00000000-0005-0000-0000-0000E14E0000}"/>
    <cellStyle name="sharesout 4" xfId="12223" xr:uid="{00000000-0005-0000-0000-0000E24E0000}"/>
    <cellStyle name="sharesout 4 2" xfId="16215" xr:uid="{00000000-0005-0000-0000-0000E34E0000}"/>
    <cellStyle name="sharesout 4 3" xfId="20244" xr:uid="{00000000-0005-0000-0000-0000E44E0000}"/>
    <cellStyle name="sharesout 5" xfId="16210" xr:uid="{00000000-0005-0000-0000-0000E54E0000}"/>
    <cellStyle name="sharesout 6" xfId="20239" xr:uid="{00000000-0005-0000-0000-0000E64E0000}"/>
    <cellStyle name="Sheetmult" xfId="12224" xr:uid="{00000000-0005-0000-0000-0000E74E0000}"/>
    <cellStyle name="ShOut" xfId="12225" xr:uid="{00000000-0005-0000-0000-0000E84E0000}"/>
    <cellStyle name="Shtmultx" xfId="12226" xr:uid="{00000000-0005-0000-0000-0000E94E0000}"/>
    <cellStyle name="Single Accounting" xfId="12227" xr:uid="{00000000-0005-0000-0000-0000EA4E0000}"/>
    <cellStyle name="Single Border" xfId="12228" xr:uid="{00000000-0005-0000-0000-0000EB4E0000}"/>
    <cellStyle name="Single Border 2" xfId="12229" xr:uid="{00000000-0005-0000-0000-0000EC4E0000}"/>
    <cellStyle name="Single Border 2 2" xfId="20300" xr:uid="{00000000-0005-0000-0000-0000ED4E0000}"/>
    <cellStyle name="Single Border 3" xfId="12230" xr:uid="{00000000-0005-0000-0000-0000EE4E0000}"/>
    <cellStyle name="Single Border 3 2" xfId="20301" xr:uid="{00000000-0005-0000-0000-0000EF4E0000}"/>
    <cellStyle name="Single Border 4" xfId="20302" xr:uid="{00000000-0005-0000-0000-0000F04E0000}"/>
    <cellStyle name="Size10Pt" xfId="12231" xr:uid="{00000000-0005-0000-0000-0000F14E0000}"/>
    <cellStyle name="Size10Pt 2" xfId="20374" xr:uid="{00000000-0005-0000-0000-0000F24E0000}"/>
    <cellStyle name="Size12Pt" xfId="12232" xr:uid="{00000000-0005-0000-0000-0000F34E0000}"/>
    <cellStyle name="Size12Pt 2" xfId="20375" xr:uid="{00000000-0005-0000-0000-0000F44E0000}"/>
    <cellStyle name="Small Page Heading" xfId="12233" xr:uid="{00000000-0005-0000-0000-0000F54E0000}"/>
    <cellStyle name="specstores" xfId="12234" xr:uid="{00000000-0005-0000-0000-0000F64E0000}"/>
    <cellStyle name="Standaard_laroux" xfId="12235" xr:uid="{00000000-0005-0000-0000-0000F74E0000}"/>
    <cellStyle name="STANDARD" xfId="12236" xr:uid="{00000000-0005-0000-0000-0000F84E0000}"/>
    <cellStyle name="Std Currency" xfId="12237" xr:uid="{00000000-0005-0000-0000-0000F94E0000}"/>
    <cellStyle name="Std Input" xfId="12238" xr:uid="{00000000-0005-0000-0000-0000FA4E0000}"/>
    <cellStyle name="Std Number" xfId="12239" xr:uid="{00000000-0005-0000-0000-0000FB4E0000}"/>
    <cellStyle name="Std Percent" xfId="12240" xr:uid="{00000000-0005-0000-0000-0000FC4E0000}"/>
    <cellStyle name="Std Text" xfId="12241" xr:uid="{00000000-0005-0000-0000-0000FD4E0000}"/>
    <cellStyle name="Strange" xfId="12242" xr:uid="{00000000-0005-0000-0000-0000FE4E0000}"/>
    <cellStyle name="Strange 2" xfId="20376" xr:uid="{00000000-0005-0000-0000-0000FF4E0000}"/>
    <cellStyle name="Strikethru" xfId="12243" xr:uid="{00000000-0005-0000-0000-0000004F0000}"/>
    <cellStyle name="STYL1 - Style1" xfId="12244" xr:uid="{00000000-0005-0000-0000-0000014F0000}"/>
    <cellStyle name="STYL1 - Style1 2" xfId="12245" xr:uid="{00000000-0005-0000-0000-0000024F0000}"/>
    <cellStyle name="Style 1" xfId="12246" xr:uid="{00000000-0005-0000-0000-0000034F0000}"/>
    <cellStyle name="Style 2" xfId="12247" xr:uid="{00000000-0005-0000-0000-0000044F0000}"/>
    <cellStyle name="Style 21" xfId="12248" xr:uid="{00000000-0005-0000-0000-0000054F0000}"/>
    <cellStyle name="Style 22" xfId="12249" xr:uid="{00000000-0005-0000-0000-0000064F0000}"/>
    <cellStyle name="Style 23" xfId="12250" xr:uid="{00000000-0005-0000-0000-0000074F0000}"/>
    <cellStyle name="Style 24" xfId="12251" xr:uid="{00000000-0005-0000-0000-0000084F0000}"/>
    <cellStyle name="Style 25" xfId="12252" xr:uid="{00000000-0005-0000-0000-0000094F0000}"/>
    <cellStyle name="Style 26" xfId="12253" xr:uid="{00000000-0005-0000-0000-00000A4F0000}"/>
    <cellStyle name="Style 27" xfId="12254" xr:uid="{00000000-0005-0000-0000-00000B4F0000}"/>
    <cellStyle name="Style 28" xfId="12255" xr:uid="{00000000-0005-0000-0000-00000C4F0000}"/>
    <cellStyle name="Style 29" xfId="12256" xr:uid="{00000000-0005-0000-0000-00000D4F0000}"/>
    <cellStyle name="Style 3" xfId="12257" xr:uid="{00000000-0005-0000-0000-00000E4F0000}"/>
    <cellStyle name="Style 30" xfId="12258" xr:uid="{00000000-0005-0000-0000-00000F4F0000}"/>
    <cellStyle name="Style 31" xfId="12259" xr:uid="{00000000-0005-0000-0000-0000104F0000}"/>
    <cellStyle name="Style 32" xfId="12260" xr:uid="{00000000-0005-0000-0000-0000114F0000}"/>
    <cellStyle name="Style 33" xfId="12261" xr:uid="{00000000-0005-0000-0000-0000124F0000}"/>
    <cellStyle name="Style 33 2" xfId="20377" xr:uid="{00000000-0005-0000-0000-0000134F0000}"/>
    <cellStyle name="Style 34" xfId="12262" xr:uid="{00000000-0005-0000-0000-0000144F0000}"/>
    <cellStyle name="Style 34 2" xfId="20378" xr:uid="{00000000-0005-0000-0000-0000154F0000}"/>
    <cellStyle name="Style 35" xfId="12263" xr:uid="{00000000-0005-0000-0000-0000164F0000}"/>
    <cellStyle name="Style 36" xfId="12264" xr:uid="{00000000-0005-0000-0000-0000174F0000}"/>
    <cellStyle name="Style 37" xfId="12265" xr:uid="{00000000-0005-0000-0000-0000184F0000}"/>
    <cellStyle name="Style 38" xfId="12266" xr:uid="{00000000-0005-0000-0000-0000194F0000}"/>
    <cellStyle name="Style 39" xfId="12267" xr:uid="{00000000-0005-0000-0000-00001A4F0000}"/>
    <cellStyle name="Style 4" xfId="12268" xr:uid="{00000000-0005-0000-0000-00001B4F0000}"/>
    <cellStyle name="Style 40" xfId="12269" xr:uid="{00000000-0005-0000-0000-00001C4F0000}"/>
    <cellStyle name="Style 41" xfId="12270" xr:uid="{00000000-0005-0000-0000-00001D4F0000}"/>
    <cellStyle name="Style 42" xfId="12271" xr:uid="{00000000-0005-0000-0000-00001E4F0000}"/>
    <cellStyle name="Style 43" xfId="12272" xr:uid="{00000000-0005-0000-0000-00001F4F0000}"/>
    <cellStyle name="Style 44" xfId="12273" xr:uid="{00000000-0005-0000-0000-0000204F0000}"/>
    <cellStyle name="Style 44 2" xfId="12274" xr:uid="{00000000-0005-0000-0000-0000214F0000}"/>
    <cellStyle name="Style 45" xfId="12275" xr:uid="{00000000-0005-0000-0000-0000224F0000}"/>
    <cellStyle name="Style 45 2" xfId="12276" xr:uid="{00000000-0005-0000-0000-0000234F0000}"/>
    <cellStyle name="Style 46" xfId="12277" xr:uid="{00000000-0005-0000-0000-0000244F0000}"/>
    <cellStyle name="Style 46 2" xfId="12278" xr:uid="{00000000-0005-0000-0000-0000254F0000}"/>
    <cellStyle name="Style 47" xfId="12279" xr:uid="{00000000-0005-0000-0000-0000264F0000}"/>
    <cellStyle name="Style 47 2" xfId="12280" xr:uid="{00000000-0005-0000-0000-0000274F0000}"/>
    <cellStyle name="Style 48" xfId="12281" xr:uid="{00000000-0005-0000-0000-0000284F0000}"/>
    <cellStyle name="Style 48 2" xfId="12282" xr:uid="{00000000-0005-0000-0000-0000294F0000}"/>
    <cellStyle name="Style 49" xfId="12283" xr:uid="{00000000-0005-0000-0000-00002A4F0000}"/>
    <cellStyle name="Style 49 2" xfId="12284" xr:uid="{00000000-0005-0000-0000-00002B4F0000}"/>
    <cellStyle name="Style 5" xfId="12285" xr:uid="{00000000-0005-0000-0000-00002C4F0000}"/>
    <cellStyle name="Style 50" xfId="12286" xr:uid="{00000000-0005-0000-0000-00002D4F0000}"/>
    <cellStyle name="Style 50 2" xfId="12287" xr:uid="{00000000-0005-0000-0000-00002E4F0000}"/>
    <cellStyle name="Style 51" xfId="12288" xr:uid="{00000000-0005-0000-0000-00002F4F0000}"/>
    <cellStyle name="Style 51 2" xfId="12289" xr:uid="{00000000-0005-0000-0000-0000304F0000}"/>
    <cellStyle name="Style 51 3" xfId="12290" xr:uid="{00000000-0005-0000-0000-0000314F0000}"/>
    <cellStyle name="Style 52" xfId="12291" xr:uid="{00000000-0005-0000-0000-0000324F0000}"/>
    <cellStyle name="Style 53" xfId="12292" xr:uid="{00000000-0005-0000-0000-0000334F0000}"/>
    <cellStyle name="Style 54" xfId="12293" xr:uid="{00000000-0005-0000-0000-0000344F0000}"/>
    <cellStyle name="Style 55" xfId="12294" xr:uid="{00000000-0005-0000-0000-0000354F0000}"/>
    <cellStyle name="Style 56" xfId="12295" xr:uid="{00000000-0005-0000-0000-0000364F0000}"/>
    <cellStyle name="Style 57" xfId="12296" xr:uid="{00000000-0005-0000-0000-0000374F0000}"/>
    <cellStyle name="Style 58" xfId="12297" xr:uid="{00000000-0005-0000-0000-0000384F0000}"/>
    <cellStyle name="Style 59" xfId="12298" xr:uid="{00000000-0005-0000-0000-0000394F0000}"/>
    <cellStyle name="Style 6" xfId="12299" xr:uid="{00000000-0005-0000-0000-00003A4F0000}"/>
    <cellStyle name="Style 60" xfId="12300" xr:uid="{00000000-0005-0000-0000-00003B4F0000}"/>
    <cellStyle name="Style 61" xfId="12301" xr:uid="{00000000-0005-0000-0000-00003C4F0000}"/>
    <cellStyle name="Style 62" xfId="12302" xr:uid="{00000000-0005-0000-0000-00003D4F0000}"/>
    <cellStyle name="Style 63" xfId="12303" xr:uid="{00000000-0005-0000-0000-00003E4F0000}"/>
    <cellStyle name="Style 64" xfId="12304" xr:uid="{00000000-0005-0000-0000-00003F4F0000}"/>
    <cellStyle name="Style 65" xfId="12305" xr:uid="{00000000-0005-0000-0000-0000404F0000}"/>
    <cellStyle name="Style 66" xfId="12306" xr:uid="{00000000-0005-0000-0000-0000414F0000}"/>
    <cellStyle name="Style 67" xfId="12307" xr:uid="{00000000-0005-0000-0000-0000424F0000}"/>
    <cellStyle name="Style 68" xfId="12308" xr:uid="{00000000-0005-0000-0000-0000434F0000}"/>
    <cellStyle name="Style 69" xfId="12309" xr:uid="{00000000-0005-0000-0000-0000444F0000}"/>
    <cellStyle name="Style 7" xfId="12310" xr:uid="{00000000-0005-0000-0000-0000454F0000}"/>
    <cellStyle name="Style 70" xfId="12311" xr:uid="{00000000-0005-0000-0000-0000464F0000}"/>
    <cellStyle name="Style 71" xfId="12312" xr:uid="{00000000-0005-0000-0000-0000474F0000}"/>
    <cellStyle name="Style 72" xfId="12313" xr:uid="{00000000-0005-0000-0000-0000484F0000}"/>
    <cellStyle name="Style 73" xfId="12314" xr:uid="{00000000-0005-0000-0000-0000494F0000}"/>
    <cellStyle name="Style 74" xfId="12315" xr:uid="{00000000-0005-0000-0000-00004A4F0000}"/>
    <cellStyle name="Style 75" xfId="12316" xr:uid="{00000000-0005-0000-0000-00004B4F0000}"/>
    <cellStyle name="Style 76" xfId="12317" xr:uid="{00000000-0005-0000-0000-00004C4F0000}"/>
    <cellStyle name="Style 77" xfId="12318" xr:uid="{00000000-0005-0000-0000-00004D4F0000}"/>
    <cellStyle name="Style 77 2" xfId="12319" xr:uid="{00000000-0005-0000-0000-00004E4F0000}"/>
    <cellStyle name="Style 78" xfId="12320" xr:uid="{00000000-0005-0000-0000-00004F4F0000}"/>
    <cellStyle name="Style 79" xfId="12321" xr:uid="{00000000-0005-0000-0000-0000504F0000}"/>
    <cellStyle name="Style 8" xfId="12322" xr:uid="{00000000-0005-0000-0000-0000514F0000}"/>
    <cellStyle name="Style 80" xfId="12323" xr:uid="{00000000-0005-0000-0000-0000524F0000}"/>
    <cellStyle name="Style 85" xfId="12324" xr:uid="{00000000-0005-0000-0000-0000534F0000}"/>
    <cellStyle name="Style 87" xfId="12325" xr:uid="{00000000-0005-0000-0000-0000544F0000}"/>
    <cellStyle name="Style 9" xfId="12326" xr:uid="{00000000-0005-0000-0000-0000554F0000}"/>
    <cellStyle name="Style 91" xfId="12327" xr:uid="{00000000-0005-0000-0000-0000564F0000}"/>
    <cellStyle name="Style 93" xfId="12328" xr:uid="{00000000-0005-0000-0000-0000574F0000}"/>
    <cellStyle name="STYLE1" xfId="12329" xr:uid="{00000000-0005-0000-0000-0000584F0000}"/>
    <cellStyle name="STYLE1 2" xfId="12330" xr:uid="{00000000-0005-0000-0000-0000594F0000}"/>
    <cellStyle name="STYLE10" xfId="12331" xr:uid="{00000000-0005-0000-0000-00005A4F0000}"/>
    <cellStyle name="STYLE10 2" xfId="12332" xr:uid="{00000000-0005-0000-0000-00005B4F0000}"/>
    <cellStyle name="STYLE11" xfId="12333" xr:uid="{00000000-0005-0000-0000-00005C4F0000}"/>
    <cellStyle name="STYLE11 2" xfId="12334" xr:uid="{00000000-0005-0000-0000-00005D4F0000}"/>
    <cellStyle name="STYLE12" xfId="12335" xr:uid="{00000000-0005-0000-0000-00005E4F0000}"/>
    <cellStyle name="STYLE12 2" xfId="12336" xr:uid="{00000000-0005-0000-0000-00005F4F0000}"/>
    <cellStyle name="STYLE13" xfId="12337" xr:uid="{00000000-0005-0000-0000-0000604F0000}"/>
    <cellStyle name="STYLE14" xfId="12338" xr:uid="{00000000-0005-0000-0000-0000614F0000}"/>
    <cellStyle name="STYLE15" xfId="12339" xr:uid="{00000000-0005-0000-0000-0000624F0000}"/>
    <cellStyle name="STYLE2" xfId="12340" xr:uid="{00000000-0005-0000-0000-0000634F0000}"/>
    <cellStyle name="STYLE2 2" xfId="12341" xr:uid="{00000000-0005-0000-0000-0000644F0000}"/>
    <cellStyle name="STYLE2 3" xfId="12342" xr:uid="{00000000-0005-0000-0000-0000654F0000}"/>
    <cellStyle name="STYLE3" xfId="12343" xr:uid="{00000000-0005-0000-0000-0000664F0000}"/>
    <cellStyle name="STYLE3 2" xfId="12344" xr:uid="{00000000-0005-0000-0000-0000674F0000}"/>
    <cellStyle name="STYLE3 3" xfId="12345" xr:uid="{00000000-0005-0000-0000-0000684F0000}"/>
    <cellStyle name="STYLE4" xfId="12346" xr:uid="{00000000-0005-0000-0000-0000694F0000}"/>
    <cellStyle name="STYLE4 2" xfId="12347" xr:uid="{00000000-0005-0000-0000-00006A4F0000}"/>
    <cellStyle name="STYLE4 2 2" xfId="12348" xr:uid="{00000000-0005-0000-0000-00006B4F0000}"/>
    <cellStyle name="STYLE4 2 2 2" xfId="12349" xr:uid="{00000000-0005-0000-0000-00006C4F0000}"/>
    <cellStyle name="STYLE4 2 3" xfId="12350" xr:uid="{00000000-0005-0000-0000-00006D4F0000}"/>
    <cellStyle name="STYLE4 3" xfId="12351" xr:uid="{00000000-0005-0000-0000-00006E4F0000}"/>
    <cellStyle name="STYLE4 4" xfId="12352" xr:uid="{00000000-0005-0000-0000-00006F4F0000}"/>
    <cellStyle name="STYLE4_3VR Common Stock Valuation Analysis Version 2" xfId="12353" xr:uid="{00000000-0005-0000-0000-0000704F0000}"/>
    <cellStyle name="STYLE5" xfId="12354" xr:uid="{00000000-0005-0000-0000-0000714F0000}"/>
    <cellStyle name="STYLE5 2" xfId="12355" xr:uid="{00000000-0005-0000-0000-0000724F0000}"/>
    <cellStyle name="STYLE5_BS Jan 05 with Plan 0222" xfId="12356" xr:uid="{00000000-0005-0000-0000-0000734F0000}"/>
    <cellStyle name="STYLE6" xfId="12357" xr:uid="{00000000-0005-0000-0000-0000744F0000}"/>
    <cellStyle name="STYLE6 2" xfId="12358" xr:uid="{00000000-0005-0000-0000-0000754F0000}"/>
    <cellStyle name="STYLE6_BS" xfId="12359" xr:uid="{00000000-0005-0000-0000-0000764F0000}"/>
    <cellStyle name="STYLE7" xfId="12360" xr:uid="{00000000-0005-0000-0000-0000774F0000}"/>
    <cellStyle name="STYLE7 2" xfId="12361" xr:uid="{00000000-0005-0000-0000-0000784F0000}"/>
    <cellStyle name="STYLE7 3" xfId="12362" xr:uid="{00000000-0005-0000-0000-0000794F0000}"/>
    <cellStyle name="STYLE7_BS Jan 05 with Plan 0222" xfId="12363" xr:uid="{00000000-0005-0000-0000-00007A4F0000}"/>
    <cellStyle name="STYLE8" xfId="12364" xr:uid="{00000000-0005-0000-0000-00007B4F0000}"/>
    <cellStyle name="STYLE8 2" xfId="12365" xr:uid="{00000000-0005-0000-0000-00007C4F0000}"/>
    <cellStyle name="STYLE8 3" xfId="12366" xr:uid="{00000000-0005-0000-0000-00007D4F0000}"/>
    <cellStyle name="STYLE8_BS Jan 05 with Plan 0222" xfId="12367" xr:uid="{00000000-0005-0000-0000-00007E4F0000}"/>
    <cellStyle name="STYLE9" xfId="12368" xr:uid="{00000000-0005-0000-0000-00007F4F0000}"/>
    <cellStyle name="STYLE9 2" xfId="12369" xr:uid="{00000000-0005-0000-0000-0000804F0000}"/>
    <cellStyle name="STYLE9 3" xfId="12370" xr:uid="{00000000-0005-0000-0000-0000814F0000}"/>
    <cellStyle name="STYLE9_Exec " xfId="12371" xr:uid="{00000000-0005-0000-0000-0000824F0000}"/>
    <cellStyle name="subhead" xfId="12372" xr:uid="{00000000-0005-0000-0000-0000834F0000}"/>
    <cellStyle name="Sub-Heading" xfId="12373" xr:uid="{00000000-0005-0000-0000-0000844F0000}"/>
    <cellStyle name="Subscribers" xfId="12374" xr:uid="{00000000-0005-0000-0000-0000854F0000}"/>
    <cellStyle name="SubScript" xfId="12375" xr:uid="{00000000-0005-0000-0000-0000864F0000}"/>
    <cellStyle name="subt1" xfId="12376" xr:uid="{00000000-0005-0000-0000-0000874F0000}"/>
    <cellStyle name="Subtitle" xfId="12377" xr:uid="{00000000-0005-0000-0000-0000884F0000}"/>
    <cellStyle name="Subtotal" xfId="12378" xr:uid="{00000000-0005-0000-0000-0000894F0000}"/>
    <cellStyle name="Summary" xfId="12379" xr:uid="{00000000-0005-0000-0000-00008A4F0000}"/>
    <cellStyle name="SuperScript" xfId="12380" xr:uid="{00000000-0005-0000-0000-00008B4F0000}"/>
    <cellStyle name="Table" xfId="12381" xr:uid="{00000000-0005-0000-0000-00008C4F0000}"/>
    <cellStyle name="Table Bottom" xfId="12382" xr:uid="{00000000-0005-0000-0000-00008D4F0000}"/>
    <cellStyle name="Table Col Head" xfId="12383" xr:uid="{00000000-0005-0000-0000-00008E4F0000}"/>
    <cellStyle name="Table Head" xfId="12384" xr:uid="{00000000-0005-0000-0000-00008F4F0000}"/>
    <cellStyle name="Table Head Aligned" xfId="12385" xr:uid="{00000000-0005-0000-0000-0000904F0000}"/>
    <cellStyle name="Table Head Aligned 2" xfId="12386" xr:uid="{00000000-0005-0000-0000-0000914F0000}"/>
    <cellStyle name="Table Head Aligned 3" xfId="12387" xr:uid="{00000000-0005-0000-0000-0000924F0000}"/>
    <cellStyle name="Table Head Blue" xfId="12388" xr:uid="{00000000-0005-0000-0000-0000934F0000}"/>
    <cellStyle name="Table Head Green" xfId="12389" xr:uid="{00000000-0005-0000-0000-0000944F0000}"/>
    <cellStyle name="Table Head Green 2" xfId="12390" xr:uid="{00000000-0005-0000-0000-0000954F0000}"/>
    <cellStyle name="Table Head Green 3" xfId="12391" xr:uid="{00000000-0005-0000-0000-0000964F0000}"/>
    <cellStyle name="Table Head_Cash Flow" xfId="12392" xr:uid="{00000000-0005-0000-0000-0000974F0000}"/>
    <cellStyle name="Table Sub Head" xfId="12393" xr:uid="{00000000-0005-0000-0000-0000984F0000}"/>
    <cellStyle name="Table Sub Heading" xfId="12394" xr:uid="{00000000-0005-0000-0000-0000994F0000}"/>
    <cellStyle name="Table Text" xfId="12395" xr:uid="{00000000-0005-0000-0000-00009A4F0000}"/>
    <cellStyle name="Table Title" xfId="12396" xr:uid="{00000000-0005-0000-0000-00009B4F0000}"/>
    <cellStyle name="Table Top" xfId="12397" xr:uid="{00000000-0005-0000-0000-00009C4F0000}"/>
    <cellStyle name="Table Unites" xfId="12398" xr:uid="{00000000-0005-0000-0000-00009D4F0000}"/>
    <cellStyle name="Table Units" xfId="12399" xr:uid="{00000000-0005-0000-0000-00009E4F0000}"/>
    <cellStyle name="Table_Eric CapIQ unlinked v1" xfId="12400" xr:uid="{00000000-0005-0000-0000-00009F4F0000}"/>
    <cellStyle name="TableBase" xfId="12401" xr:uid="{00000000-0005-0000-0000-0000A04F0000}"/>
    <cellStyle name="TableColumnHeading" xfId="12402" xr:uid="{00000000-0005-0000-0000-0000A14F0000}"/>
    <cellStyle name="TableHead" xfId="12403" xr:uid="{00000000-0005-0000-0000-0000A24F0000}"/>
    <cellStyle name="TableSubTitleItalic" xfId="12404" xr:uid="{00000000-0005-0000-0000-0000A34F0000}"/>
    <cellStyle name="TableText" xfId="12405" xr:uid="{00000000-0005-0000-0000-0000A44F0000}"/>
    <cellStyle name="TableTitle" xfId="12406" xr:uid="{00000000-0005-0000-0000-0000A54F0000}"/>
    <cellStyle name="TABLETXT" xfId="12407" xr:uid="{00000000-0005-0000-0000-0000A64F0000}"/>
    <cellStyle name="test" xfId="12408" xr:uid="{00000000-0005-0000-0000-0000A74F0000}"/>
    <cellStyle name="Test [green]" xfId="12409" xr:uid="{00000000-0005-0000-0000-0000A84F0000}"/>
    <cellStyle name="Text" xfId="12410" xr:uid="{00000000-0005-0000-0000-0000A94F0000}"/>
    <cellStyle name="Text 1" xfId="12411" xr:uid="{00000000-0005-0000-0000-0000AA4F0000}"/>
    <cellStyle name="Text Head 1" xfId="12412" xr:uid="{00000000-0005-0000-0000-0000AB4F0000}"/>
    <cellStyle name="Text Indent A" xfId="12413" xr:uid="{00000000-0005-0000-0000-0000AC4F0000}"/>
    <cellStyle name="Text Indent B" xfId="12414" xr:uid="{00000000-0005-0000-0000-0000AD4F0000}"/>
    <cellStyle name="Text Indent C" xfId="12415" xr:uid="{00000000-0005-0000-0000-0000AE4F0000}"/>
    <cellStyle name="Text Wrap" xfId="12416" xr:uid="{00000000-0005-0000-0000-0000AF4F0000}"/>
    <cellStyle name="TextBold" xfId="12417" xr:uid="{00000000-0005-0000-0000-0000B04F0000}"/>
    <cellStyle name="TextDys0" xfId="12418" xr:uid="{00000000-0005-0000-0000-0000B14F0000}"/>
    <cellStyle name="TextNormal" xfId="20303" xr:uid="{00000000-0005-0000-0000-0000B24F0000}"/>
    <cellStyle name="Title 2" xfId="20304" xr:uid="{00000000-0005-0000-0000-0000B34F0000}"/>
    <cellStyle name="Total 2" xfId="12419" xr:uid="{00000000-0005-0000-0000-0000B44F0000}"/>
    <cellStyle name="Warning Text 2" xfId="12420" xr:uid="{00000000-0005-0000-0000-0000B54F0000}"/>
  </cellStyles>
  <dxfs count="418">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font>
    </dxf>
    <dxf>
      <font>
        <b/>
        <i val="0"/>
      </font>
    </dxf>
    <dxf>
      <font>
        <b/>
        <i val="0"/>
      </font>
    </dxf>
    <dxf>
      <font>
        <b/>
        <i val="0"/>
      </font>
    </dxf>
    <dxf>
      <font>
        <b/>
        <i val="0"/>
      </font>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rgb="FF9C0006"/>
      </font>
      <fill>
        <patternFill>
          <bgColor rgb="FFFFC7CE"/>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font>
    </dxf>
    <dxf>
      <font>
        <b/>
        <i val="0"/>
      </font>
    </dxf>
    <dxf>
      <font>
        <color theme="0"/>
      </font>
    </dxf>
    <dxf>
      <font>
        <b/>
        <i val="0"/>
      </font>
    </dxf>
    <dxf>
      <font>
        <b/>
        <i val="0"/>
      </font>
    </dxf>
    <dxf>
      <font>
        <color theme="0"/>
      </font>
    </dxf>
    <dxf>
      <font>
        <b/>
        <i val="0"/>
      </font>
    </dxf>
    <dxf>
      <font>
        <color theme="0"/>
      </font>
    </dxf>
    <dxf>
      <font>
        <b/>
        <i val="0"/>
      </font>
    </dxf>
    <dxf>
      <font>
        <b/>
        <i val="0"/>
      </font>
    </dxf>
    <dxf>
      <font>
        <b/>
        <i val="0"/>
      </font>
    </dxf>
    <dxf>
      <font>
        <b/>
        <i val="0"/>
      </font>
    </dxf>
    <dxf>
      <font>
        <color theme="0"/>
      </font>
    </dxf>
    <dxf>
      <font>
        <b/>
        <i val="0"/>
      </font>
    </dxf>
    <dxf>
      <font>
        <b/>
        <i val="0"/>
      </font>
    </dxf>
    <dxf>
      <font>
        <b/>
        <i val="0"/>
      </font>
    </dxf>
    <dxf>
      <font>
        <color theme="0"/>
      </font>
    </dxf>
    <dxf>
      <font>
        <b/>
        <i val="0"/>
      </font>
    </dxf>
    <dxf>
      <font>
        <b/>
        <i val="0"/>
      </font>
    </dxf>
    <dxf>
      <font>
        <b/>
        <i val="0"/>
      </font>
    </dxf>
    <dxf>
      <font>
        <b/>
        <i val="0"/>
      </font>
    </dxf>
    <dxf>
      <font>
        <color theme="0"/>
      </font>
    </dxf>
    <dxf>
      <font>
        <b/>
        <i val="0"/>
      </font>
    </dxf>
    <dxf>
      <font>
        <b/>
        <i val="0"/>
      </font>
    </dxf>
    <dxf>
      <font>
        <b/>
        <i val="0"/>
        <condense val="0"/>
        <extend val="0"/>
        <color indexed="13"/>
      </font>
      <fill>
        <patternFill>
          <bgColor indexed="12"/>
        </patternFill>
      </fill>
    </dxf>
    <dxf>
      <font>
        <b/>
        <i val="0"/>
      </font>
    </dxf>
    <dxf>
      <fill>
        <patternFill patternType="solid">
          <bgColor rgb="FFFFFF00"/>
        </patternFill>
      </fill>
    </dxf>
    <dxf>
      <font>
        <b/>
        <i val="0"/>
      </font>
    </dxf>
    <dxf>
      <font>
        <b/>
        <i val="0"/>
      </font>
    </dxf>
    <dxf>
      <fill>
        <patternFill patternType="solid">
          <bgColor rgb="FFFFFF00"/>
        </patternFill>
      </fill>
    </dxf>
    <dxf>
      <font>
        <b/>
        <i val="0"/>
      </font>
    </dxf>
    <dxf>
      <font>
        <b/>
        <i val="0"/>
      </font>
    </dxf>
    <dxf>
      <font>
        <b/>
        <i val="0"/>
      </font>
    </dxf>
    <dxf>
      <fill>
        <patternFill patternType="solid">
          <bgColor rgb="FFFFFF00"/>
        </patternFill>
      </fill>
    </dxf>
    <dxf>
      <font>
        <b/>
        <i val="0"/>
      </font>
    </dxf>
    <dxf>
      <font>
        <b/>
        <i val="0"/>
      </font>
    </dxf>
    <dxf>
      <font>
        <b/>
        <i val="0"/>
      </font>
    </dxf>
    <dxf>
      <fill>
        <patternFill patternType="solid">
          <bgColor rgb="FFFFFF00"/>
        </patternFill>
      </fill>
    </dxf>
    <dxf>
      <font>
        <b/>
        <i val="0"/>
      </font>
    </dxf>
    <dxf>
      <font>
        <b/>
        <i val="0"/>
      </font>
    </dxf>
    <dxf>
      <font>
        <b/>
        <i val="0"/>
      </font>
    </dxf>
    <dxf>
      <fill>
        <patternFill patternType="solid">
          <bgColor rgb="FFFFFF00"/>
        </patternFill>
      </fill>
    </dxf>
    <dxf>
      <font>
        <b/>
        <i val="0"/>
      </font>
    </dxf>
    <dxf>
      <font>
        <b/>
        <i val="0"/>
      </font>
    </dxf>
    <dxf>
      <font>
        <b/>
        <i val="0"/>
      </font>
    </dxf>
    <dxf>
      <fill>
        <patternFill patternType="solid">
          <bgColor rgb="FFFFFF00"/>
        </patternFill>
      </fill>
    </dxf>
    <dxf>
      <font>
        <b/>
        <i val="0"/>
      </font>
    </dxf>
    <dxf>
      <font>
        <b/>
        <i val="0"/>
      </font>
    </dxf>
    <dxf>
      <font>
        <b/>
        <i val="0"/>
      </font>
    </dxf>
    <dxf>
      <font>
        <b/>
        <i val="0"/>
      </font>
    </dxf>
    <dxf>
      <font>
        <b/>
        <i val="0"/>
      </font>
    </dxf>
    <dxf>
      <font>
        <b/>
        <i val="0"/>
      </font>
    </dxf>
    <dxf>
      <font>
        <b/>
        <i val="0"/>
      </font>
    </dxf>
    <dxf>
      <fill>
        <patternFill patternType="solid">
          <bgColor rgb="FFFFFF00"/>
        </patternFill>
      </fill>
    </dxf>
    <dxf>
      <font>
        <b/>
        <i val="0"/>
      </font>
    </dxf>
    <dxf>
      <font>
        <b/>
        <i val="0"/>
      </font>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s>
  <tableStyles count="0" defaultTableStyle="TableStyleMedium9" defaultPivotStyle="PivotStyleLight16"/>
  <colors>
    <mruColors>
      <color rgb="FF008000"/>
      <color rgb="FF0000FF"/>
      <color rgb="FF009900"/>
      <color rgb="FF000000"/>
      <color rgb="FF808080"/>
      <color rgb="FFDCE6F1"/>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externalLink" Target="externalLinks/externalLink8.xml"/><Relationship Id="rId89" Type="http://schemas.openxmlformats.org/officeDocument/2006/relationships/externalLink" Target="externalLinks/externalLink13.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16.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externalLink" Target="externalLinks/externalLink3.xml"/><Relationship Id="rId87" Type="http://schemas.openxmlformats.org/officeDocument/2006/relationships/externalLink" Target="externalLinks/externalLink1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externalLink" Target="externalLinks/externalLink6.xml"/><Relationship Id="rId90" Type="http://schemas.openxmlformats.org/officeDocument/2006/relationships/externalLink" Target="externalLinks/externalLink14.xml"/><Relationship Id="rId95"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externalLink" Target="externalLinks/externalLink4.xml"/><Relationship Id="rId85" Type="http://schemas.openxmlformats.org/officeDocument/2006/relationships/externalLink" Target="externalLinks/externalLink9.xml"/><Relationship Id="rId93" Type="http://schemas.openxmlformats.org/officeDocument/2006/relationships/externalLink" Target="externalLinks/externalLink17.xml"/><Relationship Id="rId98"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externalLink" Target="externalLinks/externalLink7.xml"/><Relationship Id="rId88" Type="http://schemas.openxmlformats.org/officeDocument/2006/relationships/externalLink" Target="externalLinks/externalLink12.xml"/><Relationship Id="rId91" Type="http://schemas.openxmlformats.org/officeDocument/2006/relationships/externalLink" Target="externalLinks/externalLink15.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externalLink" Target="externalLinks/externalLink2.xml"/><Relationship Id="rId81" Type="http://schemas.openxmlformats.org/officeDocument/2006/relationships/externalLink" Target="externalLinks/externalLink5.xml"/><Relationship Id="rId86" Type="http://schemas.openxmlformats.org/officeDocument/2006/relationships/externalLink" Target="externalLinks/externalLink10.xml"/><Relationship Id="rId94" Type="http://schemas.openxmlformats.org/officeDocument/2006/relationships/externalLink" Target="externalLinks/externalLink18.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667989848376394E-2"/>
          <c:y val="4.1270586790686251E-2"/>
          <c:w val="0.98433201015162364"/>
          <c:h val="0.91307159521726455"/>
        </c:manualLayout>
      </c:layout>
      <c:ofPieChart>
        <c:ofPieType val="pie"/>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D97-40E8-871E-C189FCF72A4F}"/>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D97-40E8-871E-C189FCF72A4F}"/>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D97-40E8-871E-C189FCF72A4F}"/>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D97-40E8-871E-C189FCF72A4F}"/>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D97-40E8-871E-C189FCF72A4F}"/>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D97-40E8-871E-C189FCF72A4F}"/>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D97-40E8-871E-C189FCF72A4F}"/>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2D97-40E8-871E-C189FCF72A4F}"/>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2D97-40E8-871E-C189FCF72A4F}"/>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2D97-40E8-871E-C189FCF72A4F}"/>
              </c:ext>
            </c:extLst>
          </c:dPt>
          <c:dLbls>
            <c:dLbl>
              <c:idx val="9"/>
              <c:tx>
                <c:rich>
                  <a:bodyPr/>
                  <a:lstStyle/>
                  <a:p>
                    <a:r>
                      <a:rPr lang="en-US" baseline="0"/>
                      <a:t>Common &amp; Equivalent
</a:t>
                    </a:r>
                    <a:fld id="{6F9DBA7A-8412-4DF1-8EED-F629AA63B57A}"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3-2D97-40E8-871E-C189FCF72A4F}"/>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('Cap Table'!$D$7:$K$7,'Cap Table'!$B$16)</c:f>
              <c:strCache>
                <c:ptCount val="9"/>
                <c:pt idx="0">
                  <c:v>Series A</c:v>
                </c:pt>
                <c:pt idx="1">
                  <c:v>Series B</c:v>
                </c:pt>
                <c:pt idx="2">
                  <c:v>Series C</c:v>
                </c:pt>
                <c:pt idx="3">
                  <c:v>Series D</c:v>
                </c:pt>
                <c:pt idx="4">
                  <c:v>Series E</c:v>
                </c:pt>
                <c:pt idx="5">
                  <c:v>Series F</c:v>
                </c:pt>
                <c:pt idx="6">
                  <c:v>Series G</c:v>
                </c:pt>
                <c:pt idx="7">
                  <c:v>Common</c:v>
                </c:pt>
                <c:pt idx="8">
                  <c:v>Options Outstanding </c:v>
                </c:pt>
              </c:strCache>
            </c:strRef>
          </c:cat>
          <c:val>
            <c:numRef>
              <c:f>('Cap Table'!$D$19:$K$19,'Cap Table'!$M$16)</c:f>
              <c:numCache>
                <c:formatCode>_(* #,##0.0_);_(* \(#,##0.0\);_(* "-"_);_(@_)</c:formatCode>
                <c:ptCount val="9"/>
                <c:pt idx="0">
                  <c:v>22</c:v>
                </c:pt>
                <c:pt idx="1">
                  <c:v>109</c:v>
                </c:pt>
                <c:pt idx="2">
                  <c:v>105</c:v>
                </c:pt>
                <c:pt idx="3">
                  <c:v>68</c:v>
                </c:pt>
                <c:pt idx="4">
                  <c:v>119</c:v>
                </c:pt>
                <c:pt idx="5">
                  <c:v>81</c:v>
                </c:pt>
                <c:pt idx="6">
                  <c:v>109</c:v>
                </c:pt>
                <c:pt idx="7">
                  <c:v>157</c:v>
                </c:pt>
                <c:pt idx="8">
                  <c:v>79</c:v>
                </c:pt>
              </c:numCache>
            </c:numRef>
          </c:val>
          <c:extLst>
            <c:ext xmlns:c16="http://schemas.microsoft.com/office/drawing/2014/chart" uri="{C3380CC4-5D6E-409C-BE32-E72D297353CC}">
              <c16:uniqueId val="{00000014-2D97-40E8-871E-C189FCF72A4F}"/>
            </c:ext>
          </c:extLst>
        </c:ser>
        <c:dLbls>
          <c:showLegendKey val="0"/>
          <c:showVal val="0"/>
          <c:showCatName val="0"/>
          <c:showSerName val="0"/>
          <c:showPercent val="0"/>
          <c:showBubbleSize val="0"/>
          <c:showLeaderLines val="1"/>
        </c:dLbls>
        <c:gapWidth val="24"/>
        <c:splitType val="pos"/>
        <c:splitPos val="2"/>
        <c:secondPieSize val="60"/>
        <c:serLines>
          <c:spPr>
            <a:ln w="9525" cap="flat" cmpd="sng" algn="ctr">
              <a:solidFill>
                <a:schemeClr val="tx1">
                  <a:alpha val="54000"/>
                </a:schemeClr>
              </a:solidFill>
              <a:round/>
            </a:ln>
            <a:effectLst/>
          </c:spPr>
        </c:serLines>
      </c:ofPieChart>
      <c:spPr>
        <a:noFill/>
        <a:ln>
          <a:noFill/>
        </a:ln>
        <a:effectLst/>
      </c:spPr>
    </c:plotArea>
    <c:plotVisOnly val="1"/>
    <c:dispBlanksAs val="gap"/>
    <c:showDLblsOverMax val="0"/>
  </c:chart>
  <c:spPr>
    <a:gradFill flip="none" rotWithShape="1">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gradFill>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7.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819150</xdr:colOff>
      <xdr:row>1</xdr:row>
      <xdr:rowOff>161925</xdr:rowOff>
    </xdr:from>
    <xdr:to>
      <xdr:col>3</xdr:col>
      <xdr:colOff>6536952</xdr:colOff>
      <xdr:row>4</xdr:row>
      <xdr:rowOff>180975</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200150" y="352425"/>
          <a:ext cx="6622677"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latin typeface="Times New Roman" panose="02020603050405020304" pitchFamily="18" charset="0"/>
              <a:cs typeface="Times New Roman" panose="02020603050405020304" pitchFamily="18" charset="0"/>
            </a:rPr>
            <a:t>INSERT CLIENT LOGO</a:t>
          </a:r>
        </a:p>
      </xdr:txBody>
    </xdr:sp>
    <xdr:clientData/>
  </xdr:twoCellAnchor>
  <xdr:twoCellAnchor>
    <xdr:from>
      <xdr:col>3</xdr:col>
      <xdr:colOff>2057400</xdr:colOff>
      <xdr:row>23</xdr:row>
      <xdr:rowOff>123825</xdr:rowOff>
    </xdr:from>
    <xdr:to>
      <xdr:col>3</xdr:col>
      <xdr:colOff>4819650</xdr:colOff>
      <xdr:row>25</xdr:row>
      <xdr:rowOff>66675</xdr:rowOff>
    </xdr:to>
    <xdr:pic>
      <xdr:nvPicPr>
        <xdr:cNvPr id="3" name="Picture 6">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38525" y="5334000"/>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2343150</xdr:colOff>
      <xdr:row>26</xdr:row>
      <xdr:rowOff>28575</xdr:rowOff>
    </xdr:from>
    <xdr:to>
      <xdr:col>3</xdr:col>
      <xdr:colOff>4324350</xdr:colOff>
      <xdr:row>27</xdr:row>
      <xdr:rowOff>0</xdr:rowOff>
    </xdr:to>
    <xdr:pic>
      <xdr:nvPicPr>
        <xdr:cNvPr id="5" name="Picture 8" descr="A close up of a logo&#10;&#10;Description generated with very high confidence">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24275" y="5915025"/>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1771650</xdr:colOff>
      <xdr:row>25</xdr:row>
      <xdr:rowOff>104775</xdr:rowOff>
    </xdr:from>
    <xdr:to>
      <xdr:col>3</xdr:col>
      <xdr:colOff>4533900</xdr:colOff>
      <xdr:row>27</xdr:row>
      <xdr:rowOff>47625</xdr:rowOff>
    </xdr:to>
    <xdr:pic>
      <xdr:nvPicPr>
        <xdr:cNvPr id="2" name="Picture 6">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527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2057400</xdr:colOff>
      <xdr:row>28</xdr:row>
      <xdr:rowOff>9525</xdr:rowOff>
    </xdr:from>
    <xdr:to>
      <xdr:col>3</xdr:col>
      <xdr:colOff>4038600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385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1876425</xdr:colOff>
      <xdr:row>25</xdr:row>
      <xdr:rowOff>114300</xdr:rowOff>
    </xdr:from>
    <xdr:to>
      <xdr:col>3</xdr:col>
      <xdr:colOff>4638675</xdr:colOff>
      <xdr:row>27</xdr:row>
      <xdr:rowOff>57150</xdr:rowOff>
    </xdr:to>
    <xdr:pic>
      <xdr:nvPicPr>
        <xdr:cNvPr id="2" name="Picture 6">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86100" y="5334000"/>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2162175</xdr:colOff>
      <xdr:row>28</xdr:row>
      <xdr:rowOff>19050</xdr:rowOff>
    </xdr:from>
    <xdr:to>
      <xdr:col>3</xdr:col>
      <xdr:colOff>4143375</xdr:colOff>
      <xdr:row>28</xdr:row>
      <xdr:rowOff>228600</xdr:rowOff>
    </xdr:to>
    <xdr:pic>
      <xdr:nvPicPr>
        <xdr:cNvPr id="3" name="Picture 8" descr="A close up of a logo&#10;&#10;Description generated with very high confidence">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71850" y="5915025"/>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1657350</xdr:colOff>
      <xdr:row>25</xdr:row>
      <xdr:rowOff>104775</xdr:rowOff>
    </xdr:from>
    <xdr:to>
      <xdr:col>3</xdr:col>
      <xdr:colOff>4419600</xdr:colOff>
      <xdr:row>27</xdr:row>
      <xdr:rowOff>47625</xdr:rowOff>
    </xdr:to>
    <xdr:pic>
      <xdr:nvPicPr>
        <xdr:cNvPr id="2" name="Picture 6">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384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1943100</xdr:colOff>
      <xdr:row>28</xdr:row>
      <xdr:rowOff>9525</xdr:rowOff>
    </xdr:from>
    <xdr:to>
      <xdr:col>3</xdr:col>
      <xdr:colOff>3924300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42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1809750</xdr:colOff>
      <xdr:row>25</xdr:row>
      <xdr:rowOff>104775</xdr:rowOff>
    </xdr:from>
    <xdr:to>
      <xdr:col>3</xdr:col>
      <xdr:colOff>4572000</xdr:colOff>
      <xdr:row>27</xdr:row>
      <xdr:rowOff>47625</xdr:rowOff>
    </xdr:to>
    <xdr:pic>
      <xdr:nvPicPr>
        <xdr:cNvPr id="2" name="Picture 6">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908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2095500</xdr:colOff>
      <xdr:row>28</xdr:row>
      <xdr:rowOff>9525</xdr:rowOff>
    </xdr:from>
    <xdr:to>
      <xdr:col>3</xdr:col>
      <xdr:colOff>4076700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1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766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3</xdr:col>
      <xdr:colOff>1695450</xdr:colOff>
      <xdr:row>25</xdr:row>
      <xdr:rowOff>104775</xdr:rowOff>
    </xdr:from>
    <xdr:to>
      <xdr:col>3</xdr:col>
      <xdr:colOff>4457700</xdr:colOff>
      <xdr:row>27</xdr:row>
      <xdr:rowOff>47625</xdr:rowOff>
    </xdr:to>
    <xdr:pic>
      <xdr:nvPicPr>
        <xdr:cNvPr id="2" name="Picture 6">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765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1981200</xdr:colOff>
      <xdr:row>28</xdr:row>
      <xdr:rowOff>9525</xdr:rowOff>
    </xdr:from>
    <xdr:to>
      <xdr:col>3</xdr:col>
      <xdr:colOff>3962400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1F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623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1657350</xdr:colOff>
      <xdr:row>25</xdr:row>
      <xdr:rowOff>123825</xdr:rowOff>
    </xdr:from>
    <xdr:to>
      <xdr:col>3</xdr:col>
      <xdr:colOff>4419600</xdr:colOff>
      <xdr:row>27</xdr:row>
      <xdr:rowOff>66675</xdr:rowOff>
    </xdr:to>
    <xdr:pic>
      <xdr:nvPicPr>
        <xdr:cNvPr id="2" name="Picture 6">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38475" y="534352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1943100</xdr:colOff>
      <xdr:row>28</xdr:row>
      <xdr:rowOff>28575</xdr:rowOff>
    </xdr:from>
    <xdr:to>
      <xdr:col>3</xdr:col>
      <xdr:colOff>3924300</xdr:colOff>
      <xdr:row>29</xdr:row>
      <xdr:rowOff>0</xdr:rowOff>
    </xdr:to>
    <xdr:pic>
      <xdr:nvPicPr>
        <xdr:cNvPr id="3" name="Picture 8" descr="A close up of a logo&#10;&#10;Description generated with very high confidence">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4225" y="592455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14</xdr:col>
      <xdr:colOff>314325</xdr:colOff>
      <xdr:row>6</xdr:row>
      <xdr:rowOff>9525</xdr:rowOff>
    </xdr:from>
    <xdr:to>
      <xdr:col>23</xdr:col>
      <xdr:colOff>177165</xdr:colOff>
      <xdr:row>23</xdr:row>
      <xdr:rowOff>91440</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1743075</xdr:colOff>
      <xdr:row>25</xdr:row>
      <xdr:rowOff>104775</xdr:rowOff>
    </xdr:from>
    <xdr:to>
      <xdr:col>3</xdr:col>
      <xdr:colOff>4505325</xdr:colOff>
      <xdr:row>27</xdr:row>
      <xdr:rowOff>47625</xdr:rowOff>
    </xdr:to>
    <xdr:pic>
      <xdr:nvPicPr>
        <xdr:cNvPr id="2" name="Picture 6">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2028825</xdr:colOff>
      <xdr:row>28</xdr:row>
      <xdr:rowOff>9525</xdr:rowOff>
    </xdr:from>
    <xdr:to>
      <xdr:col>3</xdr:col>
      <xdr:colOff>4010025</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09950"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23</xdr:col>
      <xdr:colOff>47625</xdr:colOff>
      <xdr:row>53</xdr:row>
      <xdr:rowOff>228600</xdr:rowOff>
    </xdr:from>
    <xdr:to>
      <xdr:col>25</xdr:col>
      <xdr:colOff>314325</xdr:colOff>
      <xdr:row>60</xdr:row>
      <xdr:rowOff>66675</xdr:rowOff>
    </xdr:to>
    <xdr:pic>
      <xdr:nvPicPr>
        <xdr:cNvPr id="5" name="Picture 4">
          <a:extLst>
            <a:ext uri="{FF2B5EF4-FFF2-40B4-BE49-F238E27FC236}">
              <a16:creationId xmlns:a16="http://schemas.microsoft.com/office/drawing/2014/main" id="{00000000-0008-0000-2E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782925" y="8810625"/>
          <a:ext cx="1333500" cy="990600"/>
        </a:xfrm>
        <a:prstGeom prst="rect">
          <a:avLst/>
        </a:prstGeom>
        <a:noFill/>
        <a:ln w="3175">
          <a:solidFill>
            <a:schemeClr val="bg1">
              <a:lumMod val="6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819150</xdr:colOff>
      <xdr:row>1</xdr:row>
      <xdr:rowOff>161925</xdr:rowOff>
    </xdr:from>
    <xdr:to>
      <xdr:col>3</xdr:col>
      <xdr:colOff>6536952</xdr:colOff>
      <xdr:row>4</xdr:row>
      <xdr:rowOff>180975</xdr:rowOff>
    </xdr:to>
    <xdr:sp macro="" textlink="">
      <xdr:nvSpPr>
        <xdr:cNvPr id="2" name="TextBox 1">
          <a:extLst>
            <a:ext uri="{FF2B5EF4-FFF2-40B4-BE49-F238E27FC236}">
              <a16:creationId xmlns:a16="http://schemas.microsoft.com/office/drawing/2014/main" id="{00000000-0008-0000-3600-000002000000}"/>
            </a:ext>
          </a:extLst>
        </xdr:cNvPr>
        <xdr:cNvSpPr txBox="1"/>
      </xdr:nvSpPr>
      <xdr:spPr>
        <a:xfrm>
          <a:off x="1295400" y="352425"/>
          <a:ext cx="6622677"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latin typeface="Times New Roman" panose="02020603050405020304" pitchFamily="18" charset="0"/>
              <a:cs typeface="Times New Roman" panose="02020603050405020304" pitchFamily="18" charset="0"/>
            </a:rPr>
            <a:t>INSERT CLIENT LOGO</a:t>
          </a:r>
        </a:p>
      </xdr:txBody>
    </xdr:sp>
    <xdr:clientData/>
  </xdr:twoCellAnchor>
  <xdr:twoCellAnchor>
    <xdr:from>
      <xdr:col>3</xdr:col>
      <xdr:colOff>2019300</xdr:colOff>
      <xdr:row>23</xdr:row>
      <xdr:rowOff>104775</xdr:rowOff>
    </xdr:from>
    <xdr:to>
      <xdr:col>3</xdr:col>
      <xdr:colOff>4781550</xdr:colOff>
      <xdr:row>25</xdr:row>
      <xdr:rowOff>47625</xdr:rowOff>
    </xdr:to>
    <xdr:pic>
      <xdr:nvPicPr>
        <xdr:cNvPr id="3" name="Picture 6">
          <a:extLst>
            <a:ext uri="{FF2B5EF4-FFF2-40B4-BE49-F238E27FC236}">
              <a16:creationId xmlns:a16="http://schemas.microsoft.com/office/drawing/2014/main" id="{00000000-0008-0000-3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425" y="5314950"/>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2305050</xdr:colOff>
      <xdr:row>26</xdr:row>
      <xdr:rowOff>9525</xdr:rowOff>
    </xdr:from>
    <xdr:to>
      <xdr:col>3</xdr:col>
      <xdr:colOff>4286250</xdr:colOff>
      <xdr:row>26</xdr:row>
      <xdr:rowOff>219075</xdr:rowOff>
    </xdr:to>
    <xdr:pic>
      <xdr:nvPicPr>
        <xdr:cNvPr id="4" name="Picture 8" descr="A close up of a logo&#10;&#10;Description generated with very high confidence">
          <a:extLst>
            <a:ext uri="{FF2B5EF4-FFF2-40B4-BE49-F238E27FC236}">
              <a16:creationId xmlns:a16="http://schemas.microsoft.com/office/drawing/2014/main" id="{00000000-0008-0000-36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6175" y="5895975"/>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c_oa2\netgear\finance\AUDIT\bridge\quarterly%20trends%20for%20d%20&amp;%20t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Kw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USNY057\groupdirs\M&amp;A\Presentations\04\9040832n\9040832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T:\Transfer\02-tues\book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sgb24166\PDMSdirs\Current%20Work\PC\9-05\9-05046\9-05046L.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model.xls" TargetMode="External"/></Relationships>
</file>

<file path=xl/externalLinks/_rels/externalLink7.xml.rels><?xml version="1.0" encoding="UTF-8" standalone="yes"?>
<Relationships xmlns="http://schemas.openxmlformats.org/package/2006/relationships"><Relationship Id="rId1" Type="http://schemas.microsoft.com/office/2006/relationships/xlExternalLinkPath/xlPathMissing" Target="2004%2005%20SCS%20UK%20management%20account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Valuation\RNA%20Advisors\Vivace%20Therapeutics\VD%2005.31.2016\4%20-%20Provided%20by%20Client\Previous%20Valuation\Vivace%20Therapeutics,%20Inc.%2003.31.15%20Final%20Exhibits%2006.12.15.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F:\Users\jc3\Dropbox\C:\C\HNH%20-%20Holy%20Name%20Hospital\HNH-02%20Holy%20Name%20Medical%20Center%20Dialysis%20Program%20(PHC-BV)\HNH-02%20HNMC's%20Dialysis%20Program%20Financial%20Model%20DRAFT%2008-25-2011.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biodesix.local\Finance\Finance\Planning%20Model\NEW-Data%20Room\1.%20Financial\1.1%20Financial%20Model\1.1%20Biodesix%20-%20Financial%20Model%20(03.30.17)%20RNA%20Advisors.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Users/pagrawal/Desktop/Aduro%20409A%202014.09.30%20VD%20Exhibits%20DRAFT%202014.11.16.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G:\Users\pagrawal\Desktop\Aduro%20409A%202014.09.30%20VD%20Exhibits%20DRAFT%202014.11.16.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Users\pagrawal\Desktop\Aduro%20409A%202014.09.30%20VD%20Exhibits%20DRAFT%202014.11.16.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Valuation\RNA%20Advisors\4D%20Molecular%20Therapeutics\409A%20VD%2001.15.2016\7%20-%20Audit\Option%20Simulation%20&amp;%20Volatility%20Computation.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Valuation/RNA%20Advisors/4D%20Molecular%20Therapeutics/409A%20VD%2001.15.2016/7%20-%20Audit/Option%20Simulation%20&amp;%20Volatility%20Computation.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Valuation\RNA%20Advisors\Expertus\6%20-%20Analysis\Expertus%20VD%2002.28.2015%20IP%20Valuation%2003.11.2015.xlsx" TargetMode="External"/></Relationships>
</file>

<file path=xl/externalLinks/_rels/externalLink17.xml.rels><?xml version="1.0" encoding="UTF-8" standalone="yes"?>
<Relationships xmlns="http://schemas.openxmlformats.org/package/2006/relationships"><Relationship Id="rId1" Type="http://schemas.microsoft.com/office/2006/relationships/xlExternalLinkPath/xlPathMissing" Target="SUBS" TargetMode="External"/></Relationships>
</file>

<file path=xl/externalLinks/_rels/externalLink18.xml.rels><?xml version="1.0" encoding="UTF-8" standalone="yes"?>
<Relationships xmlns="http://schemas.openxmlformats.org/package/2006/relationships"><Relationship Id="rId1" Type="http://schemas.microsoft.com/office/2006/relationships/xlExternalLinkPath/xlPathMissing" Target="Cflow1108.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2)"/>
      <sheetName val="Sheet2"/>
      <sheetName val="Sheet3"/>
      <sheetName val="Sheet4"/>
      <sheetName val="Sheet1"/>
      <sheetName val="Tickmarks"/>
      <sheetName val="Sheet5"/>
      <sheetName val="FAB별"/>
      <sheetName val="Credit Calc"/>
      <sheetName val="Capital IQ Sheet-GPC"/>
    </sheetNames>
    <sheetDataSet>
      <sheetData sheetId="0" refreshError="1">
        <row r="3">
          <cell r="H3" t="str">
            <v>Q1 97</v>
          </cell>
          <cell r="I3" t="str">
            <v>Q2 97</v>
          </cell>
          <cell r="J3" t="str">
            <v>Q3 97</v>
          </cell>
          <cell r="K3" t="str">
            <v>Q4 97</v>
          </cell>
          <cell r="M3" t="str">
            <v>Q1 98</v>
          </cell>
          <cell r="N3" t="str">
            <v>Q2 98</v>
          </cell>
          <cell r="O3" t="str">
            <v>Q3 98</v>
          </cell>
          <cell r="P3" t="str">
            <v>Q4 98</v>
          </cell>
        </row>
        <row r="15">
          <cell r="H15">
            <v>-2123303.52</v>
          </cell>
          <cell r="I15">
            <v>-1253290.3699999999</v>
          </cell>
          <cell r="J15">
            <v>-162269.43</v>
          </cell>
          <cell r="K15">
            <v>146899.29000000033</v>
          </cell>
          <cell r="M15">
            <v>-246014.77000000002</v>
          </cell>
          <cell r="N15">
            <v>-1799602.0100000002</v>
          </cell>
          <cell r="O15">
            <v>-1013013.5800000001</v>
          </cell>
        </row>
        <row r="20">
          <cell r="H20">
            <v>0.19236638472376649</v>
          </cell>
          <cell r="I20">
            <v>0.17160343737293951</v>
          </cell>
          <cell r="J20">
            <v>0.22329840583258154</v>
          </cell>
          <cell r="K20">
            <v>0.2622241607330375</v>
          </cell>
          <cell r="M20">
            <v>0.22868601654276952</v>
          </cell>
          <cell r="N20">
            <v>0.13886160439354986</v>
          </cell>
          <cell r="O20">
            <v>0.16937325540860795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frica"/>
      <sheetName val="Ocean"/>
      <sheetName val="S Amer"/>
      <sheetName val="W Eur"/>
      <sheetName val="C Amer"/>
      <sheetName val="E Eur"/>
      <sheetName val="E Asia"/>
      <sheetName val="Mideast"/>
      <sheetName val="TOC"/>
      <sheetName val="Demand Data"/>
      <sheetName val="Supply Data"/>
      <sheetName val="Price Fcsts"/>
      <sheetName val="World"/>
      <sheetName val="N Amer"/>
      <sheetName val="FSU"/>
      <sheetName val="S Asia"/>
      <sheetName val="Soc As"/>
    </sheetNames>
    <sheetDataSet>
      <sheetData sheetId="0"/>
      <sheetData sheetId="1"/>
      <sheetData sheetId="2"/>
      <sheetData sheetId="3"/>
      <sheetData sheetId="4" refreshError="1"/>
      <sheetData sheetId="5" refreshError="1"/>
      <sheetData sheetId="6"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503.6</v>
          </cell>
          <cell r="C19">
            <v>489.4</v>
          </cell>
          <cell r="D19">
            <v>510.8</v>
          </cell>
          <cell r="E19">
            <v>518.29999999999995</v>
          </cell>
          <cell r="F19">
            <v>568.4</v>
          </cell>
          <cell r="G19">
            <v>508.3</v>
          </cell>
          <cell r="H19">
            <v>516.29999999999995</v>
          </cell>
          <cell r="I19">
            <v>537.6</v>
          </cell>
          <cell r="J19">
            <v>582.6</v>
          </cell>
          <cell r="K19">
            <v>522.5</v>
          </cell>
          <cell r="L19">
            <v>533.9</v>
          </cell>
          <cell r="M19">
            <v>556.4</v>
          </cell>
          <cell r="N19">
            <v>555.4</v>
          </cell>
          <cell r="O19">
            <v>560</v>
          </cell>
          <cell r="P19">
            <v>568.4</v>
          </cell>
          <cell r="Q19">
            <v>576.92599999999993</v>
          </cell>
          <cell r="R19">
            <v>585.57988999999986</v>
          </cell>
          <cell r="S19">
            <v>594.36358834999976</v>
          </cell>
          <cell r="T19">
            <v>603.27904217524974</v>
          </cell>
          <cell r="U19">
            <v>612.32822780787842</v>
          </cell>
          <cell r="V19">
            <v>621.51315122499659</v>
          </cell>
        </row>
        <row r="21">
          <cell r="B21">
            <v>9.3691469287980365</v>
          </cell>
          <cell r="C21">
            <v>9.4162280691437559</v>
          </cell>
          <cell r="D21">
            <v>9.4635457981344278</v>
          </cell>
          <cell r="E21">
            <v>9.511101304657716</v>
          </cell>
          <cell r="F21">
            <v>9.5588957835755934</v>
          </cell>
          <cell r="G21">
            <v>9.6069304357543661</v>
          </cell>
          <cell r="H21">
            <v>9.6552064680948408</v>
          </cell>
          <cell r="I21">
            <v>9.7037250935626549</v>
          </cell>
          <cell r="J21">
            <v>9.7524875312187493</v>
          </cell>
          <cell r="K21">
            <v>9.8014950062499988</v>
          </cell>
          <cell r="L21">
            <v>9.8507487499999993</v>
          </cell>
          <cell r="M21">
            <v>9.9002499999999998</v>
          </cell>
          <cell r="N21">
            <v>9.9499999999999993</v>
          </cell>
          <cell r="O21">
            <v>10</v>
          </cell>
          <cell r="P21">
            <v>10.049999999999999</v>
          </cell>
          <cell r="Q21">
            <v>10.100249999999997</v>
          </cell>
          <cell r="R21">
            <v>10.150751249999995</v>
          </cell>
          <cell r="S21">
            <v>10.201505006249995</v>
          </cell>
          <cell r="T21">
            <v>10.252512531281244</v>
          </cell>
          <cell r="U21">
            <v>10.303775093937649</v>
          </cell>
          <cell r="V21">
            <v>10.355293969407336</v>
          </cell>
        </row>
        <row r="28">
          <cell r="B28">
            <v>-528.35822133666204</v>
          </cell>
          <cell r="C28">
            <v>-513.78071491121807</v>
          </cell>
          <cell r="D28">
            <v>-535.87145217207853</v>
          </cell>
          <cell r="E28">
            <v>-543.64543434379743</v>
          </cell>
          <cell r="F28">
            <v>-595.29766265708281</v>
          </cell>
          <cell r="G28">
            <v>-533.44413834882698</v>
          </cell>
          <cell r="H28">
            <v>-541.73386266213765</v>
          </cell>
          <cell r="I28">
            <v>-563.72283684636955</v>
          </cell>
          <cell r="J28">
            <v>-610.12306215715535</v>
          </cell>
          <cell r="K28">
            <v>-548.27053985643749</v>
          </cell>
          <cell r="L28">
            <v>-560.06327121250001</v>
          </cell>
          <cell r="M28">
            <v>-583.28925749999996</v>
          </cell>
          <cell r="N28">
            <v>-582.31050000000005</v>
          </cell>
          <cell r="O28">
            <v>-587.1</v>
          </cell>
          <cell r="P28">
            <v>-595.80349999999999</v>
          </cell>
          <cell r="Q28">
            <v>-604.63703749999991</v>
          </cell>
          <cell r="R28">
            <v>-613.60256048749989</v>
          </cell>
          <cell r="S28">
            <v>-622.70204615693729</v>
          </cell>
          <cell r="T28">
            <v>-631.93750134772688</v>
          </cell>
          <cell r="U28">
            <v>-641.31096298887064</v>
          </cell>
          <cell r="V28">
            <v>-650.82449855023594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7"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414.7</v>
          </cell>
          <cell r="C19">
            <v>273</v>
          </cell>
          <cell r="D19">
            <v>269.8</v>
          </cell>
          <cell r="E19">
            <v>245</v>
          </cell>
          <cell r="F19">
            <v>253.6</v>
          </cell>
          <cell r="G19">
            <v>297</v>
          </cell>
          <cell r="H19">
            <v>378.8</v>
          </cell>
          <cell r="I19">
            <v>479.3</v>
          </cell>
          <cell r="J19">
            <v>421.5</v>
          </cell>
          <cell r="K19">
            <v>430.6</v>
          </cell>
          <cell r="L19">
            <v>421.3</v>
          </cell>
          <cell r="M19">
            <v>431.3</v>
          </cell>
          <cell r="N19">
            <v>443.1</v>
          </cell>
          <cell r="O19">
            <v>450</v>
          </cell>
          <cell r="P19">
            <v>456.74999999999994</v>
          </cell>
          <cell r="Q19">
            <v>463.60124999999988</v>
          </cell>
          <cell r="R19">
            <v>470.55526874999981</v>
          </cell>
          <cell r="S19">
            <v>477.61359778124978</v>
          </cell>
          <cell r="T19">
            <v>484.77780174796845</v>
          </cell>
          <cell r="U19">
            <v>492.04946877418791</v>
          </cell>
          <cell r="V19">
            <v>499.4302108058007</v>
          </cell>
        </row>
        <row r="21">
          <cell r="B21">
            <v>24.199576476360555</v>
          </cell>
          <cell r="C21">
            <v>24.260227043970481</v>
          </cell>
          <cell r="D21">
            <v>24.321029618015519</v>
          </cell>
          <cell r="E21">
            <v>24.381984579464177</v>
          </cell>
          <cell r="F21">
            <v>24.443092310239777</v>
          </cell>
          <cell r="G21">
            <v>24.504353193222833</v>
          </cell>
          <cell r="H21">
            <v>24.565767612253467</v>
          </cell>
          <cell r="I21">
            <v>24.627335952133802</v>
          </cell>
          <cell r="J21">
            <v>24.689058598630375</v>
          </cell>
          <cell r="K21">
            <v>24.750935938476566</v>
          </cell>
          <cell r="L21">
            <v>24.812968359375002</v>
          </cell>
          <cell r="M21">
            <v>24.87515625</v>
          </cell>
          <cell r="N21">
            <v>24.9375</v>
          </cell>
          <cell r="O21">
            <v>25</v>
          </cell>
          <cell r="P21">
            <v>25.0625</v>
          </cell>
          <cell r="Q21">
            <v>25.12515625</v>
          </cell>
          <cell r="R21">
            <v>25.187969140624997</v>
          </cell>
          <cell r="S21">
            <v>25.250939063476558</v>
          </cell>
          <cell r="T21">
            <v>25.314066411135247</v>
          </cell>
          <cell r="U21">
            <v>25.377351577163083</v>
          </cell>
          <cell r="V21">
            <v>25.440794956105989</v>
          </cell>
        </row>
        <row r="28">
          <cell r="B28">
            <v>-452.06656377065138</v>
          </cell>
          <cell r="C28">
            <v>-306.17803385528958</v>
          </cell>
          <cell r="D28">
            <v>-302.94466050655603</v>
          </cell>
          <cell r="E28">
            <v>-277.46344411684811</v>
          </cell>
          <cell r="F28">
            <v>-286.38438507954697</v>
          </cell>
          <cell r="G28">
            <v>-331.14948378901948</v>
          </cell>
          <cell r="H28">
            <v>-415.46674064062108</v>
          </cell>
          <cell r="I28">
            <v>-519.04515603069785</v>
          </cell>
          <cell r="J28">
            <v>-459.57473035658927</v>
          </cell>
          <cell r="K28">
            <v>-469.0114640166309</v>
          </cell>
          <cell r="L28">
            <v>-459.49635741015629</v>
          </cell>
          <cell r="M28">
            <v>-469.86041093749998</v>
          </cell>
          <cell r="N28">
            <v>-482.07862500000005</v>
          </cell>
          <cell r="O28">
            <v>-489.25</v>
          </cell>
          <cell r="P28">
            <v>-496.26687499999991</v>
          </cell>
          <cell r="Q28">
            <v>-503.38819843749985</v>
          </cell>
          <cell r="R28">
            <v>-510.61553502734358</v>
          </cell>
          <cell r="S28">
            <v>-517.95047295006816</v>
          </cell>
          <cell r="T28">
            <v>-525.39462420387679</v>
          </cell>
          <cell r="U28">
            <v>-532.94962496189157</v>
          </cell>
          <cell r="V28">
            <v>-540.61713593476384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tock Price"/>
      <sheetName val="Price of Comps-1yr (UHS)"/>
      <sheetName val="Price of Comps-1yr (UNH)"/>
      <sheetName val="Price of Comps-3yrs (UHS)"/>
      <sheetName val="Price of Comps-3yrs (UNH)"/>
      <sheetName val="critical"/>
      <sheetName val="medical"/>
      <sheetName val="manor"/>
      <sheetName val="Stock Price (4)"/>
      <sheetName val="Shareholder Value"/>
      <sheetName val="Shareholder Value (2)"/>
      <sheetName val="Shareholder Value (3)"/>
      <sheetName val="theatre"/>
      <sheetName val="StockPrice"/>
      <sheetName val="Total"/>
      <sheetName val="Stock_Price"/>
      <sheetName val="Price_of_Comps-1yr_(UHS)"/>
      <sheetName val="Price_of_Comps-1yr_(UNH)"/>
      <sheetName val="Price_of_Comps-3yrs_(UHS)"/>
      <sheetName val="Price_of_Comps-3yrs_(UNH)"/>
      <sheetName val="Stock_Price_(4)"/>
      <sheetName val="Shareholder_Value"/>
      <sheetName val="Shareholder_Value_(2)"/>
      <sheetName val="Shareholder_Value_(3)"/>
      <sheetName val="Graph"/>
      <sheetName val="Clec_Comp"/>
      <sheetName val="Assump"/>
      <sheetName val="DCF_Rider_Term_Mult"/>
      <sheetName val="Horus_P&amp;L"/>
      <sheetName val="Assumptions"/>
      <sheetName val="sales_vol_"/>
      <sheetName val="NewGLP_Assumptions"/>
      <sheetName val="Revenue"/>
      <sheetName val="3"/>
      <sheetName val="Acc_Dil"/>
      <sheetName val="6b"/>
      <sheetName val="ValMatrix"/>
      <sheetName val="Overview_1"/>
      <sheetName val="Value_Creation"/>
      <sheetName val="Controls"/>
      <sheetName val="budg_act"/>
      <sheetName val="1"/>
      <sheetName val="Admin"/>
      <sheetName val="Constants"/>
      <sheetName val="Model"/>
      <sheetName val="MOE"/>
      <sheetName val="Financials_Old"/>
      <sheetName val="5a"/>
      <sheetName val="Side_by_Side"/>
      <sheetName val="CA"/>
      <sheetName val="Overview_2"/>
      <sheetName val="Value_Creation_Chart"/>
      <sheetName val="PF__Cash_EPS_Graph"/>
      <sheetName val="Cash_Flow"/>
      <sheetName val="4"/>
      <sheetName val="Contribution"/>
      <sheetName val="middle-market_-_new"/>
      <sheetName val="7"/>
      <sheetName val="DRDs"/>
      <sheetName val="SX3"/>
      <sheetName val="QuickMerge"/>
      <sheetName val="CONTROL"/>
      <sheetName val="Parameters"/>
      <sheetName val="NOPAT_VDF"/>
      <sheetName val="RC"/>
      <sheetName val="Chapter_7"/>
      <sheetName val="Invested_capital_VDF"/>
      <sheetName val="DCF_VDF"/>
      <sheetName val="MWV-BAL"/>
      <sheetName val="Balance_Sheet"/>
      <sheetName val="US_dollar_mkt"/>
      <sheetName val="riderF"/>
      <sheetName val="cd_Data"/>
      <sheetName val="Colour_Hierarchy"/>
      <sheetName val="graphdialog"/>
      <sheetName val="CID"/>
      <sheetName val="Inputs"/>
      <sheetName val="Customers"/>
      <sheetName val="WEEKLYVLS"/>
      <sheetName val="Data"/>
      <sheetName val="Market_Share"/>
      <sheetName val="DCF"/>
      <sheetName val="lev_loan_raw_data"/>
      <sheetName val="Valuation_Matrix"/>
      <sheetName val="MLP_IPO_Yields_vs_MLP_Index"/>
      <sheetName val="Forecast"/>
      <sheetName val="Financing_Memo"/>
      <sheetName val="Force_Count"/>
      <sheetName val="Instructions"/>
      <sheetName val="MWV-FUN"/>
      <sheetName val="FX_Rates"/>
      <sheetName val="Delhaize"/>
      <sheetName val="Income_Stmt"/>
      <sheetName val="Income_Statement"/>
      <sheetName val="Input"/>
      <sheetName val="Accretion_SensitivityOutput"/>
      <sheetName val="Summary"/>
      <sheetName val="IRR"/>
      <sheetName val="Lookup"/>
      <sheetName val="Budget"/>
      <sheetName val="WACC_VDF"/>
      <sheetName val="Minutes"/>
      <sheetName val="Monthly_IS"/>
      <sheetName val="Scenario_Manager"/>
      <sheetName val="PV_of_Op_Leases_VDF"/>
      <sheetName val="Sensitivity"/>
      <sheetName val="LBO_Model"/>
      <sheetName val="1991_-_1999_Drilling_Type"/>
      <sheetName val="MWV-QTR1"/>
      <sheetName val="LookupRanges"/>
      <sheetName val="Ali_Synergy_Est_(2)"/>
      <sheetName val="Summary_Inc_Stmt"/>
      <sheetName val="f3"/>
      <sheetName val="MarketData"/>
      <sheetName val="Definitions"/>
      <sheetName val="Team_Award"/>
      <sheetName val="Income_Statement_VDF"/>
      <sheetName val="Neste_Oy"/>
      <sheetName val="yc_Formula"/>
      <sheetName val="SEP"/>
      <sheetName val="Stock_Price1"/>
      <sheetName val="Price_of_Comps-1yr_(UHS)1"/>
      <sheetName val="Price_of_Comps-1yr_(UNH)1"/>
      <sheetName val="Price_of_Comps-3yrs_(UHS)1"/>
      <sheetName val="Price_of_Comps-3yrs_(UNH)1"/>
      <sheetName val="Stock_Price_(4)1"/>
      <sheetName val="Shareholder_Value1"/>
      <sheetName val="Shareholder_Value_(2)1"/>
      <sheetName val="Shareholder_Value_(3)1"/>
      <sheetName val="Stock_Price2"/>
      <sheetName val="Price_of_Comps-1yr_(UHS)2"/>
      <sheetName val="Price_of_Comps-1yr_(UNH)2"/>
      <sheetName val="Price_of_Comps-3yrs_(UHS)2"/>
      <sheetName val="Price_of_Comps-3yrs_(UNH)2"/>
      <sheetName val="Stock_Price_(4)2"/>
      <sheetName val="Shareholder_Value2"/>
      <sheetName val="Shareholder_Value_(2)2"/>
      <sheetName val="Shareholder_Value_(3)2"/>
      <sheetName val="Stock_Price3"/>
      <sheetName val="Price_of_Comps-1yr_(UHS)3"/>
      <sheetName val="Price_of_Comps-1yr_(UNH)3"/>
      <sheetName val="Price_of_Comps-3yrs_(UHS)3"/>
      <sheetName val="Price_of_Comps-3yrs_(UNH)3"/>
      <sheetName val="Stock_Price_(4)3"/>
      <sheetName val="Shareholder_Value3"/>
      <sheetName val="Shareholder_Value_(2)3"/>
      <sheetName val="Shareholder_Value_(3)3"/>
      <sheetName val="EuroInputs"/>
      <sheetName val="Price_of_Compsjà_x0013__x0000_¤ß_x0013__x0000_lâ_x0013_"/>
      <sheetName val="9040832n"/>
      <sheetName val="oldSEG"/>
      <sheetName val="Quarters"/>
      <sheetName val="sales vol."/>
      <sheetName val="Entry data"/>
      <sheetName val="Refunds Weekly"/>
      <sheetName val="Final Payments"/>
      <sheetName val="FootballField"/>
      <sheetName val="CNST"/>
      <sheetName val="AL &amp; NHY"/>
      <sheetName val="SEE"/>
      <sheetName val="P&amp;L"/>
      <sheetName val="company"/>
      <sheetName val="99 JULY SALE"/>
    </sheetNames>
    <sheetDataSet>
      <sheetData sheetId="0"/>
      <sheetData sheetId="1" refreshError="1">
        <row r="4">
          <cell r="A4">
            <v>35464</v>
          </cell>
          <cell r="B4">
            <v>1</v>
          </cell>
          <cell r="C4">
            <v>1</v>
          </cell>
          <cell r="D4">
            <v>1</v>
          </cell>
          <cell r="E4">
            <v>1</v>
          </cell>
          <cell r="F4">
            <v>1</v>
          </cell>
          <cell r="G4">
            <v>1</v>
          </cell>
        </row>
        <row r="5">
          <cell r="A5">
            <v>35465</v>
          </cell>
          <cell r="B5">
            <v>0.99669966996699666</v>
          </cell>
          <cell r="C5">
            <v>1.0280811232449298</v>
          </cell>
          <cell r="D5">
            <v>1</v>
          </cell>
          <cell r="E5">
            <v>0.99328859060402686</v>
          </cell>
          <cell r="F5">
            <v>0.97093023255813948</v>
          </cell>
          <cell r="G5">
            <v>1.0113636363636365</v>
          </cell>
        </row>
        <row r="6">
          <cell r="A6">
            <v>35466</v>
          </cell>
          <cell r="B6">
            <v>0.97689768976897695</v>
          </cell>
          <cell r="C6">
            <v>0.97347893915756634</v>
          </cell>
          <cell r="D6">
            <v>1.0112781954887218</v>
          </cell>
          <cell r="E6">
            <v>0.96644295302013428</v>
          </cell>
          <cell r="F6">
            <v>0.95813953488372094</v>
          </cell>
          <cell r="G6">
            <v>0.96590909090909094</v>
          </cell>
        </row>
        <row r="7">
          <cell r="A7">
            <v>35467</v>
          </cell>
          <cell r="B7">
            <v>0.99339933993399343</v>
          </cell>
          <cell r="C7">
            <v>0.96567862714508579</v>
          </cell>
          <cell r="D7">
            <v>1.0263157894736843</v>
          </cell>
          <cell r="E7">
            <v>0.95302013422818788</v>
          </cell>
          <cell r="F7">
            <v>0.92093023255813955</v>
          </cell>
          <cell r="G7">
            <v>0.95454545454545459</v>
          </cell>
        </row>
        <row r="8">
          <cell r="A8">
            <v>35468</v>
          </cell>
          <cell r="B8">
            <v>1.0297029702970297</v>
          </cell>
          <cell r="C8">
            <v>0.97347893915756634</v>
          </cell>
          <cell r="D8">
            <v>1.0413533834586466</v>
          </cell>
          <cell r="E8">
            <v>0.97315436241610742</v>
          </cell>
          <cell r="F8">
            <v>0.95581395348837206</v>
          </cell>
          <cell r="G8">
            <v>0.96590909090909094</v>
          </cell>
        </row>
        <row r="9">
          <cell r="A9">
            <v>35471</v>
          </cell>
          <cell r="B9">
            <v>1.033003300330033</v>
          </cell>
          <cell r="C9">
            <v>0.99375975039001563</v>
          </cell>
          <cell r="D9">
            <v>1.0883458646616542</v>
          </cell>
          <cell r="E9">
            <v>0.98657718120805371</v>
          </cell>
          <cell r="F9">
            <v>0.94883720930232562</v>
          </cell>
          <cell r="G9">
            <v>0.95454545454545459</v>
          </cell>
        </row>
        <row r="10">
          <cell r="A10">
            <v>35472</v>
          </cell>
          <cell r="B10">
            <v>1.0594059405940595</v>
          </cell>
          <cell r="C10">
            <v>0.99843993759750393</v>
          </cell>
          <cell r="D10">
            <v>1.0676691729323309</v>
          </cell>
          <cell r="E10">
            <v>1.0067114093959733</v>
          </cell>
          <cell r="F10">
            <v>0.96976744186046515</v>
          </cell>
          <cell r="G10">
            <v>0.95454545454545459</v>
          </cell>
        </row>
        <row r="11">
          <cell r="A11">
            <v>35473</v>
          </cell>
          <cell r="B11">
            <v>1.0734323432343233</v>
          </cell>
          <cell r="C11">
            <v>1.0265210608424338</v>
          </cell>
          <cell r="D11">
            <v>1.0864661654135339</v>
          </cell>
          <cell r="E11">
            <v>1.0067114093959733</v>
          </cell>
          <cell r="F11">
            <v>1.0418604651162791</v>
          </cell>
          <cell r="G11">
            <v>0.96590909090909094</v>
          </cell>
        </row>
        <row r="12">
          <cell r="A12">
            <v>35474</v>
          </cell>
          <cell r="B12">
            <v>1.0981848184818481</v>
          </cell>
          <cell r="C12">
            <v>1.0733229329173166</v>
          </cell>
          <cell r="D12">
            <v>1.1165413533834587</v>
          </cell>
          <cell r="E12">
            <v>1.0536912751677852</v>
          </cell>
          <cell r="F12">
            <v>1.1046511627906976</v>
          </cell>
          <cell r="G12">
            <v>0.98863636363636365</v>
          </cell>
        </row>
        <row r="13">
          <cell r="A13">
            <v>35475</v>
          </cell>
          <cell r="B13">
            <v>1.1056105610561056</v>
          </cell>
          <cell r="C13">
            <v>1.0795631825273011</v>
          </cell>
          <cell r="D13">
            <v>1.131578947368421</v>
          </cell>
          <cell r="E13">
            <v>1.0738255033557047</v>
          </cell>
          <cell r="F13">
            <v>1.1441860465116278</v>
          </cell>
          <cell r="G13">
            <v>1.2159090909090908</v>
          </cell>
        </row>
        <row r="14">
          <cell r="A14">
            <v>35478</v>
          </cell>
          <cell r="B14">
            <v>1.1056105610561056</v>
          </cell>
          <cell r="C14">
            <v>1.0795631825273011</v>
          </cell>
          <cell r="D14">
            <v>1.131578947368421</v>
          </cell>
          <cell r="E14">
            <v>1.0738255033557047</v>
          </cell>
          <cell r="F14">
            <v>1.1441860465116278</v>
          </cell>
          <cell r="G14">
            <v>1.2159090909090908</v>
          </cell>
        </row>
        <row r="15">
          <cell r="A15">
            <v>35479</v>
          </cell>
          <cell r="B15">
            <v>1.0990099009900991</v>
          </cell>
          <cell r="C15">
            <v>1.0608424336973479</v>
          </cell>
          <cell r="D15">
            <v>1.1090225563909775</v>
          </cell>
          <cell r="E15">
            <v>1.0738255033557047</v>
          </cell>
          <cell r="F15">
            <v>1.1000000000000001</v>
          </cell>
          <cell r="G15">
            <v>1.2159090909090908</v>
          </cell>
        </row>
        <row r="16">
          <cell r="A16">
            <v>35480</v>
          </cell>
          <cell r="B16">
            <v>1.1122112211221122</v>
          </cell>
          <cell r="C16">
            <v>1.0717628705148206</v>
          </cell>
          <cell r="D16">
            <v>1.131578947368421</v>
          </cell>
          <cell r="E16">
            <v>1.0268456375838926</v>
          </cell>
          <cell r="F16">
            <v>1.1046511627906976</v>
          </cell>
          <cell r="G16">
            <v>1.2159090909090908</v>
          </cell>
        </row>
        <row r="17">
          <cell r="A17">
            <v>35481</v>
          </cell>
          <cell r="B17">
            <v>1.1056105610561056</v>
          </cell>
          <cell r="C17">
            <v>1.0592823712948518</v>
          </cell>
          <cell r="D17">
            <v>1.1099624060150375</v>
          </cell>
          <cell r="E17">
            <v>1.0671140939597314</v>
          </cell>
          <cell r="F17">
            <v>1.0930232558139534</v>
          </cell>
          <cell r="G17">
            <v>1.2045454545454546</v>
          </cell>
        </row>
        <row r="18">
          <cell r="A18">
            <v>35482</v>
          </cell>
          <cell r="B18">
            <v>1.0990099009900991</v>
          </cell>
          <cell r="C18">
            <v>1.0608424336973479</v>
          </cell>
          <cell r="D18">
            <v>1.1353383458646618</v>
          </cell>
          <cell r="E18">
            <v>1.0738255033557047</v>
          </cell>
          <cell r="F18">
            <v>1.0953488372093023</v>
          </cell>
          <cell r="G18">
            <v>1.2159090909090908</v>
          </cell>
        </row>
        <row r="19">
          <cell r="A19">
            <v>35485</v>
          </cell>
          <cell r="B19">
            <v>1.0808580858085808</v>
          </cell>
          <cell r="C19">
            <v>1.0702028081123245</v>
          </cell>
          <cell r="D19">
            <v>1.1390977443609023</v>
          </cell>
          <cell r="E19">
            <v>1.0604026845637584</v>
          </cell>
          <cell r="F19">
            <v>1.0627906976744186</v>
          </cell>
          <cell r="G19">
            <v>1.2045454545454546</v>
          </cell>
        </row>
        <row r="20">
          <cell r="A20">
            <v>35486</v>
          </cell>
          <cell r="B20">
            <v>1.0990099009900991</v>
          </cell>
          <cell r="C20">
            <v>1.0670826833073324</v>
          </cell>
          <cell r="D20">
            <v>1.1503759398496241</v>
          </cell>
          <cell r="E20">
            <v>1.0738255033557047</v>
          </cell>
          <cell r="F20">
            <v>1.069767441860465</v>
          </cell>
          <cell r="G20">
            <v>1.2045454545454546</v>
          </cell>
        </row>
        <row r="21">
          <cell r="A21">
            <v>35487</v>
          </cell>
          <cell r="B21">
            <v>1.0940594059405941</v>
          </cell>
          <cell r="C21">
            <v>1.0405616224648986</v>
          </cell>
          <cell r="D21">
            <v>1.1503759398496241</v>
          </cell>
          <cell r="E21">
            <v>1.0134228187919463</v>
          </cell>
          <cell r="F21">
            <v>1.0488372093023255</v>
          </cell>
          <cell r="G21">
            <v>1.2045454545454546</v>
          </cell>
        </row>
        <row r="22">
          <cell r="A22">
            <v>35488</v>
          </cell>
          <cell r="B22">
            <v>1.0990099009900991</v>
          </cell>
          <cell r="C22">
            <v>1.0468018720748831</v>
          </cell>
          <cell r="D22">
            <v>1.1390977443609023</v>
          </cell>
          <cell r="E22">
            <v>1.0201342281879195</v>
          </cell>
          <cell r="F22">
            <v>1.0372093023255815</v>
          </cell>
          <cell r="G22">
            <v>1.2045454545454546</v>
          </cell>
        </row>
        <row r="23">
          <cell r="A23">
            <v>35489</v>
          </cell>
          <cell r="B23">
            <v>1.1056105610561056</v>
          </cell>
          <cell r="C23">
            <v>1.0374414976599065</v>
          </cell>
          <cell r="D23">
            <v>1.1353383458646618</v>
          </cell>
          <cell r="E23">
            <v>1.0536912751677852</v>
          </cell>
          <cell r="F23">
            <v>1.0372093023255815</v>
          </cell>
          <cell r="G23">
            <v>1.1931818181818181</v>
          </cell>
        </row>
        <row r="24">
          <cell r="A24">
            <v>35492</v>
          </cell>
          <cell r="B24">
            <v>1.0965346534653466</v>
          </cell>
          <cell r="C24">
            <v>1.0577223088923557</v>
          </cell>
          <cell r="D24">
            <v>1.1390977443609023</v>
          </cell>
          <cell r="E24">
            <v>1.1342281879194631</v>
          </cell>
          <cell r="F24">
            <v>1.0325581395348837</v>
          </cell>
          <cell r="G24">
            <v>1.2159090909090908</v>
          </cell>
        </row>
        <row r="25">
          <cell r="A25">
            <v>35493</v>
          </cell>
          <cell r="B25">
            <v>1.0973597359735974</v>
          </cell>
          <cell r="C25">
            <v>1.06396255850234</v>
          </cell>
          <cell r="D25">
            <v>1.1353383458646618</v>
          </cell>
          <cell r="E25">
            <v>1.1610738255033557</v>
          </cell>
          <cell r="F25">
            <v>1.069767441860465</v>
          </cell>
          <cell r="G25">
            <v>1.2159090909090908</v>
          </cell>
        </row>
        <row r="26">
          <cell r="A26">
            <v>35494</v>
          </cell>
          <cell r="B26">
            <v>1.113861386138614</v>
          </cell>
          <cell r="C26">
            <v>1.076443057722309</v>
          </cell>
          <cell r="D26">
            <v>1.1278195488721805</v>
          </cell>
          <cell r="E26">
            <v>1.174496644295302</v>
          </cell>
          <cell r="F26">
            <v>1.1255813953488372</v>
          </cell>
          <cell r="G26">
            <v>1.2727272727272727</v>
          </cell>
        </row>
        <row r="27">
          <cell r="A27">
            <v>35495</v>
          </cell>
          <cell r="B27">
            <v>1.1460396039603959</v>
          </cell>
          <cell r="C27">
            <v>1.0717628705148206</v>
          </cell>
          <cell r="D27">
            <v>1.1090225563909775</v>
          </cell>
          <cell r="E27">
            <v>1.1208053691275168</v>
          </cell>
          <cell r="F27">
            <v>1.1093023255813954</v>
          </cell>
          <cell r="G27">
            <v>1.2272727272727273</v>
          </cell>
        </row>
        <row r="28">
          <cell r="A28">
            <v>35496</v>
          </cell>
          <cell r="B28">
            <v>1.165016501650165</v>
          </cell>
          <cell r="C28">
            <v>1.1216848673946958</v>
          </cell>
          <cell r="D28">
            <v>1.1541353383458646</v>
          </cell>
          <cell r="E28">
            <v>1.2147651006711409</v>
          </cell>
          <cell r="F28">
            <v>1.1511627906976745</v>
          </cell>
          <cell r="G28">
            <v>1.2386363636363635</v>
          </cell>
        </row>
        <row r="29">
          <cell r="A29">
            <v>35499</v>
          </cell>
          <cell r="B29">
            <v>1.165016501650165</v>
          </cell>
          <cell r="C29">
            <v>1.1372854914196568</v>
          </cell>
          <cell r="D29">
            <v>1.1766917293233083</v>
          </cell>
          <cell r="E29">
            <v>1.2348993288590604</v>
          </cell>
          <cell r="F29">
            <v>1.2069767441860466</v>
          </cell>
          <cell r="G29">
            <v>1.3068181818181819</v>
          </cell>
        </row>
        <row r="30">
          <cell r="A30">
            <v>35500</v>
          </cell>
          <cell r="B30">
            <v>1.1452145214521452</v>
          </cell>
          <cell r="C30">
            <v>1.1528861154446177</v>
          </cell>
          <cell r="D30">
            <v>1.1766917293233083</v>
          </cell>
          <cell r="E30">
            <v>1.2348993288590604</v>
          </cell>
          <cell r="F30">
            <v>1.2255813953488373</v>
          </cell>
          <cell r="G30">
            <v>1.2954545454545454</v>
          </cell>
        </row>
        <row r="31">
          <cell r="A31">
            <v>35501</v>
          </cell>
          <cell r="B31">
            <v>1.1386138613861385</v>
          </cell>
          <cell r="C31">
            <v>1.1591263650546022</v>
          </cell>
          <cell r="D31">
            <v>1.1879699248120301</v>
          </cell>
          <cell r="E31">
            <v>1.2214765100671141</v>
          </cell>
          <cell r="F31">
            <v>1.213953488372093</v>
          </cell>
          <cell r="G31">
            <v>1.2954545454545454</v>
          </cell>
        </row>
        <row r="32">
          <cell r="A32">
            <v>35502</v>
          </cell>
          <cell r="B32">
            <v>1.1353135313531353</v>
          </cell>
          <cell r="C32">
            <v>1.1232449297971918</v>
          </cell>
          <cell r="D32">
            <v>1.1766917293233083</v>
          </cell>
          <cell r="E32">
            <v>1.1879194630872483</v>
          </cell>
          <cell r="F32">
            <v>1.1895348837209303</v>
          </cell>
          <cell r="G32">
            <v>1.2954545454545454</v>
          </cell>
        </row>
        <row r="33">
          <cell r="A33">
            <v>35503</v>
          </cell>
          <cell r="B33">
            <v>1.1353135313531353</v>
          </cell>
          <cell r="C33">
            <v>1.1341653666146645</v>
          </cell>
          <cell r="D33">
            <v>1.1691729323308271</v>
          </cell>
          <cell r="E33">
            <v>1.2281879194630871</v>
          </cell>
          <cell r="F33">
            <v>1.1837209302325582</v>
          </cell>
          <cell r="G33">
            <v>1.2954545454545454</v>
          </cell>
        </row>
        <row r="34">
          <cell r="A34">
            <v>35506</v>
          </cell>
          <cell r="B34">
            <v>1.1377887788778878</v>
          </cell>
          <cell r="C34">
            <v>1.1216848673946958</v>
          </cell>
          <cell r="D34">
            <v>1.1541353383458646</v>
          </cell>
          <cell r="E34">
            <v>1.1946308724832215</v>
          </cell>
          <cell r="F34">
            <v>1.1348837209302325</v>
          </cell>
          <cell r="G34">
            <v>1.2954545454545454</v>
          </cell>
        </row>
        <row r="35">
          <cell r="A35">
            <v>35507</v>
          </cell>
          <cell r="B35">
            <v>1.1287128712871286</v>
          </cell>
          <cell r="C35">
            <v>1.1154446177847115</v>
          </cell>
          <cell r="D35">
            <v>1.1428571428571428</v>
          </cell>
          <cell r="E35">
            <v>1.1946308724832215</v>
          </cell>
          <cell r="F35">
            <v>1.1093023255813954</v>
          </cell>
          <cell r="G35">
            <v>1.3068181818181819</v>
          </cell>
        </row>
        <row r="36">
          <cell r="A36">
            <v>35508</v>
          </cell>
          <cell r="B36">
            <v>1.1287128712871286</v>
          </cell>
          <cell r="C36">
            <v>1.0936037441497659</v>
          </cell>
          <cell r="D36">
            <v>1.1466165413533835</v>
          </cell>
          <cell r="E36">
            <v>1.174496644295302</v>
          </cell>
          <cell r="F36">
            <v>1.1232558139534883</v>
          </cell>
          <cell r="G36">
            <v>1.2954545454545454</v>
          </cell>
        </row>
        <row r="37">
          <cell r="A37">
            <v>35509</v>
          </cell>
          <cell r="B37">
            <v>1.1303630363036303</v>
          </cell>
          <cell r="C37">
            <v>1.0998439937597504</v>
          </cell>
          <cell r="D37">
            <v>1.1503759398496241</v>
          </cell>
          <cell r="E37">
            <v>1.1677852348993289</v>
          </cell>
          <cell r="F37">
            <v>1.155813953488372</v>
          </cell>
          <cell r="G37">
            <v>1.2954545454545454</v>
          </cell>
        </row>
        <row r="38">
          <cell r="A38">
            <v>35510</v>
          </cell>
          <cell r="B38">
            <v>1.1221122112211221</v>
          </cell>
          <cell r="C38">
            <v>1.1014040561622465</v>
          </cell>
          <cell r="D38">
            <v>1.1466165413533835</v>
          </cell>
          <cell r="E38">
            <v>1.1812080536912752</v>
          </cell>
          <cell r="F38">
            <v>1.1441860465116278</v>
          </cell>
          <cell r="G38">
            <v>1.2954545454545454</v>
          </cell>
        </row>
        <row r="39">
          <cell r="A39">
            <v>35513</v>
          </cell>
          <cell r="B39">
            <v>1.0965346534653466</v>
          </cell>
          <cell r="C39">
            <v>1.0951638065522622</v>
          </cell>
          <cell r="D39">
            <v>1.1353383458646618</v>
          </cell>
          <cell r="E39">
            <v>1.1677852348993289</v>
          </cell>
          <cell r="F39">
            <v>1.1441860465116278</v>
          </cell>
          <cell r="G39">
            <v>1.2954545454545454</v>
          </cell>
        </row>
        <row r="40">
          <cell r="A40">
            <v>35514</v>
          </cell>
          <cell r="B40">
            <v>1.1221122112211221</v>
          </cell>
          <cell r="C40">
            <v>1.1232449297971918</v>
          </cell>
          <cell r="D40">
            <v>1.131578947368421</v>
          </cell>
          <cell r="E40">
            <v>1.1812080536912752</v>
          </cell>
          <cell r="F40">
            <v>1.1790697674418604</v>
          </cell>
          <cell r="G40">
            <v>1.2954545454545454</v>
          </cell>
        </row>
        <row r="41">
          <cell r="A41">
            <v>35515</v>
          </cell>
          <cell r="B41">
            <v>1.1435643564356435</v>
          </cell>
          <cell r="C41">
            <v>1.1185647425897036</v>
          </cell>
          <cell r="D41">
            <v>1.112781954887218</v>
          </cell>
          <cell r="E41">
            <v>1.2013422818791946</v>
          </cell>
          <cell r="F41">
            <v>1.1697674418604651</v>
          </cell>
          <cell r="G41">
            <v>1.2954545454545454</v>
          </cell>
        </row>
        <row r="42">
          <cell r="A42">
            <v>35516</v>
          </cell>
          <cell r="B42">
            <v>1.141914191419142</v>
          </cell>
          <cell r="C42">
            <v>1.0904836193447738</v>
          </cell>
          <cell r="D42">
            <v>1.1052631578947369</v>
          </cell>
          <cell r="E42">
            <v>1.174496644295302</v>
          </cell>
          <cell r="F42">
            <v>1.1372093023255814</v>
          </cell>
          <cell r="G42">
            <v>1.2954545454545454</v>
          </cell>
        </row>
        <row r="43">
          <cell r="A43">
            <v>35517</v>
          </cell>
          <cell r="B43">
            <v>1.141914191419142</v>
          </cell>
          <cell r="C43">
            <v>1.0904836193447738</v>
          </cell>
          <cell r="D43">
            <v>1.1052631578947369</v>
          </cell>
          <cell r="E43">
            <v>1.174496644295302</v>
          </cell>
          <cell r="F43">
            <v>1.1372093023255814</v>
          </cell>
          <cell r="G43">
            <v>1.2954545454545454</v>
          </cell>
        </row>
        <row r="44">
          <cell r="A44">
            <v>35520</v>
          </cell>
          <cell r="B44">
            <v>1.1386138613861385</v>
          </cell>
          <cell r="C44">
            <v>1.0717628705148206</v>
          </cell>
          <cell r="D44">
            <v>1.0977443609022557</v>
          </cell>
          <cell r="E44">
            <v>1.1812080536912752</v>
          </cell>
          <cell r="F44">
            <v>1.0906976744186045</v>
          </cell>
          <cell r="G44">
            <v>1.2954545454545454</v>
          </cell>
        </row>
        <row r="45">
          <cell r="A45">
            <v>35521</v>
          </cell>
          <cell r="B45">
            <v>1.1056105610561056</v>
          </cell>
          <cell r="C45">
            <v>1.0748829953198127</v>
          </cell>
          <cell r="D45">
            <v>1.1090225563909775</v>
          </cell>
          <cell r="E45">
            <v>1.1342281879194631</v>
          </cell>
          <cell r="F45">
            <v>1.0604651162790697</v>
          </cell>
          <cell r="G45">
            <v>1.2954545454545454</v>
          </cell>
        </row>
        <row r="46">
          <cell r="A46">
            <v>35522</v>
          </cell>
          <cell r="B46">
            <v>1.0973597359735974</v>
          </cell>
          <cell r="C46">
            <v>1.0748829953198127</v>
          </cell>
          <cell r="D46">
            <v>0.84586466165413532</v>
          </cell>
          <cell r="E46">
            <v>1.1140939597315436</v>
          </cell>
          <cell r="F46">
            <v>1.0511627906976744</v>
          </cell>
          <cell r="G46">
            <v>1.2954545454545454</v>
          </cell>
        </row>
        <row r="47">
          <cell r="A47">
            <v>35523</v>
          </cell>
          <cell r="B47">
            <v>1.0957095709570956</v>
          </cell>
          <cell r="C47">
            <v>1.0842433697347893</v>
          </cell>
          <cell r="D47">
            <v>0.82330827067669177</v>
          </cell>
          <cell r="E47">
            <v>1.1342281879194631</v>
          </cell>
          <cell r="F47">
            <v>1.0813953488372092</v>
          </cell>
          <cell r="G47">
            <v>1.2840909090909092</v>
          </cell>
        </row>
        <row r="48">
          <cell r="A48">
            <v>35524</v>
          </cell>
          <cell r="B48">
            <v>1.1023102310231023</v>
          </cell>
          <cell r="C48">
            <v>1.076443057722309</v>
          </cell>
          <cell r="D48">
            <v>0.83082706766917291</v>
          </cell>
          <cell r="E48">
            <v>1.1342281879194631</v>
          </cell>
          <cell r="F48">
            <v>1.0790697674418606</v>
          </cell>
          <cell r="G48">
            <v>1.2954545454545454</v>
          </cell>
        </row>
        <row r="49">
          <cell r="A49">
            <v>35527</v>
          </cell>
          <cell r="B49">
            <v>1.0907590759075907</v>
          </cell>
          <cell r="C49">
            <v>1.0670826833073324</v>
          </cell>
          <cell r="D49">
            <v>0.82706766917293228</v>
          </cell>
          <cell r="E49">
            <v>1.1677852348993289</v>
          </cell>
          <cell r="F49">
            <v>1.1093023255813954</v>
          </cell>
          <cell r="G49">
            <v>1.2954545454545454</v>
          </cell>
        </row>
        <row r="50">
          <cell r="A50">
            <v>35528</v>
          </cell>
          <cell r="B50">
            <v>1.0907590759075907</v>
          </cell>
          <cell r="C50">
            <v>1.0686427457098284</v>
          </cell>
          <cell r="D50">
            <v>0.81578947368421051</v>
          </cell>
          <cell r="E50">
            <v>1.1610738255033557</v>
          </cell>
          <cell r="F50">
            <v>1.1418604651162791</v>
          </cell>
          <cell r="G50">
            <v>1.2840909090909092</v>
          </cell>
        </row>
        <row r="51">
          <cell r="A51">
            <v>35529</v>
          </cell>
          <cell r="B51">
            <v>1.0874587458745875</v>
          </cell>
          <cell r="C51">
            <v>1.0655226209048363</v>
          </cell>
          <cell r="D51">
            <v>0.83834586466165417</v>
          </cell>
          <cell r="E51">
            <v>1.1208053691275168</v>
          </cell>
          <cell r="F51">
            <v>1.1744186046511629</v>
          </cell>
          <cell r="G51">
            <v>1.3068181818181819</v>
          </cell>
        </row>
        <row r="52">
          <cell r="A52">
            <v>35530</v>
          </cell>
          <cell r="B52">
            <v>1.0891089108910892</v>
          </cell>
          <cell r="C52">
            <v>1.076443057722309</v>
          </cell>
          <cell r="D52">
            <v>0.83458646616541354</v>
          </cell>
          <cell r="E52">
            <v>1.1409395973154361</v>
          </cell>
          <cell r="F52">
            <v>1.1976744186046511</v>
          </cell>
          <cell r="G52">
            <v>1.2954545454545454</v>
          </cell>
        </row>
        <row r="53">
          <cell r="A53">
            <v>35531</v>
          </cell>
          <cell r="B53">
            <v>1.0577557755775577</v>
          </cell>
          <cell r="C53">
            <v>1.0436817472698907</v>
          </cell>
          <cell r="D53">
            <v>0.81203007518796988</v>
          </cell>
          <cell r="E53">
            <v>1.1140939597315436</v>
          </cell>
          <cell r="F53">
            <v>1.1232558139534883</v>
          </cell>
          <cell r="G53">
            <v>1.2840909090909092</v>
          </cell>
        </row>
        <row r="54">
          <cell r="A54">
            <v>35534</v>
          </cell>
          <cell r="B54">
            <v>1.0379537953795379</v>
          </cell>
          <cell r="C54">
            <v>1.0748829953198127</v>
          </cell>
          <cell r="D54">
            <v>0.82330827067669177</v>
          </cell>
          <cell r="E54">
            <v>1.1275167785234899</v>
          </cell>
          <cell r="F54">
            <v>1.1534883720930234</v>
          </cell>
          <cell r="G54">
            <v>1.2727272727272727</v>
          </cell>
        </row>
        <row r="55">
          <cell r="A55">
            <v>35535</v>
          </cell>
          <cell r="B55">
            <v>1.0742574257425743</v>
          </cell>
          <cell r="C55">
            <v>1.1045241809672386</v>
          </cell>
          <cell r="D55">
            <v>0.84586466165413532</v>
          </cell>
          <cell r="E55">
            <v>1.1476510067114094</v>
          </cell>
          <cell r="F55">
            <v>1.1767441860465115</v>
          </cell>
          <cell r="G55">
            <v>1.2727272727272727</v>
          </cell>
        </row>
        <row r="56">
          <cell r="A56">
            <v>35536</v>
          </cell>
          <cell r="B56">
            <v>1.1039603960396041</v>
          </cell>
          <cell r="C56">
            <v>1.1201248049921997</v>
          </cell>
          <cell r="D56">
            <v>0.86466165413533835</v>
          </cell>
          <cell r="E56">
            <v>1.1476510067114094</v>
          </cell>
          <cell r="F56">
            <v>1.1476744186046512</v>
          </cell>
          <cell r="G56">
            <v>1.2840909090909092</v>
          </cell>
        </row>
        <row r="57">
          <cell r="A57">
            <v>35537</v>
          </cell>
          <cell r="B57">
            <v>1.0990099009900991</v>
          </cell>
          <cell r="C57">
            <v>1.0982839313572543</v>
          </cell>
          <cell r="D57">
            <v>0.84962406015037595</v>
          </cell>
          <cell r="E57">
            <v>1.1409395973154361</v>
          </cell>
          <cell r="F57">
            <v>1.1627906976744187</v>
          </cell>
          <cell r="G57">
            <v>1.2840909090909092</v>
          </cell>
        </row>
        <row r="58">
          <cell r="A58">
            <v>35538</v>
          </cell>
          <cell r="B58">
            <v>1.0577557755775577</v>
          </cell>
          <cell r="C58">
            <v>1.0717628705148206</v>
          </cell>
          <cell r="D58">
            <v>0.80451127819548873</v>
          </cell>
          <cell r="E58">
            <v>1.080536912751678</v>
          </cell>
          <cell r="F58">
            <v>1.1232558139534883</v>
          </cell>
          <cell r="G58">
            <v>1.2840909090909092</v>
          </cell>
        </row>
        <row r="59">
          <cell r="A59">
            <v>35541</v>
          </cell>
          <cell r="B59">
            <v>1.0445544554455446</v>
          </cell>
          <cell r="C59">
            <v>1.0624024960998439</v>
          </cell>
          <cell r="D59">
            <v>0.77819548872180455</v>
          </cell>
          <cell r="E59">
            <v>1.0939597315436242</v>
          </cell>
          <cell r="F59">
            <v>1.1232558139534883</v>
          </cell>
          <cell r="G59">
            <v>1.2727272727272727</v>
          </cell>
        </row>
        <row r="60">
          <cell r="A60">
            <v>35542</v>
          </cell>
          <cell r="B60">
            <v>1.0297029702970297</v>
          </cell>
          <cell r="C60">
            <v>1.0702028081123245</v>
          </cell>
          <cell r="D60">
            <v>0.76691729323308266</v>
          </cell>
          <cell r="E60">
            <v>1.1073825503355705</v>
          </cell>
          <cell r="F60">
            <v>1.1418604651162791</v>
          </cell>
          <cell r="G60">
            <v>1.2727272727272727</v>
          </cell>
        </row>
        <row r="61">
          <cell r="A61">
            <v>35543</v>
          </cell>
          <cell r="B61">
            <v>1.0148514851485149</v>
          </cell>
          <cell r="C61">
            <v>1.0686427457098284</v>
          </cell>
          <cell r="D61">
            <v>0.75563909774436089</v>
          </cell>
          <cell r="E61">
            <v>1.1208053691275168</v>
          </cell>
          <cell r="F61">
            <v>1.1488372093023256</v>
          </cell>
          <cell r="G61">
            <v>1.2727272727272727</v>
          </cell>
        </row>
        <row r="62">
          <cell r="A62">
            <v>35544</v>
          </cell>
          <cell r="B62">
            <v>1.0198019801980198</v>
          </cell>
          <cell r="C62">
            <v>1.0530421216848673</v>
          </cell>
          <cell r="D62">
            <v>0.75939849624060152</v>
          </cell>
          <cell r="E62">
            <v>1.080536912751678</v>
          </cell>
          <cell r="F62">
            <v>1.1395348837209303</v>
          </cell>
          <cell r="G62">
            <v>1.2727272727272727</v>
          </cell>
        </row>
        <row r="63">
          <cell r="A63">
            <v>35545</v>
          </cell>
          <cell r="B63">
            <v>1.0156765676567656</v>
          </cell>
          <cell r="C63">
            <v>1.0483619344773791</v>
          </cell>
          <cell r="D63">
            <v>0.74060150375939848</v>
          </cell>
          <cell r="E63">
            <v>1.0939597315436242</v>
          </cell>
          <cell r="F63">
            <v>1.1046511627906976</v>
          </cell>
          <cell r="G63">
            <v>1.2727272727272727</v>
          </cell>
        </row>
        <row r="64">
          <cell r="A64">
            <v>35548</v>
          </cell>
          <cell r="B64">
            <v>1.0099009900990099</v>
          </cell>
          <cell r="C64">
            <v>1.0468018720748831</v>
          </cell>
          <cell r="D64">
            <v>0.73308270676691734</v>
          </cell>
          <cell r="E64">
            <v>1.087248322147651</v>
          </cell>
          <cell r="F64">
            <v>1.0976744186046512</v>
          </cell>
          <cell r="G64">
            <v>1.2613636363636365</v>
          </cell>
        </row>
        <row r="65">
          <cell r="A65">
            <v>35549</v>
          </cell>
          <cell r="B65">
            <v>1.033003300330033</v>
          </cell>
          <cell r="C65">
            <v>1.1185647425897036</v>
          </cell>
          <cell r="D65">
            <v>0.77067669172932329</v>
          </cell>
          <cell r="E65">
            <v>1.1543624161073827</v>
          </cell>
          <cell r="F65">
            <v>1.1674418604651162</v>
          </cell>
          <cell r="G65">
            <v>1.2613636363636365</v>
          </cell>
        </row>
        <row r="66">
          <cell r="A66">
            <v>35550</v>
          </cell>
          <cell r="B66">
            <v>1.0594059405940595</v>
          </cell>
          <cell r="C66">
            <v>1.1372854914196568</v>
          </cell>
          <cell r="D66">
            <v>0.81203007518796988</v>
          </cell>
          <cell r="E66">
            <v>1.1677852348993289</v>
          </cell>
          <cell r="F66">
            <v>1.2255813953488373</v>
          </cell>
          <cell r="G66">
            <v>1.2613636363636365</v>
          </cell>
        </row>
        <row r="67">
          <cell r="A67">
            <v>35551</v>
          </cell>
          <cell r="B67">
            <v>1.0148514851485149</v>
          </cell>
          <cell r="C67">
            <v>1.1216848673946958</v>
          </cell>
          <cell r="D67">
            <v>0.80451127819548873</v>
          </cell>
          <cell r="E67">
            <v>1.1610738255033557</v>
          </cell>
          <cell r="F67">
            <v>1.213953488372093</v>
          </cell>
          <cell r="G67">
            <v>1.2727272727272727</v>
          </cell>
        </row>
        <row r="68">
          <cell r="A68">
            <v>35552</v>
          </cell>
          <cell r="B68">
            <v>1.0181518151815181</v>
          </cell>
          <cell r="C68">
            <v>1.1216848673946958</v>
          </cell>
          <cell r="D68">
            <v>0.82330827067669177</v>
          </cell>
          <cell r="E68">
            <v>1.174496644295302</v>
          </cell>
          <cell r="F68">
            <v>1.2720930232558139</v>
          </cell>
          <cell r="G68">
            <v>1.2727272727272727</v>
          </cell>
        </row>
        <row r="69">
          <cell r="A69">
            <v>35555</v>
          </cell>
          <cell r="B69">
            <v>1.0396039603960396</v>
          </cell>
          <cell r="C69">
            <v>1.1310452418096724</v>
          </cell>
          <cell r="D69">
            <v>0.83458646616541354</v>
          </cell>
          <cell r="E69">
            <v>1.1543624161073827</v>
          </cell>
          <cell r="F69">
            <v>1.2</v>
          </cell>
          <cell r="G69">
            <v>1.2954545454545454</v>
          </cell>
        </row>
        <row r="70">
          <cell r="A70">
            <v>35556</v>
          </cell>
          <cell r="B70">
            <v>1.056930693069307</v>
          </cell>
          <cell r="C70">
            <v>1.1965678627145087</v>
          </cell>
          <cell r="D70">
            <v>0.81203007518796988</v>
          </cell>
          <cell r="E70">
            <v>1.1543624161073827</v>
          </cell>
          <cell r="F70">
            <v>1.2441860465116279</v>
          </cell>
          <cell r="G70">
            <v>1.2727272727272727</v>
          </cell>
        </row>
        <row r="71">
          <cell r="A71">
            <v>35557</v>
          </cell>
          <cell r="B71">
            <v>1.0627062706270627</v>
          </cell>
          <cell r="C71">
            <v>1.2059282371294853</v>
          </cell>
          <cell r="D71">
            <v>0.81203007518796988</v>
          </cell>
          <cell r="E71">
            <v>1.1610738255033557</v>
          </cell>
          <cell r="F71">
            <v>1.2511627906976743</v>
          </cell>
          <cell r="G71">
            <v>1.2840909090909092</v>
          </cell>
        </row>
        <row r="72">
          <cell r="A72">
            <v>35558</v>
          </cell>
          <cell r="B72">
            <v>1.0412541254125414</v>
          </cell>
          <cell r="C72">
            <v>1.2246489859594383</v>
          </cell>
          <cell r="D72">
            <v>0.80451127819548873</v>
          </cell>
          <cell r="E72">
            <v>1.1476510067114094</v>
          </cell>
          <cell r="F72">
            <v>1.2279069767441861</v>
          </cell>
          <cell r="G72">
            <v>1.2727272727272727</v>
          </cell>
        </row>
        <row r="73">
          <cell r="A73">
            <v>35559</v>
          </cell>
          <cell r="B73">
            <v>1.028052805280528</v>
          </cell>
          <cell r="C73">
            <v>1.2293291731669267</v>
          </cell>
          <cell r="D73">
            <v>0.81578947368421051</v>
          </cell>
          <cell r="E73">
            <v>1.1409395973154361</v>
          </cell>
          <cell r="F73">
            <v>1.2069767441860466</v>
          </cell>
          <cell r="G73">
            <v>1.2840909090909092</v>
          </cell>
        </row>
        <row r="74">
          <cell r="A74">
            <v>35562</v>
          </cell>
          <cell r="B74">
            <v>1.033003300330033</v>
          </cell>
          <cell r="C74">
            <v>1.2402496099843994</v>
          </cell>
          <cell r="D74">
            <v>0.83834586466165417</v>
          </cell>
          <cell r="E74">
            <v>1.174496644295302</v>
          </cell>
          <cell r="F74">
            <v>1.2279069767441861</v>
          </cell>
          <cell r="G74">
            <v>1.2840909090909092</v>
          </cell>
        </row>
        <row r="75">
          <cell r="A75">
            <v>35563</v>
          </cell>
          <cell r="B75">
            <v>0.98844884488448848</v>
          </cell>
          <cell r="C75">
            <v>1.2308892355694228</v>
          </cell>
          <cell r="D75">
            <v>0.83458646616541354</v>
          </cell>
          <cell r="E75">
            <v>1.2013422818791946</v>
          </cell>
          <cell r="F75">
            <v>1.2127906976744185</v>
          </cell>
          <cell r="G75">
            <v>1.2840909090909092</v>
          </cell>
        </row>
        <row r="76">
          <cell r="A76">
            <v>35564</v>
          </cell>
          <cell r="B76">
            <v>0.95379537953795379</v>
          </cell>
          <cell r="C76">
            <v>1.218408736349454</v>
          </cell>
          <cell r="D76">
            <v>0.83458646616541354</v>
          </cell>
          <cell r="E76">
            <v>1.1543624161073827</v>
          </cell>
          <cell r="F76">
            <v>1.1883720930232557</v>
          </cell>
          <cell r="G76">
            <v>1.2727272727272727</v>
          </cell>
        </row>
        <row r="77">
          <cell r="A77">
            <v>35565</v>
          </cell>
          <cell r="B77">
            <v>0.96039603960396036</v>
          </cell>
          <cell r="C77">
            <v>1.2090483619344774</v>
          </cell>
          <cell r="D77">
            <v>0.83834586466165417</v>
          </cell>
          <cell r="E77">
            <v>1.1610738255033557</v>
          </cell>
          <cell r="F77">
            <v>1.1744186046511629</v>
          </cell>
          <cell r="G77">
            <v>1.2840909090909092</v>
          </cell>
        </row>
        <row r="78">
          <cell r="A78">
            <v>35566</v>
          </cell>
          <cell r="B78">
            <v>0.97029702970297027</v>
          </cell>
          <cell r="C78">
            <v>1.1825273010920436</v>
          </cell>
          <cell r="D78">
            <v>0.83834586466165417</v>
          </cell>
          <cell r="E78">
            <v>1.1409395973154361</v>
          </cell>
          <cell r="F78">
            <v>1.1790697674418604</v>
          </cell>
          <cell r="G78">
            <v>1.2840909090909092</v>
          </cell>
        </row>
        <row r="79">
          <cell r="A79">
            <v>35569</v>
          </cell>
          <cell r="B79">
            <v>0.97854785478547857</v>
          </cell>
          <cell r="C79">
            <v>1.204368174726989</v>
          </cell>
          <cell r="D79">
            <v>0.84210526315789469</v>
          </cell>
          <cell r="E79">
            <v>1.1610738255033557</v>
          </cell>
          <cell r="F79">
            <v>1.2186046511627906</v>
          </cell>
          <cell r="G79">
            <v>1.2840909090909092</v>
          </cell>
        </row>
        <row r="80">
          <cell r="A80">
            <v>35570</v>
          </cell>
          <cell r="B80">
            <v>0.98679867986798675</v>
          </cell>
          <cell r="C80">
            <v>1.204368174726989</v>
          </cell>
          <cell r="D80">
            <v>0.83834586466165417</v>
          </cell>
          <cell r="E80">
            <v>1.1677852348993289</v>
          </cell>
          <cell r="F80">
            <v>1.2488372093023257</v>
          </cell>
          <cell r="G80">
            <v>1.2840909090909092</v>
          </cell>
        </row>
        <row r="81">
          <cell r="A81">
            <v>35571</v>
          </cell>
          <cell r="B81">
            <v>0.98514851485148514</v>
          </cell>
          <cell r="C81">
            <v>1.1778471138845554</v>
          </cell>
          <cell r="D81">
            <v>0.84586466165413532</v>
          </cell>
          <cell r="E81">
            <v>1.1409395973154361</v>
          </cell>
          <cell r="F81">
            <v>1.2244186046511627</v>
          </cell>
          <cell r="G81">
            <v>1.2840909090909092</v>
          </cell>
        </row>
        <row r="82">
          <cell r="A82">
            <v>35572</v>
          </cell>
          <cell r="B82">
            <v>1.0148514851485149</v>
          </cell>
          <cell r="C82">
            <v>1.1825273010920436</v>
          </cell>
          <cell r="D82">
            <v>0.84962406015037595</v>
          </cell>
          <cell r="E82">
            <v>1.1342281879194631</v>
          </cell>
          <cell r="F82">
            <v>1.2116279069767442</v>
          </cell>
          <cell r="G82">
            <v>1.3068181818181819</v>
          </cell>
        </row>
        <row r="83">
          <cell r="A83">
            <v>35573</v>
          </cell>
          <cell r="B83">
            <v>1.0066006600660067</v>
          </cell>
          <cell r="C83">
            <v>1.1887675507020281</v>
          </cell>
          <cell r="D83">
            <v>0.8571428571428571</v>
          </cell>
          <cell r="E83">
            <v>1.1677852348993289</v>
          </cell>
          <cell r="F83">
            <v>1.2116279069767442</v>
          </cell>
          <cell r="G83">
            <v>1.2954545454545454</v>
          </cell>
        </row>
        <row r="84">
          <cell r="A84">
            <v>35576</v>
          </cell>
          <cell r="B84">
            <v>1.0066006600660067</v>
          </cell>
          <cell r="C84">
            <v>1.1887675507020281</v>
          </cell>
          <cell r="D84">
            <v>0.8571428571428571</v>
          </cell>
          <cell r="E84">
            <v>1.1677852348993289</v>
          </cell>
          <cell r="F84">
            <v>1.2116279069767442</v>
          </cell>
          <cell r="G84">
            <v>1.2954545454545454</v>
          </cell>
        </row>
        <row r="85">
          <cell r="A85">
            <v>35577</v>
          </cell>
          <cell r="B85">
            <v>1.0066006600660067</v>
          </cell>
          <cell r="C85">
            <v>1.1903276131045242</v>
          </cell>
          <cell r="D85">
            <v>0.8721804511278195</v>
          </cell>
          <cell r="E85">
            <v>1.1543624161073827</v>
          </cell>
          <cell r="F85">
            <v>1.2232558139534884</v>
          </cell>
          <cell r="G85">
            <v>1.3068181818181819</v>
          </cell>
        </row>
        <row r="86">
          <cell r="A86">
            <v>35578</v>
          </cell>
          <cell r="B86">
            <v>1.0066006600660067</v>
          </cell>
          <cell r="C86">
            <v>1.1825273010920436</v>
          </cell>
          <cell r="D86">
            <v>0.88345864661654139</v>
          </cell>
          <cell r="E86">
            <v>1.1342281879194631</v>
          </cell>
          <cell r="F86">
            <v>1.2093023255813953</v>
          </cell>
          <cell r="G86">
            <v>1.3068181818181819</v>
          </cell>
        </row>
        <row r="87">
          <cell r="A87">
            <v>35579</v>
          </cell>
          <cell r="B87">
            <v>1.0297029702970297</v>
          </cell>
          <cell r="C87">
            <v>1.1965678627145087</v>
          </cell>
          <cell r="D87">
            <v>0.86842105263157898</v>
          </cell>
          <cell r="E87">
            <v>1.1543624161073827</v>
          </cell>
          <cell r="F87">
            <v>1.2116279069767442</v>
          </cell>
          <cell r="G87">
            <v>1.3068181818181819</v>
          </cell>
        </row>
        <row r="88">
          <cell r="A88">
            <v>35580</v>
          </cell>
          <cell r="B88">
            <v>1.0462046204620461</v>
          </cell>
          <cell r="C88">
            <v>1.2605304212168487</v>
          </cell>
          <cell r="D88">
            <v>0.89849624060150379</v>
          </cell>
          <cell r="E88">
            <v>1.2214765100671141</v>
          </cell>
          <cell r="F88">
            <v>1.3116279069767443</v>
          </cell>
          <cell r="G88">
            <v>1.3181818181818181</v>
          </cell>
        </row>
        <row r="89">
          <cell r="A89">
            <v>35583</v>
          </cell>
          <cell r="B89">
            <v>1.0511551155115511</v>
          </cell>
          <cell r="C89">
            <v>1.2480499219968799</v>
          </cell>
          <cell r="D89">
            <v>0.90225563909774431</v>
          </cell>
          <cell r="E89">
            <v>1.2483221476510067</v>
          </cell>
          <cell r="F89">
            <v>1.344186046511628</v>
          </cell>
          <cell r="G89">
            <v>1.3068181818181819</v>
          </cell>
        </row>
        <row r="90">
          <cell r="A90">
            <v>35584</v>
          </cell>
          <cell r="B90">
            <v>1.056105610561056</v>
          </cell>
          <cell r="C90">
            <v>1.2371294851794072</v>
          </cell>
          <cell r="D90">
            <v>0.92481203007518797</v>
          </cell>
          <cell r="E90">
            <v>1.2684563758389262</v>
          </cell>
          <cell r="F90">
            <v>1.35</v>
          </cell>
          <cell r="G90">
            <v>1.3068181818181819</v>
          </cell>
        </row>
        <row r="91">
          <cell r="A91">
            <v>35585</v>
          </cell>
          <cell r="B91">
            <v>1.0833333333333333</v>
          </cell>
          <cell r="C91">
            <v>1.2605304212168487</v>
          </cell>
          <cell r="D91">
            <v>0.9135338345864662</v>
          </cell>
          <cell r="E91">
            <v>1.2483221476510067</v>
          </cell>
          <cell r="F91">
            <v>1.3779069767441861</v>
          </cell>
          <cell r="G91">
            <v>1.3181818181818181</v>
          </cell>
        </row>
        <row r="92">
          <cell r="A92">
            <v>35586</v>
          </cell>
          <cell r="B92">
            <v>1.0891089108910892</v>
          </cell>
          <cell r="C92">
            <v>1.2854914196567864</v>
          </cell>
          <cell r="D92">
            <v>0.90977443609022557</v>
          </cell>
          <cell r="E92">
            <v>1.2550335570469799</v>
          </cell>
          <cell r="F92">
            <v>1.3395348837209302</v>
          </cell>
          <cell r="G92">
            <v>1.3068181818181819</v>
          </cell>
        </row>
        <row r="93">
          <cell r="A93">
            <v>35587</v>
          </cell>
          <cell r="B93">
            <v>1.0726072607260726</v>
          </cell>
          <cell r="C93">
            <v>1.313572542901716</v>
          </cell>
          <cell r="D93">
            <v>0.93233082706766912</v>
          </cell>
          <cell r="E93">
            <v>1.2416107382550337</v>
          </cell>
          <cell r="F93">
            <v>1.3162790697674418</v>
          </cell>
          <cell r="G93">
            <v>1.3068181818181819</v>
          </cell>
        </row>
        <row r="94">
          <cell r="A94">
            <v>35590</v>
          </cell>
          <cell r="B94">
            <v>1.0874587458745875</v>
          </cell>
          <cell r="C94">
            <v>1.3494539781591264</v>
          </cell>
          <cell r="D94">
            <v>0.94360902255639101</v>
          </cell>
          <cell r="E94">
            <v>1.2818791946308725</v>
          </cell>
          <cell r="F94">
            <v>1.3523255813953488</v>
          </cell>
          <cell r="G94">
            <v>1.3068181818181819</v>
          </cell>
        </row>
        <row r="95">
          <cell r="A95">
            <v>35591</v>
          </cell>
          <cell r="B95">
            <v>1.0808580858085808</v>
          </cell>
          <cell r="C95">
            <v>1.3416536661466458</v>
          </cell>
          <cell r="D95">
            <v>0.96240601503759393</v>
          </cell>
          <cell r="E95">
            <v>1.3020134228187918</v>
          </cell>
          <cell r="F95">
            <v>1.3383720930232559</v>
          </cell>
          <cell r="G95">
            <v>1.3295454545454546</v>
          </cell>
        </row>
        <row r="96">
          <cell r="A96">
            <v>35592</v>
          </cell>
          <cell r="B96">
            <v>1.1105610561056105</v>
          </cell>
          <cell r="C96">
            <v>1.3541341653666146</v>
          </cell>
          <cell r="D96">
            <v>0.98496240601503759</v>
          </cell>
          <cell r="E96">
            <v>1.2953020134228188</v>
          </cell>
          <cell r="F96">
            <v>1.3395348837209302</v>
          </cell>
          <cell r="G96">
            <v>1.3181818181818181</v>
          </cell>
        </row>
        <row r="97">
          <cell r="A97">
            <v>35593</v>
          </cell>
          <cell r="B97">
            <v>1.1468646864686469</v>
          </cell>
          <cell r="C97">
            <v>1.3884555382215289</v>
          </cell>
          <cell r="D97">
            <v>0.96992481203007519</v>
          </cell>
          <cell r="E97">
            <v>1.2818791946308725</v>
          </cell>
          <cell r="F97">
            <v>1.3209302325581396</v>
          </cell>
          <cell r="G97">
            <v>1.3181818181818181</v>
          </cell>
        </row>
        <row r="98">
          <cell r="A98">
            <v>35594</v>
          </cell>
          <cell r="B98">
            <v>1.1534653465346534</v>
          </cell>
          <cell r="C98">
            <v>1.4071762870514821</v>
          </cell>
          <cell r="D98">
            <v>0.97744360902255634</v>
          </cell>
          <cell r="E98">
            <v>1.3020134228187918</v>
          </cell>
          <cell r="F98">
            <v>1.3186046511627907</v>
          </cell>
          <cell r="G98">
            <v>1.3181818181818181</v>
          </cell>
        </row>
        <row r="99">
          <cell r="A99">
            <v>35597</v>
          </cell>
          <cell r="B99">
            <v>1.136138613861386</v>
          </cell>
          <cell r="C99">
            <v>1.3666146645865835</v>
          </cell>
          <cell r="D99">
            <v>0.96240601503759393</v>
          </cell>
          <cell r="E99">
            <v>1.2751677852348993</v>
          </cell>
          <cell r="F99">
            <v>1.2872093023255815</v>
          </cell>
          <cell r="G99">
            <v>1.3181818181818181</v>
          </cell>
        </row>
        <row r="100">
          <cell r="A100">
            <v>35598</v>
          </cell>
          <cell r="B100">
            <v>1.1303630363036303</v>
          </cell>
          <cell r="C100">
            <v>1.3650546021840875</v>
          </cell>
          <cell r="D100">
            <v>0.93984962406015038</v>
          </cell>
          <cell r="E100">
            <v>1.2818791946308725</v>
          </cell>
          <cell r="F100">
            <v>1.286046511627907</v>
          </cell>
          <cell r="G100">
            <v>1.3181818181818181</v>
          </cell>
        </row>
        <row r="101">
          <cell r="A101">
            <v>35599</v>
          </cell>
          <cell r="B101">
            <v>1.0973597359735974</v>
          </cell>
          <cell r="C101">
            <v>1.3338533541341653</v>
          </cell>
          <cell r="D101">
            <v>0.94360902255639101</v>
          </cell>
          <cell r="E101">
            <v>1.2751677852348993</v>
          </cell>
          <cell r="F101">
            <v>1.2790697674418605</v>
          </cell>
          <cell r="G101">
            <v>1.3181818181818181</v>
          </cell>
        </row>
        <row r="102">
          <cell r="A102">
            <v>35600</v>
          </cell>
          <cell r="B102">
            <v>1.1171617161716172</v>
          </cell>
          <cell r="C102">
            <v>1.3634945397815912</v>
          </cell>
          <cell r="D102">
            <v>0.97744360902255634</v>
          </cell>
          <cell r="E102">
            <v>1.2885906040268456</v>
          </cell>
          <cell r="F102">
            <v>1.3813953488372093</v>
          </cell>
          <cell r="G102">
            <v>1.3295454545454546</v>
          </cell>
        </row>
        <row r="103">
          <cell r="A103">
            <v>35601</v>
          </cell>
          <cell r="B103">
            <v>1.1320132013201321</v>
          </cell>
          <cell r="C103">
            <v>1.3494539781591264</v>
          </cell>
          <cell r="D103">
            <v>0.98496240601503759</v>
          </cell>
          <cell r="E103">
            <v>1.2751677852348993</v>
          </cell>
          <cell r="F103">
            <v>1.3651162790697675</v>
          </cell>
          <cell r="G103">
            <v>1.3295454545454546</v>
          </cell>
        </row>
        <row r="104">
          <cell r="A104">
            <v>35604</v>
          </cell>
          <cell r="B104">
            <v>1.1287128712871286</v>
          </cell>
          <cell r="C104">
            <v>1.3354134165366616</v>
          </cell>
          <cell r="D104">
            <v>0.97368421052631582</v>
          </cell>
          <cell r="E104">
            <v>1.2550335570469799</v>
          </cell>
          <cell r="F104">
            <v>1.3616279069767443</v>
          </cell>
          <cell r="G104">
            <v>1.3295454545454546</v>
          </cell>
        </row>
        <row r="105">
          <cell r="A105">
            <v>35605</v>
          </cell>
          <cell r="B105">
            <v>0.88118811881188119</v>
          </cell>
          <cell r="C105">
            <v>1.3494539781591264</v>
          </cell>
          <cell r="D105">
            <v>0.94736842105263153</v>
          </cell>
          <cell r="E105">
            <v>1.2483221476510067</v>
          </cell>
          <cell r="F105">
            <v>1.3651162790697675</v>
          </cell>
          <cell r="G105">
            <v>1.3295454545454546</v>
          </cell>
        </row>
        <row r="106">
          <cell r="A106">
            <v>35606</v>
          </cell>
          <cell r="B106">
            <v>0.92409240924092406</v>
          </cell>
          <cell r="C106">
            <v>1.3361934477379096</v>
          </cell>
          <cell r="D106">
            <v>0.94360902255639101</v>
          </cell>
          <cell r="E106">
            <v>1.2449664429530201</v>
          </cell>
          <cell r="F106">
            <v>1.3813953488372093</v>
          </cell>
          <cell r="G106">
            <v>1.3295454545454546</v>
          </cell>
        </row>
        <row r="107">
          <cell r="A107">
            <v>35607</v>
          </cell>
          <cell r="B107">
            <v>0.91171617161716167</v>
          </cell>
          <cell r="C107">
            <v>1.3299531981279251</v>
          </cell>
          <cell r="D107">
            <v>0.93609022556390975</v>
          </cell>
          <cell r="E107">
            <v>1.2315436241610738</v>
          </cell>
          <cell r="F107">
            <v>1.3744186046511628</v>
          </cell>
          <cell r="G107">
            <v>1.3238636363636365</v>
          </cell>
        </row>
        <row r="108">
          <cell r="A108">
            <v>35608</v>
          </cell>
          <cell r="B108">
            <v>0.83003300330033003</v>
          </cell>
          <cell r="C108">
            <v>1.2971918876755071</v>
          </cell>
          <cell r="D108">
            <v>0.93984962406015038</v>
          </cell>
          <cell r="E108">
            <v>1.2281879194630871</v>
          </cell>
          <cell r="F108">
            <v>1.3581395348837209</v>
          </cell>
          <cell r="G108">
            <v>1.3295454545454546</v>
          </cell>
        </row>
        <row r="109">
          <cell r="A109">
            <v>35611</v>
          </cell>
          <cell r="B109">
            <v>0.84323432343234328</v>
          </cell>
          <cell r="C109">
            <v>1.2776911076443058</v>
          </cell>
          <cell r="D109">
            <v>0.91165413533834583</v>
          </cell>
          <cell r="E109">
            <v>1.2416107382550337</v>
          </cell>
          <cell r="F109">
            <v>1.3348837209302327</v>
          </cell>
          <cell r="G109">
            <v>1.3295454545454546</v>
          </cell>
        </row>
        <row r="110">
          <cell r="A110">
            <v>35612</v>
          </cell>
          <cell r="B110">
            <v>0.84818481848184824</v>
          </cell>
          <cell r="C110">
            <v>1.2761310452418098</v>
          </cell>
          <cell r="D110">
            <v>0.9285714285714286</v>
          </cell>
          <cell r="E110">
            <v>1.238255033557047</v>
          </cell>
          <cell r="F110">
            <v>1.3837209302325582</v>
          </cell>
          <cell r="G110">
            <v>1.3295454545454546</v>
          </cell>
        </row>
        <row r="111">
          <cell r="A111">
            <v>35613</v>
          </cell>
          <cell r="B111">
            <v>0.8366336633663366</v>
          </cell>
          <cell r="C111">
            <v>1.2901716068642746</v>
          </cell>
          <cell r="D111">
            <v>0.9285714285714286</v>
          </cell>
          <cell r="E111">
            <v>1.2449664429530201</v>
          </cell>
          <cell r="F111">
            <v>1.4116279069767441</v>
          </cell>
          <cell r="G111">
            <v>1.3181818181818181</v>
          </cell>
        </row>
        <row r="112">
          <cell r="A112">
            <v>35614</v>
          </cell>
          <cell r="B112">
            <v>0.84570957095709576</v>
          </cell>
          <cell r="C112">
            <v>1.3151326053042123</v>
          </cell>
          <cell r="D112">
            <v>0.93421052631578949</v>
          </cell>
          <cell r="E112">
            <v>1.2348993288590604</v>
          </cell>
          <cell r="F112">
            <v>1.4290697674418604</v>
          </cell>
          <cell r="G112">
            <v>1.3125</v>
          </cell>
        </row>
        <row r="113">
          <cell r="A113">
            <v>35615</v>
          </cell>
          <cell r="B113">
            <v>0.84570957095709576</v>
          </cell>
          <cell r="C113">
            <v>1.3151326053042123</v>
          </cell>
          <cell r="D113">
            <v>0.93421052631578949</v>
          </cell>
          <cell r="E113">
            <v>1.2348993288590604</v>
          </cell>
          <cell r="F113">
            <v>1.4290697674418604</v>
          </cell>
          <cell r="G113">
            <v>1.3125</v>
          </cell>
        </row>
        <row r="114">
          <cell r="A114">
            <v>35618</v>
          </cell>
          <cell r="B114">
            <v>0.84158415841584155</v>
          </cell>
          <cell r="C114">
            <v>1.3018720748829953</v>
          </cell>
          <cell r="D114">
            <v>0.93984962406015038</v>
          </cell>
          <cell r="E114">
            <v>1.238255033557047</v>
          </cell>
          <cell r="F114">
            <v>1.4162790697674419</v>
          </cell>
          <cell r="G114">
            <v>1.3181818181818181</v>
          </cell>
        </row>
        <row r="115">
          <cell r="A115">
            <v>35619</v>
          </cell>
          <cell r="B115">
            <v>0.85808580858085803</v>
          </cell>
          <cell r="C115">
            <v>1.3112324492979719</v>
          </cell>
          <cell r="D115">
            <v>0.9285714285714286</v>
          </cell>
          <cell r="E115">
            <v>1.2315436241610738</v>
          </cell>
          <cell r="F115">
            <v>1.4953488372093022</v>
          </cell>
          <cell r="G115">
            <v>1.3181818181818181</v>
          </cell>
        </row>
        <row r="116">
          <cell r="A116">
            <v>35620</v>
          </cell>
          <cell r="B116">
            <v>0.86303630363036299</v>
          </cell>
          <cell r="C116">
            <v>1.2893915756630265</v>
          </cell>
          <cell r="D116">
            <v>0.90977443609022557</v>
          </cell>
          <cell r="E116">
            <v>1.2348993288590604</v>
          </cell>
          <cell r="F116">
            <v>1.4441860465116279</v>
          </cell>
          <cell r="G116">
            <v>1.3295454545454546</v>
          </cell>
        </row>
        <row r="117">
          <cell r="A117">
            <v>35621</v>
          </cell>
          <cell r="B117">
            <v>0.86138613861386137</v>
          </cell>
          <cell r="C117">
            <v>1.2901716068642746</v>
          </cell>
          <cell r="D117">
            <v>0.91917293233082709</v>
          </cell>
          <cell r="E117">
            <v>1.261744966442953</v>
          </cell>
          <cell r="F117">
            <v>1.4744186046511627</v>
          </cell>
          <cell r="G117">
            <v>1.3295454545454546</v>
          </cell>
        </row>
        <row r="118">
          <cell r="A118">
            <v>35622</v>
          </cell>
          <cell r="B118">
            <v>0.83333333333333337</v>
          </cell>
          <cell r="C118">
            <v>1.3096723868954758</v>
          </cell>
          <cell r="D118">
            <v>0.9135338345864662</v>
          </cell>
          <cell r="E118">
            <v>1.2751677852348993</v>
          </cell>
          <cell r="F118">
            <v>1.5069767441860464</v>
          </cell>
          <cell r="G118">
            <v>1.3181818181818181</v>
          </cell>
        </row>
        <row r="119">
          <cell r="A119">
            <v>35625</v>
          </cell>
          <cell r="B119">
            <v>0.84818481848184824</v>
          </cell>
          <cell r="C119">
            <v>1.3010920436817472</v>
          </cell>
          <cell r="D119">
            <v>0.92293233082706772</v>
          </cell>
          <cell r="E119">
            <v>1.261744966442953</v>
          </cell>
          <cell r="F119">
            <v>1.4697674418604652</v>
          </cell>
          <cell r="G119">
            <v>1.3295454545454546</v>
          </cell>
        </row>
        <row r="120">
          <cell r="A120">
            <v>35626</v>
          </cell>
          <cell r="B120">
            <v>0.85231023102310233</v>
          </cell>
          <cell r="C120">
            <v>1.3042121684867394</v>
          </cell>
          <cell r="D120">
            <v>0.93045112781954886</v>
          </cell>
          <cell r="E120">
            <v>1.2651006711409396</v>
          </cell>
          <cell r="F120">
            <v>1.5139534883720931</v>
          </cell>
          <cell r="G120">
            <v>1.3181818181818181</v>
          </cell>
        </row>
        <row r="121">
          <cell r="A121">
            <v>35627</v>
          </cell>
          <cell r="B121">
            <v>0.84983498349834985</v>
          </cell>
          <cell r="C121">
            <v>1.3424336973478939</v>
          </cell>
          <cell r="D121">
            <v>0.9135338345864662</v>
          </cell>
          <cell r="E121">
            <v>1.2885906040268456</v>
          </cell>
          <cell r="F121">
            <v>1.569767441860465</v>
          </cell>
          <cell r="G121">
            <v>1.2954545454545454</v>
          </cell>
        </row>
        <row r="122">
          <cell r="A122">
            <v>35628</v>
          </cell>
          <cell r="B122">
            <v>0.85313531353135319</v>
          </cell>
          <cell r="C122">
            <v>1.3338533541341653</v>
          </cell>
          <cell r="D122">
            <v>0.91541353383458646</v>
          </cell>
          <cell r="E122">
            <v>1.2684563758389262</v>
          </cell>
          <cell r="F122">
            <v>1.6069767441860465</v>
          </cell>
          <cell r="G122">
            <v>1.3068181818181819</v>
          </cell>
        </row>
        <row r="123">
          <cell r="A123">
            <v>35629</v>
          </cell>
          <cell r="B123">
            <v>0.84653465346534651</v>
          </cell>
          <cell r="C123">
            <v>1.3018720748829953</v>
          </cell>
          <cell r="D123">
            <v>0.91541353383458646</v>
          </cell>
          <cell r="E123">
            <v>1.2583892617449663</v>
          </cell>
          <cell r="F123">
            <v>1.6046511627906976</v>
          </cell>
          <cell r="G123">
            <v>1.2954545454545454</v>
          </cell>
        </row>
        <row r="124">
          <cell r="A124">
            <v>35632</v>
          </cell>
          <cell r="B124">
            <v>0.83993399339933994</v>
          </cell>
          <cell r="C124">
            <v>1.3252730109204369</v>
          </cell>
          <cell r="D124">
            <v>0.90037593984962405</v>
          </cell>
          <cell r="E124">
            <v>1.2483221476510067</v>
          </cell>
          <cell r="F124">
            <v>1.5488372093023255</v>
          </cell>
          <cell r="G124">
            <v>1.3125</v>
          </cell>
        </row>
        <row r="125">
          <cell r="A125">
            <v>35633</v>
          </cell>
          <cell r="B125">
            <v>0.84488448844884489</v>
          </cell>
          <cell r="C125">
            <v>1.3400936037441498</v>
          </cell>
          <cell r="D125">
            <v>0.90413533834586468</v>
          </cell>
          <cell r="E125">
            <v>1.2751677852348993</v>
          </cell>
          <cell r="F125">
            <v>1.5813953488372092</v>
          </cell>
          <cell r="G125">
            <v>1.3238636363636365</v>
          </cell>
        </row>
        <row r="126">
          <cell r="A126">
            <v>35634</v>
          </cell>
          <cell r="B126">
            <v>0.84158415841584155</v>
          </cell>
          <cell r="C126">
            <v>1.3837753510140405</v>
          </cell>
          <cell r="D126">
            <v>0.90601503759398494</v>
          </cell>
          <cell r="E126">
            <v>1.2483221476510067</v>
          </cell>
          <cell r="F126">
            <v>1.5930232558139534</v>
          </cell>
          <cell r="G126">
            <v>1.3238636363636365</v>
          </cell>
        </row>
        <row r="127">
          <cell r="A127">
            <v>35635</v>
          </cell>
          <cell r="B127">
            <v>0.86551155115511547</v>
          </cell>
          <cell r="C127">
            <v>1.43603744149766</v>
          </cell>
          <cell r="D127">
            <v>0.95676691729323304</v>
          </cell>
          <cell r="E127">
            <v>1.3154362416107384</v>
          </cell>
          <cell r="F127">
            <v>1.6279069767441861</v>
          </cell>
          <cell r="G127">
            <v>1.3238636363636365</v>
          </cell>
        </row>
        <row r="128">
          <cell r="A128">
            <v>35636</v>
          </cell>
          <cell r="B128">
            <v>0.86963696369636967</v>
          </cell>
          <cell r="C128">
            <v>1.4056162246489861</v>
          </cell>
          <cell r="D128">
            <v>0.9285714285714286</v>
          </cell>
          <cell r="E128">
            <v>1.2651006711409396</v>
          </cell>
          <cell r="F128">
            <v>1.5837209302325581</v>
          </cell>
          <cell r="G128">
            <v>1.3238636363636365</v>
          </cell>
        </row>
        <row r="129">
          <cell r="A129">
            <v>35639</v>
          </cell>
          <cell r="B129">
            <v>0.85643564356435642</v>
          </cell>
          <cell r="C129">
            <v>1.3759750390015602</v>
          </cell>
          <cell r="D129">
            <v>0.9285714285714286</v>
          </cell>
          <cell r="E129">
            <v>1.2416107382550337</v>
          </cell>
          <cell r="F129">
            <v>1.5418604651162791</v>
          </cell>
          <cell r="G129">
            <v>1.3181818181818181</v>
          </cell>
        </row>
        <row r="130">
          <cell r="A130">
            <v>35640</v>
          </cell>
          <cell r="B130">
            <v>0.8729372937293729</v>
          </cell>
          <cell r="C130">
            <v>1.4149765990639624</v>
          </cell>
          <cell r="D130">
            <v>0.94360902255639101</v>
          </cell>
          <cell r="E130">
            <v>1.2550335570469799</v>
          </cell>
          <cell r="F130">
            <v>1.5441860465116279</v>
          </cell>
          <cell r="G130">
            <v>1.3125</v>
          </cell>
        </row>
        <row r="131">
          <cell r="A131">
            <v>35641</v>
          </cell>
          <cell r="B131">
            <v>0.9455445544554455</v>
          </cell>
          <cell r="C131">
            <v>1.4266770670826834</v>
          </cell>
          <cell r="D131">
            <v>0.96804511278195493</v>
          </cell>
          <cell r="E131">
            <v>1.2751677852348993</v>
          </cell>
          <cell r="F131">
            <v>1.5767441860465117</v>
          </cell>
          <cell r="G131">
            <v>1.3181818181818181</v>
          </cell>
        </row>
        <row r="132">
          <cell r="A132">
            <v>35642</v>
          </cell>
          <cell r="B132">
            <v>0.93399339933993397</v>
          </cell>
          <cell r="C132">
            <v>1.421996879875195</v>
          </cell>
          <cell r="D132">
            <v>0.97368421052631582</v>
          </cell>
          <cell r="E132">
            <v>1.3087248322147651</v>
          </cell>
          <cell r="F132">
            <v>1.5639534883720929</v>
          </cell>
          <cell r="G132">
            <v>1.3181818181818181</v>
          </cell>
        </row>
        <row r="133">
          <cell r="A133">
            <v>35643</v>
          </cell>
          <cell r="B133">
            <v>0.8910891089108911</v>
          </cell>
          <cell r="C133">
            <v>1.422776911076443</v>
          </cell>
          <cell r="D133">
            <v>0.96240601503759393</v>
          </cell>
          <cell r="E133">
            <v>1.2852348993288591</v>
          </cell>
          <cell r="F133">
            <v>1.5488372093023255</v>
          </cell>
          <cell r="G133">
            <v>1.3181818181818181</v>
          </cell>
        </row>
        <row r="134">
          <cell r="A134">
            <v>35646</v>
          </cell>
          <cell r="B134">
            <v>0.90594059405940597</v>
          </cell>
          <cell r="C134">
            <v>1.4602184087363494</v>
          </cell>
          <cell r="D134">
            <v>0.99436090225563911</v>
          </cell>
          <cell r="E134">
            <v>1.3087248322147651</v>
          </cell>
          <cell r="F134">
            <v>1.5965116279069766</v>
          </cell>
          <cell r="G134">
            <v>1.3181818181818181</v>
          </cell>
        </row>
        <row r="135">
          <cell r="A135">
            <v>35647</v>
          </cell>
          <cell r="B135">
            <v>0.8952145214521452</v>
          </cell>
          <cell r="C135">
            <v>1.282371294851794</v>
          </cell>
          <cell r="D135">
            <v>0.97556390977443608</v>
          </cell>
          <cell r="E135">
            <v>1.2885906040268456</v>
          </cell>
          <cell r="F135">
            <v>1.527906976744186</v>
          </cell>
          <cell r="G135">
            <v>1.3238636363636365</v>
          </cell>
        </row>
        <row r="136">
          <cell r="A136">
            <v>35648</v>
          </cell>
          <cell r="B136">
            <v>0.8910891089108911</v>
          </cell>
          <cell r="C136">
            <v>1.2730109204368174</v>
          </cell>
          <cell r="D136">
            <v>0.94736842105263153</v>
          </cell>
          <cell r="E136">
            <v>1.3154362416107384</v>
          </cell>
          <cell r="F136">
            <v>1.4744186046511627</v>
          </cell>
          <cell r="G136">
            <v>1.3125</v>
          </cell>
        </row>
        <row r="137">
          <cell r="A137">
            <v>35649</v>
          </cell>
          <cell r="B137">
            <v>0.88778877887788776</v>
          </cell>
          <cell r="C137">
            <v>1.2074882995319813</v>
          </cell>
          <cell r="D137">
            <v>0.91165413533834583</v>
          </cell>
          <cell r="E137">
            <v>1.2751677852348993</v>
          </cell>
          <cell r="F137">
            <v>1.3767441860465117</v>
          </cell>
          <cell r="G137">
            <v>1.2954545454545454</v>
          </cell>
        </row>
        <row r="138">
          <cell r="A138">
            <v>35650</v>
          </cell>
          <cell r="B138">
            <v>0.91089108910891092</v>
          </cell>
          <cell r="C138">
            <v>1.218408736349454</v>
          </cell>
          <cell r="D138">
            <v>0.91729323308270672</v>
          </cell>
          <cell r="E138">
            <v>1.2583892617449663</v>
          </cell>
          <cell r="F138">
            <v>1.3767441860465117</v>
          </cell>
          <cell r="G138">
            <v>1.3125</v>
          </cell>
        </row>
        <row r="139">
          <cell r="A139">
            <v>35653</v>
          </cell>
          <cell r="B139">
            <v>0.91749174917491749</v>
          </cell>
          <cell r="C139">
            <v>1.2199687987519501</v>
          </cell>
          <cell r="D139">
            <v>0.9135338345864662</v>
          </cell>
          <cell r="E139">
            <v>1.2818791946308725</v>
          </cell>
          <cell r="F139">
            <v>1.3813953488372093</v>
          </cell>
          <cell r="G139">
            <v>1.3295454545454546</v>
          </cell>
        </row>
        <row r="140">
          <cell r="A140">
            <v>35654</v>
          </cell>
          <cell r="B140">
            <v>0.91254125412541254</v>
          </cell>
          <cell r="C140">
            <v>1.217628705148206</v>
          </cell>
          <cell r="D140">
            <v>0.90789473684210531</v>
          </cell>
          <cell r="E140">
            <v>1.2550335570469799</v>
          </cell>
          <cell r="F140">
            <v>1.386046511627907</v>
          </cell>
          <cell r="G140">
            <v>1.3295454545454546</v>
          </cell>
        </row>
        <row r="141">
          <cell r="A141">
            <v>35655</v>
          </cell>
          <cell r="B141">
            <v>0.93399339933993397</v>
          </cell>
          <cell r="C141">
            <v>1.2012480499219969</v>
          </cell>
          <cell r="D141">
            <v>0.9135338345864662</v>
          </cell>
          <cell r="E141">
            <v>1.2248322147651007</v>
          </cell>
          <cell r="F141">
            <v>1.3558139534883722</v>
          </cell>
          <cell r="G141">
            <v>1.3295454545454546</v>
          </cell>
        </row>
        <row r="142">
          <cell r="A142">
            <v>35656</v>
          </cell>
          <cell r="B142">
            <v>0.95132013201320131</v>
          </cell>
          <cell r="C142">
            <v>1.2082683307332294</v>
          </cell>
          <cell r="D142">
            <v>0.9135338345864662</v>
          </cell>
          <cell r="E142">
            <v>1.2483221476510067</v>
          </cell>
          <cell r="F142">
            <v>1.3953488372093024</v>
          </cell>
          <cell r="G142">
            <v>1.3295454545454546</v>
          </cell>
        </row>
        <row r="143">
          <cell r="A143">
            <v>35657</v>
          </cell>
          <cell r="B143">
            <v>0.94884488448844884</v>
          </cell>
          <cell r="C143">
            <v>1.1950078003120126</v>
          </cell>
          <cell r="D143">
            <v>0.90977443609022557</v>
          </cell>
          <cell r="E143">
            <v>1.2684563758389262</v>
          </cell>
          <cell r="F143">
            <v>1.4</v>
          </cell>
          <cell r="G143">
            <v>1.3295454545454546</v>
          </cell>
        </row>
        <row r="144">
          <cell r="A144">
            <v>35660</v>
          </cell>
          <cell r="B144">
            <v>0.9356435643564357</v>
          </cell>
          <cell r="C144">
            <v>1.1895475819032761</v>
          </cell>
          <cell r="D144">
            <v>0.90601503759398494</v>
          </cell>
          <cell r="E144">
            <v>1.2651006711409396</v>
          </cell>
          <cell r="F144">
            <v>1.413953488372093</v>
          </cell>
          <cell r="G144">
            <v>1.3352272727272727</v>
          </cell>
        </row>
        <row r="145">
          <cell r="A145">
            <v>35661</v>
          </cell>
          <cell r="B145">
            <v>0.94224422442244227</v>
          </cell>
          <cell r="C145">
            <v>1.1770670826833074</v>
          </cell>
          <cell r="D145">
            <v>0.92481203007518797</v>
          </cell>
          <cell r="E145">
            <v>1.2986577181208054</v>
          </cell>
          <cell r="F145">
            <v>1.4604651162790698</v>
          </cell>
          <cell r="G145">
            <v>1.3522727272727273</v>
          </cell>
        </row>
        <row r="146">
          <cell r="A146">
            <v>35662</v>
          </cell>
          <cell r="B146">
            <v>0.95049504950495045</v>
          </cell>
          <cell r="C146">
            <v>1.173166926677067</v>
          </cell>
          <cell r="D146">
            <v>0.9135338345864662</v>
          </cell>
          <cell r="E146">
            <v>1.2986577181208054</v>
          </cell>
          <cell r="F146">
            <v>1.4767441860465116</v>
          </cell>
          <cell r="G146">
            <v>1.3522727272727273</v>
          </cell>
        </row>
        <row r="147">
          <cell r="A147">
            <v>35663</v>
          </cell>
          <cell r="B147">
            <v>0.92904290429042902</v>
          </cell>
          <cell r="C147">
            <v>1.1669266770670828</v>
          </cell>
          <cell r="D147">
            <v>0.91165413533834583</v>
          </cell>
          <cell r="E147">
            <v>1.2684563758389262</v>
          </cell>
          <cell r="F147">
            <v>1.4279069767441861</v>
          </cell>
          <cell r="G147">
            <v>1.3522727272727273</v>
          </cell>
        </row>
        <row r="148">
          <cell r="A148">
            <v>35664</v>
          </cell>
          <cell r="B148">
            <v>0.93894389438943893</v>
          </cell>
          <cell r="C148">
            <v>1.1653666146645867</v>
          </cell>
          <cell r="D148">
            <v>0.93984962406015038</v>
          </cell>
          <cell r="E148">
            <v>1.261744966442953</v>
          </cell>
          <cell r="F148">
            <v>1.430232558139535</v>
          </cell>
          <cell r="G148">
            <v>1.3522727272727273</v>
          </cell>
        </row>
        <row r="149">
          <cell r="A149">
            <v>35667</v>
          </cell>
          <cell r="B149">
            <v>0.91584158415841588</v>
          </cell>
          <cell r="C149">
            <v>1.187207488299532</v>
          </cell>
          <cell r="D149">
            <v>0.94548872180451127</v>
          </cell>
          <cell r="E149">
            <v>1.2919463087248322</v>
          </cell>
          <cell r="F149">
            <v>1.4244186046511629</v>
          </cell>
          <cell r="G149">
            <v>1.3465909090909092</v>
          </cell>
        </row>
        <row r="150">
          <cell r="A150">
            <v>35668</v>
          </cell>
          <cell r="B150">
            <v>0.92409240924092406</v>
          </cell>
          <cell r="C150">
            <v>1.1981279251170047</v>
          </cell>
          <cell r="D150">
            <v>0.92669172932330823</v>
          </cell>
          <cell r="E150">
            <v>1.2953020134228188</v>
          </cell>
          <cell r="F150">
            <v>1.4162790697674419</v>
          </cell>
          <cell r="G150">
            <v>1.3465909090909092</v>
          </cell>
        </row>
        <row r="151">
          <cell r="A151">
            <v>35669</v>
          </cell>
          <cell r="B151">
            <v>0.91254125412541254</v>
          </cell>
          <cell r="C151">
            <v>1.2098283931357254</v>
          </cell>
          <cell r="D151">
            <v>0.94736842105263153</v>
          </cell>
          <cell r="E151">
            <v>1.2818791946308725</v>
          </cell>
          <cell r="F151">
            <v>1.3930232558139535</v>
          </cell>
          <cell r="G151">
            <v>1.3522727272727273</v>
          </cell>
        </row>
        <row r="152">
          <cell r="A152">
            <v>35670</v>
          </cell>
          <cell r="B152">
            <v>0.9092409240924092</v>
          </cell>
          <cell r="C152">
            <v>1.1989079563182528</v>
          </cell>
          <cell r="D152">
            <v>0.95864661654135341</v>
          </cell>
          <cell r="E152">
            <v>1.2785234899328859</v>
          </cell>
          <cell r="F152">
            <v>1.3651162790697675</v>
          </cell>
          <cell r="G152">
            <v>1.3522727272727273</v>
          </cell>
        </row>
        <row r="153">
          <cell r="A153">
            <v>35671</v>
          </cell>
          <cell r="B153">
            <v>0.90264026402640263</v>
          </cell>
          <cell r="C153">
            <v>1.1911076443057722</v>
          </cell>
          <cell r="D153">
            <v>0.95676691729323304</v>
          </cell>
          <cell r="E153">
            <v>1.2651006711409396</v>
          </cell>
          <cell r="F153">
            <v>1.3604651162790697</v>
          </cell>
          <cell r="G153">
            <v>1.3522727272727273</v>
          </cell>
        </row>
        <row r="154">
          <cell r="A154">
            <v>35674</v>
          </cell>
          <cell r="B154">
            <v>0.90264026402640263</v>
          </cell>
          <cell r="C154">
            <v>1.1911076443057722</v>
          </cell>
          <cell r="D154">
            <v>0.95676691729323304</v>
          </cell>
          <cell r="E154">
            <v>1.2651006711409396</v>
          </cell>
          <cell r="F154">
            <v>1.3604651162790697</v>
          </cell>
          <cell r="G154">
            <v>1.3522727272727273</v>
          </cell>
        </row>
        <row r="155">
          <cell r="A155">
            <v>35675</v>
          </cell>
          <cell r="B155">
            <v>0.94801980198019797</v>
          </cell>
          <cell r="C155">
            <v>1.2207488299531981</v>
          </cell>
          <cell r="D155">
            <v>0.97368421052631582</v>
          </cell>
          <cell r="E155">
            <v>1.2516778523489933</v>
          </cell>
          <cell r="F155">
            <v>1.3813953488372093</v>
          </cell>
          <cell r="G155">
            <v>1.3579545454545454</v>
          </cell>
        </row>
        <row r="156">
          <cell r="A156">
            <v>35676</v>
          </cell>
          <cell r="B156">
            <v>0.95049504950495045</v>
          </cell>
          <cell r="C156">
            <v>1.2394695787831513</v>
          </cell>
          <cell r="D156">
            <v>0.98872180451127822</v>
          </cell>
          <cell r="E156">
            <v>1.3087248322147651</v>
          </cell>
          <cell r="F156">
            <v>1.4075581395348837</v>
          </cell>
          <cell r="G156">
            <v>1.3636363636363635</v>
          </cell>
        </row>
        <row r="157">
          <cell r="A157">
            <v>35677</v>
          </cell>
          <cell r="B157">
            <v>0.94059405940594054</v>
          </cell>
          <cell r="C157">
            <v>1.2464898595943839</v>
          </cell>
          <cell r="D157">
            <v>0.97744360902255634</v>
          </cell>
          <cell r="E157">
            <v>1.2885906040268456</v>
          </cell>
          <cell r="F157">
            <v>1.4046511627906977</v>
          </cell>
          <cell r="G157">
            <v>1.3522727272727273</v>
          </cell>
        </row>
        <row r="158">
          <cell r="A158">
            <v>35678</v>
          </cell>
          <cell r="B158">
            <v>0.94884488448844884</v>
          </cell>
          <cell r="C158">
            <v>1.2636505460218408</v>
          </cell>
          <cell r="D158">
            <v>0.99812030075187974</v>
          </cell>
          <cell r="E158">
            <v>1.3120805369127517</v>
          </cell>
          <cell r="F158">
            <v>1.4395348837209303</v>
          </cell>
          <cell r="G158">
            <v>1.3522727272727273</v>
          </cell>
        </row>
        <row r="159">
          <cell r="A159">
            <v>35681</v>
          </cell>
          <cell r="B159">
            <v>0.94636963696369636</v>
          </cell>
          <cell r="C159">
            <v>1.2659906396255851</v>
          </cell>
          <cell r="D159">
            <v>0.99248120300751874</v>
          </cell>
          <cell r="E159">
            <v>1.2818791946308725</v>
          </cell>
          <cell r="F159">
            <v>1.4186046511627908</v>
          </cell>
          <cell r="G159">
            <v>1.3636363636363635</v>
          </cell>
        </row>
        <row r="160">
          <cell r="A160">
            <v>35682</v>
          </cell>
          <cell r="B160">
            <v>0.95049504950495045</v>
          </cell>
          <cell r="C160">
            <v>1.2730109204368174</v>
          </cell>
          <cell r="D160">
            <v>0.99624060150375937</v>
          </cell>
          <cell r="E160">
            <v>1.2953020134228188</v>
          </cell>
          <cell r="F160">
            <v>1.4209302325581394</v>
          </cell>
          <cell r="G160">
            <v>1.3579545454545454</v>
          </cell>
        </row>
        <row r="161">
          <cell r="A161">
            <v>35683</v>
          </cell>
          <cell r="B161">
            <v>0.95379537953795379</v>
          </cell>
          <cell r="C161">
            <v>1.2652106084243371</v>
          </cell>
          <cell r="D161">
            <v>0.99624060150375937</v>
          </cell>
          <cell r="E161">
            <v>1.2953020134228188</v>
          </cell>
          <cell r="F161">
            <v>1.4162790697674419</v>
          </cell>
          <cell r="G161">
            <v>1.3636363636363635</v>
          </cell>
        </row>
        <row r="162">
          <cell r="A162">
            <v>35684</v>
          </cell>
          <cell r="B162">
            <v>0.95049504950495045</v>
          </cell>
          <cell r="C162">
            <v>1.2480499219968799</v>
          </cell>
          <cell r="D162">
            <v>0.99060150375939848</v>
          </cell>
          <cell r="E162">
            <v>1.2785234899328859</v>
          </cell>
          <cell r="F162">
            <v>1.4395348837209303</v>
          </cell>
          <cell r="G162">
            <v>1.3579545454545454</v>
          </cell>
        </row>
        <row r="163">
          <cell r="A163">
            <v>35685</v>
          </cell>
          <cell r="B163">
            <v>0.98679867986798675</v>
          </cell>
          <cell r="C163">
            <v>1.2730109204368174</v>
          </cell>
          <cell r="D163">
            <v>1.013157894736842</v>
          </cell>
          <cell r="E163">
            <v>1.3389261744966443</v>
          </cell>
          <cell r="F163">
            <v>1.45</v>
          </cell>
          <cell r="G163">
            <v>1.3579545454545454</v>
          </cell>
        </row>
        <row r="164">
          <cell r="A164">
            <v>35688</v>
          </cell>
          <cell r="B164">
            <v>0.97689768976897695</v>
          </cell>
          <cell r="C164">
            <v>1.2862714508580344</v>
          </cell>
          <cell r="D164">
            <v>1.0018796992481203</v>
          </cell>
          <cell r="E164">
            <v>1.2885906040268456</v>
          </cell>
          <cell r="F164">
            <v>1.413953488372093</v>
          </cell>
          <cell r="G164">
            <v>1.3522727272727273</v>
          </cell>
        </row>
        <row r="165">
          <cell r="A165">
            <v>35689</v>
          </cell>
          <cell r="B165">
            <v>0.96534653465346532</v>
          </cell>
          <cell r="C165">
            <v>1.3213728549141965</v>
          </cell>
          <cell r="D165">
            <v>1.005639097744361</v>
          </cell>
          <cell r="E165">
            <v>1.3355704697986577</v>
          </cell>
          <cell r="F165">
            <v>1.4511627906976745</v>
          </cell>
          <cell r="G165">
            <v>1.3579545454545454</v>
          </cell>
        </row>
        <row r="166">
          <cell r="A166">
            <v>35690</v>
          </cell>
          <cell r="B166">
            <v>0.9636963696369637</v>
          </cell>
          <cell r="C166">
            <v>1.3237129485179406</v>
          </cell>
          <cell r="D166">
            <v>0.99436090225563911</v>
          </cell>
          <cell r="E166">
            <v>1.3355704697986577</v>
          </cell>
          <cell r="F166">
            <v>1.4279069767441861</v>
          </cell>
          <cell r="G166">
            <v>1.3636363636363635</v>
          </cell>
        </row>
        <row r="167">
          <cell r="A167">
            <v>35691</v>
          </cell>
          <cell r="B167">
            <v>0.96039603960396036</v>
          </cell>
          <cell r="C167">
            <v>1.3244929797191887</v>
          </cell>
          <cell r="D167">
            <v>1.0075187969924813</v>
          </cell>
          <cell r="E167">
            <v>1.3288590604026846</v>
          </cell>
          <cell r="F167">
            <v>1.430232558139535</v>
          </cell>
          <cell r="G167">
            <v>1.3636363636363635</v>
          </cell>
        </row>
        <row r="168">
          <cell r="A168">
            <v>35692</v>
          </cell>
          <cell r="B168">
            <v>0.96204620462046209</v>
          </cell>
          <cell r="C168">
            <v>1.3057722308892357</v>
          </cell>
          <cell r="D168">
            <v>1.0093984962406015</v>
          </cell>
          <cell r="E168">
            <v>1.3154362416107384</v>
          </cell>
          <cell r="F168">
            <v>1.4232558139534883</v>
          </cell>
          <cell r="G168">
            <v>1.3636363636363635</v>
          </cell>
        </row>
        <row r="169">
          <cell r="A169">
            <v>35695</v>
          </cell>
          <cell r="B169">
            <v>0.95709570957095713</v>
          </cell>
          <cell r="C169">
            <v>1.282371294851794</v>
          </cell>
          <cell r="D169">
            <v>1.0075187969924813</v>
          </cell>
          <cell r="E169">
            <v>1.3020134228187918</v>
          </cell>
          <cell r="F169">
            <v>1.4476744186046511</v>
          </cell>
          <cell r="G169">
            <v>1.3636363636363635</v>
          </cell>
        </row>
        <row r="170">
          <cell r="A170">
            <v>35696</v>
          </cell>
          <cell r="B170">
            <v>0.92574257425742579</v>
          </cell>
          <cell r="C170">
            <v>1.1692667706708268</v>
          </cell>
          <cell r="D170">
            <v>0.99812030075187974</v>
          </cell>
          <cell r="E170">
            <v>1.2785234899328859</v>
          </cell>
          <cell r="F170">
            <v>1.4313953488372093</v>
          </cell>
          <cell r="G170">
            <v>1.3636363636363635</v>
          </cell>
        </row>
        <row r="171">
          <cell r="A171">
            <v>35697</v>
          </cell>
          <cell r="B171">
            <v>0.92409240924092406</v>
          </cell>
          <cell r="C171">
            <v>1.1560062402496101</v>
          </cell>
          <cell r="D171">
            <v>0.98872180451127822</v>
          </cell>
          <cell r="E171">
            <v>1.2684563758389262</v>
          </cell>
          <cell r="F171">
            <v>1.4162790697674419</v>
          </cell>
          <cell r="G171">
            <v>1.3636363636363635</v>
          </cell>
        </row>
        <row r="172">
          <cell r="A172">
            <v>35698</v>
          </cell>
          <cell r="B172">
            <v>0.92079207920792083</v>
          </cell>
          <cell r="C172">
            <v>1.1248049921996879</v>
          </cell>
          <cell r="D172">
            <v>0.99436090225563911</v>
          </cell>
          <cell r="E172">
            <v>1.238255033557047</v>
          </cell>
          <cell r="F172">
            <v>1.3941860465116278</v>
          </cell>
          <cell r="G172">
            <v>1.3636363636363635</v>
          </cell>
        </row>
        <row r="173">
          <cell r="A173">
            <v>35699</v>
          </cell>
          <cell r="B173">
            <v>0.8952145214521452</v>
          </cell>
          <cell r="C173">
            <v>1.1294851794071763</v>
          </cell>
          <cell r="D173">
            <v>0.97556390977443608</v>
          </cell>
          <cell r="E173">
            <v>1.2550335570469799</v>
          </cell>
          <cell r="F173">
            <v>1.4511627906976745</v>
          </cell>
          <cell r="G173">
            <v>1.3636363636363635</v>
          </cell>
        </row>
        <row r="174">
          <cell r="A174">
            <v>35702</v>
          </cell>
          <cell r="B174">
            <v>0.88778877887788776</v>
          </cell>
          <cell r="C174">
            <v>1.0109204368174727</v>
          </cell>
          <cell r="D174">
            <v>0.96052631578947367</v>
          </cell>
          <cell r="E174">
            <v>1.2550335570469799</v>
          </cell>
          <cell r="F174">
            <v>1.4116279069767441</v>
          </cell>
          <cell r="G174">
            <v>1.3636363636363635</v>
          </cell>
        </row>
        <row r="175">
          <cell r="A175">
            <v>35703</v>
          </cell>
          <cell r="B175">
            <v>0.89933993399339929</v>
          </cell>
          <cell r="C175">
            <v>1.0163806552262091</v>
          </cell>
          <cell r="D175">
            <v>0.96240601503759393</v>
          </cell>
          <cell r="E175">
            <v>1.2785234899328859</v>
          </cell>
          <cell r="F175">
            <v>1.3930232558139535</v>
          </cell>
          <cell r="G175">
            <v>1.3636363636363635</v>
          </cell>
        </row>
        <row r="176">
          <cell r="A176">
            <v>35704</v>
          </cell>
          <cell r="B176">
            <v>0.88448844884488453</v>
          </cell>
          <cell r="C176">
            <v>0.99531981279251169</v>
          </cell>
          <cell r="D176">
            <v>0.97932330827067671</v>
          </cell>
          <cell r="E176">
            <v>1.2550335570469799</v>
          </cell>
          <cell r="F176">
            <v>1.336046511627907</v>
          </cell>
          <cell r="G176">
            <v>1.3636363636363635</v>
          </cell>
        </row>
        <row r="177">
          <cell r="A177">
            <v>35705</v>
          </cell>
          <cell r="B177">
            <v>0.88531353135313529</v>
          </cell>
          <cell r="C177">
            <v>0.97659906396255847</v>
          </cell>
          <cell r="D177">
            <v>0.96240601503759393</v>
          </cell>
          <cell r="E177">
            <v>1.1946308724832215</v>
          </cell>
          <cell r="F177">
            <v>1.3255813953488371</v>
          </cell>
          <cell r="G177">
            <v>1.3636363636363635</v>
          </cell>
        </row>
        <row r="178">
          <cell r="A178">
            <v>35706</v>
          </cell>
          <cell r="B178">
            <v>0.89603960396039606</v>
          </cell>
          <cell r="C178">
            <v>0.9726989079563183</v>
          </cell>
          <cell r="D178">
            <v>0.96240601503759393</v>
          </cell>
          <cell r="E178">
            <v>1.2516778523489933</v>
          </cell>
          <cell r="F178">
            <v>1.3720930232558139</v>
          </cell>
          <cell r="G178">
            <v>1.3636363636363635</v>
          </cell>
        </row>
        <row r="179">
          <cell r="A179">
            <v>35709</v>
          </cell>
          <cell r="B179">
            <v>0.90594059405940597</v>
          </cell>
          <cell r="C179">
            <v>0.9726989079563183</v>
          </cell>
          <cell r="D179">
            <v>0.95676691729323304</v>
          </cell>
          <cell r="E179">
            <v>1.2348993288590604</v>
          </cell>
          <cell r="F179">
            <v>1.3232558139534885</v>
          </cell>
          <cell r="G179">
            <v>1.3636363636363635</v>
          </cell>
        </row>
        <row r="180">
          <cell r="A180">
            <v>35710</v>
          </cell>
          <cell r="B180">
            <v>0.94059405940594054</v>
          </cell>
          <cell r="C180">
            <v>1.0015600624024961</v>
          </cell>
          <cell r="D180">
            <v>1.0037593984962405</v>
          </cell>
          <cell r="E180">
            <v>1.3154362416107384</v>
          </cell>
          <cell r="F180">
            <v>1.4267441860465115</v>
          </cell>
          <cell r="G180">
            <v>1.3636363636363635</v>
          </cell>
        </row>
        <row r="181">
          <cell r="A181">
            <v>35711</v>
          </cell>
          <cell r="B181">
            <v>0.92904290429042902</v>
          </cell>
          <cell r="C181">
            <v>0.98751950078003126</v>
          </cell>
          <cell r="D181">
            <v>0.99812030075187974</v>
          </cell>
          <cell r="E181">
            <v>1.2718120805369129</v>
          </cell>
          <cell r="F181">
            <v>1.4488372093023256</v>
          </cell>
          <cell r="G181">
            <v>1.3636363636363635</v>
          </cell>
        </row>
        <row r="182">
          <cell r="A182">
            <v>35712</v>
          </cell>
          <cell r="B182">
            <v>0.93234323432343236</v>
          </cell>
          <cell r="C182">
            <v>0.98595943837753508</v>
          </cell>
          <cell r="D182">
            <v>0.98308270676691734</v>
          </cell>
          <cell r="E182">
            <v>1.2785234899328859</v>
          </cell>
          <cell r="F182">
            <v>1.430232558139535</v>
          </cell>
          <cell r="G182">
            <v>1.3636363636363635</v>
          </cell>
        </row>
        <row r="183">
          <cell r="A183">
            <v>35713</v>
          </cell>
          <cell r="B183">
            <v>0.92079207920792083</v>
          </cell>
          <cell r="C183">
            <v>0.98049921996879874</v>
          </cell>
          <cell r="D183">
            <v>0.98308270676691734</v>
          </cell>
          <cell r="E183">
            <v>1.2651006711409396</v>
          </cell>
          <cell r="F183">
            <v>1.3720930232558139</v>
          </cell>
          <cell r="G183">
            <v>1.3636363636363635</v>
          </cell>
        </row>
        <row r="184">
          <cell r="A184">
            <v>35716</v>
          </cell>
          <cell r="B184">
            <v>0.91419141914191415</v>
          </cell>
          <cell r="C184">
            <v>0.99687987519500776</v>
          </cell>
          <cell r="D184">
            <v>0.98684210526315785</v>
          </cell>
          <cell r="E184">
            <v>1.2885906040268456</v>
          </cell>
          <cell r="F184">
            <v>1.4162790697674419</v>
          </cell>
          <cell r="G184">
            <v>1.3636363636363635</v>
          </cell>
        </row>
        <row r="185">
          <cell r="A185">
            <v>35717</v>
          </cell>
          <cell r="B185">
            <v>0.91914191419141911</v>
          </cell>
          <cell r="C185">
            <v>0.98985959438377535</v>
          </cell>
          <cell r="D185">
            <v>0.99248120300751874</v>
          </cell>
          <cell r="E185">
            <v>1.2818791946308725</v>
          </cell>
          <cell r="F185">
            <v>1.3767441860465117</v>
          </cell>
          <cell r="G185">
            <v>1.3636363636363635</v>
          </cell>
        </row>
        <row r="186">
          <cell r="A186">
            <v>35718</v>
          </cell>
          <cell r="B186">
            <v>0.91089108910891092</v>
          </cell>
          <cell r="C186">
            <v>0.98361934477379098</v>
          </cell>
          <cell r="D186">
            <v>0.98308270676691734</v>
          </cell>
          <cell r="E186">
            <v>1.2919463087248322</v>
          </cell>
          <cell r="F186">
            <v>1.3674418604651162</v>
          </cell>
          <cell r="G186">
            <v>1.3636363636363635</v>
          </cell>
        </row>
        <row r="187">
          <cell r="A187">
            <v>35719</v>
          </cell>
          <cell r="B187">
            <v>0.91419141914191415</v>
          </cell>
          <cell r="C187">
            <v>0.95865834633385338</v>
          </cell>
          <cell r="D187">
            <v>0.95864661654135341</v>
          </cell>
          <cell r="E187">
            <v>1.2651006711409396</v>
          </cell>
          <cell r="F187">
            <v>1.3465116279069766</v>
          </cell>
          <cell r="G187">
            <v>1.3636363636363635</v>
          </cell>
        </row>
        <row r="188">
          <cell r="A188">
            <v>35720</v>
          </cell>
          <cell r="B188">
            <v>0.90594059405940597</v>
          </cell>
          <cell r="C188">
            <v>0.93369734789391579</v>
          </cell>
          <cell r="D188">
            <v>0.96804511278195493</v>
          </cell>
          <cell r="E188">
            <v>1.2718120805369129</v>
          </cell>
          <cell r="F188">
            <v>1.3104651162790697</v>
          </cell>
          <cell r="G188">
            <v>1.3636363636363635</v>
          </cell>
        </row>
        <row r="189">
          <cell r="A189">
            <v>35723</v>
          </cell>
          <cell r="B189">
            <v>0.91584158415841588</v>
          </cell>
          <cell r="C189">
            <v>0.9430577223088924</v>
          </cell>
          <cell r="D189">
            <v>0.99624060150375937</v>
          </cell>
          <cell r="E189">
            <v>1.2986577181208054</v>
          </cell>
          <cell r="F189">
            <v>1.3511627906976744</v>
          </cell>
          <cell r="G189">
            <v>1.3636363636363635</v>
          </cell>
        </row>
        <row r="190">
          <cell r="A190">
            <v>35724</v>
          </cell>
          <cell r="B190">
            <v>0.94059405940594054</v>
          </cell>
          <cell r="C190">
            <v>0.96567862714508579</v>
          </cell>
          <cell r="D190">
            <v>0.98308270676691734</v>
          </cell>
          <cell r="E190">
            <v>1.3221476510067114</v>
          </cell>
          <cell r="F190">
            <v>1.3604651162790697</v>
          </cell>
          <cell r="G190">
            <v>1.3636363636363635</v>
          </cell>
        </row>
        <row r="191">
          <cell r="A191">
            <v>35725</v>
          </cell>
          <cell r="B191">
            <v>0.93151815181518149</v>
          </cell>
          <cell r="C191">
            <v>0.95865834633385338</v>
          </cell>
          <cell r="D191">
            <v>0.96992481203007519</v>
          </cell>
          <cell r="E191">
            <v>1.2818791946308725</v>
          </cell>
          <cell r="F191">
            <v>1.3627906976744186</v>
          </cell>
          <cell r="G191">
            <v>1.3636363636363635</v>
          </cell>
        </row>
        <row r="192">
          <cell r="A192">
            <v>35726</v>
          </cell>
          <cell r="B192">
            <v>0.93069306930693074</v>
          </cell>
          <cell r="C192">
            <v>0.95163806552262087</v>
          </cell>
          <cell r="D192">
            <v>0.96052631578947367</v>
          </cell>
          <cell r="E192">
            <v>1.2449664429530201</v>
          </cell>
          <cell r="F192">
            <v>1.3209302325581396</v>
          </cell>
          <cell r="G192">
            <v>1.3636363636363635</v>
          </cell>
        </row>
        <row r="193">
          <cell r="A193">
            <v>35727</v>
          </cell>
          <cell r="B193">
            <v>0.9092409240924092</v>
          </cell>
          <cell r="C193">
            <v>0.94071762870514819</v>
          </cell>
          <cell r="D193">
            <v>0.96240601503759393</v>
          </cell>
          <cell r="E193">
            <v>1.2147651006711409</v>
          </cell>
          <cell r="F193">
            <v>1.2790697674418605</v>
          </cell>
          <cell r="G193">
            <v>1.3636363636363635</v>
          </cell>
        </row>
        <row r="194">
          <cell r="A194">
            <v>35730</v>
          </cell>
          <cell r="B194">
            <v>0.83333333333333337</v>
          </cell>
          <cell r="C194">
            <v>0.86115444617784709</v>
          </cell>
          <cell r="D194">
            <v>0.89473684210526316</v>
          </cell>
          <cell r="E194">
            <v>1.1241610738255035</v>
          </cell>
          <cell r="F194">
            <v>0.4813953488372093</v>
          </cell>
          <cell r="G194">
            <v>1.3636363636363635</v>
          </cell>
        </row>
        <row r="195">
          <cell r="A195">
            <v>35731</v>
          </cell>
          <cell r="B195">
            <v>0.87458745874587462</v>
          </cell>
          <cell r="C195">
            <v>0.89781591263650551</v>
          </cell>
          <cell r="D195">
            <v>0.91917293233082709</v>
          </cell>
          <cell r="E195">
            <v>1.1543624161073827</v>
          </cell>
          <cell r="F195">
            <v>0.47209302325581393</v>
          </cell>
          <cell r="G195">
            <v>1.3636363636363635</v>
          </cell>
        </row>
        <row r="196">
          <cell r="A196">
            <v>35732</v>
          </cell>
          <cell r="B196">
            <v>0.85973597359735976</v>
          </cell>
          <cell r="C196">
            <v>0.90561622464898595</v>
          </cell>
          <cell r="D196">
            <v>0.90601503759398494</v>
          </cell>
          <cell r="E196">
            <v>1.1577181208053691</v>
          </cell>
          <cell r="F196">
            <v>0.5058139534883721</v>
          </cell>
          <cell r="G196">
            <v>1.3636363636363635</v>
          </cell>
        </row>
        <row r="197">
          <cell r="A197">
            <v>35733</v>
          </cell>
          <cell r="B197">
            <v>0.85313531353135319</v>
          </cell>
          <cell r="C197">
            <v>0.8931357254290172</v>
          </cell>
          <cell r="D197">
            <v>0.89097744360902253</v>
          </cell>
          <cell r="E197">
            <v>1.1208053691275168</v>
          </cell>
          <cell r="F197">
            <v>0.48023255813953486</v>
          </cell>
          <cell r="G197">
            <v>1.3636363636363635</v>
          </cell>
        </row>
        <row r="198">
          <cell r="A198">
            <v>35734</v>
          </cell>
          <cell r="B198">
            <v>0.8547854785478548</v>
          </cell>
          <cell r="C198">
            <v>0.88689547581903272</v>
          </cell>
          <cell r="D198">
            <v>0.86466165413533835</v>
          </cell>
          <cell r="E198">
            <v>1.1241610738255035</v>
          </cell>
          <cell r="F198">
            <v>0.48023255813953486</v>
          </cell>
          <cell r="G198">
            <v>1.3636363636363635</v>
          </cell>
        </row>
        <row r="199">
          <cell r="A199">
            <v>35737</v>
          </cell>
          <cell r="B199">
            <v>0.86138613861386137</v>
          </cell>
          <cell r="C199">
            <v>0.90717628705148201</v>
          </cell>
          <cell r="D199">
            <v>0.8778195488721805</v>
          </cell>
          <cell r="E199">
            <v>1.1677852348993289</v>
          </cell>
          <cell r="F199">
            <v>0.48372093023255813</v>
          </cell>
          <cell r="G199">
            <v>1.3636363636363635</v>
          </cell>
        </row>
        <row r="200">
          <cell r="A200">
            <v>35738</v>
          </cell>
          <cell r="B200">
            <v>0.85973597359735976</v>
          </cell>
          <cell r="C200">
            <v>0.92433697347893917</v>
          </cell>
          <cell r="D200">
            <v>0.88157894736842102</v>
          </cell>
          <cell r="E200">
            <v>1.1845637583892616</v>
          </cell>
          <cell r="F200">
            <v>0.47093023255813954</v>
          </cell>
          <cell r="G200">
            <v>1.3636363636363635</v>
          </cell>
        </row>
        <row r="201">
          <cell r="A201">
            <v>35739</v>
          </cell>
          <cell r="B201">
            <v>0.86138613861386137</v>
          </cell>
          <cell r="C201">
            <v>0.89937597503900157</v>
          </cell>
          <cell r="D201">
            <v>0.89473684210526316</v>
          </cell>
          <cell r="E201">
            <v>1.1845637583892616</v>
          </cell>
          <cell r="F201">
            <v>0.44418604651162791</v>
          </cell>
          <cell r="G201">
            <v>1.3636363636363635</v>
          </cell>
        </row>
        <row r="202">
          <cell r="A202">
            <v>35740</v>
          </cell>
          <cell r="B202">
            <v>0.90264026402640263</v>
          </cell>
          <cell r="C202">
            <v>0.90639625585023398</v>
          </cell>
          <cell r="D202">
            <v>0.89097744360902253</v>
          </cell>
          <cell r="E202">
            <v>1.2080536912751678</v>
          </cell>
          <cell r="F202">
            <v>0.45930232558139533</v>
          </cell>
          <cell r="G202">
            <v>1.3636363636363635</v>
          </cell>
        </row>
        <row r="203">
          <cell r="A203">
            <v>35741</v>
          </cell>
          <cell r="B203">
            <v>0.9273927392739274</v>
          </cell>
          <cell r="C203">
            <v>0.92667706708268327</v>
          </cell>
          <cell r="D203">
            <v>0.87593984962406013</v>
          </cell>
          <cell r="E203">
            <v>1.2013422818791946</v>
          </cell>
          <cell r="F203">
            <v>0.47325581395348837</v>
          </cell>
          <cell r="G203">
            <v>1.3636363636363635</v>
          </cell>
        </row>
        <row r="204">
          <cell r="A204">
            <v>35744</v>
          </cell>
          <cell r="B204">
            <v>0.94389438943894388</v>
          </cell>
          <cell r="C204">
            <v>0.94461778471138846</v>
          </cell>
          <cell r="D204">
            <v>0.89473684210526316</v>
          </cell>
          <cell r="E204">
            <v>1.2214765100671141</v>
          </cell>
          <cell r="F204">
            <v>0.46046511627906977</v>
          </cell>
          <cell r="G204">
            <v>1.3636363636363635</v>
          </cell>
        </row>
        <row r="205">
          <cell r="A205">
            <v>35745</v>
          </cell>
          <cell r="B205">
            <v>0.94884488448844884</v>
          </cell>
          <cell r="C205">
            <v>0.97191887675507016</v>
          </cell>
          <cell r="D205">
            <v>0.92105263157894735</v>
          </cell>
          <cell r="E205">
            <v>1.2214765100671141</v>
          </cell>
          <cell r="F205">
            <v>0.46395348837209305</v>
          </cell>
          <cell r="G205">
            <v>1.3636363636363635</v>
          </cell>
        </row>
        <row r="206">
          <cell r="A206">
            <v>35746</v>
          </cell>
          <cell r="B206">
            <v>0.9092409240924092</v>
          </cell>
          <cell r="C206">
            <v>0.96099843993759748</v>
          </cell>
          <cell r="D206">
            <v>0.90601503759398494</v>
          </cell>
          <cell r="E206">
            <v>1.1812080536912752</v>
          </cell>
          <cell r="F206">
            <v>0.44534883720930235</v>
          </cell>
          <cell r="G206">
            <v>1.3636363636363635</v>
          </cell>
        </row>
        <row r="207">
          <cell r="A207">
            <v>35747</v>
          </cell>
          <cell r="B207">
            <v>0.91254125412541254</v>
          </cell>
          <cell r="C207">
            <v>0.95865834633385338</v>
          </cell>
          <cell r="D207">
            <v>0.91541353383458646</v>
          </cell>
          <cell r="E207">
            <v>1.1644295302013423</v>
          </cell>
          <cell r="F207">
            <v>0.43604651162790697</v>
          </cell>
          <cell r="G207">
            <v>1.3636363636363635</v>
          </cell>
        </row>
        <row r="208">
          <cell r="A208">
            <v>35748</v>
          </cell>
          <cell r="B208">
            <v>0.89768976897689767</v>
          </cell>
          <cell r="C208">
            <v>0.96723868954758185</v>
          </cell>
          <cell r="D208">
            <v>0.89473684210526316</v>
          </cell>
          <cell r="E208">
            <v>1.1644295302013423</v>
          </cell>
          <cell r="F208">
            <v>0.46279069767441861</v>
          </cell>
          <cell r="G208">
            <v>1.3636363636363635</v>
          </cell>
        </row>
        <row r="209">
          <cell r="A209">
            <v>35751</v>
          </cell>
          <cell r="B209">
            <v>0.90429042904290424</v>
          </cell>
          <cell r="C209">
            <v>0.98595943837753508</v>
          </cell>
          <cell r="D209">
            <v>0.90601503759398494</v>
          </cell>
          <cell r="E209">
            <v>1.1946308724832215</v>
          </cell>
          <cell r="F209">
            <v>0.44883720930232557</v>
          </cell>
          <cell r="G209">
            <v>1.3636363636363635</v>
          </cell>
        </row>
        <row r="210">
          <cell r="A210">
            <v>35752</v>
          </cell>
          <cell r="B210">
            <v>0.89273927392739272</v>
          </cell>
          <cell r="C210">
            <v>0.9773790951638065</v>
          </cell>
          <cell r="D210">
            <v>0.89849624060150379</v>
          </cell>
          <cell r="E210">
            <v>1.1979865771812082</v>
          </cell>
          <cell r="F210">
            <v>0.4325581395348837</v>
          </cell>
          <cell r="G210">
            <v>1.3636363636363635</v>
          </cell>
        </row>
        <row r="211">
          <cell r="A211">
            <v>35753</v>
          </cell>
          <cell r="B211">
            <v>0.89603960396039606</v>
          </cell>
          <cell r="C211">
            <v>0.97581903276131043</v>
          </cell>
          <cell r="D211">
            <v>0.87969924812030076</v>
          </cell>
          <cell r="E211">
            <v>1.1711409395973154</v>
          </cell>
          <cell r="F211">
            <v>0.44069767441860463</v>
          </cell>
          <cell r="G211">
            <v>1.3636363636363635</v>
          </cell>
        </row>
        <row r="212">
          <cell r="A212">
            <v>35754</v>
          </cell>
          <cell r="B212">
            <v>0.87128712871287128</v>
          </cell>
          <cell r="C212">
            <v>0.9726989079563183</v>
          </cell>
          <cell r="D212">
            <v>0.90037593984962405</v>
          </cell>
          <cell r="E212">
            <v>1.1812080536912752</v>
          </cell>
          <cell r="F212">
            <v>0.4325581395348837</v>
          </cell>
          <cell r="G212">
            <v>1.3636363636363635</v>
          </cell>
        </row>
        <row r="213">
          <cell r="A213">
            <v>35755</v>
          </cell>
          <cell r="B213">
            <v>0.88613861386138615</v>
          </cell>
          <cell r="C213">
            <v>0.97035881435257409</v>
          </cell>
          <cell r="D213">
            <v>0.8928571428571429</v>
          </cell>
          <cell r="E213">
            <v>1.1912751677852349</v>
          </cell>
          <cell r="F213">
            <v>0.42674418604651165</v>
          </cell>
          <cell r="G213">
            <v>1.3636363636363635</v>
          </cell>
        </row>
        <row r="214">
          <cell r="A214">
            <v>35758</v>
          </cell>
          <cell r="B214">
            <v>0.86468646864686471</v>
          </cell>
          <cell r="C214">
            <v>0.94929797191887677</v>
          </cell>
          <cell r="D214">
            <v>0.8928571428571429</v>
          </cell>
          <cell r="E214">
            <v>1.174496644295302</v>
          </cell>
          <cell r="F214">
            <v>0.42441860465116277</v>
          </cell>
          <cell r="G214">
            <v>1.3636363636363635</v>
          </cell>
        </row>
        <row r="215">
          <cell r="A215">
            <v>35759</v>
          </cell>
          <cell r="B215">
            <v>0.68151815181518149</v>
          </cell>
          <cell r="C215">
            <v>0.93369734789391579</v>
          </cell>
          <cell r="D215">
            <v>0.88721804511278191</v>
          </cell>
          <cell r="E215">
            <v>1.1812080536912752</v>
          </cell>
          <cell r="F215">
            <v>0.42790697674418604</v>
          </cell>
          <cell r="G215">
            <v>1.3636363636363635</v>
          </cell>
        </row>
        <row r="216">
          <cell r="A216">
            <v>35760</v>
          </cell>
          <cell r="B216">
            <v>0.70792079207920788</v>
          </cell>
          <cell r="C216">
            <v>0.93447737909516382</v>
          </cell>
          <cell r="D216">
            <v>0.84774436090225569</v>
          </cell>
          <cell r="E216">
            <v>1.1845637583892616</v>
          </cell>
          <cell r="F216">
            <v>0.43604651162790697</v>
          </cell>
          <cell r="G216">
            <v>1.3636363636363635</v>
          </cell>
        </row>
        <row r="217">
          <cell r="A217">
            <v>35761</v>
          </cell>
          <cell r="B217">
            <v>0.70792079207920788</v>
          </cell>
          <cell r="C217">
            <v>0.93447737909516382</v>
          </cell>
          <cell r="D217">
            <v>0.84774436090225569</v>
          </cell>
          <cell r="E217">
            <v>1.1845637583892616</v>
          </cell>
          <cell r="F217">
            <v>0.43604651162790697</v>
          </cell>
          <cell r="G217">
            <v>1.3636363636363635</v>
          </cell>
        </row>
        <row r="218">
          <cell r="A218">
            <v>35762</v>
          </cell>
          <cell r="B218">
            <v>0.70957095709570961</v>
          </cell>
          <cell r="C218">
            <v>0.93603744149765988</v>
          </cell>
          <cell r="D218">
            <v>0.84398496240601506</v>
          </cell>
          <cell r="E218">
            <v>1.1912751677852349</v>
          </cell>
          <cell r="F218">
            <v>0.44418604651162791</v>
          </cell>
          <cell r="G218">
            <v>1.3636363636363635</v>
          </cell>
        </row>
        <row r="219">
          <cell r="A219">
            <v>35765</v>
          </cell>
          <cell r="B219">
            <v>0.72277227722772275</v>
          </cell>
          <cell r="C219">
            <v>0.96723868954758185</v>
          </cell>
          <cell r="D219">
            <v>0.85902255639097747</v>
          </cell>
          <cell r="E219">
            <v>1.2281879194630871</v>
          </cell>
          <cell r="F219">
            <v>0.45348837209302323</v>
          </cell>
          <cell r="G219">
            <v>1.3636363636363635</v>
          </cell>
        </row>
        <row r="220">
          <cell r="A220">
            <v>35766</v>
          </cell>
          <cell r="B220">
            <v>0.70132013201320131</v>
          </cell>
          <cell r="C220">
            <v>0.98283931357254295</v>
          </cell>
          <cell r="D220">
            <v>0.84586466165413532</v>
          </cell>
          <cell r="E220">
            <v>1.2080536912751678</v>
          </cell>
          <cell r="F220">
            <v>0.43720930232558142</v>
          </cell>
          <cell r="G220">
            <v>1.3636363636363635</v>
          </cell>
        </row>
        <row r="221">
          <cell r="A221">
            <v>35767</v>
          </cell>
          <cell r="B221">
            <v>0.71122112211221122</v>
          </cell>
          <cell r="C221">
            <v>1.0015600624024961</v>
          </cell>
          <cell r="D221">
            <v>0.84586466165413532</v>
          </cell>
          <cell r="E221">
            <v>1.1879194630872483</v>
          </cell>
          <cell r="F221">
            <v>0.44186046511627908</v>
          </cell>
          <cell r="G221">
            <v>1.3636363636363635</v>
          </cell>
        </row>
        <row r="222">
          <cell r="A222">
            <v>35768</v>
          </cell>
          <cell r="B222">
            <v>0.70709570957095713</v>
          </cell>
          <cell r="C222">
            <v>0.9929797191887676</v>
          </cell>
          <cell r="D222">
            <v>0.84210526315789469</v>
          </cell>
          <cell r="E222">
            <v>1.2483221476510067</v>
          </cell>
          <cell r="F222">
            <v>0.39302325581395348</v>
          </cell>
          <cell r="G222">
            <v>1.3636363636363635</v>
          </cell>
        </row>
        <row r="223">
          <cell r="A223">
            <v>35769</v>
          </cell>
          <cell r="B223">
            <v>0.71452145214521456</v>
          </cell>
          <cell r="C223">
            <v>0.99687987519500776</v>
          </cell>
          <cell r="D223">
            <v>0.84210526315789469</v>
          </cell>
          <cell r="E223">
            <v>1.2583892617449663</v>
          </cell>
          <cell r="F223">
            <v>0.413953488372093</v>
          </cell>
          <cell r="G223">
            <v>1.3636363636363635</v>
          </cell>
        </row>
        <row r="224">
          <cell r="A224">
            <v>35772</v>
          </cell>
          <cell r="B224">
            <v>0.72277227722772275</v>
          </cell>
          <cell r="C224">
            <v>0.98673946957878311</v>
          </cell>
          <cell r="D224">
            <v>0.82518796992481203</v>
          </cell>
          <cell r="E224">
            <v>1.2483221476510067</v>
          </cell>
          <cell r="F224">
            <v>0.39767441860465114</v>
          </cell>
          <cell r="G224">
            <v>1.3636363636363635</v>
          </cell>
        </row>
        <row r="225">
          <cell r="A225">
            <v>35773</v>
          </cell>
          <cell r="B225">
            <v>0.71617161716171618</v>
          </cell>
          <cell r="C225">
            <v>0.99219968798751945</v>
          </cell>
          <cell r="D225">
            <v>0.80639097744360899</v>
          </cell>
          <cell r="E225">
            <v>1.2751677852348993</v>
          </cell>
          <cell r="F225">
            <v>0.37325581395348839</v>
          </cell>
          <cell r="G225">
            <v>1.3636363636363635</v>
          </cell>
        </row>
        <row r="226">
          <cell r="A226">
            <v>35774</v>
          </cell>
          <cell r="B226">
            <v>0.70792079207920788</v>
          </cell>
          <cell r="C226">
            <v>0.98751950078003126</v>
          </cell>
          <cell r="D226">
            <v>0.76315789473684215</v>
          </cell>
          <cell r="E226">
            <v>1.1476510067114094</v>
          </cell>
          <cell r="F226">
            <v>0.31860465116279069</v>
          </cell>
          <cell r="G226">
            <v>1.3636363636363635</v>
          </cell>
        </row>
        <row r="227">
          <cell r="A227">
            <v>35775</v>
          </cell>
          <cell r="B227">
            <v>0.70709570957095713</v>
          </cell>
          <cell r="C227">
            <v>0.9750390015600624</v>
          </cell>
          <cell r="D227">
            <v>0.75939849624060152</v>
          </cell>
          <cell r="E227">
            <v>1.1275167785234899</v>
          </cell>
          <cell r="F227">
            <v>0.30813953488372092</v>
          </cell>
          <cell r="G227">
            <v>1.3636363636363635</v>
          </cell>
        </row>
        <row r="228">
          <cell r="A228">
            <v>35776</v>
          </cell>
          <cell r="B228">
            <v>0.70297029702970293</v>
          </cell>
          <cell r="C228">
            <v>0.98517940717628705</v>
          </cell>
          <cell r="D228">
            <v>0.75939849624060152</v>
          </cell>
          <cell r="E228">
            <v>1.1241610738255035</v>
          </cell>
          <cell r="F228">
            <v>0.28953488372093023</v>
          </cell>
          <cell r="G228">
            <v>1.3636363636363635</v>
          </cell>
        </row>
        <row r="229">
          <cell r="A229">
            <v>35779</v>
          </cell>
          <cell r="B229">
            <v>0.71122112211221122</v>
          </cell>
          <cell r="C229">
            <v>1.0031201248049921</v>
          </cell>
          <cell r="D229">
            <v>0.73684210526315785</v>
          </cell>
          <cell r="E229">
            <v>1.1174496644295302</v>
          </cell>
          <cell r="F229">
            <v>0.2930232558139535</v>
          </cell>
          <cell r="G229">
            <v>1.3636363636363635</v>
          </cell>
        </row>
        <row r="230">
          <cell r="A230">
            <v>35780</v>
          </cell>
          <cell r="B230">
            <v>0.71947194719471952</v>
          </cell>
          <cell r="C230">
            <v>0.99375975039001563</v>
          </cell>
          <cell r="D230">
            <v>0.73872180451127822</v>
          </cell>
          <cell r="E230">
            <v>1.0906040268456376</v>
          </cell>
          <cell r="F230">
            <v>0.30116279069767443</v>
          </cell>
          <cell r="G230">
            <v>1.3636363636363635</v>
          </cell>
        </row>
        <row r="231">
          <cell r="A231">
            <v>35781</v>
          </cell>
          <cell r="B231">
            <v>0.71782178217821779</v>
          </cell>
          <cell r="C231">
            <v>0.98439937597503901</v>
          </cell>
          <cell r="D231">
            <v>0.75375939849624063</v>
          </cell>
          <cell r="E231">
            <v>1.080536912751678</v>
          </cell>
          <cell r="F231">
            <v>0.3</v>
          </cell>
          <cell r="G231">
            <v>1.3636363636363635</v>
          </cell>
        </row>
        <row r="232">
          <cell r="A232">
            <v>35782</v>
          </cell>
          <cell r="B232">
            <v>0.71122112211221122</v>
          </cell>
          <cell r="C232">
            <v>0.86739469578783146</v>
          </cell>
          <cell r="D232">
            <v>0.71240601503759393</v>
          </cell>
          <cell r="E232">
            <v>1.0671140939597314</v>
          </cell>
          <cell r="F232">
            <v>0.27790697674418607</v>
          </cell>
          <cell r="G232">
            <v>1.3636363636363635</v>
          </cell>
        </row>
        <row r="233">
          <cell r="A233">
            <v>35783</v>
          </cell>
          <cell r="B233">
            <v>0.70379537953795379</v>
          </cell>
          <cell r="C233">
            <v>0.84789391575663031</v>
          </cell>
          <cell r="D233">
            <v>0.68045112781954886</v>
          </cell>
          <cell r="E233">
            <v>1.0503355704697988</v>
          </cell>
          <cell r="F233">
            <v>0.28255813953488373</v>
          </cell>
          <cell r="G233">
            <v>1.3636363636363635</v>
          </cell>
        </row>
        <row r="234">
          <cell r="A234">
            <v>35786</v>
          </cell>
          <cell r="B234">
            <v>0.71947194719471952</v>
          </cell>
          <cell r="C234">
            <v>0.8408736349453978</v>
          </cell>
          <cell r="D234">
            <v>0.68045112781954886</v>
          </cell>
          <cell r="E234">
            <v>1.0402684563758389</v>
          </cell>
          <cell r="F234">
            <v>0.28139534883720929</v>
          </cell>
          <cell r="G234">
            <v>1.3636363636363635</v>
          </cell>
        </row>
        <row r="235">
          <cell r="A235">
            <v>35787</v>
          </cell>
          <cell r="B235">
            <v>0.70627062706270627</v>
          </cell>
          <cell r="C235">
            <v>0.8408736349453978</v>
          </cell>
          <cell r="D235">
            <v>0.67669172932330823</v>
          </cell>
          <cell r="E235">
            <v>1.0201342281879195</v>
          </cell>
          <cell r="F235">
            <v>0.27209302325581397</v>
          </cell>
          <cell r="G235">
            <v>1.3636363636363635</v>
          </cell>
        </row>
        <row r="236">
          <cell r="A236">
            <v>35788</v>
          </cell>
          <cell r="B236">
            <v>0.70297029702970293</v>
          </cell>
          <cell r="C236">
            <v>0.83619344773790949</v>
          </cell>
          <cell r="D236">
            <v>0.68421052631578949</v>
          </cell>
          <cell r="E236">
            <v>1.0134228187919463</v>
          </cell>
          <cell r="F236">
            <v>0.26976744186046514</v>
          </cell>
          <cell r="G236">
            <v>1.3636363636363635</v>
          </cell>
        </row>
        <row r="237">
          <cell r="A237">
            <v>35789</v>
          </cell>
          <cell r="B237">
            <v>0.70297029702970293</v>
          </cell>
          <cell r="C237">
            <v>0.83619344773790949</v>
          </cell>
          <cell r="D237">
            <v>0.68421052631578949</v>
          </cell>
          <cell r="E237">
            <v>1.0134228187919463</v>
          </cell>
          <cell r="F237">
            <v>0.26976744186046514</v>
          </cell>
          <cell r="G237">
            <v>1.3636363636363635</v>
          </cell>
        </row>
        <row r="238">
          <cell r="A238">
            <v>35790</v>
          </cell>
          <cell r="B238">
            <v>0.70462046204620465</v>
          </cell>
          <cell r="C238">
            <v>0.8408736349453978</v>
          </cell>
          <cell r="D238">
            <v>0.68233082706766912</v>
          </cell>
          <cell r="E238">
            <v>1.0134228187919463</v>
          </cell>
          <cell r="F238">
            <v>0.2686046511627907</v>
          </cell>
          <cell r="G238">
            <v>1.3636363636363635</v>
          </cell>
        </row>
        <row r="239">
          <cell r="A239">
            <v>35793</v>
          </cell>
          <cell r="B239">
            <v>0.68976897689768979</v>
          </cell>
          <cell r="C239">
            <v>0.84165366614664583</v>
          </cell>
          <cell r="D239">
            <v>0.68045112781954886</v>
          </cell>
          <cell r="E239">
            <v>1.0335570469798658</v>
          </cell>
          <cell r="F239">
            <v>0.2686046511627907</v>
          </cell>
          <cell r="G239">
            <v>1.3636363636363635</v>
          </cell>
        </row>
        <row r="240">
          <cell r="A240">
            <v>35794</v>
          </cell>
          <cell r="B240">
            <v>0.69471947194719474</v>
          </cell>
          <cell r="C240">
            <v>0.87363494539781594</v>
          </cell>
          <cell r="D240">
            <v>0.6992481203007519</v>
          </cell>
          <cell r="E240">
            <v>1.080536912751678</v>
          </cell>
          <cell r="F240">
            <v>0.28837209302325584</v>
          </cell>
          <cell r="G240">
            <v>1.3636363636363635</v>
          </cell>
        </row>
        <row r="241">
          <cell r="A241">
            <v>35795</v>
          </cell>
          <cell r="B241">
            <v>0.6914191419141914</v>
          </cell>
          <cell r="C241">
            <v>0.88065522620904835</v>
          </cell>
          <cell r="D241">
            <v>0.66917293233082709</v>
          </cell>
          <cell r="E241">
            <v>1.1140939597315436</v>
          </cell>
          <cell r="F241">
            <v>0.28953488372093023</v>
          </cell>
          <cell r="G241">
            <v>1.3636363636363635</v>
          </cell>
        </row>
        <row r="242">
          <cell r="A242">
            <v>35796</v>
          </cell>
          <cell r="B242">
            <v>0.6914191419141914</v>
          </cell>
          <cell r="C242">
            <v>0.88065522620904835</v>
          </cell>
          <cell r="D242">
            <v>0.66917293233082709</v>
          </cell>
          <cell r="E242">
            <v>1.1140939597315436</v>
          </cell>
          <cell r="F242">
            <v>0.28953488372093023</v>
          </cell>
          <cell r="G242">
            <v>1.3636363636363635</v>
          </cell>
        </row>
        <row r="243">
          <cell r="A243">
            <v>35797</v>
          </cell>
          <cell r="B243">
            <v>0.69636963696369636</v>
          </cell>
          <cell r="C243">
            <v>0.87363494539781594</v>
          </cell>
          <cell r="D243">
            <v>0.69548872180451127</v>
          </cell>
          <cell r="E243">
            <v>1.1342281879194631</v>
          </cell>
          <cell r="F243">
            <v>0.31860465116279069</v>
          </cell>
          <cell r="G243">
            <v>1.3636363636363635</v>
          </cell>
        </row>
        <row r="244">
          <cell r="A244">
            <v>35800</v>
          </cell>
          <cell r="B244">
            <v>0.68811881188118806</v>
          </cell>
          <cell r="C244">
            <v>0.87831513260530425</v>
          </cell>
          <cell r="D244">
            <v>0.69548872180451127</v>
          </cell>
          <cell r="E244">
            <v>1.1409395973154361</v>
          </cell>
          <cell r="F244">
            <v>0.33953488372093021</v>
          </cell>
          <cell r="G244">
            <v>1.3636363636363635</v>
          </cell>
        </row>
        <row r="245">
          <cell r="A245">
            <v>35801</v>
          </cell>
          <cell r="B245">
            <v>0.66666666666666663</v>
          </cell>
          <cell r="C245">
            <v>0.9024960998439937</v>
          </cell>
          <cell r="D245">
            <v>0.69172932330827064</v>
          </cell>
          <cell r="E245">
            <v>1.1140939597315436</v>
          </cell>
          <cell r="F245">
            <v>0.32558139534883723</v>
          </cell>
          <cell r="G245">
            <v>1.3636363636363635</v>
          </cell>
        </row>
        <row r="246">
          <cell r="A246">
            <v>35802</v>
          </cell>
          <cell r="B246">
            <v>0.72607260726072609</v>
          </cell>
          <cell r="C246">
            <v>0.91107644305772228</v>
          </cell>
          <cell r="D246">
            <v>0.73308270676691734</v>
          </cell>
          <cell r="E246">
            <v>1.1677852348993289</v>
          </cell>
          <cell r="F246">
            <v>0.3174418604651163</v>
          </cell>
          <cell r="G246">
            <v>1.3636363636363635</v>
          </cell>
        </row>
        <row r="247">
          <cell r="A247">
            <v>35803</v>
          </cell>
          <cell r="B247">
            <v>0.68646864686468645</v>
          </cell>
          <cell r="C247">
            <v>0.88767550702028086</v>
          </cell>
          <cell r="D247">
            <v>0.74060150375939848</v>
          </cell>
          <cell r="E247">
            <v>1.1174496644295302</v>
          </cell>
          <cell r="F247">
            <v>0.30465116279069765</v>
          </cell>
          <cell r="G247">
            <v>1.3636363636363635</v>
          </cell>
        </row>
        <row r="248">
          <cell r="A248">
            <v>35804</v>
          </cell>
          <cell r="B248">
            <v>0.65841584158415845</v>
          </cell>
          <cell r="C248">
            <v>0.86895475819032764</v>
          </cell>
          <cell r="D248">
            <v>0.74060150375939848</v>
          </cell>
          <cell r="E248">
            <v>1.0536912751677852</v>
          </cell>
          <cell r="F248">
            <v>0.29186046511627906</v>
          </cell>
          <cell r="G248">
            <v>1.3636363636363635</v>
          </cell>
        </row>
        <row r="249">
          <cell r="A249">
            <v>35807</v>
          </cell>
          <cell r="B249">
            <v>0.65676567656765672</v>
          </cell>
          <cell r="C249">
            <v>0.87909516380655228</v>
          </cell>
          <cell r="D249">
            <v>0.74060150375939848</v>
          </cell>
          <cell r="E249">
            <v>1.0738255033557047</v>
          </cell>
          <cell r="F249">
            <v>0.28255813953488373</v>
          </cell>
          <cell r="G249">
            <v>1.3636363636363635</v>
          </cell>
        </row>
        <row r="250">
          <cell r="A250">
            <v>35808</v>
          </cell>
          <cell r="B250">
            <v>0.66666666666666663</v>
          </cell>
          <cell r="C250">
            <v>0.87753510140405622</v>
          </cell>
          <cell r="D250">
            <v>0.73684210526315785</v>
          </cell>
          <cell r="E250">
            <v>1.0604026845637584</v>
          </cell>
          <cell r="F250">
            <v>0.28720930232558139</v>
          </cell>
          <cell r="G250">
            <v>1.3636363636363635</v>
          </cell>
        </row>
        <row r="251">
          <cell r="A251">
            <v>35809</v>
          </cell>
          <cell r="B251">
            <v>0.68316831683168322</v>
          </cell>
          <cell r="C251">
            <v>0.87597503900156004</v>
          </cell>
          <cell r="D251">
            <v>0.72556390977443608</v>
          </cell>
          <cell r="E251">
            <v>1.0939597315436242</v>
          </cell>
          <cell r="F251">
            <v>0.29534883720930233</v>
          </cell>
          <cell r="G251">
            <v>1.3636363636363635</v>
          </cell>
        </row>
        <row r="252">
          <cell r="A252">
            <v>35810</v>
          </cell>
          <cell r="B252">
            <v>0.71287128712871284</v>
          </cell>
          <cell r="C252">
            <v>0.89235569422776906</v>
          </cell>
          <cell r="D252">
            <v>0.73496240601503759</v>
          </cell>
          <cell r="E252">
            <v>1.0704697986577181</v>
          </cell>
          <cell r="F252">
            <v>0.29418604651162789</v>
          </cell>
          <cell r="G252">
            <v>1.3636363636363635</v>
          </cell>
        </row>
        <row r="253">
          <cell r="A253">
            <v>35811</v>
          </cell>
          <cell r="B253">
            <v>0.7277227722772277</v>
          </cell>
          <cell r="C253">
            <v>0.89703588143525737</v>
          </cell>
          <cell r="D253">
            <v>0.75187969924812026</v>
          </cell>
          <cell r="E253">
            <v>1.0838926174496644</v>
          </cell>
          <cell r="F253">
            <v>0.29534883720930233</v>
          </cell>
          <cell r="G253">
            <v>1.3636363636363635</v>
          </cell>
        </row>
        <row r="254">
          <cell r="A254">
            <v>35814</v>
          </cell>
          <cell r="B254">
            <v>0.7277227722772277</v>
          </cell>
          <cell r="C254">
            <v>0.89703588143525737</v>
          </cell>
          <cell r="D254">
            <v>0.75187969924812026</v>
          </cell>
          <cell r="E254">
            <v>1.0838926174496644</v>
          </cell>
          <cell r="F254">
            <v>0.29534883720930233</v>
          </cell>
          <cell r="G254">
            <v>1.3636363636363635</v>
          </cell>
        </row>
        <row r="255">
          <cell r="A255">
            <v>35815</v>
          </cell>
          <cell r="B255">
            <v>0.73019801980198018</v>
          </cell>
          <cell r="C255">
            <v>0.90873634945397819</v>
          </cell>
          <cell r="D255">
            <v>0.77067669172932329</v>
          </cell>
          <cell r="E255">
            <v>1.0738255033557047</v>
          </cell>
          <cell r="F255">
            <v>0.27906976744186046</v>
          </cell>
          <cell r="G255">
            <v>1.3636363636363635</v>
          </cell>
        </row>
        <row r="256">
          <cell r="A256">
            <v>35816</v>
          </cell>
          <cell r="B256">
            <v>0.76567656765676573</v>
          </cell>
          <cell r="C256">
            <v>0.91575663026521059</v>
          </cell>
          <cell r="D256">
            <v>0.77631578947368418</v>
          </cell>
          <cell r="E256">
            <v>1.0704697986577181</v>
          </cell>
          <cell r="F256">
            <v>0.27209302325581397</v>
          </cell>
          <cell r="G256">
            <v>1.3636363636363635</v>
          </cell>
        </row>
        <row r="257">
          <cell r="A257">
            <v>35817</v>
          </cell>
          <cell r="B257">
            <v>0.7722772277227723</v>
          </cell>
          <cell r="C257">
            <v>0.92823712948517945</v>
          </cell>
          <cell r="D257">
            <v>0.77819548872180455</v>
          </cell>
          <cell r="E257">
            <v>1.063758389261745</v>
          </cell>
          <cell r="F257">
            <v>0.2744186046511628</v>
          </cell>
          <cell r="G257">
            <v>1.3636363636363635</v>
          </cell>
        </row>
        <row r="258">
          <cell r="A258">
            <v>35818</v>
          </cell>
          <cell r="B258">
            <v>0.77516501650165015</v>
          </cell>
          <cell r="C258">
            <v>0.92199687987519496</v>
          </cell>
          <cell r="D258">
            <v>0.75563909774436089</v>
          </cell>
          <cell r="E258">
            <v>1.0469798657718121</v>
          </cell>
          <cell r="F258">
            <v>0.27325581395348836</v>
          </cell>
          <cell r="G258">
            <v>1.3636363636363635</v>
          </cell>
        </row>
        <row r="259">
          <cell r="A259">
            <v>35821</v>
          </cell>
          <cell r="B259">
            <v>0.7722772277227723</v>
          </cell>
          <cell r="C259">
            <v>0.93447737909516382</v>
          </cell>
          <cell r="D259">
            <v>0.74812030075187974</v>
          </cell>
          <cell r="E259">
            <v>1.0604026845637584</v>
          </cell>
          <cell r="F259">
            <v>0.27093023255813953</v>
          </cell>
          <cell r="G259">
            <v>1.3636363636363635</v>
          </cell>
        </row>
        <row r="260">
          <cell r="A260">
            <v>35822</v>
          </cell>
          <cell r="B260">
            <v>0.78382838283828382</v>
          </cell>
          <cell r="C260">
            <v>0.94929797191887677</v>
          </cell>
          <cell r="D260">
            <v>0.75187969924812026</v>
          </cell>
          <cell r="E260">
            <v>1.0704697986577181</v>
          </cell>
          <cell r="F260">
            <v>0.2686046511627907</v>
          </cell>
          <cell r="G260">
            <v>1.3636363636363635</v>
          </cell>
        </row>
        <row r="261">
          <cell r="A261">
            <v>35823</v>
          </cell>
          <cell r="B261">
            <v>0.77557755775577553</v>
          </cell>
          <cell r="C261">
            <v>0.94149765990639622</v>
          </cell>
          <cell r="D261">
            <v>0.76879699248120303</v>
          </cell>
          <cell r="E261">
            <v>1.0771812080536913</v>
          </cell>
          <cell r="F261">
            <v>0.26279069767441859</v>
          </cell>
          <cell r="G261">
            <v>1.3636363636363635</v>
          </cell>
        </row>
        <row r="262">
          <cell r="A262">
            <v>35824</v>
          </cell>
          <cell r="B262">
            <v>0.75247524752475248</v>
          </cell>
          <cell r="C262">
            <v>0.93837753510140409</v>
          </cell>
          <cell r="D262">
            <v>0.78947368421052633</v>
          </cell>
          <cell r="E262">
            <v>1.080536912751678</v>
          </cell>
          <cell r="F262">
            <v>0.2686046511627907</v>
          </cell>
          <cell r="G262">
            <v>1.3636363636363635</v>
          </cell>
        </row>
        <row r="263">
          <cell r="A263">
            <v>35825</v>
          </cell>
          <cell r="B263">
            <v>0.76567656765676573</v>
          </cell>
          <cell r="C263">
            <v>0.91731669266770666</v>
          </cell>
          <cell r="D263">
            <v>0.78007518796992481</v>
          </cell>
          <cell r="E263">
            <v>1.0771812080536913</v>
          </cell>
          <cell r="F263">
            <v>0.32558139534883723</v>
          </cell>
          <cell r="G263">
            <v>1.3636363636363635</v>
          </cell>
        </row>
        <row r="264">
          <cell r="A264">
            <v>35828</v>
          </cell>
          <cell r="B264">
            <v>0.7722772277227723</v>
          </cell>
          <cell r="C264">
            <v>0.95709828393135721</v>
          </cell>
          <cell r="D264">
            <v>0.79135338345864659</v>
          </cell>
          <cell r="E264">
            <v>1.1073825503355705</v>
          </cell>
          <cell r="F264">
            <v>0.33023255813953489</v>
          </cell>
          <cell r="G264">
            <v>1.3636363636363635</v>
          </cell>
        </row>
        <row r="265">
          <cell r="A265">
            <v>35829</v>
          </cell>
          <cell r="B265">
            <v>0.78877887788778878</v>
          </cell>
          <cell r="C265">
            <v>0.95397815912636508</v>
          </cell>
          <cell r="D265">
            <v>0.77631578947368418</v>
          </cell>
          <cell r="E265">
            <v>1.0973154362416107</v>
          </cell>
          <cell r="F265">
            <v>0.30813953488372092</v>
          </cell>
          <cell r="G265">
            <v>1.3636363636363635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sheetData sheetId="17"/>
      <sheetData sheetId="18"/>
      <sheetData sheetId="19"/>
      <sheetData sheetId="20"/>
      <sheetData sheetId="21"/>
      <sheetData sheetId="22"/>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sheetData sheetId="129"/>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sheetData sheetId="140"/>
      <sheetData sheetId="141"/>
      <sheetData sheetId="142"/>
      <sheetData sheetId="143"/>
      <sheetData sheetId="144"/>
      <sheetData sheetId="145"/>
      <sheetData sheetId="146"/>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
      <sheetName val="09"/>
      <sheetName val="10"/>
      <sheetName val="11"/>
      <sheetName val="Total"/>
      <sheetName val="Europe"/>
      <sheetName val="US"/>
      <sheetName val="Sheet3"/>
      <sheetName val="DIV Y"/>
      <sheetName val="Inc"/>
      <sheetName val="Multiples"/>
    </sheetNames>
    <sheetDataSet>
      <sheetData sheetId="0"/>
      <sheetData sheetId="1"/>
      <sheetData sheetId="2"/>
      <sheetData sheetId="3"/>
      <sheetData sheetId="4" refreshError="1">
        <row r="322">
          <cell r="C322" t="str">
            <v>Quality 1</v>
          </cell>
          <cell r="D322">
            <v>54</v>
          </cell>
        </row>
        <row r="323">
          <cell r="C323" t="str">
            <v>Quality 2</v>
          </cell>
          <cell r="D323">
            <v>37</v>
          </cell>
        </row>
        <row r="324">
          <cell r="C324" t="str">
            <v>Quality 3</v>
          </cell>
          <cell r="D324">
            <v>33</v>
          </cell>
        </row>
        <row r="325">
          <cell r="C325" t="str">
            <v>Quality 4</v>
          </cell>
          <cell r="D325">
            <v>173</v>
          </cell>
        </row>
      </sheetData>
      <sheetData sheetId="5" refreshError="1"/>
      <sheetData sheetId="6" refreshError="1"/>
      <sheetData sheetId="7" refreshError="1"/>
      <sheetData sheetId="8"/>
      <sheetData sheetId="9" refreshError="1"/>
      <sheetData sheetId="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vol."/>
      <sheetName val="Breakdown"/>
      <sheetName val="20 year"/>
      <sheetName val="ten year"/>
      <sheetName val="5 year"/>
      <sheetName val="spread"/>
      <sheetName val="Trading Summary"/>
      <sheetName val="Expected European Inv"/>
      <sheetName val="Diageo's investor base"/>
      <sheetName val="spread perf."/>
      <sheetName val="spread 2"/>
      <sheetName val="Global dist"/>
      <sheetName val="Global distribution"/>
      <sheetName val="Internat dist"/>
      <sheetName val="Post launch (6)"/>
      <sheetName val="Recent trading (7)"/>
      <sheetName val="salesvol_"/>
      <sheetName val="sales vol_"/>
      <sheetName val="Financials"/>
      <sheetName val="Stock Price"/>
      <sheetName val="20_year"/>
      <sheetName val="ten_year"/>
      <sheetName val="5_year"/>
      <sheetName val="Trading_Summary"/>
      <sheetName val="Expected_European_Inv"/>
      <sheetName val="Diageo's_investor_base"/>
      <sheetName val="sales_vol_"/>
      <sheetName val="spread_perf_"/>
      <sheetName val="spread_2"/>
      <sheetName val="Global_dist"/>
      <sheetName val="Global_distribution"/>
      <sheetName val="Internat_dist"/>
      <sheetName val="Post_launch_(6)"/>
      <sheetName val="Recent_trading_(7)"/>
      <sheetName val="sales_vol_1"/>
      <sheetName val="Stock_Price"/>
      <sheetName val="20_year1"/>
      <sheetName val="ten_year1"/>
      <sheetName val="5_year1"/>
      <sheetName val="Trading_Summary1"/>
      <sheetName val="Expected_European_Inv1"/>
      <sheetName val="Diageo's_investor_base1"/>
      <sheetName val="sales_vol_2"/>
      <sheetName val="spread_perf_1"/>
      <sheetName val="spread_21"/>
      <sheetName val="Global_dist1"/>
      <sheetName val="Global_distribution1"/>
      <sheetName val="Internat_dist1"/>
      <sheetName val="Post_launch_(6)1"/>
      <sheetName val="Recent_trading_(7)1"/>
      <sheetName val="sales_vol_3"/>
      <sheetName val="Stock_Price1"/>
      <sheetName val="20_year2"/>
      <sheetName val="ten_year2"/>
      <sheetName val="5_year2"/>
      <sheetName val="Trading_Summary2"/>
      <sheetName val="Expected_European_Inv2"/>
      <sheetName val="Diageo's_investor_base2"/>
      <sheetName val="sales_vol_4"/>
      <sheetName val="spread_perf_2"/>
      <sheetName val="spread_22"/>
      <sheetName val="Global_dist2"/>
      <sheetName val="Global_distribution2"/>
      <sheetName val="Internat_dist2"/>
      <sheetName val="Post_launch_(6)2"/>
      <sheetName val="Recent_trading_(7)2"/>
      <sheetName val="sales_vol_5"/>
      <sheetName val="Stock_Price2"/>
      <sheetName val="Input Projected"/>
      <sheetName val="consolidated"/>
      <sheetName val="oldSEG"/>
      <sheetName val="Quarters"/>
      <sheetName val="Financial Overview ShortProfile"/>
      <sheetName val="Summary"/>
      <sheetName val="CUS Image"/>
      <sheetName val="9-05046L"/>
      <sheetName val="Input"/>
      <sheetName val="ProForma"/>
      <sheetName val="__FDSCACHE__"/>
      <sheetName val="Output"/>
      <sheetName val="Sheet1"/>
      <sheetName val="Delhaize"/>
      <sheetName val="Prop Model"/>
      <sheetName val="Office Data"/>
      <sheetName val="Pro forma IS"/>
      <sheetName val="BTMAIN"/>
      <sheetName val="Assumptions"/>
      <sheetName val="OPER"/>
      <sheetName val="RSR"/>
      <sheetName val="Weeklies"/>
      <sheetName val="Opportunity Codes "/>
      <sheetName val="2013"/>
      <sheetName val="Sheet2"/>
      <sheetName val="Sheet3"/>
      <sheetName val="Sheet4"/>
      <sheetName val="Total"/>
      <sheetName val="CAPITAL PH1"/>
      <sheetName val=" BUDGET P1"/>
      <sheetName val="EuroInputs"/>
      <sheetName val="MktAss"/>
      <sheetName val="A"/>
      <sheetName val="Corp Overhead"/>
      <sheetName val="MWC"/>
      <sheetName val="Corp_Overhead"/>
      <sheetName val="Corp_Overhead1"/>
      <sheetName val="Corp_Overhead2"/>
      <sheetName val="CAPEX"/>
      <sheetName val="Parameters"/>
      <sheetName val="INPUT ACQUIROR DATA"/>
      <sheetName val="Transaction-Assum."/>
      <sheetName val="Gráfico"/>
      <sheetName val="Data"/>
      <sheetName val="All Sum"/>
      <sheetName val="P&amp;L --KRON"/>
      <sheetName val="P&amp;L -BayTV"/>
      <sheetName val="215002"/>
      <sheetName val="Summary Financials"/>
      <sheetName val="Amarillo I-40-HI"/>
      <sheetName val="LTM"/>
      <sheetName val="CREDIT STATS"/>
      <sheetName val="DropZone"/>
      <sheetName val="Cover"/>
      <sheetName val="Total Firm"/>
      <sheetName val="Data for 03-04 Base Position"/>
      <sheetName val="company"/>
      <sheetName val="BS Rollup"/>
      <sheetName val="BEV"/>
      <sheetName val="EBITDA"/>
      <sheetName val="Price Performance Output"/>
      <sheetName val="Historical Multiples Output"/>
      <sheetName val="Straw Man"/>
      <sheetName val="MedSolutions Financial Data"/>
      <sheetName val="Football Field "/>
      <sheetName val="DCF"/>
      <sheetName val="Qcharts"/>
      <sheetName val="Charts"/>
      <sheetName val="Offers G&amp;C"/>
      <sheetName val="Offers GE"/>
      <sheetName val="Offers GS"/>
      <sheetName val="Offers MC"/>
      <sheetName val="13199"/>
      <sheetName val="PNGOil"/>
      <sheetName val="Model"/>
      <sheetName val="MLP IPO Yields vs MLP Index"/>
      <sheetName val="Control Panel"/>
      <sheetName val="Market"/>
      <sheetName val="Country Risk"/>
      <sheetName val="Quarterly rates"/>
      <sheetName val="Codes"/>
      <sheetName val="NCV Pivot"/>
      <sheetName val="exec sum (ncv) (3)"/>
      <sheetName val="Data Control"/>
    </sheetNames>
    <sheetDataSet>
      <sheetData sheetId="0" refreshError="1">
        <row r="34">
          <cell r="J34" t="str">
            <v>Europe</v>
          </cell>
        </row>
        <row r="35">
          <cell r="J35" t="str">
            <v>Other</v>
          </cell>
        </row>
        <row r="36">
          <cell r="J36" t="str">
            <v>Swiss</v>
          </cell>
        </row>
        <row r="37">
          <cell r="J37" t="str">
            <v>UK</v>
          </cell>
        </row>
        <row r="211">
          <cell r="J211" t="str">
            <v>Europe</v>
          </cell>
          <cell r="K211">
            <v>42560000</v>
          </cell>
        </row>
        <row r="212">
          <cell r="J212" t="str">
            <v>Other</v>
          </cell>
          <cell r="K212">
            <v>87425000</v>
          </cell>
        </row>
        <row r="213">
          <cell r="J213" t="str">
            <v>Swiss</v>
          </cell>
          <cell r="K213">
            <v>24660000</v>
          </cell>
        </row>
        <row r="214">
          <cell r="J214" t="str">
            <v>UK</v>
          </cell>
          <cell r="K214">
            <v>42000000</v>
          </cell>
        </row>
        <row r="398">
          <cell r="J398" t="str">
            <v>Europe</v>
          </cell>
          <cell r="K398">
            <v>33000000</v>
          </cell>
        </row>
        <row r="399">
          <cell r="J399" t="str">
            <v>Other</v>
          </cell>
          <cell r="K399">
            <v>21500000</v>
          </cell>
        </row>
        <row r="400">
          <cell r="J400" t="str">
            <v>Swiss</v>
          </cell>
          <cell r="K400">
            <v>116440000</v>
          </cell>
        </row>
        <row r="401">
          <cell r="J401" t="str">
            <v>UK</v>
          </cell>
          <cell r="K401">
            <v>101448000</v>
          </cell>
        </row>
        <row r="1121">
          <cell r="I1121" t="str">
            <v>Europe</v>
          </cell>
          <cell r="J1121">
            <v>11000000</v>
          </cell>
        </row>
        <row r="1122">
          <cell r="I1122" t="str">
            <v>Swiss</v>
          </cell>
          <cell r="J1122">
            <v>3370000</v>
          </cell>
        </row>
        <row r="1632">
          <cell r="I1632" t="str">
            <v>Europe</v>
          </cell>
          <cell r="J1632">
            <v>96300000</v>
          </cell>
        </row>
        <row r="1633">
          <cell r="I1633" t="str">
            <v>Other</v>
          </cell>
          <cell r="J1633">
            <v>39000000</v>
          </cell>
        </row>
        <row r="1634">
          <cell r="I1634" t="str">
            <v>Swiss</v>
          </cell>
          <cell r="J1634">
            <v>92900000</v>
          </cell>
        </row>
        <row r="1635">
          <cell r="I1635" t="str">
            <v>UK</v>
          </cell>
          <cell r="J1635">
            <v>64000000</v>
          </cell>
        </row>
        <row r="2248">
          <cell r="I2248" t="str">
            <v>Europe</v>
          </cell>
          <cell r="J2248">
            <v>12600000</v>
          </cell>
        </row>
        <row r="2249">
          <cell r="I2249" t="str">
            <v>Other</v>
          </cell>
          <cell r="J2249">
            <v>24500000</v>
          </cell>
        </row>
        <row r="2250">
          <cell r="I2250" t="str">
            <v>Swiss</v>
          </cell>
          <cell r="J2250">
            <v>56200000</v>
          </cell>
        </row>
        <row r="2251">
          <cell r="I2251" t="str">
            <v>UK</v>
          </cell>
          <cell r="J2251">
            <v>56400000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rgIS"/>
      <sheetName val="Pro Forma (2)"/>
      <sheetName val="Output (GAAP) (2)"/>
      <sheetName val="Output (2)"/>
      <sheetName val="Pro Forma"/>
      <sheetName val="__FDSCACHE__"/>
      <sheetName val="Output (GAAP)"/>
      <sheetName val="Output"/>
      <sheetName val="Inputs"/>
      <sheetName val="INSS"/>
      <sheetName val="PMO"/>
      <sheetName val="Contribution"/>
      <sheetName val="Contr - FD"/>
      <sheetName val="Contr - TM"/>
      <sheetName val="Adjusted Contribution"/>
      <sheetName val="Cash Burn"/>
      <sheetName val="Multiples"/>
      <sheetName val="SyncAlloc"/>
      <sheetName val="PricePerformance"/>
      <sheetName val="ValMtrx"/>
      <sheetName val="CapSum-Tux"/>
      <sheetName val="CapSum-Top hat"/>
      <sheetName val="DCF-Tux Mgt 2001"/>
      <sheetName val="DCF-Tux Mgt 2002"/>
      <sheetName val="DCF-Tux Mgt 2001 Norm"/>
      <sheetName val="DCF-Tux Str Estimates"/>
      <sheetName val="DCF-Top Hat mgt"/>
      <sheetName val="DCF-Top Hat Str Est."/>
      <sheetName val="DCF-Top Hat Synergies"/>
      <sheetName val="MSDW SbyS"/>
      <sheetName val="SbyS"/>
      <sheetName val="Contribution2"/>
      <sheetName val="Combination - Street Est."/>
      <sheetName val="PF W-O Synergies"/>
      <sheetName val="Combination -Management Est."/>
      <sheetName val="Top Hat"/>
      <sheetName val="Tuxedo"/>
      <sheetName val="Analyst Avg"/>
      <sheetName val="Synergy Sensitivity"/>
      <sheetName val="Sheet2"/>
      <sheetName val="Sheet3"/>
      <sheetName val="IS"/>
      <sheetName val="BS|CF"/>
      <sheetName val="Assum"/>
      <sheetName val="OpBS"/>
      <sheetName val="BSCF"/>
      <sheetName val="Ratios"/>
      <sheetName val="AcqIS"/>
      <sheetName val="AcqBSCF"/>
      <sheetName val="AcqRat"/>
      <sheetName val="TargBSCF"/>
      <sheetName val="TargRat"/>
      <sheetName val="AcqDCF1"/>
      <sheetName val="AcqDCF2"/>
      <sheetName val="TargDCF1"/>
      <sheetName val="TargDCF2"/>
      <sheetName val="CashAcq"/>
      <sheetName val="LBO Assum"/>
      <sheetName val="LBO IS"/>
      <sheetName val="LBO  BSCF"/>
      <sheetName val="LBO Ratios"/>
      <sheetName val="LBO Returns"/>
      <sheetName val="Contrib"/>
      <sheetName val="Presentation&gt;&gt;&gt;"/>
      <sheetName val="TargFin"/>
      <sheetName val="ValMatrix"/>
      <sheetName val="TargDCF"/>
      <sheetName val="CashAcqOutput"/>
      <sheetName val="PF EPS1"/>
      <sheetName val="PF EPS2"/>
      <sheetName val="PF Ratios"/>
      <sheetName val="StckPrc1"/>
      <sheetName val="StckPrc2"/>
      <sheetName val="Summary"/>
      <sheetName val="Output&gt;&gt;"/>
      <sheetName val="SummaryCases"/>
      <sheetName val="Summary FS"/>
      <sheetName val="Sources and Uses"/>
      <sheetName val="Acc Dil"/>
      <sheetName val="Cash Acc Dil"/>
      <sheetName val="Summary Credit Stats"/>
      <sheetName val="Summary Debt Paydown"/>
      <sheetName val="Growth Analysis"/>
      <sheetName val="Conv Returns Summary"/>
      <sheetName val="Class A Returns Summary"/>
      <sheetName val="Stk Price Acc Dil"/>
      <sheetName val="Pro Forma&gt;&gt;"/>
      <sheetName val="Convertible Returns"/>
      <sheetName val="Class A Returns"/>
      <sheetName val="PIK Returns"/>
      <sheetName val="99 and LTM PF"/>
      <sheetName val="Hawk&gt;&gt;"/>
      <sheetName val="Midway&gt;&gt;"/>
      <sheetName val="TargIS £"/>
      <sheetName val="TargBSCF £"/>
      <sheetName val="TargIS $"/>
      <sheetName val="TargBSCF $"/>
      <sheetName val="TargIS-Adj"/>
      <sheetName val="TargBSCF-Adj"/>
      <sheetName val="AerospaceISMonthly"/>
      <sheetName val="WholeTargetISMonthly"/>
      <sheetName val="--NOT USED--"/>
      <sheetName val="Jupiter&gt;&gt;&gt;&gt;&gt;"/>
      <sheetName val="Jupiter IS"/>
      <sheetName val="Jupiter BSCF"/>
      <sheetName val="Jupiter Rat"/>
      <sheetName val="Jupiter DCF1"/>
      <sheetName val="Jupiter DCF2"/>
      <sheetName val="Saturn&gt;&gt;&gt;&gt;&gt;&gt;"/>
      <sheetName val="Saturn IS"/>
      <sheetName val="Saturn BSCF"/>
      <sheetName val="Saturn DCF1"/>
      <sheetName val="Saturn DCF2"/>
      <sheetName val="Saturn Ratios"/>
      <sheetName val="Spaceshot&gt;&gt;&gt;&gt;&gt;"/>
      <sheetName val="Op-BS"/>
      <sheetName val="Output&gt;&gt;&gt;&gt;&gt;"/>
      <sheetName val="Matrix"/>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 sheetId="17"/>
      <sheetData sheetId="18"/>
      <sheetData sheetId="19"/>
      <sheetData sheetId="20" refreshError="1"/>
      <sheetData sheetId="21" refreshError="1"/>
      <sheetData sheetId="22"/>
      <sheetData sheetId="23"/>
      <sheetData sheetId="24"/>
      <sheetData sheetId="25"/>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refreshError="1"/>
      <sheetData sheetId="54"/>
      <sheetData sheetId="55"/>
      <sheetData sheetId="56"/>
      <sheetData sheetId="57"/>
      <sheetData sheetId="58"/>
      <sheetData sheetId="59" refreshError="1"/>
      <sheetData sheetId="60" refreshError="1"/>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refreshError="1"/>
      <sheetData sheetId="109"/>
      <sheetData sheetId="110"/>
      <sheetData sheetId="111"/>
      <sheetData sheetId="112"/>
      <sheetData sheetId="113" refreshError="1"/>
      <sheetData sheetId="114" refreshError="1"/>
      <sheetData sheetId="115"/>
      <sheetData sheetId="116" refreshError="1"/>
      <sheetData sheetId="11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tSettings"/>
      <sheetName val="SectList"/>
      <sheetName val="AcList"/>
      <sheetName val="DepList"/>
      <sheetName val="CurList"/>
      <sheetName val="SectTB"/>
      <sheetName val="SectCDTB"/>
      <sheetName val="AcTB"/>
      <sheetName val="AcCDTB"/>
      <sheetName val="Settings"/>
      <sheetName val="TB Scheme A"/>
      <sheetName val="TB Scheme B"/>
      <sheetName val="TB Scheme C"/>
      <sheetName val="TB Scheme D"/>
      <sheetName val="Check List"/>
      <sheetName val="History"/>
      <sheetName val="TB"/>
      <sheetName val="Data"/>
      <sheetName val="CFWorkings"/>
      <sheetName val="Cover"/>
      <sheetName val="Contents"/>
      <sheetName val="Information"/>
      <sheetName val="Director"/>
      <sheetName val="Responsibilities"/>
      <sheetName val="Audit"/>
      <sheetName val="Compilation"/>
      <sheetName val="Accountant"/>
      <sheetName val="PL"/>
      <sheetName val="RGL"/>
      <sheetName val="PL 1 Page"/>
      <sheetName val="BS"/>
      <sheetName val="CF"/>
      <sheetName val="BS 1 Page"/>
      <sheetName val="Cash Flow"/>
      <sheetName val="Notes"/>
      <sheetName val="DetailPL1"/>
      <sheetName val="DetailPL2"/>
      <sheetName val="AbbCover"/>
      <sheetName val="AbbAudit"/>
      <sheetName val="AbbCompilation"/>
      <sheetName val="AbbAccountant"/>
      <sheetName val="AbbBS"/>
      <sheetName val="AbbNotes"/>
      <sheetName val="Library"/>
      <sheetName val="Info Required"/>
      <sheetName val="FAR"/>
      <sheetName val="Tax Comp"/>
      <sheetName val="Workings"/>
      <sheetName val="VT_Results"/>
      <sheetName val="2004 05 SCS UK management acco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56">
          <cell r="C56" t="str">
            <v>Stem Cell Sciences (UK) Limited</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_CIQHiddenCacheSheet"/>
      <sheetName val="Cover Page"/>
      <sheetName val="TOC"/>
      <sheetName val="ValSum"/>
      <sheetName val="Allocation Methods --&gt;"/>
      <sheetName val="PWERM"/>
      <sheetName val="Prob. of Exit"/>
      <sheetName val="Tranche Calculation"/>
      <sheetName val="WACC PWERM"/>
      <sheetName val="Financials --&gt;"/>
      <sheetName val="Hist IS"/>
      <sheetName val="Hist BS"/>
      <sheetName val="Captable details--&gt;"/>
      <sheetName val="Cap"/>
      <sheetName val="EconRights"/>
      <sheetName val="Waterfall"/>
      <sheetName val="GPC Approach --&gt;"/>
      <sheetName val="Revenue &amp; EBITDA Analysis"/>
      <sheetName val="Comps Description"/>
      <sheetName val="GT Approach --&gt;"/>
      <sheetName val="Transaction Metrics"/>
      <sheetName val="Transaction Desc."/>
      <sheetName val="Supporting Schedules --&gt;"/>
      <sheetName val="IPO Data"/>
      <sheetName val="Not Used --&gt;"/>
      <sheetName val="OPM I"/>
      <sheetName val="OPM II"/>
      <sheetName val="DLOM"/>
      <sheetName val="AssetVol"/>
      <sheetName val="Equity Volatility "/>
      <sheetName val="rNPV Approach --&gt;"/>
      <sheetName val="rNPV"/>
      <sheetName val="Beta"/>
      <sheetName val="Kcapital"/>
      <sheetName val="rNPV Workings"/>
      <sheetName val="Kcapital VC Return"/>
      <sheetName val="Sheet1"/>
      <sheetName val="Equity Allocation"/>
      <sheetName val="PWERM_nEW"/>
      <sheetName val="Mandelbaum Factors"/>
      <sheetName val="Multiples Analysis"/>
      <sheetName val="Key Metrics"/>
      <sheetName val="Transaction Valuation"/>
      <sheetName val="PBC --&gt;"/>
      <sheetName val="Summary"/>
      <sheetName val="2007 Plan"/>
      <sheetName val="IPO Data (3)"/>
      <sheetName val="Future Financing"/>
      <sheetName val="Risk Free Rates"/>
      <sheetName val="Equity Volatility - old"/>
      <sheetName val="Workpaper --&gt; "/>
    </sheetNames>
    <sheetDataSet>
      <sheetData sheetId="0">
        <row r="1">
          <cell r="C1" t="str">
            <v>Vivace Therapeutics, Inc.</v>
          </cell>
        </row>
        <row r="2">
          <cell r="C2">
            <v>42094</v>
          </cell>
        </row>
        <row r="4">
          <cell r="C4" t="str">
            <v>Common Stock Valuation as of March 31, 2015</v>
          </cell>
        </row>
        <row r="14">
          <cell r="C14" t="str">
            <v>CY 2015</v>
          </cell>
        </row>
        <row r="15">
          <cell r="C15" t="str">
            <v>CY 2016</v>
          </cell>
        </row>
        <row r="16">
          <cell r="C16" t="str">
            <v>CY 2017</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yMultInputs"/>
      <sheetName val="Setup"/>
    </sheetNames>
    <sheetDataSet>
      <sheetData sheetId="0" refreshError="1"/>
      <sheetData sheetId="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count"/>
      <sheetName val="Debt"/>
      <sheetName val="P&amp;V"/>
      <sheetName val="Summary"/>
      <sheetName val="Annual IS Expense Assumptions"/>
      <sheetName val="Revenue Assumptions and Summary"/>
      <sheetName val="Quarterly Income Statement"/>
      <sheetName val="Quarterly Balance Sheet"/>
      <sheetName val="Quarterly Cashflow Statement"/>
      <sheetName val="COGS Actual"/>
      <sheetName val="VeriStrat Revenue Forecast"/>
      <sheetName val="GeneStrat Revenue Forecast"/>
      <sheetName val="BDX010 Revenue Forecast"/>
      <sheetName val="ITx-Melanoma Revenue Forecast"/>
      <sheetName val="ITx-Lung Revenue Forecast"/>
      <sheetName val="Ovarian Revenue Forecast"/>
      <sheetName val="CDx Revenue Forecast"/>
      <sheetName val="Bus Dev Revenue"/>
      <sheetName val="License Royalty Income"/>
      <sheetName val="Selling Expenses"/>
      <sheetName val="Data export for P&amp;L"/>
      <sheetName val="VeriStrat_Sales_Model"/>
      <sheetName val="BDX010"/>
      <sheetName val="ImmunoDX-Melanoma"/>
      <sheetName val="ImmunoDX-Lung"/>
      <sheetName val="Ovarian"/>
      <sheetName val="CDX3"/>
      <sheetName val="CDX4"/>
      <sheetName val="CDX5"/>
      <sheetName val="CDX6"/>
      <sheetName val="SalesRepsAdded"/>
      <sheetName val="Lookup"/>
    </sheetNames>
    <sheetDataSet>
      <sheetData sheetId="0" refreshError="1"/>
      <sheetData sheetId="1" refreshError="1"/>
      <sheetData sheetId="2" refreshError="1"/>
      <sheetData sheetId="3" refreshError="1"/>
      <sheetData sheetId="4" refreshError="1"/>
      <sheetData sheetId="5">
        <row r="24">
          <cell r="T24" t="str">
            <v>Sales Rep</v>
          </cell>
        </row>
        <row r="25">
          <cell r="T25" t="str">
            <v>Account Manager</v>
          </cell>
        </row>
      </sheetData>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ow r="2">
          <cell r="K2">
            <v>42552</v>
          </cell>
        </row>
        <row r="3">
          <cell r="K3">
            <v>42583</v>
          </cell>
        </row>
        <row r="4">
          <cell r="K4">
            <v>42614</v>
          </cell>
        </row>
        <row r="5">
          <cell r="K5">
            <v>42644</v>
          </cell>
        </row>
        <row r="6">
          <cell r="K6">
            <v>42675</v>
          </cell>
        </row>
        <row r="7">
          <cell r="K7">
            <v>42705</v>
          </cell>
        </row>
        <row r="8">
          <cell r="K8">
            <v>42736</v>
          </cell>
        </row>
        <row r="9">
          <cell r="K9">
            <v>42767</v>
          </cell>
        </row>
        <row r="10">
          <cell r="K10">
            <v>42795</v>
          </cell>
        </row>
        <row r="11">
          <cell r="K11">
            <v>42826</v>
          </cell>
        </row>
        <row r="12">
          <cell r="K12">
            <v>42856</v>
          </cell>
        </row>
        <row r="13">
          <cell r="K13">
            <v>42887</v>
          </cell>
        </row>
        <row r="14">
          <cell r="K14">
            <v>42917</v>
          </cell>
        </row>
        <row r="15">
          <cell r="K15">
            <v>42948</v>
          </cell>
        </row>
        <row r="16">
          <cell r="K16">
            <v>42979</v>
          </cell>
        </row>
        <row r="17">
          <cell r="K17">
            <v>43009</v>
          </cell>
        </row>
        <row r="18">
          <cell r="K18">
            <v>43040</v>
          </cell>
        </row>
        <row r="19">
          <cell r="K19">
            <v>43070</v>
          </cell>
        </row>
        <row r="20">
          <cell r="K20">
            <v>43101</v>
          </cell>
        </row>
        <row r="21">
          <cell r="K21">
            <v>43132</v>
          </cell>
        </row>
        <row r="22">
          <cell r="K22">
            <v>43160</v>
          </cell>
        </row>
        <row r="23">
          <cell r="K23">
            <v>43191</v>
          </cell>
        </row>
        <row r="24">
          <cell r="K24">
            <v>43221</v>
          </cell>
        </row>
        <row r="25">
          <cell r="K25">
            <v>43252</v>
          </cell>
        </row>
        <row r="26">
          <cell r="K26">
            <v>43282</v>
          </cell>
        </row>
        <row r="27">
          <cell r="K27">
            <v>43313</v>
          </cell>
        </row>
        <row r="28">
          <cell r="K28">
            <v>43344</v>
          </cell>
        </row>
        <row r="29">
          <cell r="K29">
            <v>43374</v>
          </cell>
        </row>
        <row r="30">
          <cell r="K30">
            <v>43405</v>
          </cell>
        </row>
        <row r="31">
          <cell r="K31">
            <v>43435</v>
          </cell>
        </row>
        <row r="32">
          <cell r="K32">
            <v>43466</v>
          </cell>
        </row>
        <row r="33">
          <cell r="K33">
            <v>43497</v>
          </cell>
        </row>
        <row r="34">
          <cell r="K34">
            <v>43525</v>
          </cell>
        </row>
        <row r="35">
          <cell r="K35">
            <v>43556</v>
          </cell>
        </row>
        <row r="36">
          <cell r="K36">
            <v>43586</v>
          </cell>
        </row>
        <row r="37">
          <cell r="K37">
            <v>43617</v>
          </cell>
        </row>
        <row r="38">
          <cell r="K38">
            <v>43647</v>
          </cell>
        </row>
        <row r="39">
          <cell r="K39">
            <v>43678</v>
          </cell>
        </row>
        <row r="40">
          <cell r="K40">
            <v>43709</v>
          </cell>
        </row>
        <row r="41">
          <cell r="K41">
            <v>43739</v>
          </cell>
        </row>
        <row r="42">
          <cell r="K42">
            <v>43770</v>
          </cell>
        </row>
        <row r="43">
          <cell r="K43">
            <v>43800</v>
          </cell>
        </row>
        <row r="44">
          <cell r="K44">
            <v>43831</v>
          </cell>
        </row>
        <row r="45">
          <cell r="K45">
            <v>43862</v>
          </cell>
        </row>
        <row r="46">
          <cell r="K46">
            <v>43891</v>
          </cell>
        </row>
        <row r="47">
          <cell r="K47">
            <v>43922</v>
          </cell>
        </row>
        <row r="48">
          <cell r="K48">
            <v>43952</v>
          </cell>
        </row>
        <row r="49">
          <cell r="K49">
            <v>43983</v>
          </cell>
        </row>
        <row r="50">
          <cell r="K50">
            <v>44013</v>
          </cell>
        </row>
        <row r="51">
          <cell r="K51">
            <v>44044</v>
          </cell>
        </row>
        <row r="52">
          <cell r="K52">
            <v>44075</v>
          </cell>
        </row>
        <row r="53">
          <cell r="K53">
            <v>44105</v>
          </cell>
        </row>
        <row r="54">
          <cell r="K54">
            <v>44136</v>
          </cell>
        </row>
        <row r="55">
          <cell r="K55">
            <v>44166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 val="Outlin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ption Val."/>
      <sheetName val="Equity Vol"/>
      <sheetName val="Risk-Free Rates"/>
      <sheetName val="Workings &gt;&gt;"/>
      <sheetName val="Sheet2"/>
      <sheetName val="_CIQHiddenCacheSheet"/>
      <sheetName val="Volatility Computation"/>
      <sheetName val="Option Val._Verify"/>
      <sheetName val="CapIQ_Data"/>
      <sheetName val="IPO"/>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ption Val."/>
      <sheetName val="Equity Vol"/>
      <sheetName val="Risk-Free Rates"/>
      <sheetName val="Workings &gt;&gt;"/>
      <sheetName val="Sheet2"/>
      <sheetName val="_CIQHiddenCacheSheet"/>
      <sheetName val="Volatility Computation"/>
      <sheetName val="Option Val._Verify"/>
      <sheetName val="CapIQ_Data"/>
      <sheetName val="IPO"/>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Setup - IP Val"/>
      <sheetName val="_CIQHiddenCacheSheet"/>
      <sheetName val="Cover Page IP Val"/>
      <sheetName val="TOC"/>
      <sheetName val="ValSum IP Val"/>
      <sheetName val="Technology - Summary"/>
      <sheetName val="Technology - MPEE"/>
      <sheetName val="CAC"/>
      <sheetName val="Technology - RFR"/>
      <sheetName val="Technology - Transactions"/>
      <sheetName val="Technology - Cost"/>
      <sheetName val="Brand IP - RFR"/>
      <sheetName val="Brand IP - Transactions"/>
      <sheetName val="Projections"/>
      <sheetName val="WACC"/>
      <sheetName val="Beta"/>
      <sheetName val="Balance Sheet"/>
      <sheetName val="Income Statement"/>
      <sheetName val="GPC"/>
      <sheetName val="GPC Metrics"/>
      <sheetName val="GPC Desc"/>
      <sheetName val="PBC"/>
      <sheetName val="WARA"/>
      <sheetName val="Customer Contracts"/>
      <sheetName val="Projections 2016-2018"/>
      <sheetName val="BS 2010-2012"/>
      <sheetName val="PBC_Cash Flow"/>
      <sheetName val="IS FY 2010 - 2012"/>
      <sheetName val="CF 2010-1013"/>
      <sheetName val="PBC _ Budget 2015"/>
      <sheetName val="Workforce for Technology"/>
      <sheetName val="Assembled Workforce"/>
      <sheetName val="IS"/>
      <sheetName val="BS"/>
      <sheetName val="CF"/>
      <sheetName val="YTD PL"/>
      <sheetName val="02.28.2015 BS"/>
      <sheetName val="Salaries"/>
      <sheetName val="Monthly BS &amp; CF Drivers"/>
      <sheetName val="Depreciation - MACRS"/>
    </sheetNames>
    <sheetDataSet>
      <sheetData sheetId="0"/>
      <sheetData sheetId="1">
        <row r="1">
          <cell r="C1" t="str">
            <v>Expertus, Inc.</v>
          </cell>
        </row>
        <row r="2">
          <cell r="C2">
            <v>42063</v>
          </cell>
        </row>
        <row r="4">
          <cell r="C4" t="str">
            <v>Intellectual Property Valuation as of February 28, 2015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S"/>
      <sheetName val="Setup - IP Val"/>
    </sheetNames>
    <sheetDataSet>
      <sheetData sheetId="0" refreshError="1"/>
      <sheetData sheetId="1"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pt Cash flow 10-Q Report P 3"/>
      <sheetName val="Cflow1108"/>
      <sheetName val="#REF"/>
    </sheetNames>
    <sheetDataSet>
      <sheetData sheetId="0" refreshError="1">
        <row r="8">
          <cell r="B8" t="str">
            <v>Cash flows from operating activities</v>
          </cell>
        </row>
        <row r="34">
          <cell r="B34" t="str">
            <v>Cash flows from investing activities</v>
          </cell>
        </row>
        <row r="42">
          <cell r="B42" t="str">
            <v>Cash flows from financing activities</v>
          </cell>
        </row>
        <row r="49">
          <cell r="B49" t="str">
            <v>Foreign currency translation loss in comprehensive income</v>
          </cell>
        </row>
        <row r="50">
          <cell r="B50" t="str">
            <v>Net increase (decrease) in cash .</v>
          </cell>
        </row>
        <row r="51">
          <cell r="B51" t="str">
            <v>Cash and cash equivalents at beginning of year .</v>
          </cell>
        </row>
        <row r="52">
          <cell r="B52" t="str">
            <v>Cash and cash equivalents at end of year</v>
          </cell>
        </row>
      </sheetData>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vmlDrawing" Target="../drawings/vmlDrawing7.v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vmlDrawing" Target="../drawings/vmlDrawing13.v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vmlDrawing" Target="../drawings/vmlDrawing18.v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vmlDrawing" Target="../drawings/vmlDrawing20.vml"/><Relationship Id="rId1" Type="http://schemas.openxmlformats.org/officeDocument/2006/relationships/printerSettings" Target="../printerSettings/printerSettings20.bin"/><Relationship Id="rId4" Type="http://schemas.openxmlformats.org/officeDocument/2006/relationships/comments" Target="../comments1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vmlDrawing" Target="../drawings/vmlDrawing22.vml"/><Relationship Id="rId1" Type="http://schemas.openxmlformats.org/officeDocument/2006/relationships/printerSettings" Target="../printerSettings/printerSettings21.bin"/><Relationship Id="rId4" Type="http://schemas.openxmlformats.org/officeDocument/2006/relationships/comments" Target="../comments1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vmlDrawing" Target="../drawings/vmlDrawing24.vml"/><Relationship Id="rId1" Type="http://schemas.openxmlformats.org/officeDocument/2006/relationships/printerSettings" Target="../printerSettings/printerSettings22.bin"/><Relationship Id="rId4" Type="http://schemas.openxmlformats.org/officeDocument/2006/relationships/comments" Target="../comments12.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vmlDrawing" Target="../drawings/vmlDrawing26.vml"/><Relationship Id="rId1" Type="http://schemas.openxmlformats.org/officeDocument/2006/relationships/printerSettings" Target="../printerSettings/printerSettings24.bin"/><Relationship Id="rId4" Type="http://schemas.openxmlformats.org/officeDocument/2006/relationships/comments" Target="../comments13.xml"/></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8.xml"/><Relationship Id="rId1" Type="http://schemas.openxmlformats.org/officeDocument/2006/relationships/printerSettings" Target="../printerSettings/printerSettings34.bin"/><Relationship Id="rId5" Type="http://schemas.openxmlformats.org/officeDocument/2006/relationships/comments" Target="../comments14.xml"/><Relationship Id="rId4" Type="http://schemas.openxmlformats.org/officeDocument/2006/relationships/vmlDrawing" Target="../drawings/vmlDrawing36.v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vmlDrawing" Target="../drawings/vmlDrawing37.vml"/><Relationship Id="rId1" Type="http://schemas.openxmlformats.org/officeDocument/2006/relationships/printerSettings" Target="../printerSettings/printerSettings35.bin"/><Relationship Id="rId4" Type="http://schemas.openxmlformats.org/officeDocument/2006/relationships/comments" Target="../comments15.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vmlDrawing" Target="../drawings/vmlDrawing39.vml"/><Relationship Id="rId1" Type="http://schemas.openxmlformats.org/officeDocument/2006/relationships/printerSettings" Target="../printerSettings/printerSettings37.bin"/><Relationship Id="rId4" Type="http://schemas.openxmlformats.org/officeDocument/2006/relationships/comments" Target="../comments16.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vmlDrawing" Target="../drawings/vmlDrawing41.vml"/><Relationship Id="rId1" Type="http://schemas.openxmlformats.org/officeDocument/2006/relationships/printerSettings" Target="../printerSettings/printerSettings38.bin"/><Relationship Id="rId4" Type="http://schemas.openxmlformats.org/officeDocument/2006/relationships/comments" Target="../comments17.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vmlDrawing" Target="../drawings/vmlDrawing43.vml"/><Relationship Id="rId1" Type="http://schemas.openxmlformats.org/officeDocument/2006/relationships/printerSettings" Target="../printerSettings/printerSettings39.bin"/><Relationship Id="rId4" Type="http://schemas.openxmlformats.org/officeDocument/2006/relationships/comments" Target="../comments18.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vmlDrawing" Target="../drawings/vmlDrawing45.vml"/><Relationship Id="rId1" Type="http://schemas.openxmlformats.org/officeDocument/2006/relationships/printerSettings" Target="../printerSettings/printerSettings40.bin"/><Relationship Id="rId4" Type="http://schemas.openxmlformats.org/officeDocument/2006/relationships/comments" Target="../comments19.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vmlDrawing" Target="../drawings/vmlDrawing47.vml"/><Relationship Id="rId1" Type="http://schemas.openxmlformats.org/officeDocument/2006/relationships/printerSettings" Target="../printerSettings/printerSettings41.bin"/><Relationship Id="rId4" Type="http://schemas.openxmlformats.org/officeDocument/2006/relationships/comments" Target="../comments20.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vmlDrawing" Target="../drawings/vmlDrawing49.vml"/><Relationship Id="rId1" Type="http://schemas.openxmlformats.org/officeDocument/2006/relationships/printerSettings" Target="../printerSettings/printerSettings42.bin"/><Relationship Id="rId4" Type="http://schemas.openxmlformats.org/officeDocument/2006/relationships/comments" Target="../comments21.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vmlDrawing" Target="../drawings/vmlDrawing51.vml"/><Relationship Id="rId1" Type="http://schemas.openxmlformats.org/officeDocument/2006/relationships/printerSettings" Target="../printerSettings/printerSettings43.bin"/><Relationship Id="rId4" Type="http://schemas.openxmlformats.org/officeDocument/2006/relationships/comments" Target="../comments22.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10.xml"/><Relationship Id="rId1" Type="http://schemas.openxmlformats.org/officeDocument/2006/relationships/printerSettings" Target="../printerSettings/printerSettings44.bin"/><Relationship Id="rId5" Type="http://schemas.openxmlformats.org/officeDocument/2006/relationships/comments" Target="../comments23.xml"/><Relationship Id="rId4" Type="http://schemas.openxmlformats.org/officeDocument/2006/relationships/vmlDrawing" Target="../drawings/vmlDrawing54.v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vmlDrawing" Target="../drawings/vmlDrawing55.vml"/><Relationship Id="rId1" Type="http://schemas.openxmlformats.org/officeDocument/2006/relationships/printerSettings" Target="../printerSettings/printerSettings45.bin"/><Relationship Id="rId4" Type="http://schemas.openxmlformats.org/officeDocument/2006/relationships/comments" Target="../comments24.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printerSettings" Target="../printerSettings/printerSettings46.bin"/><Relationship Id="rId1" Type="http://schemas.openxmlformats.org/officeDocument/2006/relationships/hyperlink" Target="http://www.fiercebiotech.com/biotech/genentech-south-korean-pharma-up-to-910m-raf-inhibitor-deal" TargetMode="External"/><Relationship Id="rId5" Type="http://schemas.openxmlformats.org/officeDocument/2006/relationships/comments" Target="../comments25.xml"/><Relationship Id="rId4" Type="http://schemas.openxmlformats.org/officeDocument/2006/relationships/vmlDrawing" Target="../drawings/vmlDrawing58.v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vmlDrawing" Target="../drawings/vmlDrawing59.vml"/><Relationship Id="rId1" Type="http://schemas.openxmlformats.org/officeDocument/2006/relationships/printerSettings" Target="../printerSettings/printerSettings47.bin"/><Relationship Id="rId4" Type="http://schemas.openxmlformats.org/officeDocument/2006/relationships/comments" Target="../comments26.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vmlDrawing" Target="../drawings/vmlDrawing61.vml"/><Relationship Id="rId1" Type="http://schemas.openxmlformats.org/officeDocument/2006/relationships/printerSettings" Target="../printerSettings/printerSettings48.bin"/><Relationship Id="rId4" Type="http://schemas.openxmlformats.org/officeDocument/2006/relationships/comments" Target="../comments27.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vmlDrawing" Target="../drawings/vmlDrawing63.vml"/><Relationship Id="rId1" Type="http://schemas.openxmlformats.org/officeDocument/2006/relationships/printerSettings" Target="../printerSettings/printerSettings49.bin"/><Relationship Id="rId4" Type="http://schemas.openxmlformats.org/officeDocument/2006/relationships/comments" Target="../comments28.x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1.bin"/></Relationships>
</file>

<file path=xl/worksheets/_rels/sheet56.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65.vml"/><Relationship Id="rId1" Type="http://schemas.openxmlformats.org/officeDocument/2006/relationships/printerSettings" Target="../printerSettings/printerSettings52.bin"/></Relationships>
</file>

<file path=xl/worksheets/_rels/sheet57.xml.rels><?xml version="1.0" encoding="UTF-8" standalone="yes"?>
<Relationships xmlns="http://schemas.openxmlformats.org/package/2006/relationships"><Relationship Id="rId2" Type="http://schemas.openxmlformats.org/officeDocument/2006/relationships/vmlDrawing" Target="../drawings/vmlDrawing66.vml"/><Relationship Id="rId1" Type="http://schemas.openxmlformats.org/officeDocument/2006/relationships/printerSettings" Target="../printerSettings/printerSettings53.bin"/></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vmlDrawing" Target="../drawings/vmlDrawing67.vml"/><Relationship Id="rId1" Type="http://schemas.openxmlformats.org/officeDocument/2006/relationships/printerSettings" Target="../printerSettings/printerSettings54.bin"/><Relationship Id="rId4" Type="http://schemas.openxmlformats.org/officeDocument/2006/relationships/comments" Target="../comments30.xml"/></Relationships>
</file>

<file path=xl/worksheets/_rels/sheet59.xml.rels><?xml version="1.0" encoding="UTF-8" standalone="yes"?>
<Relationships xmlns="http://schemas.openxmlformats.org/package/2006/relationships"><Relationship Id="rId2" Type="http://schemas.openxmlformats.org/officeDocument/2006/relationships/vmlDrawing" Target="../drawings/vmlDrawing69.vml"/><Relationship Id="rId1" Type="http://schemas.openxmlformats.org/officeDocument/2006/relationships/printerSettings" Target="../printerSettings/printerSettings55.bin"/></Relationships>
</file>

<file path=xl/worksheets/_rels/sheet60.xml.rels><?xml version="1.0" encoding="UTF-8" standalone="yes"?>
<Relationships xmlns="http://schemas.openxmlformats.org/package/2006/relationships"><Relationship Id="rId2" Type="http://schemas.openxmlformats.org/officeDocument/2006/relationships/vmlDrawing" Target="../drawings/vmlDrawing70.vml"/><Relationship Id="rId1" Type="http://schemas.openxmlformats.org/officeDocument/2006/relationships/printerSettings" Target="../printerSettings/printerSettings56.bin"/></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72.vml"/><Relationship Id="rId2" Type="http://schemas.openxmlformats.org/officeDocument/2006/relationships/vmlDrawing" Target="../drawings/vmlDrawing71.vml"/><Relationship Id="rId1" Type="http://schemas.openxmlformats.org/officeDocument/2006/relationships/printerSettings" Target="../printerSettings/printerSettings57.bin"/><Relationship Id="rId4" Type="http://schemas.openxmlformats.org/officeDocument/2006/relationships/comments" Target="../comments31.xml"/></Relationships>
</file>

<file path=xl/worksheets/_rels/sheet62.xml.rels><?xml version="1.0" encoding="UTF-8" standalone="yes"?>
<Relationships xmlns="http://schemas.openxmlformats.org/package/2006/relationships"><Relationship Id="rId2" Type="http://schemas.openxmlformats.org/officeDocument/2006/relationships/vmlDrawing" Target="../drawings/vmlDrawing73.vml"/><Relationship Id="rId1" Type="http://schemas.openxmlformats.org/officeDocument/2006/relationships/printerSettings" Target="../printerSettings/printerSettings58.bin"/></Relationships>
</file>

<file path=xl/worksheets/_rels/sheet63.xml.rels><?xml version="1.0" encoding="UTF-8" standalone="yes"?>
<Relationships xmlns="http://schemas.openxmlformats.org/package/2006/relationships"><Relationship Id="rId2" Type="http://schemas.openxmlformats.org/officeDocument/2006/relationships/vmlDrawing" Target="../drawings/vmlDrawing74.vml"/><Relationship Id="rId1" Type="http://schemas.openxmlformats.org/officeDocument/2006/relationships/printerSettings" Target="../printerSettings/printerSettings59.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5.xml.rels><?xml version="1.0" encoding="UTF-8" standalone="yes"?>
<Relationships xmlns="http://schemas.openxmlformats.org/package/2006/relationships"><Relationship Id="rId2" Type="http://schemas.openxmlformats.org/officeDocument/2006/relationships/vmlDrawing" Target="../drawings/vmlDrawing75.vml"/><Relationship Id="rId1" Type="http://schemas.openxmlformats.org/officeDocument/2006/relationships/printerSettings" Target="../printerSettings/printerSettings61.bin"/></Relationships>
</file>

<file path=xl/worksheets/_rels/sheet66.xml.rels><?xml version="1.0" encoding="UTF-8" standalone="yes"?>
<Relationships xmlns="http://schemas.openxmlformats.org/package/2006/relationships"><Relationship Id="rId2" Type="http://schemas.openxmlformats.org/officeDocument/2006/relationships/vmlDrawing" Target="../drawings/vmlDrawing76.vml"/><Relationship Id="rId1" Type="http://schemas.openxmlformats.org/officeDocument/2006/relationships/printerSettings" Target="../printerSettings/printerSettings62.bin"/></Relationships>
</file>

<file path=xl/worksheets/_rels/sheet67.xml.rels><?xml version="1.0" encoding="UTF-8" standalone="yes"?>
<Relationships xmlns="http://schemas.openxmlformats.org/package/2006/relationships"><Relationship Id="rId2" Type="http://schemas.openxmlformats.org/officeDocument/2006/relationships/vmlDrawing" Target="../drawings/vmlDrawing77.vml"/><Relationship Id="rId1" Type="http://schemas.openxmlformats.org/officeDocument/2006/relationships/printerSettings" Target="../printerSettings/printerSettings63.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71.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78.vml"/><Relationship Id="rId1" Type="http://schemas.openxmlformats.org/officeDocument/2006/relationships/printerSettings" Target="../printerSettings/printerSettings65.bin"/></Relationships>
</file>

<file path=xl/worksheets/_rels/sheet72.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79.vml"/><Relationship Id="rId1" Type="http://schemas.openxmlformats.org/officeDocument/2006/relationships/printerSettings" Target="../printerSettings/printerSettings66.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2:C13"/>
  <sheetViews>
    <sheetView zoomScale="80" zoomScaleNormal="80" workbookViewId="0">
      <selection activeCell="C6" sqref="C6"/>
    </sheetView>
  </sheetViews>
  <sheetFormatPr defaultRowHeight="12.75"/>
  <cols>
    <col min="1" max="1" width="6.6640625" style="250" customWidth="1"/>
    <col min="2" max="2" width="46" style="250" bestFit="1" customWidth="1"/>
    <col min="3" max="3" width="52.6640625" style="250" customWidth="1"/>
    <col min="4" max="16384" width="9.33203125" style="250"/>
  </cols>
  <sheetData>
    <row r="2" spans="1:3">
      <c r="A2" s="271" t="s">
        <v>588</v>
      </c>
    </row>
    <row r="3" spans="1:3">
      <c r="A3" s="250" t="s">
        <v>480</v>
      </c>
      <c r="B3" s="250" t="s">
        <v>994</v>
      </c>
      <c r="C3" s="250" t="s">
        <v>589</v>
      </c>
    </row>
    <row r="4" spans="1:3" ht="51">
      <c r="A4" s="251">
        <v>1</v>
      </c>
      <c r="B4" s="250" t="s">
        <v>590</v>
      </c>
      <c r="C4" s="272" t="s">
        <v>591</v>
      </c>
    </row>
    <row r="5" spans="1:3" ht="38.25">
      <c r="A5" s="251">
        <f>+A4+1</f>
        <v>2</v>
      </c>
      <c r="B5" s="250" t="s">
        <v>592</v>
      </c>
      <c r="C5" s="272" t="s">
        <v>745</v>
      </c>
    </row>
    <row r="6" spans="1:3" ht="38.25">
      <c r="A6" s="251">
        <f>+A5+1</f>
        <v>3</v>
      </c>
      <c r="B6" s="250" t="s">
        <v>593</v>
      </c>
      <c r="C6" s="272" t="s">
        <v>746</v>
      </c>
    </row>
    <row r="7" spans="1:3" ht="25.5">
      <c r="A7" s="251">
        <f>+A6+1</f>
        <v>4</v>
      </c>
      <c r="B7" s="250" t="s">
        <v>594</v>
      </c>
      <c r="C7" s="272" t="s">
        <v>747</v>
      </c>
    </row>
    <row r="8" spans="1:3">
      <c r="A8" s="251">
        <f>+A7+1</f>
        <v>5</v>
      </c>
      <c r="B8" s="250" t="s">
        <v>596</v>
      </c>
      <c r="C8" s="273" t="s">
        <v>595</v>
      </c>
    </row>
    <row r="11" spans="1:3">
      <c r="A11" s="271" t="s">
        <v>597</v>
      </c>
    </row>
    <row r="12" spans="1:3">
      <c r="A12" s="250">
        <v>1</v>
      </c>
      <c r="B12" s="250" t="s">
        <v>598</v>
      </c>
    </row>
    <row r="13" spans="1:3">
      <c r="A13" s="250">
        <v>2</v>
      </c>
      <c r="B13" s="250" t="s">
        <v>778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1"/>
  </sheetPr>
  <dimension ref="A1:D57"/>
  <sheetViews>
    <sheetView zoomScale="80" zoomScaleNormal="80" workbookViewId="0">
      <selection activeCell="B8" sqref="B8"/>
    </sheetView>
  </sheetViews>
  <sheetFormatPr defaultRowHeight="12.75"/>
  <cols>
    <col min="1" max="1" width="7" style="250" customWidth="1"/>
    <col min="2" max="2" width="32.1640625" style="250" customWidth="1"/>
    <col min="3" max="3" width="56.33203125" style="250" customWidth="1"/>
    <col min="4" max="4" width="20.83203125" style="275" customWidth="1"/>
    <col min="5" max="5" width="10.83203125" style="250" customWidth="1"/>
    <col min="6" max="6" width="9.33203125" style="250"/>
    <col min="7" max="7" width="12.83203125" style="250" customWidth="1"/>
    <col min="8" max="8" width="17.83203125" style="250" bestFit="1" customWidth="1"/>
    <col min="9" max="10" width="12.83203125" style="250" customWidth="1"/>
    <col min="11" max="16384" width="9.33203125" style="250"/>
  </cols>
  <sheetData>
    <row r="1" spans="1:4">
      <c r="A1" s="274" t="s">
        <v>471</v>
      </c>
    </row>
    <row r="3" spans="1:4">
      <c r="B3" s="250" t="s">
        <v>470</v>
      </c>
      <c r="C3" s="276">
        <v>42718</v>
      </c>
      <c r="D3" s="275" t="s">
        <v>609</v>
      </c>
    </row>
    <row r="5" spans="1:4">
      <c r="B5" s="250" t="s">
        <v>475</v>
      </c>
      <c r="C5" s="277" t="s">
        <v>997</v>
      </c>
    </row>
    <row r="6" spans="1:4">
      <c r="B6" s="250" t="s">
        <v>476</v>
      </c>
      <c r="C6" s="278">
        <v>42735</v>
      </c>
    </row>
    <row r="7" spans="1:4">
      <c r="B7" s="250" t="s">
        <v>579</v>
      </c>
      <c r="C7" s="278">
        <v>42735</v>
      </c>
    </row>
    <row r="8" spans="1:4">
      <c r="B8" s="250" t="s">
        <v>487</v>
      </c>
      <c r="C8" s="277" t="s">
        <v>2276</v>
      </c>
    </row>
    <row r="9" spans="1:4">
      <c r="B9" s="250" t="s">
        <v>479</v>
      </c>
      <c r="C9" s="279">
        <v>0.4</v>
      </c>
    </row>
    <row r="10" spans="1:4">
      <c r="B10" s="250" t="s">
        <v>504</v>
      </c>
      <c r="C10" s="277"/>
    </row>
    <row r="13" spans="1:4">
      <c r="B13" s="250" t="s">
        <v>474</v>
      </c>
      <c r="C13" s="277"/>
    </row>
    <row r="14" spans="1:4">
      <c r="B14" s="250" t="s">
        <v>477</v>
      </c>
      <c r="C14" s="277"/>
    </row>
    <row r="15" spans="1:4">
      <c r="B15" s="250" t="s">
        <v>478</v>
      </c>
      <c r="C15" s="277"/>
    </row>
    <row r="16" spans="1:4">
      <c r="B16" s="250" t="s">
        <v>472</v>
      </c>
      <c r="C16" s="277"/>
    </row>
    <row r="17" spans="1:4">
      <c r="B17" s="250" t="s">
        <v>473</v>
      </c>
      <c r="C17" s="277"/>
    </row>
    <row r="19" spans="1:4">
      <c r="B19" s="250" t="s">
        <v>748</v>
      </c>
      <c r="C19" s="277" t="s">
        <v>144</v>
      </c>
    </row>
    <row r="20" spans="1:4">
      <c r="B20" s="250" t="s">
        <v>749</v>
      </c>
      <c r="C20" s="277" t="s">
        <v>751</v>
      </c>
    </row>
    <row r="21" spans="1:4">
      <c r="B21" s="250" t="s">
        <v>750</v>
      </c>
      <c r="C21" s="277" t="s">
        <v>0</v>
      </c>
    </row>
    <row r="22" spans="1:4">
      <c r="B22" s="250" t="s">
        <v>753</v>
      </c>
      <c r="C22" s="277" t="s">
        <v>752</v>
      </c>
    </row>
    <row r="23" spans="1:4">
      <c r="B23" s="250" t="s">
        <v>754</v>
      </c>
      <c r="C23" s="277" t="s">
        <v>1734</v>
      </c>
    </row>
    <row r="24" spans="1:4">
      <c r="B24" s="250" t="s">
        <v>1733</v>
      </c>
      <c r="C24" s="277" t="s">
        <v>88</v>
      </c>
    </row>
    <row r="25" spans="1:4">
      <c r="B25" s="250" t="s">
        <v>1828</v>
      </c>
      <c r="C25" s="277" t="s">
        <v>1829</v>
      </c>
    </row>
    <row r="26" spans="1:4">
      <c r="D26" s="280" t="s">
        <v>582</v>
      </c>
    </row>
    <row r="27" spans="1:4">
      <c r="A27" s="281" t="s">
        <v>480</v>
      </c>
      <c r="B27" s="282" t="s">
        <v>108</v>
      </c>
      <c r="C27" s="283" t="s">
        <v>481</v>
      </c>
      <c r="D27" s="284" t="s">
        <v>153</v>
      </c>
    </row>
    <row r="28" spans="1:4">
      <c r="A28" s="285">
        <v>1</v>
      </c>
      <c r="B28" s="286" t="str">
        <f>'Capital IQ Sheet-GPC'!A13</f>
        <v>NasdaqGS:ONCE</v>
      </c>
      <c r="C28" s="287" t="str">
        <f>'Capital IQ Sheet-GPC'!B13</f>
        <v>IQ249341857</v>
      </c>
      <c r="D28" s="288">
        <f>IF(B28="","",'Comp.1'!C12)</f>
        <v>1387.752</v>
      </c>
    </row>
    <row r="29" spans="1:4">
      <c r="A29" s="289">
        <f>A28+1</f>
        <v>2</v>
      </c>
      <c r="B29" s="290" t="str">
        <f>'Capital IQ Sheet-GPC'!A14</f>
        <v>NasdaqGM:CRSP</v>
      </c>
      <c r="C29" s="291" t="str">
        <f>'Capital IQ Sheet-GPC'!B14</f>
        <v>IQ262549448</v>
      </c>
      <c r="D29" s="292">
        <f>IF(B29="","",'Comp.1'!C13)</f>
        <v>825.52904000000012</v>
      </c>
    </row>
    <row r="30" spans="1:4">
      <c r="A30" s="289">
        <f t="shared" ref="A30:A57" si="0">A29+1</f>
        <v>3</v>
      </c>
      <c r="B30" s="290" t="str">
        <f>'Capital IQ Sheet-GPC'!A15</f>
        <v>NasdaqGM:WVE</v>
      </c>
      <c r="C30" s="291" t="str">
        <f>'Capital IQ Sheet-GPC'!B15</f>
        <v>IQ256557334</v>
      </c>
      <c r="D30" s="292">
        <f>IF(B30="","",'Comp.1'!C14)</f>
        <v>674.67870000000005</v>
      </c>
    </row>
    <row r="31" spans="1:4">
      <c r="A31" s="289">
        <f t="shared" si="0"/>
        <v>4</v>
      </c>
      <c r="B31" s="290" t="str">
        <f>'Capital IQ Sheet-GPC'!A16</f>
        <v>NasdaqGS:RGNX</v>
      </c>
      <c r="C31" s="291" t="str">
        <f>'Capital IQ Sheet-GPC'!B16</f>
        <v>IQ130641748</v>
      </c>
      <c r="D31" s="292">
        <f>IF(B31="","",'Comp.1'!C15)</f>
        <v>497.30718000000002</v>
      </c>
    </row>
    <row r="32" spans="1:4">
      <c r="A32" s="289">
        <f t="shared" si="0"/>
        <v>5</v>
      </c>
      <c r="B32" s="290" t="str">
        <f>'Capital IQ Sheet-GPC'!A17</f>
        <v>NasdaqGS:INO</v>
      </c>
      <c r="C32" s="291" t="str">
        <f>'Capital IQ Sheet-GPC'!B17</f>
        <v>IQ28922</v>
      </c>
      <c r="D32" s="292">
        <f>IF(B32="","",'Comp.1'!C16)</f>
        <v>404.75847000000005</v>
      </c>
    </row>
    <row r="33" spans="1:4">
      <c r="A33" s="289">
        <f t="shared" si="0"/>
        <v>6</v>
      </c>
      <c r="B33" s="290" t="str">
        <f>'Capital IQ Sheet-GPC'!A18</f>
        <v>NasdaqGS:ENTA</v>
      </c>
      <c r="C33" s="291" t="str">
        <f>'Capital IQ Sheet-GPC'!B18</f>
        <v>IQ345286</v>
      </c>
      <c r="D33" s="292">
        <f>IF(B33="","",'Comp.1'!C17)</f>
        <v>381.96800999999994</v>
      </c>
    </row>
    <row r="34" spans="1:4">
      <c r="A34" s="289">
        <f t="shared" si="0"/>
        <v>7</v>
      </c>
      <c r="B34" s="290" t="str">
        <f>'Capital IQ Sheet-GPC'!A19</f>
        <v>NasdaqGS:EDIT</v>
      </c>
      <c r="C34" s="291" t="str">
        <f>'Capital IQ Sheet-GPC'!B19</f>
        <v>IQ252050056</v>
      </c>
      <c r="D34" s="292">
        <f>IF(B34="","",'Comp.1'!C18)</f>
        <v>340.68456999999989</v>
      </c>
    </row>
    <row r="35" spans="1:4">
      <c r="A35" s="289">
        <f t="shared" si="0"/>
        <v>8</v>
      </c>
      <c r="B35" s="290" t="str">
        <f>'Capital IQ Sheet-GPC'!A20</f>
        <v>NasdaqGS:NK</v>
      </c>
      <c r="C35" s="291" t="str">
        <f>'Capital IQ Sheet-GPC'!B20</f>
        <v>IQ262241549</v>
      </c>
      <c r="D35" s="292">
        <f>IF(B35="","",'Comp.1'!C19)</f>
        <v>337.18269999999995</v>
      </c>
    </row>
    <row r="36" spans="1:4">
      <c r="A36" s="289">
        <f t="shared" si="0"/>
        <v>9</v>
      </c>
      <c r="B36" s="290" t="str">
        <f>'Capital IQ Sheet-GPC'!A21</f>
        <v>OTCBB:COCP</v>
      </c>
      <c r="C36" s="291" t="str">
        <f>'Capital IQ Sheet-GPC'!B21</f>
        <v>IQ49062639</v>
      </c>
      <c r="D36" s="292">
        <f>IF(B36="","",'Comp.1'!C20)</f>
        <v>311.30250000000001</v>
      </c>
    </row>
    <row r="37" spans="1:4">
      <c r="A37" s="289">
        <f t="shared" si="0"/>
        <v>10</v>
      </c>
      <c r="B37" s="290" t="str">
        <f>'Capital IQ Sheet-GPC'!A22</f>
        <v>NasdaqGM:NTLA</v>
      </c>
      <c r="C37" s="291" t="str">
        <f>'Capital IQ Sheet-GPC'!B22</f>
        <v>IQ277799796</v>
      </c>
      <c r="D37" s="292">
        <f>IF(B37="","",'Comp.1'!C21)</f>
        <v>276.30846000000003</v>
      </c>
    </row>
    <row r="38" spans="1:4">
      <c r="A38" s="289">
        <f t="shared" si="0"/>
        <v>11</v>
      </c>
      <c r="B38" s="290" t="str">
        <f>'Capital IQ Sheet-GPC'!A23</f>
        <v>ENXTPA:SIGHT</v>
      </c>
      <c r="C38" s="291" t="str">
        <f>'Capital IQ Sheet-GPC'!B23</f>
        <v>IQ235063288</v>
      </c>
      <c r="D38" s="292">
        <f>IF(B38="","",'Comp.1'!C22)</f>
        <v>224.07716000000005</v>
      </c>
    </row>
    <row r="39" spans="1:4">
      <c r="A39" s="289">
        <f t="shared" si="0"/>
        <v>12</v>
      </c>
      <c r="B39" s="290" t="str">
        <f>'Capital IQ Sheet-GPC'!A24</f>
        <v>NasdaqCM:ADXS</v>
      </c>
      <c r="C39" s="291" t="str">
        <f>'Capital IQ Sheet-GPC'!B24</f>
        <v>IQ7924894</v>
      </c>
      <c r="D39" s="292">
        <f>IF(B39="","",'Comp.1'!C23)</f>
        <v>252.38670000000002</v>
      </c>
    </row>
    <row r="40" spans="1:4">
      <c r="A40" s="289">
        <f t="shared" si="0"/>
        <v>13</v>
      </c>
      <c r="B40" s="290" t="str">
        <f>'Capital IQ Sheet-GPC'!A25</f>
        <v>NasdaqGM:BOLD</v>
      </c>
      <c r="C40" s="291" t="str">
        <f>'Capital IQ Sheet-GPC'!B25</f>
        <v>IQ243223852</v>
      </c>
      <c r="D40" s="292">
        <f>IF(B40="","",'Comp.1'!C24)</f>
        <v>237.76443</v>
      </c>
    </row>
    <row r="41" spans="1:4">
      <c r="A41" s="289">
        <f t="shared" si="0"/>
        <v>14</v>
      </c>
      <c r="B41" s="290" t="str">
        <f>'Capital IQ Sheet-GPC'!A26</f>
        <v>NasdaqGS:SYRS</v>
      </c>
      <c r="C41" s="291" t="str">
        <f>'Capital IQ Sheet-GPC'!B26</f>
        <v>IQ236291486</v>
      </c>
      <c r="D41" s="292">
        <f>IF(B41="","",'Comp.1'!C25)</f>
        <v>224.27377000000004</v>
      </c>
    </row>
    <row r="42" spans="1:4">
      <c r="A42" s="289">
        <f t="shared" si="0"/>
        <v>15</v>
      </c>
      <c r="B42" s="290" t="str">
        <f>'Capital IQ Sheet-GPC'!A27</f>
        <v>NasdaqCM:ABEO</v>
      </c>
      <c r="C42" s="291" t="str">
        <f>'Capital IQ Sheet-GPC'!B27</f>
        <v>IQ360935</v>
      </c>
      <c r="D42" s="292">
        <f>IF(B42="","",'Comp.1'!C26)</f>
        <v>218.56229999999999</v>
      </c>
    </row>
    <row r="43" spans="1:4">
      <c r="A43" s="289">
        <f t="shared" si="0"/>
        <v>16</v>
      </c>
      <c r="B43" s="290" t="str">
        <f>'Capital IQ Sheet-GPC'!A28</f>
        <v>NasdaqCM:IDRA</v>
      </c>
      <c r="C43" s="291" t="str">
        <f>'Capital IQ Sheet-GPC'!B28</f>
        <v>IQ29643</v>
      </c>
      <c r="D43" s="292">
        <f>IF(B43="","",'Comp.1'!C27)</f>
        <v>198.09277</v>
      </c>
    </row>
    <row r="44" spans="1:4">
      <c r="A44" s="289">
        <f t="shared" si="0"/>
        <v>17</v>
      </c>
      <c r="B44" s="290" t="str">
        <f>'Capital IQ Sheet-GPC'!A29</f>
        <v>NasdaqGS:ACHN</v>
      </c>
      <c r="C44" s="291" t="str">
        <f>'Capital IQ Sheet-GPC'!B29</f>
        <v>IQ120199</v>
      </c>
      <c r="D44" s="292">
        <f>IF(B44="","",'Comp.1'!C28)</f>
        <v>157.44288</v>
      </c>
    </row>
    <row r="45" spans="1:4">
      <c r="A45" s="289">
        <f t="shared" si="0"/>
        <v>18</v>
      </c>
      <c r="B45" s="290" t="str">
        <f>'Capital IQ Sheet-GPC'!A30</f>
        <v>NasdaqCM:CTRV</v>
      </c>
      <c r="C45" s="291" t="str">
        <f>'Capital IQ Sheet-GPC'!B30</f>
        <v>IQ244424098</v>
      </c>
      <c r="D45" s="292">
        <f>IF(B45="","",'Comp.1'!C29)</f>
        <v>117.4936</v>
      </c>
    </row>
    <row r="46" spans="1:4">
      <c r="A46" s="289">
        <f t="shared" si="0"/>
        <v>19</v>
      </c>
      <c r="B46" s="290" t="str">
        <f>'Capital IQ Sheet-GPC'!A31</f>
        <v>NasdaqGS:SGMO</v>
      </c>
      <c r="C46" s="291" t="str">
        <f>'Capital IQ Sheet-GPC'!B31</f>
        <v>IQ412674</v>
      </c>
      <c r="D46" s="292">
        <f>IF(B46="","",'Comp.1'!C30)</f>
        <v>80.415350000000018</v>
      </c>
    </row>
    <row r="47" spans="1:4">
      <c r="A47" s="289">
        <f t="shared" si="0"/>
        <v>20</v>
      </c>
      <c r="B47" s="290" t="str">
        <f>'Capital IQ Sheet-GPC'!A32</f>
        <v>NasdaqGM:IMDZ</v>
      </c>
      <c r="C47" s="291" t="str">
        <f>'Capital IQ Sheet-GPC'!B32</f>
        <v>IQ46099827</v>
      </c>
      <c r="D47" s="292">
        <f>IF(B47="","",'Comp.1'!C31)</f>
        <v>74.286450000000002</v>
      </c>
    </row>
    <row r="48" spans="1:4">
      <c r="A48" s="289">
        <f t="shared" si="0"/>
        <v>21</v>
      </c>
      <c r="B48" s="290" t="str">
        <f>'Capital IQ Sheet-GPC'!A33</f>
        <v>NasdaqGM:FATE</v>
      </c>
      <c r="C48" s="291" t="str">
        <f>'Capital IQ Sheet-GPC'!B33</f>
        <v>IQ39268712</v>
      </c>
      <c r="D48" s="292">
        <f>IF(B48="","",'Comp.1'!C32)</f>
        <v>66.411570000000012</v>
      </c>
    </row>
    <row r="49" spans="1:4">
      <c r="A49" s="289">
        <f t="shared" si="0"/>
        <v>22</v>
      </c>
      <c r="B49" s="290" t="str">
        <f>'Capital IQ Sheet-GPC'!A34</f>
        <v>NasdaqGS:ARWR</v>
      </c>
      <c r="C49" s="291" t="str">
        <f>'Capital IQ Sheet-GPC'!B34</f>
        <v>IQ203142</v>
      </c>
      <c r="D49" s="292">
        <f>IF(B49="","",'Comp.1'!C33)</f>
        <v>61.070200000000007</v>
      </c>
    </row>
    <row r="50" spans="1:4">
      <c r="A50" s="289">
        <f t="shared" si="0"/>
        <v>23</v>
      </c>
      <c r="B50" s="290" t="str">
        <f>'Capital IQ Sheet-GPC'!A35</f>
        <v>NasdaqGM:RGLS</v>
      </c>
      <c r="C50" s="291" t="str">
        <f>'Capital IQ Sheet-GPC'!B35</f>
        <v>IQ36742485</v>
      </c>
      <c r="D50" s="292">
        <f>IF(B50="","",'Comp.1'!C34)</f>
        <v>57.866100000000017</v>
      </c>
    </row>
    <row r="51" spans="1:4">
      <c r="A51" s="289">
        <f t="shared" si="0"/>
        <v>24</v>
      </c>
      <c r="B51" s="290" t="str">
        <f>'Capital IQ Sheet-GPC'!A36</f>
        <v>AMEX:CVM</v>
      </c>
      <c r="C51" s="291" t="str">
        <f>'Capital IQ Sheet-GPC'!B36</f>
        <v>IQ258746</v>
      </c>
      <c r="D51" s="292">
        <f>IF(B51="","",'Comp.1'!C35)</f>
        <v>27.601040000000001</v>
      </c>
    </row>
    <row r="52" spans="1:4">
      <c r="A52" s="289">
        <f t="shared" si="0"/>
        <v>25</v>
      </c>
      <c r="B52" s="290" t="str">
        <f>'Capital IQ Sheet-GPC'!A37</f>
        <v>NasdaqCM:PZRX</v>
      </c>
      <c r="C52" s="291" t="str">
        <f>'Capital IQ Sheet-GPC'!B37</f>
        <v>IQ41693120</v>
      </c>
      <c r="D52" s="292">
        <f>IF(B52="","",'Comp.1'!C36)</f>
        <v>11.525689999999997</v>
      </c>
    </row>
    <row r="53" spans="1:4">
      <c r="A53" s="289">
        <f t="shared" si="0"/>
        <v>26</v>
      </c>
      <c r="B53" s="290" t="str">
        <f>'Capital IQ Sheet-GPC'!A38</f>
        <v>OTCPK:MRNA</v>
      </c>
      <c r="C53" s="291" t="str">
        <f>'Capital IQ Sheet-GPC'!B38</f>
        <v>IQ280596151</v>
      </c>
      <c r="D53" s="292">
        <f>IF(B53="","",'Comp.1'!C37)</f>
        <v>9.8748500000000003</v>
      </c>
    </row>
    <row r="54" spans="1:4">
      <c r="A54" s="289">
        <f t="shared" si="0"/>
        <v>27</v>
      </c>
      <c r="B54" s="290" t="str">
        <f>'Capital IQ Sheet-GPC'!A39</f>
        <v>NasdaqCM:RXII</v>
      </c>
      <c r="C54" s="291" t="str">
        <f>'Capital IQ Sheet-GPC'!B39</f>
        <v>IQ140969529</v>
      </c>
      <c r="D54" s="292">
        <f>IF(B54="","",'Comp.1'!C38)</f>
        <v>5.5867699999999996</v>
      </c>
    </row>
    <row r="55" spans="1:4">
      <c r="A55" s="289">
        <f t="shared" si="0"/>
        <v>28</v>
      </c>
      <c r="B55" s="290" t="str">
        <f>'Capital IQ Sheet-GPC'!A40</f>
        <v>ASX:BLT</v>
      </c>
      <c r="C55" s="291" t="str">
        <f>'Capital IQ Sheet-GPC'!B40</f>
        <v>IQ4492928</v>
      </c>
      <c r="D55" s="292">
        <f>IF(B55="","",'Comp.1'!C39)</f>
        <v>2.1931599999999989</v>
      </c>
    </row>
    <row r="56" spans="1:4">
      <c r="A56" s="289">
        <f t="shared" si="0"/>
        <v>29</v>
      </c>
      <c r="B56" s="290" t="str">
        <f>'Capital IQ Sheet-GPC'!A41</f>
        <v>NasdaqCM:GNVC</v>
      </c>
      <c r="C56" s="291" t="str">
        <f>'Capital IQ Sheet-GPC'!B41</f>
        <v>IQ28949</v>
      </c>
      <c r="D56" s="292">
        <f>IF(B56="","",'Comp.1'!C40)</f>
        <v>-1.0658100000000008</v>
      </c>
    </row>
    <row r="57" spans="1:4">
      <c r="A57" s="293">
        <f t="shared" si="0"/>
        <v>30</v>
      </c>
      <c r="B57" s="294" t="str">
        <f>'Capital IQ Sheet-GPC'!A42</f>
        <v>NasdaqGS:ABUS</v>
      </c>
      <c r="C57" s="295" t="str">
        <f>'Capital IQ Sheet-GPC'!B42</f>
        <v>IQ34160168</v>
      </c>
      <c r="D57" s="296">
        <f>IF(B57="","",'Comp.1'!C41)</f>
        <v>-4.3520399999999881</v>
      </c>
    </row>
  </sheetData>
  <dataValidations count="1">
    <dataValidation type="list" allowBlank="1" showInputMessage="1" showErrorMessage="1" sqref="C10" xr:uid="{00000000-0002-0000-0100-000000000000}">
      <formula1>"New,Recurring"</formula1>
    </dataValidation>
  </dataValidations>
  <pageMargins left="0.5" right="0.5" top="0.5" bottom="0.5" header="0.3" footer="0.3"/>
  <pageSetup orientation="landscape" r:id="rId1"/>
  <headerFooter>
    <oddHeader>&amp;R&amp;"Garamond, Bold"&amp;K000001CONFIDENTIAL</oddHeader>
    <oddFooter>&amp;L&amp;G&amp;R&amp;"Garamond"&amp;K000001Page &amp;P of &amp;N</oddFooter>
  </headerFooter>
  <legacy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9"/>
  <dimension ref="B3:G165"/>
  <sheetViews>
    <sheetView topLeftCell="A77" zoomScale="80" zoomScaleNormal="80" workbookViewId="0">
      <selection activeCell="B77" sqref="B77:F78"/>
    </sheetView>
  </sheetViews>
  <sheetFormatPr defaultRowHeight="12.75"/>
  <cols>
    <col min="1" max="1" width="9.33203125" style="250"/>
    <col min="2" max="2" width="17" style="250" customWidth="1"/>
    <col min="3" max="3" width="13.33203125" style="250" customWidth="1"/>
    <col min="4" max="4" width="26.5" style="250" customWidth="1"/>
    <col min="5" max="5" width="9.33203125" style="250"/>
    <col min="6" max="6" width="65" style="250" customWidth="1"/>
    <col min="7" max="7" width="46.5" style="250" customWidth="1"/>
    <col min="8" max="16384" width="9.33203125" style="250"/>
  </cols>
  <sheetData>
    <row r="3" spans="2:7">
      <c r="B3" s="253" t="s">
        <v>1789</v>
      </c>
      <c r="D3" s="250" t="s">
        <v>1813</v>
      </c>
    </row>
    <row r="4" spans="2:7">
      <c r="B4" s="253" t="s">
        <v>1795</v>
      </c>
      <c r="D4" s="297">
        <v>42850.427083333336</v>
      </c>
    </row>
    <row r="6" spans="2:7">
      <c r="B6" s="298" t="s">
        <v>1790</v>
      </c>
      <c r="C6" s="298" t="s">
        <v>1791</v>
      </c>
      <c r="D6" s="298" t="s">
        <v>1792</v>
      </c>
      <c r="E6" s="298" t="s">
        <v>1793</v>
      </c>
      <c r="F6" s="298" t="s">
        <v>785</v>
      </c>
      <c r="G6" s="298" t="s">
        <v>1794</v>
      </c>
    </row>
    <row r="7" spans="2:7">
      <c r="B7" s="299"/>
      <c r="C7" s="299"/>
      <c r="D7" s="299"/>
      <c r="E7" s="299"/>
      <c r="F7" s="299"/>
      <c r="G7" s="299"/>
    </row>
    <row r="8" spans="2:7">
      <c r="B8" s="300">
        <v>42772</v>
      </c>
      <c r="C8" s="299" t="s">
        <v>1796</v>
      </c>
      <c r="D8" s="299" t="s">
        <v>1797</v>
      </c>
      <c r="E8" s="299" t="s">
        <v>1798</v>
      </c>
      <c r="F8" s="299" t="s">
        <v>1799</v>
      </c>
      <c r="G8" s="299"/>
    </row>
    <row r="9" spans="2:7" ht="25.5">
      <c r="B9" s="300">
        <v>42772</v>
      </c>
      <c r="C9" s="299" t="s">
        <v>1796</v>
      </c>
      <c r="D9" s="299" t="s">
        <v>1800</v>
      </c>
      <c r="E9" s="299" t="s">
        <v>1801</v>
      </c>
      <c r="F9" s="301" t="s">
        <v>1802</v>
      </c>
      <c r="G9" s="299"/>
    </row>
    <row r="10" spans="2:7">
      <c r="B10" s="302">
        <v>42776</v>
      </c>
      <c r="C10" s="299" t="s">
        <v>1796</v>
      </c>
      <c r="D10" s="299" t="s">
        <v>1803</v>
      </c>
      <c r="E10" s="299" t="s">
        <v>1804</v>
      </c>
      <c r="F10" s="299" t="s">
        <v>1805</v>
      </c>
      <c r="G10" s="299"/>
    </row>
    <row r="11" spans="2:7">
      <c r="B11" s="302">
        <v>42776</v>
      </c>
      <c r="C11" s="299" t="s">
        <v>1796</v>
      </c>
      <c r="D11" s="299" t="s">
        <v>696</v>
      </c>
      <c r="E11" s="299" t="s">
        <v>1806</v>
      </c>
      <c r="F11" s="299" t="s">
        <v>1807</v>
      </c>
      <c r="G11" s="299"/>
    </row>
    <row r="12" spans="2:7">
      <c r="B12" s="302">
        <v>42776</v>
      </c>
      <c r="C12" s="299" t="s">
        <v>1796</v>
      </c>
      <c r="D12" s="299" t="s">
        <v>1808</v>
      </c>
      <c r="E12" s="299" t="s">
        <v>1809</v>
      </c>
      <c r="F12" s="299" t="s">
        <v>1810</v>
      </c>
      <c r="G12" s="299"/>
    </row>
    <row r="13" spans="2:7">
      <c r="B13" s="302">
        <v>42776</v>
      </c>
      <c r="C13" s="299" t="s">
        <v>1796</v>
      </c>
      <c r="D13" s="299" t="s">
        <v>117</v>
      </c>
      <c r="E13" s="299" t="s">
        <v>1811</v>
      </c>
      <c r="F13" s="299" t="s">
        <v>1812</v>
      </c>
      <c r="G13" s="299"/>
    </row>
    <row r="14" spans="2:7">
      <c r="B14" s="302">
        <v>42800</v>
      </c>
      <c r="C14" s="299" t="s">
        <v>1819</v>
      </c>
      <c r="D14" s="299" t="s">
        <v>669</v>
      </c>
      <c r="E14" s="299" t="s">
        <v>1804</v>
      </c>
      <c r="F14" s="299" t="s">
        <v>1822</v>
      </c>
      <c r="G14" s="299"/>
    </row>
    <row r="15" spans="2:7">
      <c r="B15" s="302">
        <v>42800</v>
      </c>
      <c r="C15" s="299" t="s">
        <v>1819</v>
      </c>
      <c r="D15" s="299" t="s">
        <v>1820</v>
      </c>
      <c r="E15" s="299" t="s">
        <v>1804</v>
      </c>
      <c r="F15" s="299" t="s">
        <v>1823</v>
      </c>
      <c r="G15" s="299"/>
    </row>
    <row r="16" spans="2:7">
      <c r="B16" s="302">
        <v>42800</v>
      </c>
      <c r="C16" s="299" t="s">
        <v>1819</v>
      </c>
      <c r="D16" s="299" t="s">
        <v>1821</v>
      </c>
      <c r="E16" s="299" t="s">
        <v>1825</v>
      </c>
      <c r="F16" s="299" t="s">
        <v>1824</v>
      </c>
      <c r="G16" s="299"/>
    </row>
    <row r="17" spans="2:7">
      <c r="B17" s="302">
        <v>42801</v>
      </c>
      <c r="C17" s="299" t="s">
        <v>1819</v>
      </c>
      <c r="D17" s="299" t="s">
        <v>696</v>
      </c>
      <c r="E17" s="299" t="s">
        <v>1827</v>
      </c>
      <c r="F17" s="299" t="s">
        <v>1826</v>
      </c>
      <c r="G17" s="299"/>
    </row>
    <row r="18" spans="2:7">
      <c r="B18" s="302">
        <v>42811</v>
      </c>
      <c r="C18" s="299" t="s">
        <v>1830</v>
      </c>
      <c r="D18" s="299" t="s">
        <v>1831</v>
      </c>
      <c r="E18" s="299" t="s">
        <v>1832</v>
      </c>
      <c r="F18" s="299" t="s">
        <v>1833</v>
      </c>
      <c r="G18" s="299"/>
    </row>
    <row r="19" spans="2:7">
      <c r="B19" s="302">
        <v>42817</v>
      </c>
      <c r="C19" s="299" t="s">
        <v>1819</v>
      </c>
      <c r="D19" s="299" t="s">
        <v>160</v>
      </c>
      <c r="E19" s="299" t="s">
        <v>1834</v>
      </c>
      <c r="F19" s="299" t="s">
        <v>1835</v>
      </c>
      <c r="G19" s="299"/>
    </row>
    <row r="20" spans="2:7">
      <c r="B20" s="302">
        <v>42849</v>
      </c>
      <c r="C20" s="299" t="s">
        <v>1796</v>
      </c>
      <c r="D20" s="299" t="s">
        <v>1821</v>
      </c>
      <c r="E20" s="299" t="s">
        <v>1836</v>
      </c>
      <c r="F20" s="299" t="s">
        <v>1837</v>
      </c>
      <c r="G20" s="299"/>
    </row>
    <row r="21" spans="2:7">
      <c r="B21" s="302">
        <v>42850</v>
      </c>
      <c r="C21" s="299" t="s">
        <v>1796</v>
      </c>
      <c r="D21" s="299" t="s">
        <v>1841</v>
      </c>
      <c r="E21" s="299" t="s">
        <v>1843</v>
      </c>
      <c r="F21" s="299" t="s">
        <v>1842</v>
      </c>
      <c r="G21" s="299"/>
    </row>
    <row r="22" spans="2:7">
      <c r="B22" s="302">
        <v>42878</v>
      </c>
      <c r="C22" s="299" t="s">
        <v>1830</v>
      </c>
      <c r="D22" s="299" t="s">
        <v>2320</v>
      </c>
      <c r="E22" s="299"/>
      <c r="F22" s="299" t="s">
        <v>2321</v>
      </c>
      <c r="G22" s="299"/>
    </row>
    <row r="23" spans="2:7">
      <c r="B23" s="302">
        <v>42878</v>
      </c>
      <c r="C23" s="299" t="s">
        <v>1830</v>
      </c>
      <c r="D23" s="299" t="s">
        <v>2188</v>
      </c>
      <c r="E23" s="299"/>
      <c r="F23" s="299" t="s">
        <v>2328</v>
      </c>
      <c r="G23" s="299"/>
    </row>
    <row r="24" spans="2:7">
      <c r="B24" s="302">
        <v>42878</v>
      </c>
      <c r="C24" s="299" t="s">
        <v>1830</v>
      </c>
      <c r="D24" s="299" t="s">
        <v>2322</v>
      </c>
      <c r="E24" s="299"/>
      <c r="F24" s="299" t="s">
        <v>2323</v>
      </c>
      <c r="G24" s="299"/>
    </row>
    <row r="25" spans="2:7">
      <c r="B25" s="302">
        <v>42878</v>
      </c>
      <c r="C25" s="299" t="s">
        <v>1830</v>
      </c>
      <c r="D25" s="299" t="s">
        <v>2324</v>
      </c>
      <c r="E25" s="299"/>
      <c r="F25" s="299" t="s">
        <v>2325</v>
      </c>
      <c r="G25" s="299"/>
    </row>
    <row r="26" spans="2:7">
      <c r="B26" s="302">
        <v>42878</v>
      </c>
      <c r="C26" s="299" t="s">
        <v>1830</v>
      </c>
      <c r="D26" s="299" t="s">
        <v>117</v>
      </c>
      <c r="E26" s="299"/>
      <c r="F26" s="299" t="s">
        <v>2326</v>
      </c>
      <c r="G26" s="299"/>
    </row>
    <row r="27" spans="2:7">
      <c r="B27" s="302">
        <v>42878</v>
      </c>
      <c r="C27" s="299" t="s">
        <v>1830</v>
      </c>
      <c r="D27" s="299" t="s">
        <v>2208</v>
      </c>
      <c r="E27" s="299"/>
      <c r="F27" s="299" t="s">
        <v>2327</v>
      </c>
      <c r="G27" s="299"/>
    </row>
    <row r="28" spans="2:7">
      <c r="B28" s="302">
        <v>42885</v>
      </c>
      <c r="C28" s="299" t="s">
        <v>1830</v>
      </c>
      <c r="D28" s="299" t="s">
        <v>398</v>
      </c>
      <c r="E28" s="299"/>
      <c r="F28" s="299" t="s">
        <v>2329</v>
      </c>
      <c r="G28" s="299"/>
    </row>
    <row r="29" spans="2:7">
      <c r="B29" s="302">
        <v>42885</v>
      </c>
      <c r="C29" s="299" t="s">
        <v>1830</v>
      </c>
      <c r="D29" s="299" t="s">
        <v>160</v>
      </c>
      <c r="E29" s="299" t="s">
        <v>2330</v>
      </c>
      <c r="F29" s="299" t="s">
        <v>2331</v>
      </c>
      <c r="G29" s="299"/>
    </row>
    <row r="30" spans="2:7">
      <c r="B30" s="302">
        <v>42885</v>
      </c>
      <c r="C30" s="299" t="s">
        <v>1830</v>
      </c>
      <c r="D30" s="299" t="s">
        <v>2332</v>
      </c>
      <c r="E30" s="299"/>
      <c r="F30" s="299" t="s">
        <v>2333</v>
      </c>
      <c r="G30" s="299"/>
    </row>
    <row r="31" spans="2:7">
      <c r="B31" s="302">
        <v>42885</v>
      </c>
      <c r="C31" s="299" t="s">
        <v>1830</v>
      </c>
      <c r="D31" s="299" t="s">
        <v>2332</v>
      </c>
      <c r="E31" s="299"/>
      <c r="F31" s="299" t="s">
        <v>2334</v>
      </c>
      <c r="G31" s="299"/>
    </row>
    <row r="32" spans="2:7">
      <c r="B32" s="302">
        <v>43039</v>
      </c>
      <c r="C32" s="299" t="s">
        <v>1830</v>
      </c>
      <c r="D32" s="299" t="s">
        <v>1386</v>
      </c>
      <c r="E32" s="299"/>
      <c r="F32" s="299" t="s">
        <v>2376</v>
      </c>
      <c r="G32" s="299"/>
    </row>
    <row r="33" spans="2:7">
      <c r="B33" s="302">
        <v>43039</v>
      </c>
      <c r="C33" s="299" t="s">
        <v>1830</v>
      </c>
      <c r="D33" s="299" t="s">
        <v>2377</v>
      </c>
      <c r="E33" s="299"/>
      <c r="F33" s="299" t="s">
        <v>2378</v>
      </c>
      <c r="G33" s="299"/>
    </row>
    <row r="34" spans="2:7">
      <c r="B34" s="302">
        <v>43049</v>
      </c>
      <c r="C34" s="299" t="s">
        <v>1830</v>
      </c>
      <c r="D34" s="299" t="s">
        <v>2379</v>
      </c>
      <c r="E34" s="299"/>
      <c r="F34" s="299" t="s">
        <v>2380</v>
      </c>
      <c r="G34" s="299"/>
    </row>
    <row r="35" spans="2:7">
      <c r="B35" s="302">
        <v>43083</v>
      </c>
      <c r="C35" s="299" t="s">
        <v>1830</v>
      </c>
      <c r="D35" s="299" t="s">
        <v>2453</v>
      </c>
      <c r="E35" s="299"/>
      <c r="F35" s="299" t="s">
        <v>2452</v>
      </c>
      <c r="G35" s="299"/>
    </row>
    <row r="36" spans="2:7">
      <c r="B36" s="302">
        <v>43098</v>
      </c>
      <c r="C36" s="299" t="s">
        <v>1830</v>
      </c>
      <c r="D36" s="299" t="s">
        <v>2332</v>
      </c>
      <c r="E36" s="299"/>
      <c r="F36" s="299" t="s">
        <v>2522</v>
      </c>
      <c r="G36" s="299"/>
    </row>
    <row r="37" spans="2:7">
      <c r="B37" s="302">
        <v>43105</v>
      </c>
      <c r="C37" s="299" t="s">
        <v>1830</v>
      </c>
      <c r="D37" s="299" t="s">
        <v>2332</v>
      </c>
      <c r="E37" s="299"/>
      <c r="F37" s="299" t="s">
        <v>2523</v>
      </c>
      <c r="G37" s="299"/>
    </row>
    <row r="38" spans="2:7">
      <c r="B38" s="302">
        <v>43105</v>
      </c>
      <c r="C38" s="299" t="s">
        <v>1830</v>
      </c>
      <c r="D38" s="299" t="s">
        <v>2533</v>
      </c>
      <c r="E38" s="299"/>
      <c r="F38" s="299" t="s">
        <v>2534</v>
      </c>
      <c r="G38" s="299"/>
    </row>
    <row r="39" spans="2:7">
      <c r="B39" s="302">
        <v>43105</v>
      </c>
      <c r="C39" s="299" t="s">
        <v>1830</v>
      </c>
      <c r="D39" s="299" t="s">
        <v>2322</v>
      </c>
      <c r="E39" s="299"/>
      <c r="F39" s="299" t="s">
        <v>2536</v>
      </c>
      <c r="G39" s="299"/>
    </row>
    <row r="40" spans="2:7">
      <c r="B40" s="302">
        <v>43105</v>
      </c>
      <c r="C40" s="299" t="s">
        <v>1830</v>
      </c>
      <c r="D40" s="299" t="s">
        <v>2188</v>
      </c>
      <c r="E40" s="299"/>
      <c r="F40" s="299" t="s">
        <v>2537</v>
      </c>
      <c r="G40" s="299"/>
    </row>
    <row r="41" spans="2:7">
      <c r="B41" s="302">
        <v>43222</v>
      </c>
      <c r="C41" s="299" t="s">
        <v>1830</v>
      </c>
      <c r="D41" s="299" t="s">
        <v>2538</v>
      </c>
      <c r="E41" s="299"/>
      <c r="F41" s="299" t="s">
        <v>2539</v>
      </c>
      <c r="G41" s="299"/>
    </row>
    <row r="42" spans="2:7">
      <c r="B42" s="302">
        <v>43222</v>
      </c>
      <c r="C42" s="299" t="s">
        <v>2543</v>
      </c>
      <c r="D42" s="299" t="s">
        <v>2336</v>
      </c>
      <c r="E42" s="299"/>
      <c r="F42" s="299" t="s">
        <v>2548</v>
      </c>
      <c r="G42" s="299"/>
    </row>
    <row r="43" spans="2:7">
      <c r="B43" s="302">
        <v>43222</v>
      </c>
      <c r="C43" s="299" t="s">
        <v>2543</v>
      </c>
      <c r="D43" s="299" t="s">
        <v>2336</v>
      </c>
      <c r="E43" s="299" t="s">
        <v>2551</v>
      </c>
      <c r="F43" s="299" t="s">
        <v>2549</v>
      </c>
      <c r="G43" s="299"/>
    </row>
    <row r="44" spans="2:7">
      <c r="B44" s="302">
        <v>43222</v>
      </c>
      <c r="C44" s="299" t="s">
        <v>2543</v>
      </c>
      <c r="D44" s="299" t="s">
        <v>2550</v>
      </c>
      <c r="E44" s="299"/>
      <c r="F44" s="299" t="s">
        <v>2548</v>
      </c>
      <c r="G44" s="299"/>
    </row>
    <row r="45" spans="2:7">
      <c r="B45" s="302">
        <v>43222</v>
      </c>
      <c r="C45" s="299" t="s">
        <v>2543</v>
      </c>
      <c r="D45" s="299" t="s">
        <v>2550</v>
      </c>
      <c r="E45" s="299" t="s">
        <v>2551</v>
      </c>
      <c r="F45" s="299" t="s">
        <v>2549</v>
      </c>
      <c r="G45" s="299"/>
    </row>
    <row r="46" spans="2:7">
      <c r="B46" s="302">
        <v>43222</v>
      </c>
      <c r="C46" s="299" t="s">
        <v>2543</v>
      </c>
      <c r="D46" s="299" t="s">
        <v>2273</v>
      </c>
      <c r="E46" s="299" t="s">
        <v>2553</v>
      </c>
      <c r="F46" s="299" t="s">
        <v>2552</v>
      </c>
      <c r="G46" s="299"/>
    </row>
    <row r="47" spans="2:7">
      <c r="B47" s="302">
        <v>43222</v>
      </c>
      <c r="C47" s="299" t="s">
        <v>2543</v>
      </c>
      <c r="D47" s="299" t="s">
        <v>814</v>
      </c>
      <c r="E47" s="299" t="s">
        <v>2555</v>
      </c>
      <c r="F47" s="299" t="s">
        <v>2554</v>
      </c>
      <c r="G47" s="299"/>
    </row>
    <row r="48" spans="2:7">
      <c r="B48" s="302">
        <v>43222</v>
      </c>
      <c r="C48" s="299" t="s">
        <v>2543</v>
      </c>
      <c r="D48" s="299" t="s">
        <v>2556</v>
      </c>
      <c r="E48" s="299"/>
      <c r="F48" s="299" t="s">
        <v>2557</v>
      </c>
      <c r="G48" s="299"/>
    </row>
    <row r="49" spans="2:7">
      <c r="B49" s="302">
        <v>43222</v>
      </c>
      <c r="C49" s="299" t="s">
        <v>2543</v>
      </c>
      <c r="D49" s="299" t="s">
        <v>398</v>
      </c>
      <c r="E49" s="299"/>
      <c r="F49" s="299" t="s">
        <v>2558</v>
      </c>
      <c r="G49" s="299"/>
    </row>
    <row r="50" spans="2:7">
      <c r="B50" s="302">
        <v>43222</v>
      </c>
      <c r="C50" s="299" t="s">
        <v>2543</v>
      </c>
      <c r="D50" s="299" t="s">
        <v>2556</v>
      </c>
      <c r="E50" s="299"/>
      <c r="F50" s="299" t="s">
        <v>2559</v>
      </c>
      <c r="G50" s="299"/>
    </row>
    <row r="51" spans="2:7">
      <c r="B51" s="302">
        <v>43222</v>
      </c>
      <c r="C51" s="299" t="s">
        <v>2543</v>
      </c>
      <c r="D51" s="299" t="s">
        <v>2560</v>
      </c>
      <c r="E51" s="299"/>
      <c r="F51" s="299" t="s">
        <v>2561</v>
      </c>
      <c r="G51" s="299"/>
    </row>
    <row r="52" spans="2:7">
      <c r="B52" s="302">
        <v>43222</v>
      </c>
      <c r="C52" s="299" t="s">
        <v>2543</v>
      </c>
      <c r="D52" s="299" t="s">
        <v>1797</v>
      </c>
      <c r="E52" s="299"/>
      <c r="F52" s="299" t="s">
        <v>2562</v>
      </c>
      <c r="G52" s="299"/>
    </row>
    <row r="53" spans="2:7">
      <c r="B53" s="302">
        <v>43222</v>
      </c>
      <c r="C53" s="299" t="s">
        <v>2543</v>
      </c>
      <c r="D53" s="299" t="s">
        <v>2563</v>
      </c>
      <c r="E53" s="299"/>
      <c r="F53" s="299" t="s">
        <v>2562</v>
      </c>
      <c r="G53" s="299"/>
    </row>
    <row r="54" spans="2:7">
      <c r="B54" s="302">
        <v>43223</v>
      </c>
      <c r="C54" s="299" t="s">
        <v>2564</v>
      </c>
      <c r="D54" s="299" t="s">
        <v>2567</v>
      </c>
      <c r="E54" s="299"/>
      <c r="F54" s="299" t="s">
        <v>2568</v>
      </c>
      <c r="G54" s="299"/>
    </row>
    <row r="55" spans="2:7">
      <c r="B55" s="302">
        <v>43223</v>
      </c>
      <c r="C55" s="299" t="s">
        <v>2564</v>
      </c>
      <c r="D55" s="299" t="s">
        <v>160</v>
      </c>
      <c r="E55" s="299"/>
      <c r="F55" s="299" t="s">
        <v>2569</v>
      </c>
      <c r="G55" s="299"/>
    </row>
    <row r="56" spans="2:7">
      <c r="B56" s="302">
        <v>43223</v>
      </c>
      <c r="C56" s="299" t="s">
        <v>2564</v>
      </c>
      <c r="D56" s="299" t="s">
        <v>2570</v>
      </c>
      <c r="E56" s="299"/>
      <c r="F56" s="299" t="s">
        <v>2571</v>
      </c>
      <c r="G56" s="299"/>
    </row>
    <row r="57" spans="2:7">
      <c r="B57" s="302">
        <v>43223</v>
      </c>
      <c r="C57" s="299" t="s">
        <v>2564</v>
      </c>
      <c r="D57" s="299" t="s">
        <v>2336</v>
      </c>
      <c r="E57" s="299"/>
      <c r="F57" s="299" t="s">
        <v>2574</v>
      </c>
      <c r="G57" s="299"/>
    </row>
    <row r="58" spans="2:7">
      <c r="B58" s="302">
        <v>43223</v>
      </c>
      <c r="C58" s="299" t="s">
        <v>2564</v>
      </c>
      <c r="D58" s="299" t="s">
        <v>2336</v>
      </c>
      <c r="E58" s="299"/>
      <c r="F58" s="299" t="s">
        <v>2575</v>
      </c>
      <c r="G58" s="299"/>
    </row>
    <row r="59" spans="2:7">
      <c r="B59" s="302">
        <v>43223</v>
      </c>
      <c r="C59" s="299" t="s">
        <v>2564</v>
      </c>
      <c r="D59" s="299" t="s">
        <v>2336</v>
      </c>
      <c r="E59" s="299"/>
      <c r="F59" s="299" t="s">
        <v>2581</v>
      </c>
      <c r="G59" s="299"/>
    </row>
    <row r="60" spans="2:7">
      <c r="B60" s="302">
        <v>43223</v>
      </c>
      <c r="C60" s="299" t="s">
        <v>2564</v>
      </c>
      <c r="D60" s="299" t="s">
        <v>2582</v>
      </c>
      <c r="E60" s="299"/>
      <c r="F60" s="299" t="s">
        <v>2583</v>
      </c>
      <c r="G60" s="299"/>
    </row>
    <row r="61" spans="2:7">
      <c r="B61" s="302">
        <v>43223</v>
      </c>
      <c r="C61" s="299" t="s">
        <v>2564</v>
      </c>
      <c r="D61" s="299" t="s">
        <v>2273</v>
      </c>
      <c r="E61" s="299"/>
      <c r="F61" s="299" t="s">
        <v>2584</v>
      </c>
      <c r="G61" s="299"/>
    </row>
    <row r="62" spans="2:7">
      <c r="B62" s="302">
        <v>43223</v>
      </c>
      <c r="C62" s="299" t="s">
        <v>2564</v>
      </c>
      <c r="D62" s="299" t="s">
        <v>2585</v>
      </c>
      <c r="E62" s="299"/>
      <c r="F62" s="299" t="s">
        <v>2586</v>
      </c>
      <c r="G62" s="299"/>
    </row>
    <row r="63" spans="2:7">
      <c r="B63" s="302">
        <v>43223</v>
      </c>
      <c r="C63" s="299" t="s">
        <v>2564</v>
      </c>
      <c r="D63" s="299" t="s">
        <v>398</v>
      </c>
      <c r="E63" s="299"/>
      <c r="F63" s="299" t="s">
        <v>2587</v>
      </c>
      <c r="G63" s="299"/>
    </row>
    <row r="64" spans="2:7">
      <c r="B64" s="302">
        <v>43223</v>
      </c>
      <c r="C64" s="299" t="s">
        <v>2564</v>
      </c>
      <c r="D64" s="299" t="s">
        <v>2591</v>
      </c>
      <c r="E64" s="299"/>
      <c r="F64" s="299" t="s">
        <v>2592</v>
      </c>
      <c r="G64" s="299"/>
    </row>
    <row r="65" spans="2:7">
      <c r="B65" s="302">
        <v>43223</v>
      </c>
      <c r="C65" s="299" t="s">
        <v>2564</v>
      </c>
      <c r="D65" s="299" t="s">
        <v>2593</v>
      </c>
      <c r="E65" s="299"/>
      <c r="F65" s="299" t="s">
        <v>2594</v>
      </c>
      <c r="G65" s="299"/>
    </row>
    <row r="66" spans="2:7">
      <c r="B66" s="302">
        <v>43223</v>
      </c>
      <c r="C66" s="299" t="s">
        <v>2564</v>
      </c>
      <c r="D66" s="299" t="s">
        <v>117</v>
      </c>
      <c r="E66" s="299"/>
      <c r="F66" s="299" t="s">
        <v>2595</v>
      </c>
      <c r="G66" s="299"/>
    </row>
    <row r="67" spans="2:7">
      <c r="B67" s="302">
        <v>43227</v>
      </c>
      <c r="C67" s="299" t="s">
        <v>1830</v>
      </c>
      <c r="D67" s="299" t="s">
        <v>398</v>
      </c>
      <c r="E67" s="299" t="s">
        <v>2599</v>
      </c>
      <c r="F67" s="299" t="s">
        <v>2600</v>
      </c>
      <c r="G67" s="299"/>
    </row>
    <row r="68" spans="2:7">
      <c r="B68" s="302">
        <v>43245</v>
      </c>
      <c r="C68" s="299" t="s">
        <v>1830</v>
      </c>
      <c r="D68" s="299" t="s">
        <v>398</v>
      </c>
      <c r="E68" s="299"/>
      <c r="F68" s="299" t="s">
        <v>2601</v>
      </c>
      <c r="G68" s="299"/>
    </row>
    <row r="69" spans="2:7">
      <c r="B69" s="302">
        <v>43303</v>
      </c>
      <c r="C69" s="299" t="s">
        <v>2543</v>
      </c>
      <c r="D69" s="299" t="s">
        <v>160</v>
      </c>
      <c r="E69" s="299"/>
      <c r="F69" s="299" t="s">
        <v>2603</v>
      </c>
      <c r="G69" s="299"/>
    </row>
    <row r="70" spans="2:7">
      <c r="B70" s="302">
        <v>43382</v>
      </c>
      <c r="C70" s="299" t="s">
        <v>1796</v>
      </c>
      <c r="D70" s="299" t="s">
        <v>3450</v>
      </c>
      <c r="E70" s="299"/>
      <c r="F70" s="299" t="s">
        <v>3449</v>
      </c>
      <c r="G70" s="299"/>
    </row>
    <row r="71" spans="2:7">
      <c r="B71" s="302">
        <v>43389</v>
      </c>
      <c r="C71" s="299" t="s">
        <v>3459</v>
      </c>
      <c r="D71" s="299" t="s">
        <v>160</v>
      </c>
      <c r="E71" s="299"/>
      <c r="F71" s="299" t="s">
        <v>3460</v>
      </c>
      <c r="G71" s="299"/>
    </row>
    <row r="72" spans="2:7">
      <c r="B72" s="302">
        <v>43389</v>
      </c>
      <c r="C72" s="299" t="s">
        <v>3459</v>
      </c>
      <c r="D72" s="299" t="s">
        <v>2567</v>
      </c>
      <c r="E72" s="299" t="s">
        <v>3464</v>
      </c>
      <c r="F72" s="299" t="s">
        <v>3463</v>
      </c>
      <c r="G72" s="299"/>
    </row>
    <row r="73" spans="2:7">
      <c r="B73" s="302">
        <v>43389</v>
      </c>
      <c r="C73" s="299" t="s">
        <v>3459</v>
      </c>
      <c r="D73" s="299" t="s">
        <v>160</v>
      </c>
      <c r="E73" s="299"/>
      <c r="F73" s="299" t="s">
        <v>3466</v>
      </c>
      <c r="G73" s="299"/>
    </row>
    <row r="74" spans="2:7">
      <c r="B74" s="302">
        <v>43395</v>
      </c>
      <c r="C74" s="299" t="s">
        <v>3459</v>
      </c>
      <c r="D74" s="299" t="s">
        <v>117</v>
      </c>
      <c r="E74" s="299"/>
      <c r="F74" s="299" t="s">
        <v>3467</v>
      </c>
      <c r="G74" s="299"/>
    </row>
    <row r="75" spans="2:7">
      <c r="B75" s="302">
        <v>43395</v>
      </c>
      <c r="C75" s="299" t="s">
        <v>3459</v>
      </c>
      <c r="D75" s="299" t="s">
        <v>2332</v>
      </c>
      <c r="E75" s="299"/>
      <c r="F75" s="299" t="s">
        <v>3469</v>
      </c>
      <c r="G75" s="299"/>
    </row>
    <row r="76" spans="2:7">
      <c r="B76" s="302">
        <v>43395</v>
      </c>
      <c r="C76" s="299" t="s">
        <v>3459</v>
      </c>
      <c r="D76" s="299" t="s">
        <v>2567</v>
      </c>
      <c r="E76" s="299"/>
      <c r="F76" s="299" t="s">
        <v>3470</v>
      </c>
      <c r="G76" s="299"/>
    </row>
    <row r="77" spans="2:7">
      <c r="B77" s="302">
        <v>43425</v>
      </c>
      <c r="C77" s="299" t="s">
        <v>3473</v>
      </c>
      <c r="D77" s="299" t="s">
        <v>3474</v>
      </c>
      <c r="E77" s="299"/>
      <c r="F77" s="299" t="s">
        <v>3475</v>
      </c>
      <c r="G77" s="299"/>
    </row>
    <row r="78" spans="2:7">
      <c r="B78" s="302">
        <v>43434</v>
      </c>
      <c r="C78" s="299" t="s">
        <v>3517</v>
      </c>
      <c r="D78" s="299" t="s">
        <v>3474</v>
      </c>
      <c r="E78" s="299"/>
      <c r="F78" s="299" t="s">
        <v>3518</v>
      </c>
      <c r="G78" s="299"/>
    </row>
    <row r="79" spans="2:7">
      <c r="B79" s="299"/>
      <c r="C79" s="299"/>
      <c r="D79" s="299"/>
      <c r="E79" s="299"/>
      <c r="F79" s="299"/>
      <c r="G79" s="299"/>
    </row>
    <row r="80" spans="2:7">
      <c r="B80" s="299"/>
      <c r="C80" s="299"/>
      <c r="D80" s="299"/>
      <c r="E80" s="299"/>
      <c r="F80" s="299"/>
      <c r="G80" s="299"/>
    </row>
    <row r="81" spans="2:7">
      <c r="B81" s="299"/>
      <c r="C81" s="299"/>
      <c r="D81" s="299"/>
      <c r="E81" s="299"/>
      <c r="F81" s="299"/>
      <c r="G81" s="299"/>
    </row>
    <row r="82" spans="2:7">
      <c r="B82" s="299"/>
      <c r="C82" s="299"/>
      <c r="D82" s="299"/>
      <c r="E82" s="299"/>
      <c r="F82" s="299"/>
      <c r="G82" s="299"/>
    </row>
    <row r="83" spans="2:7">
      <c r="B83" s="299"/>
      <c r="C83" s="299"/>
      <c r="D83" s="299"/>
      <c r="E83" s="299"/>
      <c r="F83" s="299"/>
      <c r="G83" s="299"/>
    </row>
    <row r="84" spans="2:7">
      <c r="B84" s="299"/>
      <c r="C84" s="299"/>
      <c r="D84" s="299"/>
      <c r="E84" s="299"/>
      <c r="F84" s="299"/>
      <c r="G84" s="299"/>
    </row>
    <row r="85" spans="2:7">
      <c r="B85" s="299"/>
      <c r="C85" s="299"/>
      <c r="D85" s="299"/>
      <c r="E85" s="299"/>
      <c r="F85" s="299"/>
      <c r="G85" s="299"/>
    </row>
    <row r="86" spans="2:7">
      <c r="B86" s="299"/>
      <c r="C86" s="299"/>
      <c r="D86" s="299"/>
      <c r="E86" s="299"/>
      <c r="F86" s="299"/>
      <c r="G86" s="299"/>
    </row>
    <row r="87" spans="2:7">
      <c r="B87" s="299"/>
      <c r="C87" s="299"/>
      <c r="D87" s="299"/>
      <c r="E87" s="299"/>
      <c r="F87" s="299"/>
      <c r="G87" s="299"/>
    </row>
    <row r="88" spans="2:7">
      <c r="B88" s="299"/>
      <c r="C88" s="299"/>
      <c r="D88" s="299"/>
      <c r="E88" s="299"/>
      <c r="F88" s="299"/>
      <c r="G88" s="299"/>
    </row>
    <row r="89" spans="2:7">
      <c r="B89" s="299"/>
      <c r="C89" s="299"/>
      <c r="D89" s="299"/>
      <c r="E89" s="299"/>
      <c r="F89" s="299"/>
      <c r="G89" s="299"/>
    </row>
    <row r="90" spans="2:7">
      <c r="B90" s="299"/>
      <c r="C90" s="299"/>
      <c r="D90" s="299"/>
      <c r="E90" s="299"/>
      <c r="F90" s="299"/>
      <c r="G90" s="299"/>
    </row>
    <row r="91" spans="2:7">
      <c r="B91" s="299"/>
      <c r="C91" s="299"/>
      <c r="D91" s="299"/>
      <c r="E91" s="299"/>
      <c r="F91" s="299"/>
      <c r="G91" s="299"/>
    </row>
    <row r="92" spans="2:7">
      <c r="B92" s="299"/>
      <c r="C92" s="299"/>
      <c r="D92" s="299"/>
      <c r="E92" s="299"/>
      <c r="F92" s="299"/>
      <c r="G92" s="299"/>
    </row>
    <row r="93" spans="2:7">
      <c r="B93" s="299"/>
      <c r="C93" s="299"/>
      <c r="D93" s="299"/>
      <c r="E93" s="299"/>
      <c r="F93" s="299"/>
      <c r="G93" s="299"/>
    </row>
    <row r="94" spans="2:7">
      <c r="B94" s="299"/>
      <c r="C94" s="299"/>
      <c r="D94" s="299"/>
      <c r="E94" s="299"/>
      <c r="F94" s="299"/>
      <c r="G94" s="299"/>
    </row>
    <row r="95" spans="2:7">
      <c r="B95" s="299"/>
      <c r="C95" s="299"/>
      <c r="D95" s="299"/>
      <c r="E95" s="299"/>
      <c r="F95" s="299"/>
      <c r="G95" s="299"/>
    </row>
    <row r="96" spans="2:7">
      <c r="B96" s="299"/>
      <c r="C96" s="299"/>
      <c r="D96" s="299"/>
      <c r="E96" s="299"/>
      <c r="F96" s="299"/>
      <c r="G96" s="299"/>
    </row>
    <row r="97" spans="2:7">
      <c r="B97" s="299"/>
      <c r="C97" s="299"/>
      <c r="D97" s="299"/>
      <c r="E97" s="299"/>
      <c r="F97" s="299"/>
      <c r="G97" s="299"/>
    </row>
    <row r="98" spans="2:7">
      <c r="B98" s="299"/>
      <c r="C98" s="299"/>
      <c r="D98" s="299"/>
      <c r="E98" s="299"/>
      <c r="F98" s="299"/>
      <c r="G98" s="299"/>
    </row>
    <row r="99" spans="2:7">
      <c r="B99" s="299"/>
      <c r="C99" s="299"/>
      <c r="D99" s="299"/>
      <c r="E99" s="299"/>
      <c r="F99" s="299"/>
      <c r="G99" s="299"/>
    </row>
    <row r="100" spans="2:7">
      <c r="B100" s="299"/>
      <c r="C100" s="299"/>
      <c r="D100" s="299"/>
      <c r="E100" s="299"/>
      <c r="F100" s="299"/>
      <c r="G100" s="299"/>
    </row>
    <row r="101" spans="2:7">
      <c r="B101" s="299"/>
      <c r="C101" s="299"/>
      <c r="D101" s="299"/>
      <c r="E101" s="299"/>
      <c r="F101" s="299"/>
      <c r="G101" s="299"/>
    </row>
    <row r="102" spans="2:7">
      <c r="B102" s="299"/>
      <c r="C102" s="299"/>
      <c r="D102" s="299"/>
      <c r="E102" s="299"/>
      <c r="F102" s="299"/>
      <c r="G102" s="299"/>
    </row>
    <row r="103" spans="2:7">
      <c r="B103" s="299"/>
      <c r="C103" s="299"/>
      <c r="D103" s="299"/>
      <c r="E103" s="299"/>
      <c r="F103" s="299"/>
      <c r="G103" s="299"/>
    </row>
    <row r="104" spans="2:7">
      <c r="B104" s="299"/>
      <c r="C104" s="299"/>
      <c r="D104" s="299"/>
      <c r="E104" s="299"/>
      <c r="F104" s="299"/>
      <c r="G104" s="299"/>
    </row>
    <row r="105" spans="2:7">
      <c r="B105" s="299"/>
      <c r="C105" s="299"/>
      <c r="D105" s="299"/>
      <c r="E105" s="299"/>
      <c r="F105" s="299"/>
      <c r="G105" s="299"/>
    </row>
    <row r="106" spans="2:7">
      <c r="B106" s="299"/>
      <c r="C106" s="299"/>
      <c r="D106" s="299"/>
      <c r="E106" s="299"/>
      <c r="F106" s="299"/>
      <c r="G106" s="299"/>
    </row>
    <row r="107" spans="2:7">
      <c r="B107" s="299"/>
      <c r="C107" s="299"/>
      <c r="D107" s="299"/>
      <c r="E107" s="299"/>
      <c r="F107" s="299"/>
      <c r="G107" s="299"/>
    </row>
    <row r="108" spans="2:7">
      <c r="B108" s="299"/>
      <c r="C108" s="299"/>
      <c r="D108" s="299"/>
      <c r="E108" s="299"/>
      <c r="F108" s="299"/>
      <c r="G108" s="299"/>
    </row>
    <row r="109" spans="2:7">
      <c r="B109" s="299"/>
      <c r="C109" s="299"/>
      <c r="D109" s="299"/>
      <c r="E109" s="299"/>
      <c r="F109" s="299"/>
      <c r="G109" s="299"/>
    </row>
    <row r="110" spans="2:7">
      <c r="B110" s="299"/>
      <c r="C110" s="299"/>
      <c r="D110" s="299"/>
      <c r="E110" s="299"/>
      <c r="F110" s="299"/>
      <c r="G110" s="299"/>
    </row>
    <row r="111" spans="2:7">
      <c r="B111" s="299"/>
      <c r="C111" s="299"/>
      <c r="D111" s="299"/>
      <c r="E111" s="299"/>
      <c r="F111" s="299"/>
      <c r="G111" s="299"/>
    </row>
    <row r="112" spans="2:7">
      <c r="B112" s="299"/>
      <c r="C112" s="299"/>
      <c r="D112" s="299"/>
      <c r="E112" s="299"/>
      <c r="F112" s="299"/>
      <c r="G112" s="299"/>
    </row>
    <row r="113" spans="2:7">
      <c r="B113" s="299"/>
      <c r="C113" s="299"/>
      <c r="D113" s="299"/>
      <c r="E113" s="299"/>
      <c r="F113" s="299"/>
      <c r="G113" s="299"/>
    </row>
    <row r="114" spans="2:7">
      <c r="B114" s="299"/>
      <c r="C114" s="299"/>
      <c r="D114" s="299"/>
      <c r="E114" s="299"/>
      <c r="F114" s="299"/>
      <c r="G114" s="299"/>
    </row>
    <row r="115" spans="2:7">
      <c r="B115" s="299"/>
      <c r="C115" s="299"/>
      <c r="D115" s="299"/>
      <c r="E115" s="299"/>
      <c r="F115" s="299"/>
      <c r="G115" s="299"/>
    </row>
    <row r="116" spans="2:7">
      <c r="B116" s="299"/>
      <c r="C116" s="299"/>
      <c r="D116" s="299"/>
      <c r="E116" s="299"/>
      <c r="F116" s="299"/>
      <c r="G116" s="299"/>
    </row>
    <row r="117" spans="2:7">
      <c r="B117" s="299"/>
      <c r="C117" s="299"/>
      <c r="D117" s="299"/>
      <c r="E117" s="299"/>
      <c r="F117" s="299"/>
      <c r="G117" s="299"/>
    </row>
    <row r="118" spans="2:7">
      <c r="B118" s="299"/>
      <c r="C118" s="299"/>
      <c r="D118" s="299"/>
      <c r="E118" s="299"/>
      <c r="F118" s="299"/>
      <c r="G118" s="299"/>
    </row>
    <row r="119" spans="2:7">
      <c r="B119" s="299"/>
      <c r="C119" s="299"/>
      <c r="D119" s="299"/>
      <c r="E119" s="299"/>
      <c r="F119" s="299"/>
      <c r="G119" s="299"/>
    </row>
    <row r="120" spans="2:7">
      <c r="B120" s="299"/>
      <c r="C120" s="299"/>
      <c r="D120" s="299"/>
      <c r="E120" s="299"/>
      <c r="F120" s="299"/>
      <c r="G120" s="299"/>
    </row>
    <row r="121" spans="2:7">
      <c r="B121" s="299"/>
      <c r="C121" s="299"/>
      <c r="D121" s="299"/>
      <c r="E121" s="299"/>
      <c r="F121" s="299"/>
      <c r="G121" s="299"/>
    </row>
    <row r="122" spans="2:7">
      <c r="B122" s="299"/>
      <c r="C122" s="299"/>
      <c r="D122" s="299"/>
      <c r="E122" s="299"/>
      <c r="F122" s="299"/>
      <c r="G122" s="299"/>
    </row>
    <row r="123" spans="2:7">
      <c r="B123" s="299"/>
      <c r="C123" s="299"/>
      <c r="D123" s="299"/>
      <c r="E123" s="299"/>
      <c r="F123" s="299"/>
      <c r="G123" s="299"/>
    </row>
    <row r="124" spans="2:7">
      <c r="B124" s="299"/>
      <c r="C124" s="299"/>
      <c r="D124" s="299"/>
      <c r="E124" s="299"/>
      <c r="F124" s="299"/>
      <c r="G124" s="299"/>
    </row>
    <row r="125" spans="2:7">
      <c r="B125" s="299"/>
      <c r="C125" s="299"/>
      <c r="D125" s="299"/>
      <c r="E125" s="299"/>
      <c r="F125" s="299"/>
      <c r="G125" s="299"/>
    </row>
    <row r="126" spans="2:7">
      <c r="B126" s="299"/>
      <c r="C126" s="299"/>
      <c r="D126" s="299"/>
      <c r="E126" s="299"/>
      <c r="F126" s="299"/>
      <c r="G126" s="299"/>
    </row>
    <row r="127" spans="2:7">
      <c r="B127" s="299"/>
      <c r="C127" s="299"/>
      <c r="D127" s="299"/>
      <c r="E127" s="299"/>
      <c r="F127" s="299"/>
      <c r="G127" s="299"/>
    </row>
    <row r="128" spans="2:7">
      <c r="B128" s="299"/>
      <c r="C128" s="299"/>
      <c r="D128" s="299"/>
      <c r="E128" s="299"/>
      <c r="F128" s="299"/>
      <c r="G128" s="299"/>
    </row>
    <row r="129" spans="2:7">
      <c r="B129" s="299"/>
      <c r="C129" s="299"/>
      <c r="D129" s="299"/>
      <c r="E129" s="299"/>
      <c r="F129" s="299"/>
      <c r="G129" s="299"/>
    </row>
    <row r="130" spans="2:7">
      <c r="B130" s="299"/>
      <c r="C130" s="299"/>
      <c r="D130" s="299"/>
      <c r="E130" s="299"/>
      <c r="F130" s="299"/>
      <c r="G130" s="299"/>
    </row>
    <row r="131" spans="2:7">
      <c r="B131" s="299"/>
      <c r="C131" s="299"/>
      <c r="D131" s="299"/>
      <c r="E131" s="299"/>
      <c r="F131" s="299"/>
      <c r="G131" s="299"/>
    </row>
    <row r="132" spans="2:7">
      <c r="B132" s="299"/>
      <c r="C132" s="299"/>
      <c r="D132" s="299"/>
      <c r="E132" s="299"/>
      <c r="F132" s="299"/>
      <c r="G132" s="299"/>
    </row>
    <row r="133" spans="2:7">
      <c r="B133" s="299"/>
      <c r="C133" s="299"/>
      <c r="D133" s="299"/>
      <c r="E133" s="299"/>
      <c r="F133" s="299"/>
      <c r="G133" s="299"/>
    </row>
    <row r="134" spans="2:7">
      <c r="B134" s="299"/>
      <c r="C134" s="299"/>
      <c r="D134" s="299"/>
      <c r="E134" s="299"/>
      <c r="F134" s="299"/>
      <c r="G134" s="299"/>
    </row>
    <row r="135" spans="2:7">
      <c r="B135" s="299"/>
      <c r="C135" s="299"/>
      <c r="D135" s="299"/>
      <c r="E135" s="299"/>
      <c r="F135" s="299"/>
      <c r="G135" s="299"/>
    </row>
    <row r="136" spans="2:7">
      <c r="B136" s="299"/>
      <c r="C136" s="299"/>
      <c r="D136" s="299"/>
      <c r="E136" s="299"/>
      <c r="F136" s="299"/>
      <c r="G136" s="299"/>
    </row>
    <row r="137" spans="2:7">
      <c r="B137" s="299"/>
      <c r="C137" s="299"/>
      <c r="D137" s="299"/>
      <c r="E137" s="299"/>
      <c r="F137" s="299"/>
      <c r="G137" s="299"/>
    </row>
    <row r="138" spans="2:7">
      <c r="B138" s="299"/>
      <c r="C138" s="299"/>
      <c r="D138" s="299"/>
      <c r="E138" s="299"/>
      <c r="F138" s="299"/>
      <c r="G138" s="299"/>
    </row>
    <row r="139" spans="2:7">
      <c r="B139" s="299"/>
      <c r="C139" s="299"/>
      <c r="D139" s="299"/>
      <c r="E139" s="299"/>
      <c r="F139" s="299"/>
      <c r="G139" s="299"/>
    </row>
    <row r="140" spans="2:7">
      <c r="B140" s="299"/>
      <c r="C140" s="299"/>
      <c r="D140" s="299"/>
      <c r="E140" s="299"/>
      <c r="F140" s="299"/>
      <c r="G140" s="299"/>
    </row>
    <row r="141" spans="2:7">
      <c r="B141" s="299"/>
      <c r="C141" s="299"/>
      <c r="D141" s="299"/>
      <c r="E141" s="299"/>
      <c r="F141" s="299"/>
      <c r="G141" s="299"/>
    </row>
    <row r="142" spans="2:7">
      <c r="B142" s="299"/>
      <c r="C142" s="299"/>
      <c r="D142" s="299"/>
      <c r="E142" s="299"/>
      <c r="F142" s="299"/>
      <c r="G142" s="299"/>
    </row>
    <row r="143" spans="2:7">
      <c r="B143" s="299"/>
      <c r="C143" s="299"/>
      <c r="D143" s="299"/>
      <c r="E143" s="299"/>
      <c r="F143" s="299"/>
      <c r="G143" s="299"/>
    </row>
    <row r="144" spans="2:7">
      <c r="B144" s="299"/>
      <c r="C144" s="299"/>
      <c r="D144" s="299"/>
      <c r="E144" s="299"/>
      <c r="F144" s="299"/>
      <c r="G144" s="299"/>
    </row>
    <row r="145" spans="2:7">
      <c r="B145" s="299"/>
      <c r="C145" s="299"/>
      <c r="D145" s="299"/>
      <c r="E145" s="299"/>
      <c r="F145" s="299"/>
      <c r="G145" s="299"/>
    </row>
    <row r="146" spans="2:7">
      <c r="B146" s="299"/>
      <c r="C146" s="299"/>
      <c r="D146" s="299"/>
      <c r="E146" s="299"/>
      <c r="F146" s="299"/>
      <c r="G146" s="299"/>
    </row>
    <row r="147" spans="2:7">
      <c r="B147" s="299"/>
      <c r="C147" s="299"/>
      <c r="D147" s="299"/>
      <c r="E147" s="299"/>
      <c r="F147" s="299"/>
      <c r="G147" s="299"/>
    </row>
    <row r="148" spans="2:7">
      <c r="B148" s="299"/>
      <c r="C148" s="299"/>
      <c r="D148" s="299"/>
      <c r="E148" s="299"/>
      <c r="F148" s="299"/>
      <c r="G148" s="299"/>
    </row>
    <row r="149" spans="2:7">
      <c r="B149" s="299"/>
      <c r="C149" s="299"/>
      <c r="D149" s="299"/>
      <c r="E149" s="299"/>
      <c r="F149" s="299"/>
      <c r="G149" s="299"/>
    </row>
    <row r="150" spans="2:7">
      <c r="B150" s="299"/>
      <c r="C150" s="299"/>
      <c r="D150" s="299"/>
      <c r="E150" s="299"/>
      <c r="F150" s="299"/>
      <c r="G150" s="299"/>
    </row>
    <row r="151" spans="2:7">
      <c r="B151" s="299"/>
      <c r="C151" s="299"/>
      <c r="D151" s="299"/>
      <c r="E151" s="299"/>
      <c r="F151" s="299"/>
      <c r="G151" s="299"/>
    </row>
    <row r="152" spans="2:7">
      <c r="B152" s="299"/>
      <c r="C152" s="299"/>
      <c r="D152" s="299"/>
      <c r="E152" s="299"/>
      <c r="F152" s="299"/>
      <c r="G152" s="299"/>
    </row>
    <row r="153" spans="2:7">
      <c r="B153" s="299"/>
      <c r="C153" s="299"/>
      <c r="D153" s="299"/>
      <c r="E153" s="299"/>
      <c r="F153" s="299"/>
      <c r="G153" s="299"/>
    </row>
    <row r="154" spans="2:7">
      <c r="B154" s="299"/>
      <c r="C154" s="299"/>
      <c r="D154" s="299"/>
      <c r="E154" s="299"/>
      <c r="F154" s="299"/>
      <c r="G154" s="299"/>
    </row>
    <row r="155" spans="2:7">
      <c r="B155" s="299"/>
      <c r="C155" s="299"/>
      <c r="D155" s="299"/>
      <c r="E155" s="299"/>
      <c r="F155" s="299"/>
      <c r="G155" s="299"/>
    </row>
    <row r="156" spans="2:7">
      <c r="B156" s="299"/>
      <c r="C156" s="299"/>
      <c r="D156" s="299"/>
      <c r="E156" s="299"/>
      <c r="F156" s="299"/>
      <c r="G156" s="299"/>
    </row>
    <row r="157" spans="2:7">
      <c r="B157" s="299"/>
      <c r="C157" s="299"/>
      <c r="D157" s="299"/>
      <c r="E157" s="299"/>
      <c r="F157" s="299"/>
      <c r="G157" s="299"/>
    </row>
    <row r="158" spans="2:7">
      <c r="B158" s="299"/>
      <c r="C158" s="299"/>
      <c r="D158" s="299"/>
      <c r="E158" s="299"/>
      <c r="F158" s="299"/>
      <c r="G158" s="299"/>
    </row>
    <row r="159" spans="2:7">
      <c r="B159" s="299"/>
      <c r="C159" s="299"/>
      <c r="D159" s="299"/>
      <c r="E159" s="299"/>
      <c r="F159" s="299"/>
      <c r="G159" s="299"/>
    </row>
    <row r="160" spans="2:7">
      <c r="B160" s="299"/>
      <c r="C160" s="299"/>
      <c r="D160" s="299"/>
      <c r="E160" s="299"/>
      <c r="F160" s="299"/>
      <c r="G160" s="299"/>
    </row>
    <row r="161" spans="2:7">
      <c r="B161" s="299"/>
      <c r="C161" s="299"/>
      <c r="D161" s="299"/>
      <c r="E161" s="299"/>
      <c r="F161" s="299"/>
      <c r="G161" s="299"/>
    </row>
    <row r="162" spans="2:7">
      <c r="B162" s="299"/>
      <c r="C162" s="299"/>
      <c r="D162" s="299"/>
      <c r="E162" s="299"/>
      <c r="F162" s="299"/>
      <c r="G162" s="299"/>
    </row>
    <row r="163" spans="2:7">
      <c r="B163" s="299"/>
      <c r="C163" s="299"/>
      <c r="D163" s="299"/>
      <c r="E163" s="299"/>
      <c r="F163" s="299"/>
      <c r="G163" s="299"/>
    </row>
    <row r="164" spans="2:7">
      <c r="B164" s="299"/>
      <c r="C164" s="299"/>
      <c r="D164" s="299"/>
      <c r="E164" s="299"/>
      <c r="F164" s="299"/>
      <c r="G164" s="299"/>
    </row>
    <row r="165" spans="2:7">
      <c r="B165" s="299"/>
      <c r="C165" s="299"/>
      <c r="D165" s="299"/>
      <c r="E165" s="299"/>
      <c r="F165" s="299"/>
      <c r="G165" s="29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H30"/>
  <sheetViews>
    <sheetView zoomScale="80" zoomScaleNormal="80" workbookViewId="0">
      <selection sqref="A1:XFD1048576"/>
    </sheetView>
  </sheetViews>
  <sheetFormatPr defaultRowHeight="12.75"/>
  <cols>
    <col min="1" max="1" width="2.83203125" style="250" customWidth="1"/>
    <col min="2" max="2" width="8.6640625" style="250" customWidth="1"/>
    <col min="3" max="8" width="25.83203125" style="250" customWidth="1"/>
    <col min="9" max="9" width="2.83203125" style="250" customWidth="1"/>
    <col min="10" max="16384" width="9.33203125" style="250"/>
  </cols>
  <sheetData>
    <row r="1" spans="2:8" ht="10.7" customHeight="1" thickBot="1">
      <c r="E1" s="251"/>
      <c r="G1" s="251"/>
      <c r="H1" s="251"/>
    </row>
    <row r="2" spans="2:8" ht="16.5" customHeight="1" thickTop="1">
      <c r="B2" s="2116" t="str">
        <f>'MASTER PubCo Inputs'!$C$5</f>
        <v>ABC, Inc.</v>
      </c>
      <c r="C2" s="2116"/>
      <c r="D2" s="2116"/>
      <c r="E2" s="2117"/>
      <c r="F2" s="2116"/>
      <c r="G2" s="2117"/>
      <c r="H2" s="2117"/>
    </row>
    <row r="3" spans="2:8" ht="16.5" customHeight="1" thickBot="1">
      <c r="B3" s="2118" t="s">
        <v>675</v>
      </c>
      <c r="C3" s="2118"/>
      <c r="D3" s="2118"/>
      <c r="E3" s="2119"/>
      <c r="F3" s="2118"/>
      <c r="G3" s="2119"/>
      <c r="H3" s="2119"/>
    </row>
    <row r="4" spans="2:8" ht="12.75" customHeight="1" thickTop="1">
      <c r="E4" s="251"/>
      <c r="G4" s="251"/>
      <c r="H4" s="251"/>
    </row>
    <row r="6" spans="2:8">
      <c r="B6" s="2018" t="s">
        <v>681</v>
      </c>
    </row>
    <row r="7" spans="2:8">
      <c r="B7" s="496" t="s">
        <v>480</v>
      </c>
      <c r="C7" s="2120" t="s">
        <v>676</v>
      </c>
      <c r="D7" s="2120" t="s">
        <v>682</v>
      </c>
      <c r="E7" s="2120" t="s">
        <v>677</v>
      </c>
      <c r="F7" s="2120" t="s">
        <v>678</v>
      </c>
      <c r="G7" s="2120" t="s">
        <v>679</v>
      </c>
      <c r="H7" s="2121" t="s">
        <v>683</v>
      </c>
    </row>
    <row r="8" spans="2:8">
      <c r="B8" s="250">
        <v>1</v>
      </c>
    </row>
    <row r="9" spans="2:8">
      <c r="B9" s="250">
        <f>+B8+1</f>
        <v>2</v>
      </c>
    </row>
    <row r="10" spans="2:8">
      <c r="B10" s="250">
        <f t="shared" ref="B10:B30" si="0">+B9+1</f>
        <v>3</v>
      </c>
    </row>
    <row r="11" spans="2:8">
      <c r="B11" s="250">
        <f t="shared" si="0"/>
        <v>4</v>
      </c>
    </row>
    <row r="12" spans="2:8">
      <c r="B12" s="250">
        <f t="shared" si="0"/>
        <v>5</v>
      </c>
    </row>
    <row r="13" spans="2:8">
      <c r="B13" s="250">
        <f t="shared" si="0"/>
        <v>6</v>
      </c>
    </row>
    <row r="14" spans="2:8">
      <c r="B14" s="250">
        <f t="shared" si="0"/>
        <v>7</v>
      </c>
    </row>
    <row r="15" spans="2:8">
      <c r="B15" s="250">
        <f t="shared" si="0"/>
        <v>8</v>
      </c>
    </row>
    <row r="16" spans="2:8">
      <c r="B16" s="250">
        <f t="shared" si="0"/>
        <v>9</v>
      </c>
    </row>
    <row r="17" spans="2:8">
      <c r="B17" s="250">
        <f t="shared" si="0"/>
        <v>10</v>
      </c>
    </row>
    <row r="19" spans="2:8">
      <c r="B19" s="2018" t="s">
        <v>680</v>
      </c>
    </row>
    <row r="20" spans="2:8">
      <c r="B20" s="496" t="s">
        <v>480</v>
      </c>
      <c r="C20" s="2120" t="s">
        <v>676</v>
      </c>
      <c r="D20" s="2120" t="s">
        <v>682</v>
      </c>
      <c r="E20" s="2120" t="s">
        <v>677</v>
      </c>
      <c r="F20" s="2120" t="s">
        <v>678</v>
      </c>
      <c r="G20" s="2120" t="s">
        <v>679</v>
      </c>
      <c r="H20" s="2121" t="s">
        <v>634</v>
      </c>
    </row>
    <row r="21" spans="2:8">
      <c r="B21" s="250">
        <v>1</v>
      </c>
    </row>
    <row r="22" spans="2:8">
      <c r="B22" s="250">
        <f t="shared" si="0"/>
        <v>2</v>
      </c>
    </row>
    <row r="23" spans="2:8">
      <c r="B23" s="250">
        <f t="shared" si="0"/>
        <v>3</v>
      </c>
    </row>
    <row r="24" spans="2:8">
      <c r="B24" s="250">
        <f t="shared" si="0"/>
        <v>4</v>
      </c>
    </row>
    <row r="25" spans="2:8">
      <c r="B25" s="250">
        <f t="shared" si="0"/>
        <v>5</v>
      </c>
    </row>
    <row r="26" spans="2:8">
      <c r="B26" s="250">
        <f t="shared" si="0"/>
        <v>6</v>
      </c>
    </row>
    <row r="27" spans="2:8">
      <c r="B27" s="250">
        <f t="shared" si="0"/>
        <v>7</v>
      </c>
    </row>
    <row r="28" spans="2:8">
      <c r="B28" s="250">
        <f t="shared" si="0"/>
        <v>8</v>
      </c>
    </row>
    <row r="29" spans="2:8">
      <c r="B29" s="250">
        <f t="shared" si="0"/>
        <v>9</v>
      </c>
    </row>
    <row r="30" spans="2:8">
      <c r="B30" s="250">
        <f t="shared" si="0"/>
        <v>10</v>
      </c>
    </row>
  </sheetData>
  <conditionalFormatting sqref="B3:G3">
    <cfRule type="cellIs" dxfId="417" priority="2" stopIfTrue="1" operator="equal">
      <formula>"input"</formula>
    </cfRule>
  </conditionalFormatting>
  <conditionalFormatting sqref="H3">
    <cfRule type="cellIs" dxfId="416" priority="1" stopIfTrue="1" operator="equal">
      <formula>"input"</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0">
    <tabColor rgb="FFFF0000"/>
  </sheetPr>
  <dimension ref="B1:I96"/>
  <sheetViews>
    <sheetView showGridLines="0" view="pageBreakPreview" zoomScale="80" zoomScaleNormal="145" zoomScaleSheetLayoutView="80" workbookViewId="0"/>
  </sheetViews>
  <sheetFormatPr defaultRowHeight="12.75"/>
  <cols>
    <col min="1" max="1" width="4.5" style="250" customWidth="1"/>
    <col min="2" max="2" width="23.1640625" style="250" customWidth="1"/>
    <col min="3" max="3" width="89.6640625" style="250" customWidth="1"/>
    <col min="4" max="4" width="15.1640625" style="251" customWidth="1"/>
    <col min="5" max="5" width="30.83203125" style="250" customWidth="1"/>
    <col min="6" max="6" width="4.5" style="250" customWidth="1"/>
    <col min="7" max="8" width="2.83203125" style="250" customWidth="1"/>
    <col min="9" max="9" width="13.33203125" style="250" customWidth="1"/>
    <col min="10" max="16384" width="9.33203125" style="250"/>
  </cols>
  <sheetData>
    <row r="1" spans="2:9" ht="10.7" customHeight="1" thickBot="1"/>
    <row r="2" spans="2:9" ht="16.5" customHeight="1" thickTop="1">
      <c r="B2" s="258" t="str">
        <f>'MASTER PubCo Inputs'!$C$5</f>
        <v>ABC, Inc.</v>
      </c>
      <c r="C2" s="258"/>
      <c r="D2" s="262"/>
      <c r="E2" s="258"/>
      <c r="I2" s="253" t="s">
        <v>738</v>
      </c>
    </row>
    <row r="3" spans="2:9" ht="16.5" customHeight="1" thickBot="1">
      <c r="B3" s="924" t="s">
        <v>2267</v>
      </c>
      <c r="C3" s="924"/>
      <c r="D3" s="263"/>
      <c r="E3" s="924"/>
      <c r="I3" s="264" t="s">
        <v>110</v>
      </c>
    </row>
    <row r="4" spans="2:9" ht="12.75" customHeight="1" thickTop="1"/>
    <row r="5" spans="2:9" ht="12.75" customHeight="1"/>
    <row r="6" spans="2:9" ht="12.75" customHeight="1">
      <c r="B6" s="265" t="s">
        <v>676</v>
      </c>
      <c r="C6" s="266" t="s">
        <v>2267</v>
      </c>
      <c r="D6" s="266" t="s">
        <v>110</v>
      </c>
      <c r="E6" s="267" t="s">
        <v>2266</v>
      </c>
    </row>
    <row r="7" spans="2:9" ht="12.75" customHeight="1">
      <c r="B7" s="254"/>
      <c r="C7" s="254"/>
      <c r="D7" s="252"/>
      <c r="E7" s="253"/>
    </row>
    <row r="8" spans="2:9">
      <c r="B8" s="268" t="s">
        <v>160</v>
      </c>
      <c r="C8" s="255" t="s">
        <v>2268</v>
      </c>
      <c r="D8" s="269" t="str">
        <f ca="1">IF(PWERM!O134=$I$3,"Check","")</f>
        <v>Check</v>
      </c>
    </row>
    <row r="9" spans="2:9">
      <c r="B9" s="255"/>
      <c r="C9" s="255"/>
      <c r="D9" s="269"/>
    </row>
    <row r="10" spans="2:9">
      <c r="B10" s="268" t="s">
        <v>2336</v>
      </c>
      <c r="C10" s="255" t="s">
        <v>2337</v>
      </c>
      <c r="D10" s="269" t="e">
        <f>IF('OPM 1'!W198=Checklist!$I$3,"Check","")</f>
        <v>#DIV/0!</v>
      </c>
    </row>
    <row r="11" spans="2:9">
      <c r="B11" s="255"/>
      <c r="C11" s="255"/>
      <c r="D11" s="269"/>
    </row>
    <row r="12" spans="2:9">
      <c r="B12" s="268" t="s">
        <v>1797</v>
      </c>
      <c r="C12" s="255" t="s">
        <v>2317</v>
      </c>
      <c r="D12" s="269" t="e">
        <f>IF('OPM 2'!D32=Checklist!$I$3,"Check","")</f>
        <v>#DIV/0!</v>
      </c>
    </row>
    <row r="13" spans="2:9">
      <c r="B13" s="268"/>
      <c r="C13" s="255"/>
      <c r="D13" s="269"/>
    </row>
    <row r="14" spans="2:9">
      <c r="B14" s="268" t="s">
        <v>1797</v>
      </c>
      <c r="C14" s="255" t="s">
        <v>2529</v>
      </c>
      <c r="D14" s="269" t="e">
        <f ca="1">IF('OPM 2'!Q6=Checklist!$I$3,"Check","")</f>
        <v>#DIV/0!</v>
      </c>
    </row>
    <row r="15" spans="2:9">
      <c r="B15" s="268"/>
      <c r="C15" s="255"/>
      <c r="D15" s="269"/>
    </row>
    <row r="16" spans="2:9">
      <c r="B16" s="268" t="s">
        <v>2270</v>
      </c>
      <c r="C16" s="255" t="s">
        <v>2338</v>
      </c>
      <c r="D16" s="269" t="e">
        <f>IF(DCF!I70=Checklist!$I$3,"Check","")</f>
        <v>#NAME?</v>
      </c>
    </row>
    <row r="17" spans="2:4">
      <c r="B17" s="268" t="s">
        <v>2270</v>
      </c>
      <c r="C17" s="255" t="s">
        <v>2271</v>
      </c>
      <c r="D17" s="269" t="str">
        <f>IF(DCF!Q67=Checklist!$I$3,"Check","")</f>
        <v/>
      </c>
    </row>
    <row r="18" spans="2:4">
      <c r="B18" s="268" t="s">
        <v>2270</v>
      </c>
      <c r="C18" s="255" t="s">
        <v>2272</v>
      </c>
      <c r="D18" s="269" t="str">
        <f>IF(DCF!G69=Checklist!$I$3,"Check","")</f>
        <v>Check</v>
      </c>
    </row>
    <row r="19" spans="2:4">
      <c r="B19" s="255"/>
      <c r="C19" s="255"/>
      <c r="D19" s="269"/>
    </row>
    <row r="20" spans="2:4">
      <c r="B20" s="268" t="s">
        <v>2273</v>
      </c>
      <c r="C20" s="255" t="s">
        <v>2278</v>
      </c>
      <c r="D20" s="269" t="str">
        <f ca="1">IF('Hist BS'!D73=Checklist!$I$3,"Check","")</f>
        <v>Check</v>
      </c>
    </row>
    <row r="21" spans="2:4">
      <c r="B21" s="255"/>
      <c r="C21" s="255"/>
      <c r="D21" s="269"/>
    </row>
    <row r="22" spans="2:4">
      <c r="B22" s="268" t="s">
        <v>2279</v>
      </c>
      <c r="C22" s="255" t="s">
        <v>2286</v>
      </c>
      <c r="D22" s="269" t="str">
        <f>IF('Beta Calc'!AA8=Checklist!$I$3,"Check","")</f>
        <v>Check</v>
      </c>
    </row>
    <row r="23" spans="2:4">
      <c r="B23" s="255"/>
      <c r="C23" s="255"/>
      <c r="D23" s="269"/>
    </row>
    <row r="24" spans="2:4">
      <c r="B24" s="268" t="s">
        <v>2282</v>
      </c>
      <c r="C24" s="255" t="s">
        <v>2281</v>
      </c>
      <c r="D24" s="269" t="str">
        <f ca="1">IF('Asset Vol_OPM'!AB47=Checklist!$I$3,"Check","")</f>
        <v>Check</v>
      </c>
    </row>
    <row r="25" spans="2:4">
      <c r="B25" s="268"/>
      <c r="C25" s="255"/>
      <c r="D25" s="269"/>
    </row>
    <row r="26" spans="2:4">
      <c r="B26" s="268" t="s">
        <v>2339</v>
      </c>
      <c r="C26" s="255" t="s">
        <v>2340</v>
      </c>
      <c r="D26" s="269" t="str">
        <f ca="1">IF('Asset Vol_DLOM'!AB47=Checklist!$I$3,"Check","")</f>
        <v>Check</v>
      </c>
    </row>
    <row r="27" spans="2:4">
      <c r="B27" s="255"/>
      <c r="C27" s="255"/>
      <c r="D27" s="269"/>
    </row>
    <row r="28" spans="2:4">
      <c r="B28" s="268" t="s">
        <v>2283</v>
      </c>
      <c r="C28" s="255" t="s">
        <v>2284</v>
      </c>
      <c r="D28" s="269" t="str">
        <f ca="1">IF('Asset Vol Hybrid'!AB47=Checklist!$I$3,"Check","")</f>
        <v>Check</v>
      </c>
    </row>
    <row r="29" spans="2:4">
      <c r="B29" s="268"/>
      <c r="C29" s="255"/>
      <c r="D29" s="269"/>
    </row>
    <row r="30" spans="2:4">
      <c r="B30" s="268" t="s">
        <v>2341</v>
      </c>
      <c r="C30" s="270" t="s">
        <v>2345</v>
      </c>
      <c r="D30" s="269" t="str">
        <f ca="1">IF('Asset Vol_IPO Early'!AB47=Checklist!$I$3,"Check","")</f>
        <v>Check</v>
      </c>
    </row>
    <row r="31" spans="2:4">
      <c r="B31" s="268"/>
      <c r="C31" s="255"/>
      <c r="D31" s="269"/>
    </row>
    <row r="32" spans="2:4">
      <c r="B32" s="268" t="s">
        <v>2342</v>
      </c>
      <c r="C32" s="255" t="s">
        <v>2346</v>
      </c>
      <c r="D32" s="269" t="str">
        <f ca="1">IF('Asset Vol_IPO Late'!AB47=Checklist!$I$3,"Check","")</f>
        <v>Check</v>
      </c>
    </row>
    <row r="33" spans="2:4">
      <c r="B33" s="268"/>
      <c r="C33" s="255"/>
      <c r="D33" s="269"/>
    </row>
    <row r="34" spans="2:4">
      <c r="B34" s="268" t="s">
        <v>2343</v>
      </c>
      <c r="C34" s="255" t="s">
        <v>2347</v>
      </c>
      <c r="D34" s="269" t="str">
        <f ca="1">IF('Asset Vol_M&amp;A Early'!AB47=Checklist!$I$3,"Check","")</f>
        <v>Check</v>
      </c>
    </row>
    <row r="35" spans="2:4">
      <c r="B35" s="268"/>
      <c r="C35" s="255"/>
      <c r="D35" s="269"/>
    </row>
    <row r="36" spans="2:4">
      <c r="B36" s="268" t="s">
        <v>2344</v>
      </c>
      <c r="C36" s="255" t="s">
        <v>2348</v>
      </c>
      <c r="D36" s="269" t="str">
        <f ca="1">IF('Asset Vol_M&amp;A Late'!AB47=Checklist!$I$3,"Check","")</f>
        <v>Check</v>
      </c>
    </row>
    <row r="37" spans="2:4">
      <c r="B37" s="255"/>
      <c r="C37" s="255"/>
      <c r="D37" s="269"/>
    </row>
    <row r="38" spans="2:4">
      <c r="B38" s="268" t="s">
        <v>2381</v>
      </c>
      <c r="C38" s="255" t="s">
        <v>2382</v>
      </c>
      <c r="D38" s="269" t="str">
        <f ca="1">IF('Val Summ'!O31=Checklist!$I$3,"Check","")</f>
        <v/>
      </c>
    </row>
    <row r="39" spans="2:4">
      <c r="B39" s="255"/>
      <c r="C39" s="255"/>
      <c r="D39" s="269"/>
    </row>
    <row r="40" spans="2:4">
      <c r="B40" s="268" t="s">
        <v>2381</v>
      </c>
      <c r="C40" s="255" t="s">
        <v>2528</v>
      </c>
      <c r="D40" s="269" t="str">
        <f ca="1">IF('Val Summ'!O7=Checklist!$I$3,"Check","")</f>
        <v>Check</v>
      </c>
    </row>
    <row r="41" spans="2:4">
      <c r="B41" s="255"/>
      <c r="C41" s="255"/>
      <c r="D41" s="269"/>
    </row>
    <row r="42" spans="2:4">
      <c r="B42" s="268" t="s">
        <v>2381</v>
      </c>
      <c r="C42" s="255" t="s">
        <v>2526</v>
      </c>
      <c r="D42" s="269" t="str">
        <f ca="1">IF('Val Summ'!O27=Checklist!$I$3,"Check","")</f>
        <v>Check</v>
      </c>
    </row>
    <row r="43" spans="2:4">
      <c r="B43" s="255"/>
      <c r="C43" s="255"/>
      <c r="D43" s="269"/>
    </row>
    <row r="44" spans="2:4">
      <c r="B44" s="268" t="s">
        <v>2188</v>
      </c>
      <c r="C44" s="255" t="s">
        <v>2530</v>
      </c>
      <c r="D44" s="269" t="e">
        <f>IF('Hybrid OPM'!J30=Checklist!$I$3,"Check","")</f>
        <v>#DIV/0!</v>
      </c>
    </row>
    <row r="45" spans="2:4">
      <c r="B45" s="255"/>
      <c r="C45" s="255"/>
      <c r="D45" s="269"/>
    </row>
    <row r="46" spans="2:4">
      <c r="B46" s="268" t="s">
        <v>2322</v>
      </c>
      <c r="C46" s="255" t="s">
        <v>2524</v>
      </c>
      <c r="D46" s="269" t="e">
        <f>IF('Class Vol'!Y4=Checklist!$I$3,"Check","")</f>
        <v>#VALUE!</v>
      </c>
    </row>
    <row r="47" spans="2:4">
      <c r="B47" s="255"/>
      <c r="C47" s="255"/>
      <c r="D47" s="269"/>
    </row>
    <row r="48" spans="2:4">
      <c r="B48" s="268" t="s">
        <v>2285</v>
      </c>
      <c r="C48" s="255" t="s">
        <v>2285</v>
      </c>
      <c r="D48" s="269" t="e">
        <f ca="1">IF('Val Summ'!Q3=Checklist!$I$3,"Check","")</f>
        <v>#NAME?</v>
      </c>
    </row>
    <row r="49" spans="2:4">
      <c r="B49" s="255"/>
      <c r="C49" s="255"/>
      <c r="D49" s="269"/>
    </row>
    <row r="50" spans="2:4">
      <c r="B50" s="255"/>
      <c r="C50" s="255"/>
      <c r="D50" s="269"/>
    </row>
    <row r="51" spans="2:4">
      <c r="B51" s="255"/>
      <c r="C51" s="255"/>
      <c r="D51" s="269"/>
    </row>
    <row r="52" spans="2:4">
      <c r="B52" s="255"/>
      <c r="C52" s="255"/>
      <c r="D52" s="269"/>
    </row>
    <row r="53" spans="2:4">
      <c r="B53" s="255"/>
      <c r="C53" s="255"/>
      <c r="D53" s="269"/>
    </row>
    <row r="54" spans="2:4">
      <c r="B54" s="255"/>
      <c r="C54" s="255"/>
      <c r="D54" s="269"/>
    </row>
    <row r="55" spans="2:4">
      <c r="B55" s="255"/>
      <c r="C55" s="255"/>
      <c r="D55" s="269"/>
    </row>
    <row r="56" spans="2:4">
      <c r="B56" s="255"/>
      <c r="C56" s="255"/>
      <c r="D56" s="269"/>
    </row>
    <row r="57" spans="2:4">
      <c r="B57" s="255"/>
      <c r="C57" s="255"/>
      <c r="D57" s="269"/>
    </row>
    <row r="58" spans="2:4">
      <c r="B58" s="255"/>
      <c r="C58" s="255"/>
      <c r="D58" s="269"/>
    </row>
    <row r="59" spans="2:4">
      <c r="B59" s="255"/>
      <c r="C59" s="255"/>
      <c r="D59" s="269"/>
    </row>
    <row r="60" spans="2:4">
      <c r="B60" s="255"/>
      <c r="C60" s="255"/>
      <c r="D60" s="269"/>
    </row>
    <row r="61" spans="2:4">
      <c r="B61" s="255"/>
      <c r="C61" s="255"/>
      <c r="D61" s="269"/>
    </row>
    <row r="62" spans="2:4">
      <c r="B62" s="255"/>
      <c r="C62" s="255"/>
      <c r="D62" s="269"/>
    </row>
    <row r="63" spans="2:4">
      <c r="B63" s="255"/>
      <c r="C63" s="255"/>
      <c r="D63" s="269"/>
    </row>
    <row r="64" spans="2:4">
      <c r="B64" s="255"/>
      <c r="C64" s="255"/>
      <c r="D64" s="269"/>
    </row>
    <row r="65" spans="2:4">
      <c r="B65" s="255"/>
      <c r="C65" s="255"/>
      <c r="D65" s="269"/>
    </row>
    <row r="66" spans="2:4">
      <c r="B66" s="255"/>
      <c r="C66" s="255"/>
      <c r="D66" s="269"/>
    </row>
    <row r="67" spans="2:4">
      <c r="B67" s="255"/>
      <c r="C67" s="255"/>
      <c r="D67" s="269"/>
    </row>
    <row r="68" spans="2:4">
      <c r="B68" s="255"/>
      <c r="C68" s="255"/>
      <c r="D68" s="269"/>
    </row>
    <row r="69" spans="2:4">
      <c r="B69" s="255"/>
      <c r="C69" s="255"/>
      <c r="D69" s="269"/>
    </row>
    <row r="70" spans="2:4">
      <c r="B70" s="255"/>
      <c r="C70" s="255"/>
      <c r="D70" s="269"/>
    </row>
    <row r="71" spans="2:4">
      <c r="B71" s="255"/>
      <c r="C71" s="255"/>
      <c r="D71" s="269"/>
    </row>
    <row r="72" spans="2:4">
      <c r="B72" s="255"/>
      <c r="C72" s="255"/>
      <c r="D72" s="269"/>
    </row>
    <row r="73" spans="2:4">
      <c r="B73" s="255"/>
      <c r="C73" s="255"/>
      <c r="D73" s="269"/>
    </row>
    <row r="74" spans="2:4">
      <c r="B74" s="255"/>
      <c r="C74" s="255"/>
      <c r="D74" s="269"/>
    </row>
    <row r="75" spans="2:4">
      <c r="B75" s="255"/>
      <c r="C75" s="255"/>
      <c r="D75" s="269"/>
    </row>
    <row r="76" spans="2:4">
      <c r="B76" s="255"/>
      <c r="C76" s="255"/>
      <c r="D76" s="269"/>
    </row>
    <row r="77" spans="2:4">
      <c r="B77" s="255"/>
      <c r="C77" s="255"/>
      <c r="D77" s="269"/>
    </row>
    <row r="78" spans="2:4">
      <c r="B78" s="255"/>
      <c r="C78" s="255"/>
      <c r="D78" s="269"/>
    </row>
    <row r="79" spans="2:4">
      <c r="B79" s="255"/>
      <c r="C79" s="255"/>
      <c r="D79" s="269"/>
    </row>
    <row r="80" spans="2:4">
      <c r="B80" s="255"/>
      <c r="C80" s="255"/>
      <c r="D80" s="269"/>
    </row>
    <row r="81" spans="2:4">
      <c r="B81" s="255"/>
      <c r="C81" s="255"/>
      <c r="D81" s="269"/>
    </row>
    <row r="82" spans="2:4">
      <c r="B82" s="255"/>
      <c r="C82" s="255"/>
      <c r="D82" s="269"/>
    </row>
    <row r="83" spans="2:4">
      <c r="B83" s="255"/>
      <c r="C83" s="255"/>
      <c r="D83" s="269"/>
    </row>
    <row r="84" spans="2:4">
      <c r="B84" s="255"/>
      <c r="C84" s="255"/>
      <c r="D84" s="269"/>
    </row>
    <row r="85" spans="2:4">
      <c r="B85" s="255"/>
      <c r="C85" s="255"/>
      <c r="D85" s="269"/>
    </row>
    <row r="86" spans="2:4">
      <c r="B86" s="255"/>
      <c r="C86" s="255"/>
      <c r="D86" s="269"/>
    </row>
    <row r="87" spans="2:4">
      <c r="B87" s="255"/>
      <c r="C87" s="255"/>
      <c r="D87" s="269"/>
    </row>
    <row r="88" spans="2:4">
      <c r="B88" s="255"/>
      <c r="C88" s="255"/>
      <c r="D88" s="269"/>
    </row>
    <row r="89" spans="2:4">
      <c r="B89" s="255"/>
      <c r="C89" s="255"/>
      <c r="D89" s="269"/>
    </row>
    <row r="90" spans="2:4">
      <c r="B90" s="255"/>
      <c r="C90" s="255"/>
      <c r="D90" s="269"/>
    </row>
    <row r="91" spans="2:4">
      <c r="B91" s="255"/>
      <c r="C91" s="255"/>
      <c r="D91" s="269"/>
    </row>
    <row r="92" spans="2:4">
      <c r="B92" s="255"/>
      <c r="C92" s="255"/>
      <c r="D92" s="269"/>
    </row>
    <row r="93" spans="2:4">
      <c r="B93" s="255"/>
      <c r="C93" s="255"/>
      <c r="D93" s="256"/>
    </row>
    <row r="94" spans="2:4">
      <c r="B94" s="255"/>
      <c r="C94" s="255"/>
      <c r="D94" s="256"/>
    </row>
    <row r="95" spans="2:4">
      <c r="B95" s="255"/>
      <c r="C95" s="255"/>
      <c r="D95" s="256"/>
    </row>
    <row r="96" spans="2:4">
      <c r="B96" s="255"/>
      <c r="C96" s="255"/>
      <c r="D96" s="256"/>
    </row>
  </sheetData>
  <conditionalFormatting sqref="B3:E3">
    <cfRule type="cellIs" dxfId="415" priority="45" stopIfTrue="1" operator="equal">
      <formula>"input"</formula>
    </cfRule>
  </conditionalFormatting>
  <conditionalFormatting sqref="B7:C13 B48:C96 B16:C37">
    <cfRule type="expression" dxfId="414" priority="44">
      <formula>OR($B7="Exhibits",$B7="Workpapers")</formula>
    </cfRule>
  </conditionalFormatting>
  <conditionalFormatting sqref="D7 D93:D96">
    <cfRule type="expression" dxfId="413" priority="43">
      <formula>$B7=""</formula>
    </cfRule>
  </conditionalFormatting>
  <conditionalFormatting sqref="D8:D13 D16:D18">
    <cfRule type="expression" dxfId="412" priority="31">
      <formula>OR($B8="Exhibits",$B8="Workpapers")</formula>
    </cfRule>
  </conditionalFormatting>
  <conditionalFormatting sqref="D19:D37 D48:D92">
    <cfRule type="expression" dxfId="411" priority="30">
      <formula>OR($B19="Exhibits",$B19="Workpapers")</formula>
    </cfRule>
  </conditionalFormatting>
  <conditionalFormatting sqref="D8:D13 D48:D76 D16:D37">
    <cfRule type="notContainsBlanks" dxfId="410" priority="29">
      <formula>LEN(TRIM(D8))&gt;0</formula>
    </cfRule>
  </conditionalFormatting>
  <conditionalFormatting sqref="D20">
    <cfRule type="expression" dxfId="409" priority="28">
      <formula>OR($B20="Exhibits",$B20="Workpapers")</formula>
    </cfRule>
  </conditionalFormatting>
  <conditionalFormatting sqref="D22">
    <cfRule type="expression" dxfId="408" priority="27">
      <formula>OR($B22="Exhibits",$B22="Workpapers")</formula>
    </cfRule>
  </conditionalFormatting>
  <conditionalFormatting sqref="D24:D26">
    <cfRule type="expression" dxfId="407" priority="26">
      <formula>OR($B24="Exhibits",$B24="Workpapers")</formula>
    </cfRule>
  </conditionalFormatting>
  <conditionalFormatting sqref="D28:D36">
    <cfRule type="expression" dxfId="406" priority="25">
      <formula>OR($B28="Exhibits",$B28="Workpapers")</formula>
    </cfRule>
  </conditionalFormatting>
  <conditionalFormatting sqref="D48">
    <cfRule type="expression" dxfId="405" priority="24">
      <formula>OR($B48="Exhibits",$B48="Workpapers")</formula>
    </cfRule>
  </conditionalFormatting>
  <conditionalFormatting sqref="B38:C39">
    <cfRule type="expression" dxfId="404" priority="23">
      <formula>OR($B38="Exhibits",$B38="Workpapers")</formula>
    </cfRule>
  </conditionalFormatting>
  <conditionalFormatting sqref="D38:D39">
    <cfRule type="expression" dxfId="403" priority="22">
      <formula>OR($B38="Exhibits",$B38="Workpapers")</formula>
    </cfRule>
  </conditionalFormatting>
  <conditionalFormatting sqref="D38:D39">
    <cfRule type="notContainsBlanks" dxfId="402" priority="21">
      <formula>LEN(TRIM(D38))&gt;0</formula>
    </cfRule>
  </conditionalFormatting>
  <conditionalFormatting sqref="D38">
    <cfRule type="expression" dxfId="401" priority="20">
      <formula>OR($B38="Exhibits",$B38="Workpapers")</formula>
    </cfRule>
  </conditionalFormatting>
  <conditionalFormatting sqref="B46:C47">
    <cfRule type="expression" dxfId="400" priority="19">
      <formula>OR($B46="Exhibits",$B46="Workpapers")</formula>
    </cfRule>
  </conditionalFormatting>
  <conditionalFormatting sqref="D46:D47">
    <cfRule type="expression" dxfId="399" priority="18">
      <formula>OR($B46="Exhibits",$B46="Workpapers")</formula>
    </cfRule>
  </conditionalFormatting>
  <conditionalFormatting sqref="D46:D47">
    <cfRule type="notContainsBlanks" dxfId="398" priority="17">
      <formula>LEN(TRIM(D46))&gt;0</formula>
    </cfRule>
  </conditionalFormatting>
  <conditionalFormatting sqref="D46">
    <cfRule type="expression" dxfId="397" priority="16">
      <formula>OR($B46="Exhibits",$B46="Workpapers")</formula>
    </cfRule>
  </conditionalFormatting>
  <conditionalFormatting sqref="B42:C43">
    <cfRule type="expression" dxfId="396" priority="15">
      <formula>OR($B42="Exhibits",$B42="Workpapers")</formula>
    </cfRule>
  </conditionalFormatting>
  <conditionalFormatting sqref="D42:D43">
    <cfRule type="expression" dxfId="395" priority="14">
      <formula>OR($B42="Exhibits",$B42="Workpapers")</formula>
    </cfRule>
  </conditionalFormatting>
  <conditionalFormatting sqref="D42:D43">
    <cfRule type="notContainsBlanks" dxfId="394" priority="13">
      <formula>LEN(TRIM(D42))&gt;0</formula>
    </cfRule>
  </conditionalFormatting>
  <conditionalFormatting sqref="D42">
    <cfRule type="expression" dxfId="393" priority="12">
      <formula>OR($B42="Exhibits",$B42="Workpapers")</formula>
    </cfRule>
  </conditionalFormatting>
  <conditionalFormatting sqref="B40:C41">
    <cfRule type="expression" dxfId="392" priority="11">
      <formula>OR($B40="Exhibits",$B40="Workpapers")</formula>
    </cfRule>
  </conditionalFormatting>
  <conditionalFormatting sqref="D40:D41">
    <cfRule type="expression" dxfId="391" priority="10">
      <formula>OR($B40="Exhibits",$B40="Workpapers")</formula>
    </cfRule>
  </conditionalFormatting>
  <conditionalFormatting sqref="D40:D41">
    <cfRule type="notContainsBlanks" dxfId="390" priority="9">
      <formula>LEN(TRIM(D40))&gt;0</formula>
    </cfRule>
  </conditionalFormatting>
  <conditionalFormatting sqref="D40">
    <cfRule type="expression" dxfId="389" priority="8">
      <formula>OR($B40="Exhibits",$B40="Workpapers")</formula>
    </cfRule>
  </conditionalFormatting>
  <conditionalFormatting sqref="B14:C15">
    <cfRule type="expression" dxfId="388" priority="7">
      <formula>OR($B14="Exhibits",$B14="Workpapers")</formula>
    </cfRule>
  </conditionalFormatting>
  <conditionalFormatting sqref="D14:D15">
    <cfRule type="expression" dxfId="387" priority="6">
      <formula>OR($B14="Exhibits",$B14="Workpapers")</formula>
    </cfRule>
  </conditionalFormatting>
  <conditionalFormatting sqref="D14:D15">
    <cfRule type="notContainsBlanks" dxfId="386" priority="5">
      <formula>LEN(TRIM(D14))&gt;0</formula>
    </cfRule>
  </conditionalFormatting>
  <conditionalFormatting sqref="B44:C45">
    <cfRule type="expression" dxfId="385" priority="4">
      <formula>OR($B44="Exhibits",$B44="Workpapers")</formula>
    </cfRule>
  </conditionalFormatting>
  <conditionalFormatting sqref="D44:D45">
    <cfRule type="expression" dxfId="384" priority="3">
      <formula>OR($B44="Exhibits",$B44="Workpapers")</formula>
    </cfRule>
  </conditionalFormatting>
  <conditionalFormatting sqref="D44:D45">
    <cfRule type="notContainsBlanks" dxfId="383" priority="2">
      <formula>LEN(TRIM(D44))&gt;0</formula>
    </cfRule>
  </conditionalFormatting>
  <conditionalFormatting sqref="D44">
    <cfRule type="expression" dxfId="382" priority="1">
      <formula>OR($B44="Exhibits",$B44="Workpapers")</formula>
    </cfRule>
  </conditionalFormatting>
  <pageMargins left="0.5" right="0.5" top="0.5" bottom="0.5" header="0.5" footer="0.5"/>
  <pageSetup scale="85" fitToWidth="0"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1"/>
  </sheetPr>
  <dimension ref="A1"/>
  <sheetViews>
    <sheetView workbookViewId="0"/>
  </sheetViews>
  <sheetFormatPr defaultRowHeight="12.75"/>
  <cols>
    <col min="1" max="16384" width="9.33203125" style="62"/>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Q28"/>
  <sheetViews>
    <sheetView showGridLines="0" view="pageBreakPreview" zoomScale="80" zoomScaleNormal="100" zoomScaleSheetLayoutView="80" workbookViewId="0">
      <selection activeCell="I20" sqref="I20"/>
    </sheetView>
  </sheetViews>
  <sheetFormatPr defaultColWidth="9.33203125" defaultRowHeight="14.25"/>
  <cols>
    <col min="1" max="1" width="4.5" style="227" customWidth="1"/>
    <col min="2" max="2" width="3.83203125" style="227" customWidth="1"/>
    <col min="3" max="3" width="15.83203125" style="227" customWidth="1"/>
    <col min="4" max="4" width="115.83203125" style="244" customWidth="1"/>
    <col min="5" max="5" width="8.33203125" style="227" customWidth="1"/>
    <col min="6" max="6" width="3.83203125" style="227" customWidth="1"/>
    <col min="7" max="7" width="4.5" style="227" customWidth="1"/>
    <col min="8" max="8" width="9.33203125" style="227"/>
    <col min="9" max="9" width="22.33203125" style="227" bestFit="1" customWidth="1"/>
    <col min="10" max="10" width="19" style="227" bestFit="1" customWidth="1"/>
    <col min="11" max="16384" width="9.33203125" style="227"/>
  </cols>
  <sheetData>
    <row r="1" spans="1:17">
      <c r="A1" s="303"/>
      <c r="B1" s="303"/>
      <c r="C1" s="303"/>
      <c r="D1" s="363"/>
    </row>
    <row r="2" spans="1:17">
      <c r="A2" s="303"/>
      <c r="B2" s="303"/>
      <c r="C2" s="303"/>
      <c r="D2" s="363"/>
      <c r="E2" s="303"/>
      <c r="F2" s="303"/>
      <c r="G2" s="303"/>
    </row>
    <row r="3" spans="1:17">
      <c r="A3" s="303"/>
      <c r="B3" s="303"/>
      <c r="C3" s="303"/>
      <c r="E3" s="303"/>
      <c r="F3" s="303"/>
      <c r="G3" s="303"/>
    </row>
    <row r="4" spans="1:17">
      <c r="A4" s="303"/>
      <c r="B4" s="303"/>
      <c r="C4" s="303"/>
      <c r="E4" s="303"/>
      <c r="F4" s="303"/>
      <c r="G4" s="303"/>
    </row>
    <row r="5" spans="1:17">
      <c r="A5" s="303"/>
      <c r="B5" s="303"/>
      <c r="C5" s="303"/>
      <c r="E5" s="303"/>
      <c r="F5" s="303"/>
      <c r="G5" s="303"/>
    </row>
    <row r="6" spans="1:17">
      <c r="A6" s="303"/>
      <c r="B6" s="364"/>
      <c r="C6" s="365"/>
      <c r="D6" s="366"/>
      <c r="E6" s="365"/>
      <c r="F6" s="365"/>
      <c r="G6" s="303"/>
    </row>
    <row r="7" spans="1:17" ht="15" thickBot="1">
      <c r="A7" s="303"/>
      <c r="B7" s="225"/>
      <c r="C7" s="226"/>
      <c r="D7" s="366"/>
      <c r="E7" s="365"/>
      <c r="F7" s="365"/>
      <c r="G7" s="303"/>
    </row>
    <row r="8" spans="1:17" ht="15" thickTop="1">
      <c r="A8" s="303"/>
      <c r="B8" s="228"/>
      <c r="C8" s="229"/>
      <c r="D8" s="230"/>
      <c r="E8" s="229"/>
      <c r="F8" s="229"/>
      <c r="G8" s="303"/>
    </row>
    <row r="9" spans="1:17" s="234" customFormat="1" ht="39.75">
      <c r="A9" s="303"/>
      <c r="B9" s="231"/>
      <c r="C9" s="232"/>
      <c r="D9" s="232" t="str">
        <f>+'MASTER PubCo Inputs'!C8</f>
        <v>IRC 409A Common Stock Independent Appraisal</v>
      </c>
      <c r="E9" s="233"/>
      <c r="F9" s="233"/>
      <c r="G9" s="303"/>
      <c r="I9" s="235" t="str">
        <f ca="1">IF(COUNTIF(Checklist!D8:D48,"Check")&gt;0,"Check","")</f>
        <v>Check</v>
      </c>
    </row>
    <row r="10" spans="1:17">
      <c r="A10" s="303"/>
      <c r="B10" s="236"/>
      <c r="C10" s="237"/>
      <c r="D10" s="238"/>
      <c r="E10" s="237"/>
      <c r="F10" s="237"/>
      <c r="G10" s="303"/>
      <c r="H10" s="303"/>
      <c r="I10" s="303"/>
      <c r="J10" s="303"/>
      <c r="K10" s="303"/>
      <c r="L10" s="303"/>
      <c r="M10" s="303"/>
      <c r="N10" s="303"/>
      <c r="O10" s="303"/>
      <c r="P10" s="303"/>
      <c r="Q10" s="303"/>
    </row>
    <row r="11" spans="1:17" ht="23.25">
      <c r="A11" s="303"/>
      <c r="B11" s="236"/>
      <c r="C11" s="237"/>
      <c r="D11" s="239" t="s">
        <v>482</v>
      </c>
      <c r="E11" s="237"/>
      <c r="F11" s="237"/>
      <c r="G11" s="303"/>
      <c r="H11" s="303"/>
      <c r="I11" s="303"/>
      <c r="J11" s="303"/>
      <c r="K11" s="303"/>
      <c r="L11" s="303"/>
      <c r="M11" s="303"/>
      <c r="N11" s="303"/>
      <c r="O11" s="303"/>
      <c r="P11" s="303"/>
      <c r="Q11" s="303"/>
    </row>
    <row r="12" spans="1:17" ht="19.5">
      <c r="A12" s="303"/>
      <c r="B12" s="236"/>
      <c r="C12" s="237"/>
      <c r="D12" s="240" t="s">
        <v>483</v>
      </c>
      <c r="E12" s="237"/>
      <c r="F12" s="237"/>
      <c r="G12" s="303"/>
      <c r="H12" s="303"/>
      <c r="I12" s="303"/>
      <c r="J12" s="303"/>
      <c r="K12" s="303"/>
      <c r="L12" s="303"/>
      <c r="M12" s="303"/>
      <c r="N12" s="303"/>
      <c r="O12" s="303"/>
      <c r="P12" s="303"/>
      <c r="Q12" s="303"/>
    </row>
    <row r="13" spans="1:17" ht="23.25">
      <c r="A13" s="303"/>
      <c r="B13" s="236"/>
      <c r="C13" s="237"/>
      <c r="D13" s="239" t="str">
        <f>IF('MASTER PubCo Inputs'!C5="","",'MASTER PubCo Inputs'!C5)</f>
        <v>ABC, Inc.</v>
      </c>
      <c r="E13" s="237"/>
      <c r="F13" s="237"/>
      <c r="G13" s="303"/>
      <c r="H13" s="303"/>
      <c r="I13" s="303"/>
      <c r="J13" s="303"/>
      <c r="K13" s="303"/>
      <c r="L13" s="303"/>
      <c r="M13" s="303"/>
      <c r="N13" s="303"/>
      <c r="O13" s="303"/>
      <c r="P13" s="303"/>
      <c r="Q13" s="303"/>
    </row>
    <row r="14" spans="1:17">
      <c r="A14" s="303"/>
      <c r="B14" s="236"/>
      <c r="C14" s="237"/>
      <c r="D14" s="238"/>
      <c r="E14" s="237"/>
      <c r="F14" s="237"/>
      <c r="G14" s="303"/>
      <c r="H14" s="303"/>
      <c r="I14" s="303"/>
      <c r="J14" s="303"/>
      <c r="K14" s="303"/>
      <c r="L14" s="303"/>
      <c r="M14" s="303"/>
      <c r="N14" s="303"/>
      <c r="O14" s="303"/>
      <c r="P14" s="303"/>
      <c r="Q14" s="303"/>
    </row>
    <row r="15" spans="1:17" ht="23.25">
      <c r="A15" s="303"/>
      <c r="B15" s="236"/>
      <c r="C15" s="237"/>
      <c r="D15" s="239" t="str">
        <f>"Valuation Date as of "&amp;TEXT('MASTER PubCo Inputs'!$C$6,"mmmm d, yyyy")&amp;""</f>
        <v>Valuation Date as of December 31, 2016</v>
      </c>
      <c r="E15" s="237"/>
      <c r="F15" s="237"/>
      <c r="G15" s="303"/>
      <c r="H15" s="303"/>
      <c r="I15" s="303"/>
      <c r="J15" s="303"/>
      <c r="K15" s="303"/>
      <c r="L15" s="303"/>
      <c r="M15" s="303"/>
      <c r="N15" s="303"/>
      <c r="O15" s="303"/>
      <c r="P15" s="303"/>
      <c r="Q15" s="303"/>
    </row>
    <row r="16" spans="1:17" ht="15" thickBot="1">
      <c r="A16" s="303"/>
      <c r="B16" s="241"/>
      <c r="C16" s="242"/>
      <c r="D16" s="243"/>
      <c r="E16" s="242"/>
      <c r="F16" s="242"/>
      <c r="G16" s="303"/>
      <c r="H16" s="303"/>
      <c r="I16" s="303"/>
      <c r="J16" s="303"/>
      <c r="K16" s="303"/>
      <c r="L16" s="303"/>
      <c r="M16" s="303"/>
      <c r="N16" s="303"/>
      <c r="O16" s="303"/>
      <c r="P16" s="303"/>
      <c r="Q16" s="303"/>
    </row>
    <row r="17" spans="1:17" ht="15" thickTop="1">
      <c r="A17" s="303"/>
      <c r="B17" s="303"/>
      <c r="C17" s="303"/>
      <c r="D17" s="363"/>
      <c r="E17" s="303"/>
      <c r="F17" s="303"/>
      <c r="H17" s="303"/>
      <c r="I17" s="303"/>
      <c r="J17" s="303"/>
      <c r="K17" s="303"/>
      <c r="L17" s="303"/>
      <c r="M17" s="303"/>
      <c r="N17" s="303"/>
      <c r="O17" s="303"/>
      <c r="P17" s="303"/>
      <c r="Q17" s="303"/>
    </row>
    <row r="18" spans="1:17">
      <c r="A18" s="303"/>
      <c r="B18" s="303"/>
      <c r="C18" s="303"/>
      <c r="D18" s="363"/>
      <c r="E18" s="303"/>
      <c r="F18" s="303"/>
      <c r="H18" s="303"/>
      <c r="I18" s="303"/>
      <c r="J18" s="303"/>
      <c r="K18" s="303"/>
      <c r="L18" s="303"/>
      <c r="M18" s="303"/>
      <c r="N18" s="303"/>
      <c r="O18" s="303"/>
      <c r="P18" s="303"/>
      <c r="Q18" s="303"/>
    </row>
    <row r="19" spans="1:17" ht="18">
      <c r="A19" s="303"/>
      <c r="B19" s="303"/>
      <c r="C19" s="303"/>
      <c r="D19" s="245" t="s">
        <v>484</v>
      </c>
      <c r="E19" s="303"/>
      <c r="F19" s="303"/>
      <c r="H19" s="303"/>
      <c r="I19" s="303"/>
      <c r="J19" s="303"/>
      <c r="K19" s="303"/>
      <c r="L19" s="303"/>
      <c r="M19" s="303"/>
      <c r="N19" s="303"/>
      <c r="O19" s="303"/>
      <c r="P19" s="303"/>
      <c r="Q19" s="303"/>
    </row>
    <row r="20" spans="1:17" ht="18">
      <c r="A20" s="303"/>
      <c r="B20" s="303"/>
      <c r="C20" s="303"/>
      <c r="D20" s="246" t="str">
        <f ca="1">TEXT(J20,"mmmm d, yyyy")</f>
        <v>December 5, 2018</v>
      </c>
      <c r="E20" s="303"/>
      <c r="F20" s="303"/>
      <c r="H20" s="303"/>
      <c r="I20" s="303" t="s">
        <v>486</v>
      </c>
      <c r="J20" s="304">
        <f ca="1">TODAY()</f>
        <v>43439</v>
      </c>
      <c r="K20" s="303"/>
      <c r="L20" s="303"/>
      <c r="M20" s="303"/>
      <c r="N20" s="303"/>
      <c r="O20" s="303"/>
      <c r="P20" s="303"/>
      <c r="Q20" s="303"/>
    </row>
    <row r="21" spans="1:17">
      <c r="A21" s="303"/>
      <c r="B21" s="303"/>
      <c r="C21" s="303"/>
      <c r="D21" s="363"/>
      <c r="E21" s="303"/>
      <c r="F21" s="303"/>
      <c r="H21" s="303"/>
      <c r="I21" s="303"/>
      <c r="J21" s="303"/>
      <c r="K21" s="303"/>
      <c r="L21" s="303"/>
      <c r="M21" s="303"/>
      <c r="N21" s="303"/>
      <c r="O21" s="303"/>
      <c r="P21" s="303"/>
      <c r="Q21" s="303"/>
    </row>
    <row r="22" spans="1:17">
      <c r="A22" s="303"/>
      <c r="B22" s="303"/>
      <c r="C22" s="303"/>
      <c r="D22" s="363"/>
      <c r="E22" s="303"/>
      <c r="F22" s="303"/>
      <c r="H22" s="303"/>
      <c r="I22" s="303"/>
      <c r="J22" s="303"/>
      <c r="K22" s="303"/>
      <c r="L22" s="303"/>
      <c r="M22" s="303"/>
      <c r="N22" s="303"/>
      <c r="O22" s="303"/>
      <c r="P22" s="303"/>
      <c r="Q22" s="303"/>
    </row>
    <row r="23" spans="1:17">
      <c r="A23" s="303"/>
      <c r="B23" s="303"/>
      <c r="C23" s="303"/>
      <c r="D23" s="363"/>
      <c r="E23" s="303"/>
      <c r="F23" s="303"/>
      <c r="H23" s="303"/>
      <c r="I23" s="303"/>
      <c r="J23" s="303"/>
      <c r="K23" s="303"/>
      <c r="L23" s="303"/>
      <c r="M23" s="303"/>
      <c r="N23" s="303"/>
      <c r="O23" s="303"/>
      <c r="P23" s="303"/>
      <c r="Q23" s="303"/>
    </row>
    <row r="24" spans="1:17">
      <c r="A24" s="303"/>
      <c r="B24" s="303"/>
      <c r="C24" s="303"/>
      <c r="D24" s="363"/>
      <c r="E24" s="303"/>
      <c r="F24" s="303"/>
      <c r="H24" s="303"/>
      <c r="I24" s="303"/>
      <c r="J24" s="303"/>
      <c r="K24" s="303"/>
      <c r="L24" s="303"/>
      <c r="M24" s="303"/>
      <c r="N24" s="303"/>
      <c r="O24" s="303"/>
      <c r="P24" s="303"/>
      <c r="Q24" s="303"/>
    </row>
    <row r="25" spans="1:17" ht="23.25">
      <c r="A25" s="303"/>
      <c r="B25" s="303"/>
      <c r="C25" s="303"/>
      <c r="D25" s="247"/>
      <c r="E25" s="303"/>
      <c r="F25" s="303"/>
      <c r="H25" s="303"/>
      <c r="I25" s="303"/>
      <c r="J25" s="303"/>
      <c r="K25" s="303"/>
      <c r="L25" s="303"/>
      <c r="M25" s="303"/>
      <c r="N25" s="303"/>
      <c r="O25" s="303"/>
      <c r="P25" s="303"/>
      <c r="Q25" s="303"/>
    </row>
    <row r="26" spans="1:17">
      <c r="A26" s="303"/>
      <c r="B26" s="303"/>
      <c r="C26" s="303"/>
      <c r="D26" s="363"/>
      <c r="E26" s="303"/>
      <c r="F26" s="303"/>
      <c r="H26" s="303"/>
      <c r="I26" s="303"/>
      <c r="J26" s="303"/>
      <c r="K26" s="303"/>
      <c r="L26" s="303"/>
      <c r="M26" s="303"/>
      <c r="N26" s="303"/>
      <c r="O26" s="303"/>
      <c r="P26" s="303"/>
      <c r="Q26" s="303"/>
    </row>
    <row r="27" spans="1:17" ht="18">
      <c r="A27" s="303"/>
      <c r="B27" s="303"/>
      <c r="C27" s="303"/>
      <c r="D27" s="248"/>
      <c r="E27" s="303"/>
      <c r="F27" s="303"/>
      <c r="G27" s="303"/>
      <c r="H27" s="303"/>
      <c r="I27" s="303"/>
      <c r="J27" s="303"/>
      <c r="K27" s="303"/>
      <c r="L27" s="303"/>
      <c r="M27" s="303"/>
      <c r="N27" s="303"/>
      <c r="O27" s="303"/>
      <c r="P27" s="303"/>
      <c r="Q27" s="303"/>
    </row>
    <row r="28" spans="1:17" ht="36">
      <c r="A28" s="303"/>
      <c r="B28" s="303"/>
      <c r="C28" s="303"/>
      <c r="D28" s="249" t="s">
        <v>485</v>
      </c>
      <c r="E28" s="303"/>
      <c r="F28" s="303"/>
      <c r="G28" s="303"/>
    </row>
  </sheetData>
  <pageMargins left="0.5" right="0.5" top="0.5" bottom="0.5" header="0.5" footer="0.5"/>
  <pageSetup scale="98"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1:L73"/>
  <sheetViews>
    <sheetView showGridLines="0" view="pageBreakPreview" zoomScale="85" zoomScaleNormal="145" zoomScaleSheetLayoutView="85" workbookViewId="0"/>
  </sheetViews>
  <sheetFormatPr defaultRowHeight="12.75" outlineLevelCol="1"/>
  <cols>
    <col min="1" max="1" width="4.5" style="250" customWidth="1"/>
    <col min="2" max="2" width="20.83203125" style="250" customWidth="1"/>
    <col min="3" max="4" width="14.83203125" style="250" customWidth="1"/>
    <col min="5" max="5" width="80" style="251" customWidth="1"/>
    <col min="6" max="6" width="30.83203125" style="250" customWidth="1"/>
    <col min="7" max="7" width="20.83203125" style="251" hidden="1" customWidth="1" outlineLevel="1"/>
    <col min="8" max="8" width="4.5" style="250" customWidth="1" collapsed="1"/>
    <col min="9" max="10" width="2.83203125" style="250" customWidth="1"/>
    <col min="11" max="11" width="3.33203125" style="250" customWidth="1"/>
    <col min="12" max="16384" width="9.33203125" style="250"/>
  </cols>
  <sheetData>
    <row r="1" spans="2:12" ht="10.7" customHeight="1" thickBot="1"/>
    <row r="2" spans="2:12" ht="16.5" customHeight="1" thickTop="1">
      <c r="B2" s="258" t="str">
        <f>'MASTER PubCo Inputs'!$C$5</f>
        <v>ABC, Inc.</v>
      </c>
      <c r="C2" s="258"/>
      <c r="D2" s="258"/>
      <c r="E2" s="262"/>
      <c r="F2" s="258"/>
      <c r="G2" s="306"/>
    </row>
    <row r="3" spans="2:12" ht="16.5" customHeight="1" thickBot="1">
      <c r="B3" s="924" t="s">
        <v>669</v>
      </c>
      <c r="C3" s="924"/>
      <c r="D3" s="924"/>
      <c r="E3" s="263"/>
      <c r="F3" s="924"/>
      <c r="G3" s="307"/>
    </row>
    <row r="4" spans="2:12" ht="12.75" customHeight="1" thickTop="1"/>
    <row r="5" spans="2:12" ht="12.75" customHeight="1"/>
    <row r="6" spans="2:12" ht="12.75" customHeight="1">
      <c r="B6" s="252" t="s">
        <v>670</v>
      </c>
      <c r="C6" s="253"/>
      <c r="D6" s="253"/>
      <c r="E6" s="252" t="s">
        <v>763</v>
      </c>
      <c r="F6" s="253"/>
      <c r="G6" s="252"/>
    </row>
    <row r="7" spans="2:12" ht="12.75" customHeight="1">
      <c r="B7" s="254"/>
      <c r="C7" s="253"/>
      <c r="D7" s="253"/>
      <c r="E7" s="252"/>
      <c r="F7" s="253"/>
      <c r="G7" s="252"/>
    </row>
    <row r="8" spans="2:12">
      <c r="B8" s="255" t="str">
        <f>K8&amp;"."&amp;L8</f>
        <v>A.1</v>
      </c>
      <c r="E8" s="256" t="str">
        <f>'Val Summ'!B4</f>
        <v>Valuation Summary</v>
      </c>
      <c r="G8" s="251" t="str">
        <f>"Exhibit "&amp;B8</f>
        <v>Exhibit A.1</v>
      </c>
      <c r="J8" s="250">
        <v>65</v>
      </c>
      <c r="K8" s="250" t="str">
        <f>CHAR(J8)</f>
        <v>A</v>
      </c>
      <c r="L8" s="250">
        <v>1</v>
      </c>
    </row>
    <row r="9" spans="2:12">
      <c r="B9" s="255"/>
      <c r="E9" s="256"/>
      <c r="G9" s="251" t="str">
        <f t="shared" ref="G9:G56" si="0">"Exhibit "&amp;B9</f>
        <v xml:space="preserve">Exhibit </v>
      </c>
    </row>
    <row r="10" spans="2:12">
      <c r="B10" s="255"/>
      <c r="E10" s="256" t="str">
        <f>'Allocation Method &gt;&gt;'!D9</f>
        <v>Allocation Methodology</v>
      </c>
      <c r="G10" s="251" t="str">
        <f t="shared" si="0"/>
        <v xml:space="preserve">Exhibit </v>
      </c>
    </row>
    <row r="11" spans="2:12">
      <c r="B11" s="255" t="str">
        <f t="shared" ref="B11:B57" si="1">K11&amp;"."&amp;L11</f>
        <v>B.1</v>
      </c>
      <c r="E11" s="256" t="str">
        <f>PWERM!$B$4</f>
        <v>PWERM Analysis</v>
      </c>
      <c r="G11" s="251" t="str">
        <f t="shared" si="0"/>
        <v>Exhibit B.1</v>
      </c>
      <c r="J11" s="250">
        <f>IF(J10="",J8+1,J10)</f>
        <v>66</v>
      </c>
      <c r="K11" s="250" t="str">
        <f>CHAR(J11)</f>
        <v>B</v>
      </c>
      <c r="L11" s="250">
        <f>IF(L10="",1,L10+1)</f>
        <v>1</v>
      </c>
    </row>
    <row r="12" spans="2:12">
      <c r="B12" s="255" t="str">
        <f t="shared" si="1"/>
        <v>B.2</v>
      </c>
      <c r="E12" s="256" t="str">
        <f>'Exit Probability'!$B$4</f>
        <v>PWERM - Exit Probabilities</v>
      </c>
      <c r="G12" s="251" t="str">
        <f t="shared" si="0"/>
        <v>Exhibit B.2</v>
      </c>
      <c r="J12" s="250">
        <f t="shared" ref="J12:J15" si="2">IF(J11="",J10+1,J11)</f>
        <v>66</v>
      </c>
      <c r="K12" s="250" t="str">
        <f t="shared" ref="K12:K46" si="3">CHAR(J12)</f>
        <v>B</v>
      </c>
      <c r="L12" s="250">
        <f t="shared" ref="L12:L15" si="4">IF(L11="",1,L11+1)</f>
        <v>2</v>
      </c>
    </row>
    <row r="13" spans="2:12">
      <c r="B13" s="255" t="str">
        <f t="shared" si="1"/>
        <v>B.3</v>
      </c>
      <c r="E13" s="256" t="str">
        <f>PoTS!$B$4</f>
        <v>PWERM - Probability of Technical Success</v>
      </c>
      <c r="G13" s="251" t="str">
        <f t="shared" si="0"/>
        <v>Exhibit B.3</v>
      </c>
      <c r="J13" s="250">
        <f t="shared" si="2"/>
        <v>66</v>
      </c>
      <c r="K13" s="250" t="str">
        <f t="shared" si="3"/>
        <v>B</v>
      </c>
      <c r="L13" s="250">
        <f t="shared" si="4"/>
        <v>3</v>
      </c>
    </row>
    <row r="14" spans="2:12">
      <c r="B14" s="255" t="str">
        <f t="shared" si="1"/>
        <v>B.4</v>
      </c>
      <c r="E14" s="256" t="str">
        <f>'OPM 1'!$B$4</f>
        <v>Option Pricing Method - Breakpoints &amp; Allocation</v>
      </c>
      <c r="G14" s="251" t="str">
        <f t="shared" si="0"/>
        <v>Exhibit B.4</v>
      </c>
      <c r="J14" s="250">
        <f t="shared" si="2"/>
        <v>66</v>
      </c>
      <c r="K14" s="250" t="str">
        <f t="shared" si="3"/>
        <v>B</v>
      </c>
      <c r="L14" s="250">
        <f t="shared" si="4"/>
        <v>4</v>
      </c>
    </row>
    <row r="15" spans="2:12">
      <c r="B15" s="255" t="str">
        <f t="shared" si="1"/>
        <v>B.5</v>
      </c>
      <c r="E15" s="256" t="str">
        <f>'OPM 2'!$B$4</f>
        <v>Option Pricing Method - Implied Value Per Share</v>
      </c>
      <c r="G15" s="251" t="str">
        <f t="shared" si="0"/>
        <v>Exhibit B.5</v>
      </c>
      <c r="J15" s="250">
        <f t="shared" si="2"/>
        <v>66</v>
      </c>
      <c r="K15" s="250" t="str">
        <f t="shared" si="3"/>
        <v>B</v>
      </c>
      <c r="L15" s="250">
        <f t="shared" si="4"/>
        <v>5</v>
      </c>
    </row>
    <row r="16" spans="2:12">
      <c r="B16" s="255"/>
      <c r="E16" s="256"/>
      <c r="G16" s="251" t="str">
        <f t="shared" si="0"/>
        <v xml:space="preserve">Exhibit </v>
      </c>
    </row>
    <row r="17" spans="2:12">
      <c r="B17" s="255"/>
      <c r="E17" s="308" t="str">
        <f>'DCF &gt;&gt;'!$D$9</f>
        <v>Discounted Cash Flow Analysis</v>
      </c>
      <c r="G17" s="251" t="str">
        <f t="shared" si="0"/>
        <v xml:space="preserve">Exhibit </v>
      </c>
    </row>
    <row r="18" spans="2:12">
      <c r="B18" s="255" t="str">
        <f t="shared" si="1"/>
        <v>C.1</v>
      </c>
      <c r="E18" s="256" t="str">
        <f>DCF!$B$4</f>
        <v>Discounted Cash Flow</v>
      </c>
      <c r="G18" s="251" t="str">
        <f t="shared" si="0"/>
        <v>Exhibit C.1</v>
      </c>
      <c r="J18" s="250">
        <f>IF(J17="",J15+1,J17)</f>
        <v>67</v>
      </c>
      <c r="K18" s="250" t="str">
        <f t="shared" si="3"/>
        <v>C</v>
      </c>
      <c r="L18" s="250">
        <f t="shared" ref="L18:L57" si="5">IF(L17="",1,L17+1)</f>
        <v>1</v>
      </c>
    </row>
    <row r="19" spans="2:12">
      <c r="B19" s="255" t="str">
        <f t="shared" ref="B19" si="6">K19&amp;"."&amp;L19</f>
        <v>C.2</v>
      </c>
      <c r="E19" s="256" t="str">
        <f>'Depreciation - MACRS'!$B$4</f>
        <v>Depreciation - MACRS</v>
      </c>
      <c r="G19" s="251" t="str">
        <f t="shared" ref="G19" si="7">"Exhibit "&amp;B19</f>
        <v>Exhibit C.2</v>
      </c>
      <c r="J19" s="250">
        <f t="shared" ref="J19:J21" si="8">IF(J18="",J16+1,J18)</f>
        <v>67</v>
      </c>
      <c r="K19" s="250" t="str">
        <f t="shared" ref="K19" si="9">CHAR(J19)</f>
        <v>C</v>
      </c>
      <c r="L19" s="250">
        <f>IF(L18="",1,L18+1)</f>
        <v>2</v>
      </c>
    </row>
    <row r="20" spans="2:12">
      <c r="B20" s="255" t="str">
        <f t="shared" si="1"/>
        <v>C.3</v>
      </c>
      <c r="E20" s="256" t="str">
        <f>'Hist IS'!$B$4</f>
        <v>Historical Income Statement</v>
      </c>
      <c r="G20" s="251" t="str">
        <f t="shared" si="0"/>
        <v>Exhibit C.3</v>
      </c>
      <c r="J20" s="250">
        <f t="shared" si="8"/>
        <v>67</v>
      </c>
      <c r="K20" s="250" t="str">
        <f t="shared" si="3"/>
        <v>C</v>
      </c>
      <c r="L20" s="250">
        <f t="shared" ref="L20:L21" si="10">IF(L19="",1,L19+1)</f>
        <v>3</v>
      </c>
    </row>
    <row r="21" spans="2:12">
      <c r="B21" s="255" t="str">
        <f t="shared" si="1"/>
        <v>C.4</v>
      </c>
      <c r="E21" s="256" t="str">
        <f>'Hist BS'!$B$4</f>
        <v>Historical Balance Sheet</v>
      </c>
      <c r="G21" s="251" t="str">
        <f t="shared" si="0"/>
        <v>Exhibit C.4</v>
      </c>
      <c r="J21" s="250">
        <f t="shared" si="8"/>
        <v>67</v>
      </c>
      <c r="K21" s="250" t="str">
        <f t="shared" si="3"/>
        <v>C</v>
      </c>
      <c r="L21" s="250">
        <f t="shared" si="10"/>
        <v>4</v>
      </c>
    </row>
    <row r="22" spans="2:12">
      <c r="B22" s="255"/>
      <c r="E22" s="256"/>
      <c r="G22" s="251" t="str">
        <f t="shared" si="0"/>
        <v xml:space="preserve">Exhibit </v>
      </c>
    </row>
    <row r="23" spans="2:12">
      <c r="B23" s="255"/>
      <c r="E23" s="256" t="str">
        <f>'Discount Rate FP &gt;&gt;'!$D$9</f>
        <v>Discount Rates</v>
      </c>
      <c r="G23" s="251" t="str">
        <f t="shared" si="0"/>
        <v xml:space="preserve">Exhibit </v>
      </c>
    </row>
    <row r="24" spans="2:12">
      <c r="B24" s="255" t="str">
        <f t="shared" si="1"/>
        <v>D.1</v>
      </c>
      <c r="E24" s="256" t="str">
        <f>'WACC CAPM'!$B$4</f>
        <v>Weighted Average Cost of Capital - CAPM-Based</v>
      </c>
      <c r="G24" s="251" t="str">
        <f t="shared" si="0"/>
        <v>Exhibit D.1</v>
      </c>
      <c r="J24" s="250">
        <f>IF(J23="",J21+1,J23)</f>
        <v>68</v>
      </c>
      <c r="K24" s="250" t="str">
        <f t="shared" si="3"/>
        <v>D</v>
      </c>
      <c r="L24" s="250">
        <f t="shared" si="5"/>
        <v>1</v>
      </c>
    </row>
    <row r="25" spans="2:12">
      <c r="B25" s="255" t="str">
        <f t="shared" si="1"/>
        <v>D.2</v>
      </c>
      <c r="E25" s="256" t="str">
        <f>'Beta Calc'!$B$4</f>
        <v>Beta Calculation</v>
      </c>
      <c r="G25" s="251" t="str">
        <f t="shared" si="0"/>
        <v>Exhibit D.2</v>
      </c>
      <c r="J25" s="250">
        <f t="shared" ref="J25:J57" si="11">IF(J24="",J23+1,J24)</f>
        <v>68</v>
      </c>
      <c r="K25" s="250" t="str">
        <f t="shared" si="3"/>
        <v>D</v>
      </c>
      <c r="L25" s="250">
        <f t="shared" si="5"/>
        <v>2</v>
      </c>
    </row>
    <row r="26" spans="2:12">
      <c r="B26" s="255" t="str">
        <f t="shared" si="1"/>
        <v>D.3</v>
      </c>
      <c r="E26" s="256" t="str">
        <f>'WACC PWERM'!$B$4</f>
        <v xml:space="preserve">Weighted Average Cost of Capital - PWERM-Based </v>
      </c>
      <c r="G26" s="251" t="str">
        <f t="shared" si="0"/>
        <v>Exhibit D.3</v>
      </c>
      <c r="J26" s="250">
        <f t="shared" si="11"/>
        <v>68</v>
      </c>
      <c r="K26" s="250" t="str">
        <f t="shared" si="3"/>
        <v>D</v>
      </c>
      <c r="L26" s="250">
        <f t="shared" si="5"/>
        <v>3</v>
      </c>
    </row>
    <row r="27" spans="2:12">
      <c r="B27" s="255" t="str">
        <f t="shared" si="1"/>
        <v>D.4</v>
      </c>
      <c r="E27" s="256" t="str">
        <f>'RoR Stage of Dev'!$B$4</f>
        <v xml:space="preserve">Rate of Return By Stage of Development </v>
      </c>
      <c r="G27" s="251" t="str">
        <f>"Exhibit "&amp;B27</f>
        <v>Exhibit D.4</v>
      </c>
      <c r="J27" s="250">
        <f t="shared" si="11"/>
        <v>68</v>
      </c>
      <c r="K27" s="250" t="str">
        <f t="shared" si="3"/>
        <v>D</v>
      </c>
      <c r="L27" s="250">
        <f t="shared" si="5"/>
        <v>4</v>
      </c>
    </row>
    <row r="28" spans="2:12">
      <c r="B28" s="255"/>
      <c r="E28" s="256"/>
      <c r="G28" s="251" t="str">
        <f t="shared" si="0"/>
        <v xml:space="preserve">Exhibit </v>
      </c>
    </row>
    <row r="29" spans="2:12">
      <c r="B29" s="255"/>
      <c r="E29" s="308" t="str">
        <f>'GCM FP &gt;&gt;'!$D$9</f>
        <v>Guideline Comparables Method</v>
      </c>
      <c r="G29" s="251" t="str">
        <f t="shared" si="0"/>
        <v xml:space="preserve">Exhibit </v>
      </c>
    </row>
    <row r="30" spans="2:12">
      <c r="B30" s="255" t="str">
        <f t="shared" si="1"/>
        <v>E.1</v>
      </c>
      <c r="E30" s="256" t="str">
        <f>'GCM SUMM'!$B$4</f>
        <v>Market Approach - GCM Summary</v>
      </c>
      <c r="G30" s="251" t="str">
        <f t="shared" si="0"/>
        <v>Exhibit E.1</v>
      </c>
      <c r="J30" s="250">
        <f>IF(J29="",J27+1,J29)</f>
        <v>69</v>
      </c>
      <c r="K30" s="250" t="str">
        <f t="shared" si="3"/>
        <v>E</v>
      </c>
      <c r="L30" s="250">
        <f t="shared" si="5"/>
        <v>1</v>
      </c>
    </row>
    <row r="31" spans="2:12">
      <c r="B31" s="255" t="str">
        <f t="shared" si="1"/>
        <v>E.2</v>
      </c>
      <c r="E31" s="256" t="str">
        <f>'Comp.1'!$B$4</f>
        <v>Guideline Public Companies' Revenue Multiples</v>
      </c>
      <c r="G31" s="251" t="str">
        <f t="shared" si="0"/>
        <v>Exhibit E.2</v>
      </c>
      <c r="J31" s="250">
        <f t="shared" si="11"/>
        <v>69</v>
      </c>
      <c r="K31" s="250" t="str">
        <f t="shared" si="3"/>
        <v>E</v>
      </c>
      <c r="L31" s="250">
        <f t="shared" si="5"/>
        <v>2</v>
      </c>
    </row>
    <row r="32" spans="2:12">
      <c r="B32" s="255" t="str">
        <f t="shared" si="1"/>
        <v>E.3</v>
      </c>
      <c r="E32" s="256" t="str">
        <f>'Comp.2'!$B$4</f>
        <v>Guideline Public Companies' EBITDA Multiples</v>
      </c>
      <c r="G32" s="251" t="str">
        <f t="shared" si="0"/>
        <v>Exhibit E.3</v>
      </c>
      <c r="J32" s="250">
        <f t="shared" si="11"/>
        <v>69</v>
      </c>
      <c r="K32" s="250" t="str">
        <f t="shared" si="3"/>
        <v>E</v>
      </c>
      <c r="L32" s="250">
        <f t="shared" si="5"/>
        <v>3</v>
      </c>
    </row>
    <row r="33" spans="2:12">
      <c r="B33" s="255" t="str">
        <f t="shared" si="1"/>
        <v>E.4</v>
      </c>
      <c r="E33" s="256" t="str">
        <f>'Comp.5'!$B$4</f>
        <v>Guideline Public Companies' Margins &amp; Cash Flow Metrics</v>
      </c>
      <c r="G33" s="251" t="str">
        <f t="shared" si="0"/>
        <v>Exhibit E.4</v>
      </c>
      <c r="J33" s="250">
        <f t="shared" si="11"/>
        <v>69</v>
      </c>
      <c r="K33" s="250" t="str">
        <f t="shared" ref="K33:K34" si="12">CHAR(J33)</f>
        <v>E</v>
      </c>
      <c r="L33" s="250">
        <f t="shared" si="5"/>
        <v>4</v>
      </c>
    </row>
    <row r="34" spans="2:12">
      <c r="B34" s="255" t="str">
        <f t="shared" si="1"/>
        <v>E.5</v>
      </c>
      <c r="E34" s="256" t="str">
        <f>'Comp.6'!$B$4</f>
        <v>Guideline Public Companies' Descriptions</v>
      </c>
      <c r="G34" s="251" t="str">
        <f t="shared" si="0"/>
        <v>Exhibit E.5</v>
      </c>
      <c r="J34" s="250">
        <f t="shared" si="11"/>
        <v>69</v>
      </c>
      <c r="K34" s="250" t="str">
        <f t="shared" si="12"/>
        <v>E</v>
      </c>
      <c r="L34" s="250">
        <f t="shared" si="5"/>
        <v>5</v>
      </c>
    </row>
    <row r="35" spans="2:12">
      <c r="B35" s="255"/>
      <c r="E35" s="256"/>
      <c r="G35" s="251" t="str">
        <f t="shared" si="0"/>
        <v xml:space="preserve">Exhibit </v>
      </c>
    </row>
    <row r="36" spans="2:12">
      <c r="B36" s="255"/>
      <c r="E36" s="308" t="str">
        <f>'GTM FP &gt;&gt;'!$D$9</f>
        <v>Guideline Transaction Method</v>
      </c>
      <c r="G36" s="251" t="str">
        <f t="shared" si="0"/>
        <v xml:space="preserve">Exhibit </v>
      </c>
    </row>
    <row r="37" spans="2:12">
      <c r="B37" s="255" t="str">
        <f t="shared" si="1"/>
        <v>F.1</v>
      </c>
      <c r="E37" s="256" t="str">
        <f>'GTM SUMM'!$B$4</f>
        <v>Market Approach - GTM Summary</v>
      </c>
      <c r="G37" s="251" t="str">
        <f t="shared" si="0"/>
        <v>Exhibit F.1</v>
      </c>
      <c r="J37" s="250">
        <f>IF(J36="",J34+1,J36)</f>
        <v>70</v>
      </c>
      <c r="K37" s="250" t="str">
        <f t="shared" si="3"/>
        <v>F</v>
      </c>
      <c r="L37" s="250">
        <f t="shared" si="5"/>
        <v>1</v>
      </c>
    </row>
    <row r="38" spans="2:12">
      <c r="B38" s="255" t="str">
        <f t="shared" si="1"/>
        <v>F.2</v>
      </c>
      <c r="E38" s="256" t="str">
        <f>Trans.1!$B$4</f>
        <v>Guideline Transactions' Multiples Analysis</v>
      </c>
      <c r="G38" s="251" t="str">
        <f t="shared" si="0"/>
        <v>Exhibit F.2</v>
      </c>
      <c r="J38" s="250">
        <f t="shared" si="11"/>
        <v>70</v>
      </c>
      <c r="K38" s="250" t="str">
        <f t="shared" si="3"/>
        <v>F</v>
      </c>
      <c r="L38" s="250">
        <f t="shared" si="5"/>
        <v>2</v>
      </c>
    </row>
    <row r="39" spans="2:12">
      <c r="B39" s="255" t="str">
        <f t="shared" si="1"/>
        <v>F.3</v>
      </c>
      <c r="E39" s="256" t="str">
        <f>Trans.2!$B$4</f>
        <v>Guideline Transactions' Target Descriptions</v>
      </c>
      <c r="G39" s="251" t="str">
        <f t="shared" si="0"/>
        <v>Exhibit F.3</v>
      </c>
      <c r="J39" s="250">
        <f t="shared" si="11"/>
        <v>70</v>
      </c>
      <c r="K39" s="250" t="str">
        <f t="shared" si="3"/>
        <v>F</v>
      </c>
      <c r="L39" s="250">
        <f t="shared" si="5"/>
        <v>3</v>
      </c>
    </row>
    <row r="40" spans="2:12">
      <c r="B40" s="255"/>
      <c r="E40" s="256"/>
      <c r="G40" s="251" t="str">
        <f t="shared" si="0"/>
        <v xml:space="preserve">Exhibit </v>
      </c>
    </row>
    <row r="41" spans="2:12">
      <c r="B41" s="255"/>
      <c r="E41" s="256" t="str">
        <f>'Cap Structure FP &gt;&gt;'!$D$9</f>
        <v>Capitalization Summary</v>
      </c>
      <c r="G41" s="251" t="str">
        <f t="shared" si="0"/>
        <v xml:space="preserve">Exhibit </v>
      </c>
    </row>
    <row r="42" spans="2:12">
      <c r="B42" s="255" t="str">
        <f t="shared" si="1"/>
        <v>G.1</v>
      </c>
      <c r="E42" s="256" t="str">
        <f>'Cap Table'!$B$4</f>
        <v xml:space="preserve">Capitalization Table </v>
      </c>
      <c r="G42" s="251" t="str">
        <f t="shared" si="0"/>
        <v>Exhibit G.1</v>
      </c>
      <c r="J42" s="250">
        <f>IF(J41="",J39+1,J41)</f>
        <v>71</v>
      </c>
      <c r="K42" s="250" t="str">
        <f t="shared" si="3"/>
        <v>G</v>
      </c>
      <c r="L42" s="250">
        <f t="shared" si="5"/>
        <v>1</v>
      </c>
    </row>
    <row r="43" spans="2:12">
      <c r="B43" s="255" t="str">
        <f t="shared" si="1"/>
        <v>G.2</v>
      </c>
      <c r="E43" s="256" t="str">
        <f>'Econ Rights'!$B$4</f>
        <v xml:space="preserve">Economic Rights Summary </v>
      </c>
      <c r="G43" s="251" t="str">
        <f t="shared" si="0"/>
        <v>Exhibit G.2</v>
      </c>
      <c r="J43" s="250">
        <f t="shared" si="11"/>
        <v>71</v>
      </c>
      <c r="K43" s="250" t="str">
        <f t="shared" si="3"/>
        <v>G</v>
      </c>
      <c r="L43" s="250">
        <f t="shared" si="5"/>
        <v>2</v>
      </c>
    </row>
    <row r="44" spans="2:12">
      <c r="B44" s="255"/>
      <c r="E44" s="256"/>
      <c r="G44" s="251" t="str">
        <f t="shared" si="0"/>
        <v xml:space="preserve">Exhibit </v>
      </c>
    </row>
    <row r="45" spans="2:12">
      <c r="B45" s="255"/>
      <c r="E45" s="256" t="str">
        <f>+'Support FP &gt;&gt;'!D9</f>
        <v>Appendices</v>
      </c>
      <c r="G45" s="251" t="str">
        <f t="shared" si="0"/>
        <v xml:space="preserve">Exhibit </v>
      </c>
    </row>
    <row r="46" spans="2:12">
      <c r="B46" s="255" t="str">
        <f t="shared" si="1"/>
        <v>H.1</v>
      </c>
      <c r="E46" s="256" t="str">
        <f>DLOM!$B$4</f>
        <v>Discount for Lack of Marketability</v>
      </c>
      <c r="G46" s="251" t="str">
        <f t="shared" si="0"/>
        <v>Exhibit H.1</v>
      </c>
      <c r="J46" s="250">
        <f>IF(J45="",J43+1,J45)</f>
        <v>72</v>
      </c>
      <c r="K46" s="250" t="str">
        <f t="shared" si="3"/>
        <v>H</v>
      </c>
      <c r="L46" s="250">
        <v>1</v>
      </c>
    </row>
    <row r="47" spans="2:12">
      <c r="B47" s="255" t="str">
        <f t="shared" ref="B47:B51" si="13">K47&amp;"."&amp;L47</f>
        <v>H.2</v>
      </c>
      <c r="E47" s="256" t="str">
        <f>'Asset Vol_OPM'!$B$4</f>
        <v>Asset Volatility - OPM</v>
      </c>
      <c r="G47" s="251" t="str">
        <f t="shared" ref="G47:G51" si="14">"Exhibit "&amp;B47</f>
        <v>Exhibit H.2</v>
      </c>
      <c r="J47" s="250">
        <f t="shared" si="11"/>
        <v>72</v>
      </c>
      <c r="K47" s="250" t="str">
        <f t="shared" ref="K47" si="15">CHAR(J47)</f>
        <v>H</v>
      </c>
      <c r="L47" s="250">
        <f t="shared" si="5"/>
        <v>2</v>
      </c>
    </row>
    <row r="48" spans="2:12">
      <c r="B48" s="255" t="str">
        <f t="shared" si="13"/>
        <v>H.3</v>
      </c>
      <c r="E48" s="256" t="str">
        <f>'Asset Vol_DLOM'!B4</f>
        <v>Asset Volatility - OPM DLOM</v>
      </c>
      <c r="G48" s="251" t="str">
        <f t="shared" si="14"/>
        <v>Exhibit H.3</v>
      </c>
      <c r="J48" s="250">
        <f t="shared" si="11"/>
        <v>72</v>
      </c>
      <c r="K48" s="250" t="str">
        <f t="shared" ref="K48:K56" si="16">CHAR(J48)</f>
        <v>H</v>
      </c>
      <c r="L48" s="250">
        <f t="shared" si="5"/>
        <v>3</v>
      </c>
    </row>
    <row r="49" spans="2:12">
      <c r="B49" s="255" t="str">
        <f t="shared" si="13"/>
        <v>H.4</v>
      </c>
      <c r="E49" s="256" t="str">
        <f>'Asset Vol_IPO Early'!B4</f>
        <v>Asset Volatility - IPO Early</v>
      </c>
      <c r="G49" s="251" t="str">
        <f t="shared" si="14"/>
        <v>Exhibit H.4</v>
      </c>
      <c r="J49" s="250">
        <f t="shared" si="11"/>
        <v>72</v>
      </c>
      <c r="K49" s="250" t="str">
        <f t="shared" si="16"/>
        <v>H</v>
      </c>
      <c r="L49" s="250">
        <f t="shared" si="5"/>
        <v>4</v>
      </c>
    </row>
    <row r="50" spans="2:12">
      <c r="B50" s="255" t="str">
        <f t="shared" si="13"/>
        <v>H.5</v>
      </c>
      <c r="E50" s="256" t="str">
        <f>'Asset Vol_IPO Late'!B4</f>
        <v>Asset Volatility - IPO Late</v>
      </c>
      <c r="G50" s="251" t="str">
        <f t="shared" si="14"/>
        <v>Exhibit H.5</v>
      </c>
      <c r="J50" s="250">
        <f t="shared" si="11"/>
        <v>72</v>
      </c>
      <c r="K50" s="250" t="str">
        <f t="shared" si="16"/>
        <v>H</v>
      </c>
      <c r="L50" s="250">
        <f t="shared" si="5"/>
        <v>5</v>
      </c>
    </row>
    <row r="51" spans="2:12">
      <c r="B51" s="255" t="str">
        <f t="shared" si="13"/>
        <v>H.6</v>
      </c>
      <c r="E51" s="256" t="str">
        <f>'Asset Vol_M&amp;A Early'!B4</f>
        <v>Asset Volatility - M&amp;A Early</v>
      </c>
      <c r="G51" s="251" t="str">
        <f t="shared" si="14"/>
        <v>Exhibit H.6</v>
      </c>
      <c r="J51" s="250">
        <f t="shared" si="11"/>
        <v>72</v>
      </c>
      <c r="K51" s="250" t="str">
        <f t="shared" si="16"/>
        <v>H</v>
      </c>
      <c r="L51" s="250">
        <f t="shared" si="5"/>
        <v>6</v>
      </c>
    </row>
    <row r="52" spans="2:12">
      <c r="B52" s="255" t="str">
        <f t="shared" si="1"/>
        <v>H.7</v>
      </c>
      <c r="E52" s="256" t="str">
        <f>'Asset Vol_M&amp;A Late'!B4</f>
        <v>Asset Volatility - M&amp;A Late</v>
      </c>
      <c r="G52" s="251" t="str">
        <f t="shared" si="0"/>
        <v>Exhibit H.7</v>
      </c>
      <c r="J52" s="250">
        <f t="shared" si="11"/>
        <v>72</v>
      </c>
      <c r="K52" s="250" t="str">
        <f t="shared" si="16"/>
        <v>H</v>
      </c>
      <c r="L52" s="250">
        <f t="shared" si="5"/>
        <v>7</v>
      </c>
    </row>
    <row r="53" spans="2:12">
      <c r="B53" s="255" t="str">
        <f t="shared" si="1"/>
        <v>H.8</v>
      </c>
      <c r="E53" s="256" t="str">
        <f>'Equity Vol'!$B$4</f>
        <v>Equity Volatility</v>
      </c>
      <c r="G53" s="251" t="str">
        <f t="shared" si="0"/>
        <v>Exhibit H.8</v>
      </c>
      <c r="J53" s="250">
        <f t="shared" si="11"/>
        <v>72</v>
      </c>
      <c r="K53" s="250" t="str">
        <f t="shared" si="16"/>
        <v>H</v>
      </c>
      <c r="L53" s="250">
        <f t="shared" si="5"/>
        <v>8</v>
      </c>
    </row>
    <row r="54" spans="2:12">
      <c r="B54" s="255" t="str">
        <f t="shared" si="1"/>
        <v>H.9</v>
      </c>
      <c r="E54" s="256" t="str">
        <f>'Risk-Free Rates'!$B$4</f>
        <v>Risk-Free Rates</v>
      </c>
      <c r="G54" s="251" t="str">
        <f t="shared" si="0"/>
        <v>Exhibit H.9</v>
      </c>
      <c r="J54" s="250">
        <f t="shared" si="11"/>
        <v>72</v>
      </c>
      <c r="K54" s="250" t="str">
        <f t="shared" si="16"/>
        <v>H</v>
      </c>
      <c r="L54" s="250">
        <f t="shared" si="5"/>
        <v>9</v>
      </c>
    </row>
    <row r="55" spans="2:12">
      <c r="B55" s="255" t="str">
        <f t="shared" si="1"/>
        <v>H.10</v>
      </c>
      <c r="E55" s="256" t="str">
        <f>'Licensing Deals'!B4</f>
        <v>Licensing Deals - Oncology Small Molecule and Bi-specific Antibodies</v>
      </c>
      <c r="G55" s="251" t="str">
        <f t="shared" si="0"/>
        <v>Exhibit H.10</v>
      </c>
      <c r="J55" s="250">
        <f t="shared" si="11"/>
        <v>72</v>
      </c>
      <c r="K55" s="250" t="str">
        <f t="shared" si="16"/>
        <v>H</v>
      </c>
      <c r="L55" s="250">
        <f t="shared" si="5"/>
        <v>10</v>
      </c>
    </row>
    <row r="56" spans="2:12">
      <c r="B56" s="255" t="str">
        <f t="shared" si="1"/>
        <v>H.11</v>
      </c>
      <c r="E56" s="308" t="str">
        <f>'IPO Data_BioPharma'!B4</f>
        <v>Initial Public Offerings Data</v>
      </c>
      <c r="G56" s="251" t="str">
        <f t="shared" si="0"/>
        <v>Exhibit H.11</v>
      </c>
      <c r="J56" s="250">
        <f t="shared" si="11"/>
        <v>72</v>
      </c>
      <c r="K56" s="250" t="str">
        <f t="shared" si="16"/>
        <v>H</v>
      </c>
      <c r="L56" s="250">
        <f t="shared" si="5"/>
        <v>11</v>
      </c>
    </row>
    <row r="57" spans="2:12">
      <c r="B57" s="255" t="str">
        <f t="shared" si="1"/>
        <v>H.12</v>
      </c>
      <c r="E57" s="309" t="str">
        <f>'Control Premium Summary'!B4</f>
        <v>Control Premium Summary</v>
      </c>
      <c r="G57" s="251" t="str">
        <f t="shared" ref="G57" si="17">"Exhibit "&amp;B57</f>
        <v>Exhibit H.12</v>
      </c>
      <c r="J57" s="250">
        <f t="shared" si="11"/>
        <v>72</v>
      </c>
      <c r="K57" s="250" t="str">
        <f t="shared" ref="K57" si="18">CHAR(J57)</f>
        <v>H</v>
      </c>
      <c r="L57" s="250">
        <f t="shared" si="5"/>
        <v>12</v>
      </c>
    </row>
    <row r="58" spans="2:12">
      <c r="B58" s="255" t="s">
        <v>723</v>
      </c>
      <c r="E58" s="256"/>
    </row>
    <row r="59" spans="2:12">
      <c r="B59" s="255" t="str">
        <f>K59&amp;L59</f>
        <v>#1</v>
      </c>
      <c r="E59" s="256" t="str">
        <f>'Hybrid OPM'!B4</f>
        <v>Hybrid OPM</v>
      </c>
      <c r="G59" s="251" t="str">
        <f>"Workpaper "&amp;B59</f>
        <v>Workpaper #1</v>
      </c>
      <c r="K59" s="250" t="s">
        <v>1780</v>
      </c>
      <c r="L59" s="250">
        <v>1</v>
      </c>
    </row>
    <row r="60" spans="2:12">
      <c r="B60" s="255" t="str">
        <f t="shared" ref="B60:B63" si="19">K60&amp;L60</f>
        <v>#2</v>
      </c>
      <c r="E60" s="256" t="str">
        <f>'OPM 1 Hybrid'!B4</f>
        <v>Option Pricing Method - Breakpoints &amp; Allocation (Hybrid OPM)</v>
      </c>
      <c r="G60" s="251" t="str">
        <f t="shared" ref="G60:G63" si="20">"Workpaper "&amp;B60</f>
        <v>Workpaper #2</v>
      </c>
      <c r="K60" s="250" t="str">
        <f>K59</f>
        <v>#</v>
      </c>
      <c r="L60" s="250">
        <f>L59+1</f>
        <v>2</v>
      </c>
    </row>
    <row r="61" spans="2:12">
      <c r="B61" s="255" t="str">
        <f t="shared" si="19"/>
        <v>#3</v>
      </c>
      <c r="E61" s="256" t="str">
        <f>'OPM 2 Hybrid'!B4</f>
        <v>Option Pricing Method - Implied Value Per Share (Hybrid OPM)</v>
      </c>
      <c r="G61" s="251" t="str">
        <f t="shared" si="20"/>
        <v>Workpaper #3</v>
      </c>
      <c r="K61" s="250" t="str">
        <f>K60</f>
        <v>#</v>
      </c>
      <c r="L61" s="250">
        <f>L60+1</f>
        <v>3</v>
      </c>
    </row>
    <row r="62" spans="2:12">
      <c r="B62" s="255" t="str">
        <f t="shared" si="19"/>
        <v>#4</v>
      </c>
      <c r="E62" s="256" t="str">
        <f>'DLOM Hybrid'!B4</f>
        <v>Discount for Lack of Marketability - Option Models (Hybrid OPM)</v>
      </c>
      <c r="G62" s="251" t="str">
        <f t="shared" si="20"/>
        <v>Workpaper #4</v>
      </c>
      <c r="K62" s="250" t="str">
        <f>K61</f>
        <v>#</v>
      </c>
      <c r="L62" s="250">
        <f>L61+1</f>
        <v>4</v>
      </c>
    </row>
    <row r="63" spans="2:12">
      <c r="B63" s="255" t="str">
        <f t="shared" si="19"/>
        <v>#5</v>
      </c>
      <c r="E63" s="256" t="str">
        <f>'Asset Vol Hybrid'!B4</f>
        <v>Asset Volatility (Hybrid OPM)</v>
      </c>
      <c r="G63" s="251" t="str">
        <f t="shared" si="20"/>
        <v>Workpaper #5</v>
      </c>
      <c r="K63" s="250" t="str">
        <f t="shared" ref="K63" si="21">K62</f>
        <v>#</v>
      </c>
      <c r="L63" s="250">
        <f t="shared" ref="L63:L73" si="22">L62+1</f>
        <v>5</v>
      </c>
    </row>
    <row r="64" spans="2:12">
      <c r="B64" s="255" t="str">
        <f>K64&amp;L64</f>
        <v>#6</v>
      </c>
      <c r="E64" s="256" t="str">
        <f>'Class Vol'!B4</f>
        <v>Class Volatility (Hybrid OPM)</v>
      </c>
      <c r="G64" s="251" t="str">
        <f>"Workpaper "&amp;B64</f>
        <v>Workpaper #6</v>
      </c>
      <c r="K64" s="250" t="s">
        <v>1780</v>
      </c>
      <c r="L64" s="250">
        <f t="shared" si="22"/>
        <v>6</v>
      </c>
    </row>
    <row r="65" spans="2:12">
      <c r="B65" s="255" t="str">
        <f>K65&amp;L65</f>
        <v>#7</v>
      </c>
      <c r="E65" s="256" t="str">
        <f>'Market Trends since Prior Val'!B4</f>
        <v>Market Trends Since Previous Valuation</v>
      </c>
      <c r="G65" s="251" t="str">
        <f>"Workpaper "&amp;B65</f>
        <v>Workpaper #7</v>
      </c>
      <c r="K65" s="250" t="s">
        <v>1780</v>
      </c>
      <c r="L65" s="250">
        <f t="shared" si="22"/>
        <v>7</v>
      </c>
    </row>
    <row r="66" spans="2:12">
      <c r="B66" s="255" t="str">
        <f t="shared" ref="B66:B73" si="23">K66&amp;L66</f>
        <v>#8</v>
      </c>
      <c r="E66" s="256" t="str">
        <f>'Control Premium Summary'!B4</f>
        <v>Control Premium Summary</v>
      </c>
      <c r="G66" s="251" t="str">
        <f t="shared" ref="G66:G67" si="24">"Workpaper "&amp;B66</f>
        <v>Workpaper #8</v>
      </c>
      <c r="K66" s="250" t="str">
        <f>K65</f>
        <v>#</v>
      </c>
      <c r="L66" s="250">
        <f t="shared" si="22"/>
        <v>8</v>
      </c>
    </row>
    <row r="67" spans="2:12">
      <c r="B67" s="255" t="str">
        <f t="shared" si="23"/>
        <v>#9</v>
      </c>
      <c r="E67" s="256" t="str">
        <f>'Comparative Sheet'!B4</f>
        <v>Comparative Sheet</v>
      </c>
      <c r="G67" s="251" t="str">
        <f t="shared" si="24"/>
        <v>Workpaper #9</v>
      </c>
      <c r="K67" s="250" t="str">
        <f>K66</f>
        <v>#</v>
      </c>
      <c r="L67" s="250">
        <f t="shared" si="22"/>
        <v>9</v>
      </c>
    </row>
    <row r="68" spans="2:12">
      <c r="B68" s="255" t="str">
        <f t="shared" si="23"/>
        <v>#10</v>
      </c>
      <c r="E68" s="256" t="str">
        <f>'Comp.4'!$B$4</f>
        <v>Guideline Public Companies' Price Multiples</v>
      </c>
      <c r="G68" s="251" t="str">
        <f t="shared" ref="G68" si="25">"Workpaper "&amp;B68</f>
        <v>Workpaper #10</v>
      </c>
      <c r="K68" s="250" t="str">
        <f>K67</f>
        <v>#</v>
      </c>
      <c r="L68" s="250">
        <f t="shared" si="22"/>
        <v>10</v>
      </c>
    </row>
    <row r="69" spans="2:12">
      <c r="B69" s="255" t="str">
        <f t="shared" si="23"/>
        <v>#11</v>
      </c>
      <c r="E69" s="256" t="str">
        <f>'DLOM Rest Stock'!B4</f>
        <v>Summary Of Restricted Stock Studies</v>
      </c>
      <c r="G69" s="251" t="str">
        <f t="shared" ref="G69:G73" si="26">"Workpaper "&amp;B69</f>
        <v>Workpaper #11</v>
      </c>
      <c r="K69" s="250" t="str">
        <f t="shared" ref="K69:K73" si="27">K68</f>
        <v>#</v>
      </c>
      <c r="L69" s="250">
        <f t="shared" si="22"/>
        <v>11</v>
      </c>
    </row>
    <row r="70" spans="2:12">
      <c r="B70" s="255" t="str">
        <f t="shared" si="23"/>
        <v>#12</v>
      </c>
      <c r="E70" s="256" t="str">
        <f>'Lack Voting'!B4</f>
        <v>Price Differentials Between Voting &amp; Nonvoting Stock</v>
      </c>
      <c r="G70" s="251" t="str">
        <f t="shared" si="26"/>
        <v>Workpaper #12</v>
      </c>
      <c r="K70" s="250" t="str">
        <f t="shared" si="27"/>
        <v>#</v>
      </c>
      <c r="L70" s="250">
        <f t="shared" si="22"/>
        <v>12</v>
      </c>
    </row>
    <row r="71" spans="2:12">
      <c r="B71" s="255" t="str">
        <f t="shared" si="23"/>
        <v>#13</v>
      </c>
      <c r="E71" s="250"/>
      <c r="G71" s="251" t="str">
        <f t="shared" si="26"/>
        <v>Workpaper #13</v>
      </c>
      <c r="K71" s="250" t="str">
        <f t="shared" si="27"/>
        <v>#</v>
      </c>
      <c r="L71" s="250">
        <f t="shared" si="22"/>
        <v>13</v>
      </c>
    </row>
    <row r="72" spans="2:12">
      <c r="B72" s="255" t="str">
        <f t="shared" si="23"/>
        <v>#14</v>
      </c>
      <c r="E72" s="256" t="str">
        <f>IFERROR(INDEX(#REF!,IF(B70="",MATCH(ROW()-ROW($B$7),IF(#REF!,#REF!,#REF!),0),MATCH(B70,#REF!,0))),"")</f>
        <v/>
      </c>
      <c r="G72" s="251" t="str">
        <f t="shared" si="26"/>
        <v>Workpaper #14</v>
      </c>
      <c r="K72" s="250" t="str">
        <f t="shared" si="27"/>
        <v>#</v>
      </c>
      <c r="L72" s="250">
        <f t="shared" si="22"/>
        <v>14</v>
      </c>
    </row>
    <row r="73" spans="2:12">
      <c r="B73" s="255" t="str">
        <f t="shared" si="23"/>
        <v>#15</v>
      </c>
      <c r="E73" s="256" t="str">
        <f>IFERROR(INDEX(#REF!,IF(B71="",MATCH(ROW()-ROW($B$7),IF(#REF!,#REF!,#REF!),0),MATCH(B71,#REF!,0))),"")</f>
        <v/>
      </c>
      <c r="G73" s="251" t="str">
        <f t="shared" si="26"/>
        <v>Workpaper #15</v>
      </c>
      <c r="K73" s="250" t="str">
        <f t="shared" si="27"/>
        <v>#</v>
      </c>
      <c r="L73" s="250">
        <f t="shared" si="22"/>
        <v>15</v>
      </c>
    </row>
  </sheetData>
  <conditionalFormatting sqref="B3:G3">
    <cfRule type="cellIs" dxfId="381" priority="26" stopIfTrue="1" operator="equal">
      <formula>"input"</formula>
    </cfRule>
  </conditionalFormatting>
  <conditionalFormatting sqref="B7:B18 B20:B46 B65:B73 B52:B58">
    <cfRule type="expression" dxfId="380" priority="23">
      <formula>OR($B7="Exhibits",$B7="Workpapers")</formula>
    </cfRule>
  </conditionalFormatting>
  <conditionalFormatting sqref="E7:E18 E20:E45">
    <cfRule type="expression" dxfId="379" priority="22">
      <formula>$B7=""</formula>
    </cfRule>
  </conditionalFormatting>
  <conditionalFormatting sqref="G8:G18 G20:G46 G65:G73 G52:G56 G58">
    <cfRule type="expression" dxfId="378" priority="21">
      <formula>$B8="Workpapers"</formula>
    </cfRule>
  </conditionalFormatting>
  <conditionalFormatting sqref="E72:E73 E67">
    <cfRule type="expression" dxfId="377" priority="47">
      <formula>$B65=""</formula>
    </cfRule>
  </conditionalFormatting>
  <conditionalFormatting sqref="E46 E52:E54">
    <cfRule type="expression" dxfId="376" priority="51">
      <formula>$B46=""</formula>
    </cfRule>
  </conditionalFormatting>
  <conditionalFormatting sqref="B19">
    <cfRule type="expression" dxfId="375" priority="18">
      <formula>OR($B19="Exhibits",$B19="Workpapers")</formula>
    </cfRule>
  </conditionalFormatting>
  <conditionalFormatting sqref="E19">
    <cfRule type="expression" dxfId="374" priority="17">
      <formula>$B19=""</formula>
    </cfRule>
  </conditionalFormatting>
  <conditionalFormatting sqref="G19">
    <cfRule type="expression" dxfId="373" priority="16">
      <formula>$B19="Workpapers"</formula>
    </cfRule>
  </conditionalFormatting>
  <conditionalFormatting sqref="E68">
    <cfRule type="expression" dxfId="372" priority="53">
      <formula>#REF!=""</formula>
    </cfRule>
  </conditionalFormatting>
  <conditionalFormatting sqref="E69:E70 E58">
    <cfRule type="expression" dxfId="371" priority="55">
      <formula>$B55=""</formula>
    </cfRule>
  </conditionalFormatting>
  <conditionalFormatting sqref="B59:B63">
    <cfRule type="expression" dxfId="370" priority="11">
      <formula>OR($B59="Exhibits",$B59="Workpapers")</formula>
    </cfRule>
  </conditionalFormatting>
  <conditionalFormatting sqref="G59:G63">
    <cfRule type="expression" dxfId="369" priority="10">
      <formula>$B59="Workpapers"</formula>
    </cfRule>
  </conditionalFormatting>
  <conditionalFormatting sqref="E61">
    <cfRule type="expression" dxfId="368" priority="12">
      <formula>$B59=""</formula>
    </cfRule>
  </conditionalFormatting>
  <conditionalFormatting sqref="E62">
    <cfRule type="expression" dxfId="367" priority="13">
      <formula>#REF!=""</formula>
    </cfRule>
  </conditionalFormatting>
  <conditionalFormatting sqref="E63">
    <cfRule type="expression" dxfId="366" priority="14">
      <formula>$B60=""</formula>
    </cfRule>
  </conditionalFormatting>
  <conditionalFormatting sqref="B64">
    <cfRule type="expression" dxfId="365" priority="9">
      <formula>OR($B64="Exhibits",$B64="Workpapers")</formula>
    </cfRule>
  </conditionalFormatting>
  <conditionalFormatting sqref="G64">
    <cfRule type="expression" dxfId="364" priority="8">
      <formula>$B64="Workpapers"</formula>
    </cfRule>
  </conditionalFormatting>
  <conditionalFormatting sqref="B47:B50">
    <cfRule type="expression" dxfId="363" priority="6">
      <formula>OR($B47="Exhibits",$B47="Workpapers")</formula>
    </cfRule>
  </conditionalFormatting>
  <conditionalFormatting sqref="G47:G50">
    <cfRule type="expression" dxfId="362" priority="5">
      <formula>$B47="Workpapers"</formula>
    </cfRule>
  </conditionalFormatting>
  <conditionalFormatting sqref="E47:E49">
    <cfRule type="expression" dxfId="361" priority="7">
      <formula>$B47=""</formula>
    </cfRule>
  </conditionalFormatting>
  <conditionalFormatting sqref="B51">
    <cfRule type="expression" dxfId="360" priority="3">
      <formula>OR($B51="Exhibits",$B51="Workpapers")</formula>
    </cfRule>
  </conditionalFormatting>
  <conditionalFormatting sqref="G51">
    <cfRule type="expression" dxfId="359" priority="2">
      <formula>$B51="Workpapers"</formula>
    </cfRule>
  </conditionalFormatting>
  <conditionalFormatting sqref="E51">
    <cfRule type="expression" dxfId="358" priority="4">
      <formula>$B51=""</formula>
    </cfRule>
  </conditionalFormatting>
  <conditionalFormatting sqref="G57">
    <cfRule type="expression" dxfId="357" priority="1">
      <formula>$B57="Workpapers"</formula>
    </cfRule>
  </conditionalFormatting>
  <pageMargins left="0.5" right="0.5" top="0.5" bottom="0.5" header="0.5" footer="0.5"/>
  <pageSetup scale="85" fitToWidth="0" fitToHeight="0" orientation="landscape"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S764"/>
  <sheetViews>
    <sheetView showGridLines="0" view="pageBreakPreview" zoomScale="80" zoomScaleNormal="145" zoomScaleSheetLayoutView="80" workbookViewId="0"/>
  </sheetViews>
  <sheetFormatPr defaultRowHeight="12.75"/>
  <cols>
    <col min="1" max="1" width="4.5" style="250" customWidth="1"/>
    <col min="2" max="2" width="53" style="250" customWidth="1"/>
    <col min="3" max="3" width="2.83203125" style="250" customWidth="1"/>
    <col min="4" max="4" width="18.83203125" style="250" customWidth="1"/>
    <col min="5" max="5" width="2.83203125" style="250" customWidth="1"/>
    <col min="6" max="6" width="20.6640625" style="250" customWidth="1"/>
    <col min="7" max="7" width="2.83203125" style="250" customWidth="1"/>
    <col min="8" max="8" width="18" style="250" customWidth="1"/>
    <col min="9" max="9" width="2.83203125" style="250" customWidth="1"/>
    <col min="10" max="10" width="15.83203125" style="250" customWidth="1"/>
    <col min="11" max="11" width="2.83203125" style="250" customWidth="1"/>
    <col min="12" max="12" width="14" style="250" customWidth="1"/>
    <col min="13" max="13" width="4.5" style="250" customWidth="1"/>
    <col min="14" max="14" width="18.1640625" style="250" customWidth="1"/>
    <col min="15" max="16" width="12" style="250" bestFit="1" customWidth="1"/>
    <col min="17" max="17" width="20.83203125" style="250" customWidth="1"/>
    <col min="18" max="18" width="29.1640625" style="250" customWidth="1"/>
    <col min="19" max="19" width="10" style="250" bestFit="1" customWidth="1"/>
    <col min="20" max="20" width="9.6640625" style="250" bestFit="1" customWidth="1"/>
    <col min="21" max="16384" width="9.33203125" style="250"/>
  </cols>
  <sheetData>
    <row r="1" spans="1:19" ht="10.7" customHeight="1" thickBot="1"/>
    <row r="2" spans="1:19" ht="16.5" customHeight="1" thickTop="1">
      <c r="A2" s="257"/>
      <c r="B2" s="258" t="str">
        <f>'MASTER PubCo Inputs'!$C$5</f>
        <v>ABC, Inc.</v>
      </c>
      <c r="C2" s="258"/>
      <c r="D2" s="258"/>
      <c r="E2" s="258"/>
      <c r="F2" s="258"/>
      <c r="G2" s="258"/>
      <c r="H2" s="258"/>
      <c r="I2" s="258"/>
      <c r="J2" s="258"/>
      <c r="K2" s="258"/>
      <c r="L2" s="258"/>
      <c r="M2" s="257"/>
      <c r="N2" s="310" t="s">
        <v>986</v>
      </c>
      <c r="O2" s="311"/>
      <c r="P2" s="312"/>
      <c r="Q2" s="250" t="b">
        <v>1</v>
      </c>
    </row>
    <row r="3" spans="1:19" ht="15.75" customHeight="1">
      <c r="A3" s="257"/>
      <c r="B3" s="259" t="str">
        <f>VLOOKUP(B4,Outline!$E$8:$G$79,COLUMNS(Outline!$E$8:$G$8),FALSE)</f>
        <v>Exhibit A.1</v>
      </c>
      <c r="C3" s="259"/>
      <c r="D3" s="259"/>
      <c r="E3" s="259"/>
      <c r="F3" s="259"/>
      <c r="G3" s="259"/>
      <c r="H3" s="259"/>
      <c r="I3" s="259"/>
      <c r="J3" s="259"/>
      <c r="K3" s="259"/>
      <c r="L3" s="259"/>
      <c r="M3" s="257"/>
      <c r="N3" s="314" t="s">
        <v>168</v>
      </c>
      <c r="O3" s="315" t="s">
        <v>181</v>
      </c>
      <c r="P3" s="316" t="s">
        <v>987</v>
      </c>
      <c r="Q3" s="317" t="e">
        <f ca="1">IF(AND(N4=$Q$2,O4=$Q$2,P4=$Q$2,N5=$Q$2,O5=$Q$2,P5=$Q$2,N6=$Q$2,O6=$Q$2,P6=$Q$2),"","Check")</f>
        <v>#NAME?</v>
      </c>
    </row>
    <row r="4" spans="1:19" ht="16.5" customHeight="1" thickBot="1">
      <c r="A4" s="257"/>
      <c r="B4" s="924" t="s">
        <v>145</v>
      </c>
      <c r="C4" s="924"/>
      <c r="D4" s="924"/>
      <c r="E4" s="924"/>
      <c r="F4" s="924"/>
      <c r="G4" s="924"/>
      <c r="H4" s="924"/>
      <c r="I4" s="924"/>
      <c r="J4" s="924"/>
      <c r="K4" s="924"/>
      <c r="L4" s="925" t="str">
        <f>+'MASTER PubCo Inputs'!$C$19</f>
        <v>(in thousands of USD, except price per share)</v>
      </c>
      <c r="M4" s="257"/>
      <c r="N4" s="289" t="e">
        <f ca="1">+'Comp.1'!AE2</f>
        <v>#NAME?</v>
      </c>
      <c r="O4" s="318" t="e">
        <f ca="1">+'Comp.2'!AB2</f>
        <v>#NAME?</v>
      </c>
      <c r="P4" s="319" t="e">
        <f ca="1">+Trans.1!AR3</f>
        <v>#NAME?</v>
      </c>
    </row>
    <row r="5" spans="1:19" ht="14.85" customHeight="1" thickTop="1">
      <c r="N5" s="289" t="e">
        <f ca="1">+'Comp.1'!AE3</f>
        <v>#NAME?</v>
      </c>
      <c r="O5" s="318" t="e">
        <f ca="1">+'Comp.2'!AB3</f>
        <v>#NAME?</v>
      </c>
      <c r="P5" s="319" t="e">
        <f ca="1">+Trans.1!AR4</f>
        <v>#NAME?</v>
      </c>
    </row>
    <row r="6" spans="1:19" ht="14.85" customHeight="1">
      <c r="N6" s="293" t="e">
        <f ca="1">+'Comp.1'!AE4</f>
        <v>#NAME?</v>
      </c>
      <c r="O6" s="320" t="e">
        <f ca="1">+'Comp.2'!AB4</f>
        <v>#NAME?</v>
      </c>
      <c r="P6" s="321" t="e">
        <f ca="1">+Trans.1!AR5</f>
        <v>#NAME?</v>
      </c>
    </row>
    <row r="7" spans="1:19" ht="14.85" customHeight="1">
      <c r="B7" s="322" t="s">
        <v>146</v>
      </c>
      <c r="D7" s="323" t="s">
        <v>112</v>
      </c>
      <c r="E7" s="275"/>
      <c r="F7" s="323" t="s">
        <v>111</v>
      </c>
      <c r="G7" s="275"/>
      <c r="H7" s="323" t="s">
        <v>151</v>
      </c>
      <c r="I7" s="275"/>
      <c r="J7" s="323" t="s">
        <v>829</v>
      </c>
      <c r="L7" s="324" t="s">
        <v>70</v>
      </c>
      <c r="N7" s="325" t="s">
        <v>2527</v>
      </c>
      <c r="O7" s="326" t="str">
        <f ca="1">IF(COUNTIF(O10:O15,"Check")&gt;0,"Check","")</f>
        <v>Check</v>
      </c>
    </row>
    <row r="8" spans="1:19" ht="14.85" customHeight="1"/>
    <row r="9" spans="1:19" ht="14.85" customHeight="1">
      <c r="B9" s="253" t="s">
        <v>149</v>
      </c>
      <c r="R9" s="327" t="s">
        <v>3461</v>
      </c>
      <c r="S9" s="253" t="s">
        <v>3462</v>
      </c>
    </row>
    <row r="10" spans="1:19" ht="14.85" customHeight="1">
      <c r="B10" s="328" t="s">
        <v>150</v>
      </c>
      <c r="D10" s="329">
        <f>IFERROR(DCF!K$75,"n/a")</f>
        <v>106880</v>
      </c>
      <c r="E10" s="330" t="s">
        <v>152</v>
      </c>
      <c r="F10" s="329">
        <f>IFERROR(DCF!M$75,"n/a")</f>
        <v>132030</v>
      </c>
      <c r="H10" s="331">
        <f>IFERROR(ROUND(AVERAGE(D10,F10),-1),0)</f>
        <v>119460</v>
      </c>
      <c r="J10" s="332">
        <v>0.5</v>
      </c>
      <c r="L10" s="251" t="str">
        <f>DCF!$B$3</f>
        <v>Exhibit C.1</v>
      </c>
      <c r="N10" s="333">
        <f ca="1">1-H10/H13</f>
        <v>-37.535483870967745</v>
      </c>
      <c r="O10" s="326" t="str">
        <f ca="1">IF(OR(N10&lt;-0.05,N10&gt;0.05),"Check","")</f>
        <v>Check</v>
      </c>
      <c r="P10" s="333" t="s">
        <v>2525</v>
      </c>
      <c r="R10" s="334" t="e">
        <f ca="1">PWERM!S271</f>
        <v>#DIV/0!</v>
      </c>
      <c r="S10" s="335">
        <v>5.0000000000000001E-4</v>
      </c>
    </row>
    <row r="11" spans="1:19" ht="14.85" customHeight="1">
      <c r="R11" s="336" t="e">
        <f ca="1">IF(OR($R$10&gt;$S$10,$R$10&lt;-$S$10), "Check","")</f>
        <v>#DIV/0!</v>
      </c>
    </row>
    <row r="12" spans="1:19" ht="14.85" customHeight="1">
      <c r="B12" s="253" t="s">
        <v>147</v>
      </c>
      <c r="H12" s="331"/>
      <c r="J12" s="331"/>
    </row>
    <row r="13" spans="1:19" ht="14.85" customHeight="1">
      <c r="B13" s="328" t="s">
        <v>790</v>
      </c>
      <c r="D13" s="337">
        <f ca="1">IFERROR('GCM SUMM'!L$48,"n/a")</f>
        <v>2878</v>
      </c>
      <c r="E13" s="330" t="s">
        <v>152</v>
      </c>
      <c r="F13" s="337">
        <f ca="1">IFERROR('GCM SUMM'!N$48,"n/a")</f>
        <v>3322</v>
      </c>
      <c r="H13" s="331">
        <f ca="1">IFERROR(ROUND(AVERAGE(D13,F13),-1),0)</f>
        <v>3100</v>
      </c>
      <c r="J13" s="332">
        <v>0.25</v>
      </c>
      <c r="L13" s="309" t="str">
        <f>'GCM SUMM'!B3</f>
        <v>Exhibit E.1</v>
      </c>
      <c r="N13" s="333">
        <f ca="1">1-H13/H15</f>
        <v>-7.2664359861591699E-2</v>
      </c>
      <c r="O13" s="326" t="str">
        <f ca="1">IF(OR(N13&lt;-0.05,N13&gt;0.05),"Check","")</f>
        <v>Check</v>
      </c>
      <c r="P13" s="333" t="s">
        <v>2525</v>
      </c>
    </row>
    <row r="14" spans="1:19" ht="14.85" customHeight="1"/>
    <row r="15" spans="1:19" ht="14.85" customHeight="1">
      <c r="B15" s="328" t="s">
        <v>148</v>
      </c>
      <c r="D15" s="337">
        <f ca="1">IFERROR('GTM SUMM'!L$53,"n/a")</f>
        <v>2710</v>
      </c>
      <c r="E15" s="330" t="s">
        <v>152</v>
      </c>
      <c r="F15" s="337">
        <f ca="1">IFERROR('GTM SUMM'!N$53,"n/a")</f>
        <v>3065</v>
      </c>
      <c r="H15" s="331">
        <f ca="1">IFERROR(ROUND(AVERAGE(D15,F15),-1),0)</f>
        <v>2890</v>
      </c>
      <c r="J15" s="332">
        <v>0.25</v>
      </c>
      <c r="L15" s="309" t="str">
        <f>'GTM SUMM'!B3</f>
        <v>Exhibit F.1</v>
      </c>
      <c r="N15" s="333">
        <f ca="1">1-H10/H15</f>
        <v>-40.335640138408301</v>
      </c>
      <c r="O15" s="326" t="str">
        <f ca="1">IF(OR(N15&lt;-0.05,N15&gt;0.05),"Check","")</f>
        <v>Check</v>
      </c>
      <c r="P15" s="333" t="s">
        <v>2525</v>
      </c>
    </row>
    <row r="16" spans="1:19" ht="14.85" customHeight="1"/>
    <row r="17" spans="2:16" ht="14.85" customHeight="1" thickBot="1">
      <c r="B17" s="338" t="s">
        <v>684</v>
      </c>
      <c r="C17" s="339" t="s">
        <v>270</v>
      </c>
      <c r="D17" s="340"/>
      <c r="E17" s="340"/>
      <c r="F17" s="340"/>
      <c r="G17" s="340"/>
      <c r="H17" s="341">
        <f ca="1">ROUND(SUMPRODUCT($H$10:$H$15,$J$10:$J$15),-1)</f>
        <v>61230</v>
      </c>
      <c r="I17" s="341"/>
      <c r="J17" s="342">
        <f>SUM(J15,J13,J10)</f>
        <v>1</v>
      </c>
      <c r="L17" s="343"/>
    </row>
    <row r="18" spans="2:16" ht="14.85" customHeight="1"/>
    <row r="19" spans="2:16" ht="14.85" customHeight="1">
      <c r="B19" s="328" t="s">
        <v>764</v>
      </c>
      <c r="H19" s="344">
        <f ca="1">'Hist BS'!I13</f>
        <v>582</v>
      </c>
      <c r="L19" s="309" t="str">
        <f>L20</f>
        <v>Exhibit C.4</v>
      </c>
    </row>
    <row r="20" spans="2:16" ht="14.85" customHeight="1">
      <c r="B20" s="328" t="s">
        <v>154</v>
      </c>
      <c r="H20" s="337">
        <f ca="1">-'Hist BS'!$I$65</f>
        <v>-2038</v>
      </c>
      <c r="J20" s="345"/>
      <c r="L20" s="256" t="str">
        <f>'Hist BS'!$B$3</f>
        <v>Exhibit C.4</v>
      </c>
    </row>
    <row r="21" spans="2:16" ht="14.85" customHeight="1">
      <c r="B21" s="346"/>
      <c r="C21" s="346"/>
      <c r="D21" s="346"/>
      <c r="E21" s="346"/>
      <c r="F21" s="346"/>
      <c r="G21" s="346"/>
      <c r="H21" s="346"/>
    </row>
    <row r="22" spans="2:16" ht="14.85" customHeight="1" thickBot="1">
      <c r="B22" s="338" t="s">
        <v>685</v>
      </c>
      <c r="C22" s="340"/>
      <c r="D22" s="340"/>
      <c r="E22" s="340"/>
      <c r="F22" s="340"/>
      <c r="G22" s="340"/>
      <c r="H22" s="341">
        <f ca="1">ROUND(SUM(H17:H20),-1)</f>
        <v>59770</v>
      </c>
      <c r="N22" s="333">
        <f ca="1">1-H22/D27</f>
        <v>5.1721402506742842E-2</v>
      </c>
    </row>
    <row r="23" spans="2:16" ht="14.85" customHeight="1"/>
    <row r="24" spans="2:16" ht="14.85" customHeight="1"/>
    <row r="25" spans="2:16" s="272" customFormat="1" ht="14.85" customHeight="1">
      <c r="B25" s="322" t="s">
        <v>156</v>
      </c>
      <c r="D25" s="323" t="s">
        <v>155</v>
      </c>
      <c r="E25" s="347"/>
      <c r="F25" s="323" t="s">
        <v>157</v>
      </c>
      <c r="H25" s="324" t="s">
        <v>158</v>
      </c>
      <c r="J25" s="251"/>
      <c r="L25" s="348"/>
      <c r="N25" s="324" t="s">
        <v>2566</v>
      </c>
    </row>
    <row r="26" spans="2:16" ht="14.85" customHeight="1">
      <c r="J26" s="251"/>
    </row>
    <row r="27" spans="2:16" ht="14.85" customHeight="1">
      <c r="B27" s="250" t="s">
        <v>792</v>
      </c>
      <c r="D27" s="337">
        <f>PWERM!B214</f>
        <v>63030</v>
      </c>
      <c r="F27" s="349">
        <f ca="1">+PWERM!B154</f>
        <v>0</v>
      </c>
      <c r="H27" s="251" t="s">
        <v>161</v>
      </c>
      <c r="J27" s="251"/>
      <c r="L27" s="256" t="str">
        <f>PWERM!B3</f>
        <v>Exhibit B.1</v>
      </c>
      <c r="N27" s="350"/>
      <c r="O27" s="326" t="str">
        <f ca="1">IF(OR(N22&lt;-0.05,N22&gt;0.05),"Check","")</f>
        <v>Check</v>
      </c>
      <c r="P27" s="333" t="s">
        <v>2525</v>
      </c>
    </row>
    <row r="28" spans="2:16" ht="14.85" customHeight="1">
      <c r="B28" s="250" t="s">
        <v>159</v>
      </c>
      <c r="D28" s="337">
        <f>'OPM 1'!D9</f>
        <v>100000</v>
      </c>
      <c r="F28" s="349" t="e">
        <f ca="1">+'OPM 2'!L24</f>
        <v>#DIV/0!</v>
      </c>
      <c r="H28" s="251" t="s">
        <v>722</v>
      </c>
      <c r="J28" s="251"/>
      <c r="L28" s="256" t="str">
        <f>'OPM 1'!B3</f>
        <v>Exhibit B.4</v>
      </c>
    </row>
    <row r="29" spans="2:16" ht="14.85" customHeight="1">
      <c r="H29" s="251"/>
    </row>
    <row r="30" spans="2:16" ht="14.85" customHeight="1">
      <c r="B30" s="351" t="s">
        <v>162</v>
      </c>
      <c r="C30" s="352"/>
      <c r="D30" s="352"/>
      <c r="E30" s="352"/>
      <c r="F30" s="353">
        <f ca="1">IF(H27="Primary",F27,F28)</f>
        <v>0</v>
      </c>
      <c r="O30" s="354"/>
      <c r="P30" s="250" t="s">
        <v>762</v>
      </c>
    </row>
    <row r="31" spans="2:16" ht="14.85" customHeight="1">
      <c r="O31" s="355" t="str">
        <f ca="1">IF(OR(F30-O30&gt;0.01,F30-O30&lt;-0.01),"Check","")</f>
        <v/>
      </c>
      <c r="P31" s="333" t="s">
        <v>2525</v>
      </c>
    </row>
    <row r="32" spans="2:16" ht="14.85" customHeight="1">
      <c r="B32" s="356" t="s">
        <v>86</v>
      </c>
    </row>
    <row r="33" spans="1:18" ht="14.85" customHeight="1">
      <c r="A33" s="357" t="s">
        <v>270</v>
      </c>
      <c r="B33" s="358" t="s">
        <v>1000</v>
      </c>
      <c r="C33" s="359"/>
      <c r="D33" s="359"/>
      <c r="E33" s="359"/>
      <c r="F33" s="359"/>
      <c r="G33" s="359"/>
      <c r="H33" s="359"/>
      <c r="I33" s="359"/>
      <c r="J33" s="359"/>
    </row>
    <row r="34" spans="1:18" ht="14.85" customHeight="1">
      <c r="A34" s="357" t="s">
        <v>269</v>
      </c>
      <c r="B34" s="358" t="s">
        <v>1001</v>
      </c>
      <c r="C34" s="359"/>
      <c r="D34" s="359"/>
      <c r="E34" s="359"/>
      <c r="F34" s="359"/>
      <c r="G34" s="359"/>
      <c r="H34" s="359"/>
      <c r="I34" s="359"/>
      <c r="J34" s="359"/>
    </row>
    <row r="35" spans="1:18" ht="14.85" customHeight="1"/>
    <row r="36" spans="1:18" ht="14.85" customHeight="1">
      <c r="B36" s="250" t="s">
        <v>2565</v>
      </c>
      <c r="D36" s="350"/>
      <c r="F36" s="350"/>
      <c r="L36" s="350"/>
      <c r="N36" s="350"/>
      <c r="R36" s="253" t="s">
        <v>3468</v>
      </c>
    </row>
    <row r="37" spans="1:18" ht="14.85" customHeight="1">
      <c r="P37" s="360" t="str">
        <f>'Asset Vol_OPM'!B4</f>
        <v>Asset Volatility - OPM</v>
      </c>
      <c r="R37" s="361" t="str">
        <f ca="1">IF(SUM('Asset Vol_OPM'!$D$50,'Asset Vol_OPM'!$H$50)='Asset Vol_OPM'!$I$50,"","Check")</f>
        <v>Check</v>
      </c>
    </row>
    <row r="38" spans="1:18" ht="14.85" customHeight="1">
      <c r="D38" s="273" t="s">
        <v>721</v>
      </c>
      <c r="F38" s="362">
        <f ca="1">F30/'Econ Rights'!$D$12</f>
        <v>0</v>
      </c>
      <c r="P38" s="360" t="str">
        <f>'Asset Vol_DLOM'!B4</f>
        <v>Asset Volatility - OPM DLOM</v>
      </c>
      <c r="R38" s="361" t="str">
        <f ca="1">IF(SUM('Asset Vol_DLOM'!$D$50,'Asset Vol_DLOM'!$H$50)='Asset Vol_DLOM'!$I$50,"","Check")</f>
        <v>Check</v>
      </c>
    </row>
    <row r="39" spans="1:18" ht="14.85" customHeight="1">
      <c r="P39" s="360" t="str">
        <f>'Asset Vol_IPO Early'!B4</f>
        <v>Asset Volatility - IPO Early</v>
      </c>
      <c r="R39" s="361" t="str">
        <f ca="1">IF(SUM('Asset Vol_IPO Early'!$D$50,'Asset Vol_IPO Early'!$H$50)='Asset Vol_IPO Early'!$I$50,"","Check")</f>
        <v>Check</v>
      </c>
    </row>
    <row r="40" spans="1:18" ht="14.85" customHeight="1">
      <c r="P40" s="360" t="str">
        <f>'Asset Vol_IPO Late'!B4</f>
        <v>Asset Volatility - IPO Late</v>
      </c>
      <c r="R40" s="361" t="str">
        <f ca="1">IF(SUM('Asset Vol_IPO Late'!$D$50,'Asset Vol_IPO Late'!$H$50)='Asset Vol_IPO Late'!$I$50,"","Check")</f>
        <v>Check</v>
      </c>
    </row>
    <row r="41" spans="1:18" ht="14.85" customHeight="1">
      <c r="P41" s="360" t="str">
        <f>'Asset Vol_M&amp;A Early'!B4</f>
        <v>Asset Volatility - M&amp;A Early</v>
      </c>
      <c r="R41" s="361" t="str">
        <f ca="1">IF(SUM('Asset Vol_M&amp;A Early'!$D$50,'Asset Vol_M&amp;A Early'!$H$50)='Asset Vol_M&amp;A Early'!$I$50,"","Check")</f>
        <v>Check</v>
      </c>
    </row>
    <row r="42" spans="1:18" ht="14.85" customHeight="1">
      <c r="P42" s="360" t="str">
        <f>'Asset Vol_M&amp;A Late'!B4</f>
        <v>Asset Volatility - M&amp;A Late</v>
      </c>
      <c r="R42" s="361" t="str">
        <f ca="1">IF(SUM('Asset Vol_M&amp;A Late'!$D$50,'Asset Vol_M&amp;A Late'!$H$50)='Asset Vol_M&amp;A Late'!$I$50,"","Check")</f>
        <v>Check</v>
      </c>
    </row>
    <row r="43" spans="1:18" ht="14.85" customHeight="1"/>
    <row r="44" spans="1:18" ht="14.85" customHeight="1">
      <c r="P44" s="360" t="str">
        <f>'Asset Vol Hybrid'!B4</f>
        <v>Asset Volatility (Hybrid OPM)</v>
      </c>
      <c r="R44" s="361" t="str">
        <f ca="1">IF(SUM('Asset Vol Hybrid'!$D$50,'Asset Vol Hybrid'!$H$50)='Asset Vol Hybrid'!$I$50,"","Check")</f>
        <v>Check</v>
      </c>
    </row>
    <row r="45" spans="1:18" ht="14.85" customHeight="1"/>
    <row r="46" spans="1:18" ht="14.85" customHeight="1"/>
    <row r="47" spans="1:18" ht="14.85" customHeight="1"/>
    <row r="48" spans="1:1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H4 K4">
    <cfRule type="cellIs" dxfId="356" priority="6" stopIfTrue="1" operator="equal">
      <formula>"input"</formula>
    </cfRule>
  </conditionalFormatting>
  <conditionalFormatting sqref="L4">
    <cfRule type="cellIs" dxfId="355" priority="3" stopIfTrue="1" operator="equal">
      <formula>"input"</formula>
    </cfRule>
  </conditionalFormatting>
  <conditionalFormatting sqref="L4">
    <cfRule type="cellIs" dxfId="354" priority="4" stopIfTrue="1" operator="equal">
      <formula>"input"</formula>
    </cfRule>
  </conditionalFormatting>
  <conditionalFormatting sqref="I4:J4">
    <cfRule type="cellIs" dxfId="353" priority="2" stopIfTrue="1" operator="equal">
      <formula>"input"</formula>
    </cfRule>
  </conditionalFormatting>
  <conditionalFormatting sqref="J10:J15">
    <cfRule type="expression" dxfId="352" priority="1">
      <formula>SUM($J$10:$J$16)&lt;&gt;1</formula>
    </cfRule>
  </conditionalFormatting>
  <pageMargins left="0.5" right="0.5" top="0.5" bottom="0.5" header="0.5" footer="0.5"/>
  <pageSetup scale="9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3" tint="-0.499984740745262"/>
    <pageSetUpPr fitToPage="1"/>
  </sheetPr>
  <dimension ref="A1:G30"/>
  <sheetViews>
    <sheetView showGridLines="0" tabSelected="1" view="pageBreakPreview" zoomScale="60" zoomScaleNormal="100" workbookViewId="0">
      <selection activeCell="D9" sqref="D9"/>
    </sheetView>
  </sheetViews>
  <sheetFormatPr defaultColWidth="9.33203125" defaultRowHeight="14.25"/>
  <cols>
    <col min="1" max="1" width="4.5" style="303" customWidth="1"/>
    <col min="2" max="2" width="3.83203125" style="227" customWidth="1"/>
    <col min="3" max="3" width="15.83203125" style="227" customWidth="1"/>
    <col min="4" max="4" width="106" style="244" customWidth="1"/>
    <col min="5" max="5" width="15.83203125" style="227" customWidth="1"/>
    <col min="6" max="6" width="3.83203125" style="227" customWidth="1"/>
    <col min="7" max="7" width="4.5" style="227" customWidth="1"/>
    <col min="8" max="8" width="9.33203125" style="227"/>
    <col min="9" max="9" width="16.33203125" style="227" bestFit="1" customWidth="1"/>
    <col min="10" max="10" width="19" style="227" bestFit="1" customWidth="1"/>
    <col min="11" max="16384" width="9.33203125" style="227"/>
  </cols>
  <sheetData>
    <row r="1" spans="1:7">
      <c r="B1" s="303"/>
      <c r="C1" s="303"/>
      <c r="D1" s="363"/>
      <c r="E1" s="303"/>
      <c r="F1" s="303"/>
      <c r="G1" s="303"/>
    </row>
    <row r="2" spans="1:7">
      <c r="B2" s="303"/>
      <c r="C2" s="303"/>
      <c r="D2" s="363"/>
      <c r="E2" s="303"/>
      <c r="F2" s="303"/>
      <c r="G2" s="303"/>
    </row>
    <row r="3" spans="1:7">
      <c r="B3" s="303"/>
      <c r="C3" s="303"/>
      <c r="D3" s="363"/>
      <c r="E3" s="303"/>
      <c r="F3" s="303"/>
      <c r="G3" s="303"/>
    </row>
    <row r="4" spans="1:7">
      <c r="B4" s="303"/>
      <c r="C4" s="303"/>
      <c r="D4" s="363"/>
      <c r="E4" s="303"/>
      <c r="F4" s="303"/>
      <c r="G4" s="303"/>
    </row>
    <row r="5" spans="1:7">
      <c r="B5" s="303"/>
      <c r="C5" s="303"/>
      <c r="D5" s="363"/>
      <c r="E5" s="303"/>
      <c r="F5" s="303"/>
      <c r="G5" s="303"/>
    </row>
    <row r="6" spans="1:7">
      <c r="B6" s="364"/>
      <c r="C6" s="365"/>
      <c r="D6" s="366"/>
      <c r="E6" s="365"/>
      <c r="F6" s="365"/>
      <c r="G6" s="303"/>
    </row>
    <row r="7" spans="1:7" ht="15" thickBot="1">
      <c r="B7" s="364"/>
      <c r="C7" s="365"/>
      <c r="D7" s="366"/>
      <c r="E7" s="365"/>
      <c r="F7" s="365"/>
      <c r="G7" s="303"/>
    </row>
    <row r="8" spans="1:7" ht="15" thickTop="1">
      <c r="B8" s="2073"/>
      <c r="C8" s="1234"/>
      <c r="D8" s="2074"/>
      <c r="E8" s="1234"/>
      <c r="F8" s="1234"/>
      <c r="G8" s="303"/>
    </row>
    <row r="9" spans="1:7" s="234" customFormat="1" ht="39.75">
      <c r="A9" s="303"/>
      <c r="B9" s="231"/>
      <c r="C9" s="233"/>
      <c r="D9" s="260" t="s">
        <v>163</v>
      </c>
      <c r="E9" s="233"/>
      <c r="F9" s="233"/>
    </row>
    <row r="10" spans="1:7" ht="15" thickBot="1">
      <c r="B10" s="2076"/>
      <c r="C10" s="1238"/>
      <c r="D10" s="2078"/>
      <c r="E10" s="1238"/>
      <c r="F10" s="1238"/>
      <c r="G10" s="303"/>
    </row>
    <row r="11" spans="1:7" ht="15" thickTop="1">
      <c r="D11" s="363"/>
      <c r="E11" s="303"/>
      <c r="F11" s="303"/>
      <c r="G11" s="303"/>
    </row>
    <row r="12" spans="1:7">
      <c r="D12" s="363"/>
      <c r="E12" s="303"/>
      <c r="F12" s="303"/>
      <c r="G12" s="303"/>
    </row>
    <row r="13" spans="1:7" ht="18">
      <c r="D13" s="245"/>
      <c r="E13" s="303"/>
      <c r="F13" s="303"/>
      <c r="G13" s="303"/>
    </row>
    <row r="14" spans="1:7" ht="18">
      <c r="D14" s="246"/>
      <c r="E14" s="303"/>
      <c r="F14" s="303"/>
      <c r="G14" s="303"/>
    </row>
    <row r="15" spans="1:7">
      <c r="B15" s="303"/>
      <c r="C15" s="303"/>
      <c r="D15" s="363"/>
      <c r="E15" s="303"/>
      <c r="F15" s="303"/>
      <c r="G15" s="303"/>
    </row>
    <row r="16" spans="1:7">
      <c r="B16" s="303"/>
      <c r="C16" s="303"/>
      <c r="D16" s="363"/>
      <c r="E16" s="303"/>
      <c r="F16" s="303"/>
      <c r="G16" s="303"/>
    </row>
    <row r="17" spans="2:7">
      <c r="B17" s="303"/>
      <c r="C17" s="303"/>
      <c r="D17" s="363"/>
      <c r="E17" s="303"/>
      <c r="F17" s="303"/>
      <c r="G17" s="303"/>
    </row>
    <row r="18" spans="2:7">
      <c r="B18" s="303"/>
      <c r="C18" s="303"/>
      <c r="D18" s="363"/>
      <c r="E18" s="303"/>
      <c r="F18" s="303"/>
      <c r="G18" s="303"/>
    </row>
    <row r="19" spans="2:7" s="303" customFormat="1" ht="12.75">
      <c r="D19" s="363"/>
    </row>
    <row r="20" spans="2:7" s="303" customFormat="1" ht="12.75">
      <c r="D20" s="363"/>
    </row>
    <row r="21" spans="2:7" s="303" customFormat="1" ht="12.75">
      <c r="D21" s="363"/>
    </row>
    <row r="22" spans="2:7" s="303" customFormat="1" ht="12.75">
      <c r="D22" s="363"/>
    </row>
    <row r="23" spans="2:7" s="303" customFormat="1" ht="12.75">
      <c r="D23" s="363"/>
    </row>
    <row r="24" spans="2:7" s="303" customFormat="1" ht="12.75">
      <c r="D24" s="363"/>
    </row>
    <row r="25" spans="2:7" s="303" customFormat="1" ht="12.75">
      <c r="D25" s="363"/>
    </row>
    <row r="26" spans="2:7" s="303" customFormat="1" ht="12.75">
      <c r="D26" s="363"/>
    </row>
    <row r="27" spans="2:7" ht="23.25">
      <c r="B27" s="303"/>
      <c r="C27" s="303"/>
      <c r="D27" s="247"/>
      <c r="E27" s="303"/>
      <c r="F27" s="303"/>
      <c r="G27" s="303"/>
    </row>
    <row r="28" spans="2:7">
      <c r="B28" s="303"/>
      <c r="C28" s="303"/>
      <c r="D28" s="363"/>
      <c r="E28" s="303"/>
      <c r="F28" s="303"/>
      <c r="G28" s="303"/>
    </row>
    <row r="29" spans="2:7" ht="18">
      <c r="B29" s="303"/>
      <c r="C29" s="303"/>
      <c r="D29" s="248"/>
      <c r="E29" s="303"/>
      <c r="F29" s="303"/>
      <c r="G29" s="303"/>
    </row>
    <row r="30" spans="2:7" ht="36">
      <c r="B30" s="303"/>
      <c r="C30" s="303"/>
      <c r="D30" s="249" t="s">
        <v>485</v>
      </c>
      <c r="E30" s="303"/>
      <c r="F30" s="303"/>
      <c r="G30" s="303"/>
    </row>
  </sheetData>
  <pageMargins left="0.5" right="0.5" top="0.5" bottom="0.5" header="0.5" footer="0.5"/>
  <pageSetup scale="99" orientation="landscape"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XFD764"/>
  <sheetViews>
    <sheetView showGridLines="0" view="pageBreakPreview" topLeftCell="A2" zoomScale="80" zoomScaleNormal="100" zoomScaleSheetLayoutView="80" workbookViewId="0">
      <selection activeCell="A2" sqref="A2"/>
    </sheetView>
  </sheetViews>
  <sheetFormatPr defaultRowHeight="12.75"/>
  <cols>
    <col min="1" max="1" width="4.5" style="250" customWidth="1"/>
    <col min="2" max="2" width="40.33203125" style="250" customWidth="1"/>
    <col min="3" max="3" width="11" style="250" customWidth="1"/>
    <col min="4" max="13" width="16.6640625" style="250" customWidth="1"/>
    <col min="14" max="14" width="4.5" style="250" customWidth="1"/>
    <col min="15" max="15" width="12" style="250" customWidth="1"/>
    <col min="16" max="18" width="19.6640625" style="250" customWidth="1"/>
    <col min="19" max="19" width="27" style="250" customWidth="1"/>
    <col min="20" max="20" width="23.6640625" style="250" customWidth="1"/>
    <col min="21" max="21" width="8.6640625" style="250" customWidth="1"/>
    <col min="22" max="16384" width="9.33203125" style="250"/>
  </cols>
  <sheetData>
    <row r="1" spans="2:17" ht="10.7" hidden="1" customHeight="1" thickBot="1">
      <c r="B1" s="257"/>
      <c r="C1" s="257"/>
      <c r="D1" s="257"/>
      <c r="E1" s="257"/>
      <c r="F1" s="257"/>
      <c r="G1" s="257"/>
      <c r="H1" s="257"/>
      <c r="I1" s="257"/>
      <c r="J1" s="257"/>
      <c r="K1" s="257"/>
      <c r="L1" s="257"/>
      <c r="M1" s="257"/>
    </row>
    <row r="2" spans="2:17" ht="16.5" customHeight="1" thickTop="1">
      <c r="B2" s="258" t="str">
        <f>'MASTER PubCo Inputs'!$C$5</f>
        <v>ABC, Inc.</v>
      </c>
      <c r="C2" s="258"/>
      <c r="D2" s="258"/>
      <c r="E2" s="258"/>
      <c r="F2" s="258"/>
      <c r="G2" s="258"/>
      <c r="H2" s="258"/>
      <c r="I2" s="258"/>
      <c r="J2" s="258"/>
      <c r="K2" s="258"/>
      <c r="L2" s="258"/>
      <c r="M2" s="258"/>
    </row>
    <row r="3" spans="2:17" ht="15.75" customHeight="1">
      <c r="B3" s="259" t="str">
        <f>VLOOKUP(B4,Outline!$E$8:$G$79,COLUMNS(Outline!$E$8:$G$8),FALSE)</f>
        <v>Exhibit B.1</v>
      </c>
      <c r="C3" s="259"/>
      <c r="D3" s="259"/>
      <c r="E3" s="259"/>
      <c r="F3" s="259"/>
      <c r="G3" s="259"/>
      <c r="H3" s="259"/>
      <c r="I3" s="259"/>
      <c r="J3" s="259"/>
      <c r="K3" s="259"/>
      <c r="L3" s="259"/>
      <c r="M3" s="259"/>
    </row>
    <row r="4" spans="2:17" ht="16.5" customHeight="1" thickBot="1">
      <c r="B4" s="924" t="s">
        <v>671</v>
      </c>
      <c r="C4" s="924"/>
      <c r="D4" s="924"/>
      <c r="E4" s="924"/>
      <c r="F4" s="924"/>
      <c r="G4" s="924"/>
      <c r="H4" s="924"/>
      <c r="I4" s="925"/>
      <c r="J4" s="925"/>
      <c r="K4" s="925"/>
      <c r="L4" s="925"/>
      <c r="M4" s="925" t="str">
        <f>+'MASTER PubCo Inputs'!$C$20</f>
        <v>(in thousands of USD and shares, except price per share)</v>
      </c>
    </row>
    <row r="5" spans="2:17" ht="14.85" customHeight="1" thickTop="1"/>
    <row r="6" spans="2:17" ht="14.85" customHeight="1"/>
    <row r="7" spans="2:17" ht="14.85" customHeight="1">
      <c r="B7" s="322" t="s">
        <v>619</v>
      </c>
      <c r="D7" s="367" t="s">
        <v>2298</v>
      </c>
      <c r="E7" s="368" t="s">
        <v>2299</v>
      </c>
      <c r="F7" s="368" t="s">
        <v>2300</v>
      </c>
      <c r="G7" s="368" t="s">
        <v>2319</v>
      </c>
      <c r="H7" s="368" t="s">
        <v>2297</v>
      </c>
      <c r="I7" s="368" t="s">
        <v>2304</v>
      </c>
      <c r="J7" s="368" t="s">
        <v>2305</v>
      </c>
      <c r="K7" s="368" t="s">
        <v>2306</v>
      </c>
      <c r="L7" s="368" t="s">
        <v>2301</v>
      </c>
      <c r="M7" s="369" t="s">
        <v>2302</v>
      </c>
      <c r="P7" s="370" t="s">
        <v>738</v>
      </c>
      <c r="Q7" s="371"/>
    </row>
    <row r="8" spans="2:17" ht="33" customHeight="1">
      <c r="B8" s="250" t="s">
        <v>737</v>
      </c>
      <c r="D8" s="372" t="s">
        <v>739</v>
      </c>
      <c r="E8" s="372" t="s">
        <v>739</v>
      </c>
      <c r="F8" s="372" t="s">
        <v>739</v>
      </c>
      <c r="G8" s="372" t="s">
        <v>739</v>
      </c>
      <c r="H8" s="372" t="s">
        <v>739</v>
      </c>
      <c r="I8" s="372" t="s">
        <v>739</v>
      </c>
      <c r="J8" s="372" t="s">
        <v>739</v>
      </c>
      <c r="K8" s="372" t="s">
        <v>739</v>
      </c>
      <c r="L8" s="372" t="s">
        <v>739</v>
      </c>
      <c r="M8" s="372" t="s">
        <v>739</v>
      </c>
      <c r="P8" s="373" t="s">
        <v>2602</v>
      </c>
      <c r="Q8" s="374" t="s">
        <v>739</v>
      </c>
    </row>
    <row r="9" spans="2:17" ht="14.85" customHeight="1"/>
    <row r="10" spans="2:17" ht="14.85" customHeight="1">
      <c r="B10" s="375" t="s">
        <v>436</v>
      </c>
      <c r="C10" s="376"/>
      <c r="D10" s="377" t="s">
        <v>779</v>
      </c>
      <c r="E10" s="378"/>
      <c r="F10" s="378"/>
      <c r="G10" s="378"/>
      <c r="H10" s="378"/>
      <c r="I10" s="378"/>
      <c r="J10" s="378"/>
      <c r="K10" s="376"/>
      <c r="L10" s="376"/>
      <c r="M10" s="379"/>
    </row>
    <row r="11" spans="2:17" ht="14.85" customHeight="1">
      <c r="B11" s="328" t="s">
        <v>432</v>
      </c>
      <c r="D11" s="380">
        <f>'MASTER PubCo Inputs'!$C$6</f>
        <v>42735</v>
      </c>
      <c r="E11" s="380">
        <f>'MASTER PubCo Inputs'!$C$6</f>
        <v>42735</v>
      </c>
      <c r="F11" s="380">
        <f>'MASTER PubCo Inputs'!$C$6</f>
        <v>42735</v>
      </c>
      <c r="G11" s="380">
        <f>'MASTER PubCo Inputs'!$C$6</f>
        <v>42735</v>
      </c>
      <c r="H11" s="380">
        <f>'MASTER PubCo Inputs'!$C$6</f>
        <v>42735</v>
      </c>
      <c r="I11" s="380">
        <f>'MASTER PubCo Inputs'!$C$6</f>
        <v>42735</v>
      </c>
      <c r="J11" s="380">
        <f>'MASTER PubCo Inputs'!$C$6</f>
        <v>42735</v>
      </c>
      <c r="K11" s="380">
        <f>'MASTER PubCo Inputs'!$C$6</f>
        <v>42735</v>
      </c>
      <c r="L11" s="380">
        <f>'MASTER PubCo Inputs'!$C$6</f>
        <v>42735</v>
      </c>
      <c r="M11" s="380">
        <f>'MASTER PubCo Inputs'!$C$6</f>
        <v>42735</v>
      </c>
    </row>
    <row r="12" spans="2:17" ht="14.85" customHeight="1">
      <c r="B12" s="328"/>
    </row>
    <row r="13" spans="2:17" ht="14.85" customHeight="1">
      <c r="B13" s="328" t="s">
        <v>434</v>
      </c>
      <c r="D13" s="381">
        <f>YEARFRAC(D11,D15,3)</f>
        <v>1.2465753424657535</v>
      </c>
      <c r="E13" s="381">
        <f t="shared" ref="E13:M13" si="0">YEARFRAC(E11,E15,3)</f>
        <v>1.2465753424657535</v>
      </c>
      <c r="F13" s="381">
        <f t="shared" si="0"/>
        <v>2.2465753424657535</v>
      </c>
      <c r="G13" s="381">
        <f t="shared" si="0"/>
        <v>2.2465753424657535</v>
      </c>
      <c r="H13" s="381">
        <f t="shared" si="0"/>
        <v>1.2465753424657535</v>
      </c>
      <c r="I13" s="381">
        <f t="shared" si="0"/>
        <v>1.2465753424657535</v>
      </c>
      <c r="J13" s="381">
        <f t="shared" si="0"/>
        <v>2.2465753424657535</v>
      </c>
      <c r="K13" s="381">
        <f t="shared" si="0"/>
        <v>2.2465753424657535</v>
      </c>
      <c r="L13" s="381">
        <f t="shared" si="0"/>
        <v>1.2465753424657535</v>
      </c>
      <c r="M13" s="381">
        <f t="shared" si="0"/>
        <v>2.2465753424657535</v>
      </c>
    </row>
    <row r="14" spans="2:17" ht="14.85" customHeight="1">
      <c r="B14" s="328"/>
    </row>
    <row r="15" spans="2:17" ht="14.85" customHeight="1">
      <c r="B15" s="382" t="s">
        <v>433</v>
      </c>
      <c r="C15" s="253"/>
      <c r="D15" s="383">
        <v>43190</v>
      </c>
      <c r="E15" s="383">
        <v>43190</v>
      </c>
      <c r="F15" s="383">
        <v>43555</v>
      </c>
      <c r="G15" s="383">
        <v>43555</v>
      </c>
      <c r="H15" s="383">
        <v>43190</v>
      </c>
      <c r="I15" s="383">
        <v>43190</v>
      </c>
      <c r="J15" s="383">
        <v>43555</v>
      </c>
      <c r="K15" s="383">
        <v>43555</v>
      </c>
      <c r="L15" s="383">
        <v>43190</v>
      </c>
      <c r="M15" s="383">
        <v>43555</v>
      </c>
    </row>
    <row r="16" spans="2:17" ht="14.85" customHeight="1"/>
    <row r="17" spans="2:21" ht="14.85" customHeight="1">
      <c r="B17" s="384" t="s">
        <v>435</v>
      </c>
      <c r="C17" s="376"/>
      <c r="D17" s="376"/>
      <c r="E17" s="376"/>
      <c r="F17" s="376"/>
      <c r="G17" s="376"/>
      <c r="H17" s="376"/>
      <c r="I17" s="376"/>
      <c r="J17" s="376"/>
      <c r="K17" s="376"/>
      <c r="L17" s="376"/>
      <c r="M17" s="379"/>
    </row>
    <row r="18" spans="2:21" ht="14.85" customHeight="1">
      <c r="D18" s="385" t="s">
        <v>828</v>
      </c>
    </row>
    <row r="19" spans="2:21" ht="14.85" customHeight="1">
      <c r="B19" s="328" t="s">
        <v>437</v>
      </c>
      <c r="D19" s="386" t="s">
        <v>780</v>
      </c>
      <c r="E19" s="386" t="s">
        <v>780</v>
      </c>
      <c r="F19" s="386" t="s">
        <v>780</v>
      </c>
      <c r="G19" s="386" t="s">
        <v>780</v>
      </c>
      <c r="H19" s="386" t="s">
        <v>780</v>
      </c>
      <c r="I19" s="386" t="s">
        <v>780</v>
      </c>
      <c r="J19" s="386" t="s">
        <v>780</v>
      </c>
      <c r="K19" s="386" t="s">
        <v>780</v>
      </c>
      <c r="L19" s="386" t="s">
        <v>780</v>
      </c>
      <c r="M19" s="386" t="s">
        <v>780</v>
      </c>
      <c r="P19" s="387" t="s">
        <v>738</v>
      </c>
      <c r="Q19" s="388"/>
      <c r="R19" s="387" t="s">
        <v>738</v>
      </c>
      <c r="S19" s="388"/>
      <c r="T19" s="387" t="s">
        <v>738</v>
      </c>
      <c r="U19" s="388"/>
    </row>
    <row r="20" spans="2:21" ht="14.85" customHeight="1">
      <c r="B20" s="328" t="s">
        <v>438</v>
      </c>
      <c r="D20" s="385">
        <f>D29+D36+D43</f>
        <v>8000</v>
      </c>
      <c r="E20" s="385">
        <f t="shared" ref="E20:M20" si="1">E29+E36+E43</f>
        <v>8000</v>
      </c>
      <c r="F20" s="385">
        <f t="shared" si="1"/>
        <v>11500</v>
      </c>
      <c r="G20" s="385">
        <f t="shared" si="1"/>
        <v>11500</v>
      </c>
      <c r="H20" s="385">
        <f t="shared" si="1"/>
        <v>8000</v>
      </c>
      <c r="I20" s="385">
        <f t="shared" si="1"/>
        <v>8000</v>
      </c>
      <c r="J20" s="385">
        <f t="shared" si="1"/>
        <v>11500</v>
      </c>
      <c r="K20" s="385">
        <f t="shared" si="1"/>
        <v>11500</v>
      </c>
      <c r="L20" s="385">
        <f t="shared" si="1"/>
        <v>8000</v>
      </c>
      <c r="M20" s="385">
        <f t="shared" si="1"/>
        <v>11500</v>
      </c>
      <c r="P20" s="389" t="s">
        <v>1975</v>
      </c>
      <c r="Q20" s="390" t="e">
        <f ca="1">F203</f>
        <v>#DIV/0!</v>
      </c>
      <c r="R20" s="391" t="s">
        <v>1977</v>
      </c>
      <c r="S20" s="388"/>
      <c r="T20" s="392" t="s">
        <v>2349</v>
      </c>
      <c r="U20" s="393"/>
    </row>
    <row r="21" spans="2:21" ht="14.85" customHeight="1">
      <c r="B21" s="328" t="s">
        <v>439</v>
      </c>
      <c r="D21" s="394">
        <f>D23/D20</f>
        <v>12.5</v>
      </c>
      <c r="E21" s="394">
        <f t="shared" ref="E21:M21" si="2">E23/E20</f>
        <v>12.5</v>
      </c>
      <c r="F21" s="394">
        <f t="shared" si="2"/>
        <v>8.695652173913043</v>
      </c>
      <c r="G21" s="394">
        <f t="shared" si="2"/>
        <v>8.695652173913043</v>
      </c>
      <c r="H21" s="394">
        <f t="shared" si="2"/>
        <v>12.5</v>
      </c>
      <c r="I21" s="394">
        <f t="shared" si="2"/>
        <v>12.5</v>
      </c>
      <c r="J21" s="394">
        <f t="shared" si="2"/>
        <v>8.695652173913043</v>
      </c>
      <c r="K21" s="394">
        <f t="shared" si="2"/>
        <v>8.695652173913043</v>
      </c>
      <c r="L21" s="394">
        <f t="shared" si="2"/>
        <v>12.5</v>
      </c>
      <c r="M21" s="394">
        <f t="shared" si="2"/>
        <v>8.695652173913043</v>
      </c>
      <c r="P21" s="395" t="s">
        <v>1976</v>
      </c>
      <c r="Q21" s="396">
        <f ca="1">B154</f>
        <v>0</v>
      </c>
      <c r="R21" s="395" t="s">
        <v>1976</v>
      </c>
      <c r="S21" s="396" t="e">
        <f ca="1">'OPM 2'!L24</f>
        <v>#DIV/0!</v>
      </c>
      <c r="T21" s="392" t="s">
        <v>1976</v>
      </c>
      <c r="U21" s="397" t="e">
        <f ca="1">'OPM 2 Hybrid'!L24</f>
        <v>#DIV/0!</v>
      </c>
    </row>
    <row r="22" spans="2:21" ht="14.85" customHeight="1">
      <c r="B22" s="346"/>
      <c r="C22" s="346"/>
      <c r="D22" s="346"/>
      <c r="E22" s="346"/>
      <c r="F22" s="346"/>
      <c r="G22" s="346"/>
      <c r="H22" s="346"/>
      <c r="I22" s="346"/>
      <c r="J22" s="346"/>
      <c r="K22" s="346"/>
      <c r="L22" s="346"/>
      <c r="M22" s="346"/>
    </row>
    <row r="23" spans="2:21" ht="14.85" customHeight="1">
      <c r="B23" s="382" t="s">
        <v>435</v>
      </c>
      <c r="D23" s="398">
        <v>100000</v>
      </c>
      <c r="E23" s="398">
        <v>100000</v>
      </c>
      <c r="F23" s="398">
        <v>100000</v>
      </c>
      <c r="G23" s="398">
        <v>100000</v>
      </c>
      <c r="H23" s="398">
        <v>100000</v>
      </c>
      <c r="I23" s="398">
        <v>100000</v>
      </c>
      <c r="J23" s="398">
        <v>100000</v>
      </c>
      <c r="K23" s="398">
        <v>100000</v>
      </c>
      <c r="L23" s="398">
        <v>100000</v>
      </c>
      <c r="M23" s="398">
        <v>100000</v>
      </c>
    </row>
    <row r="24" spans="2:21" ht="14.85" customHeight="1"/>
    <row r="25" spans="2:21" ht="14.85" customHeight="1">
      <c r="B25" s="384" t="s">
        <v>440</v>
      </c>
      <c r="C25" s="376"/>
      <c r="D25" s="376"/>
      <c r="E25" s="376"/>
      <c r="F25" s="376"/>
      <c r="G25" s="376"/>
      <c r="H25" s="376"/>
      <c r="I25" s="376"/>
      <c r="J25" s="376"/>
      <c r="K25" s="376"/>
      <c r="L25" s="376"/>
      <c r="M25" s="379"/>
    </row>
    <row r="26" spans="2:21" ht="14.85" customHeight="1"/>
    <row r="27" spans="2:21" ht="14.85" customHeight="1">
      <c r="B27" s="399" t="s">
        <v>444</v>
      </c>
      <c r="P27" s="400" t="s">
        <v>740</v>
      </c>
      <c r="Q27" s="401"/>
    </row>
    <row r="28" spans="2:21" ht="14.85" customHeight="1">
      <c r="B28" s="328" t="s">
        <v>442</v>
      </c>
      <c r="D28" s="402">
        <f t="shared" ref="D28:M28" si="3">IF(D15&gt;$Q$28,$Q$28,0)</f>
        <v>42460</v>
      </c>
      <c r="E28" s="402">
        <f t="shared" si="3"/>
        <v>42460</v>
      </c>
      <c r="F28" s="402">
        <f t="shared" si="3"/>
        <v>42460</v>
      </c>
      <c r="G28" s="402">
        <f t="shared" si="3"/>
        <v>42460</v>
      </c>
      <c r="H28" s="402">
        <f t="shared" si="3"/>
        <v>42460</v>
      </c>
      <c r="I28" s="402">
        <f t="shared" si="3"/>
        <v>42460</v>
      </c>
      <c r="J28" s="402">
        <f t="shared" si="3"/>
        <v>42460</v>
      </c>
      <c r="K28" s="402">
        <f t="shared" si="3"/>
        <v>42460</v>
      </c>
      <c r="L28" s="402">
        <f t="shared" si="3"/>
        <v>42460</v>
      </c>
      <c r="M28" s="402">
        <f t="shared" si="3"/>
        <v>42460</v>
      </c>
      <c r="P28" s="354" t="s">
        <v>741</v>
      </c>
      <c r="Q28" s="403">
        <v>42460</v>
      </c>
    </row>
    <row r="29" spans="2:21" ht="14.85" customHeight="1">
      <c r="B29" s="328" t="s">
        <v>441</v>
      </c>
      <c r="D29" s="381">
        <f>IF(D28=0,0,$Q$29)</f>
        <v>5000</v>
      </c>
      <c r="E29" s="381">
        <f t="shared" ref="E29:M29" si="4">IF(E28=0,0,$Q$29)</f>
        <v>5000</v>
      </c>
      <c r="F29" s="381">
        <f t="shared" si="4"/>
        <v>5000</v>
      </c>
      <c r="G29" s="381">
        <f t="shared" si="4"/>
        <v>5000</v>
      </c>
      <c r="H29" s="381">
        <f t="shared" si="4"/>
        <v>5000</v>
      </c>
      <c r="I29" s="381">
        <f t="shared" si="4"/>
        <v>5000</v>
      </c>
      <c r="J29" s="381">
        <f t="shared" si="4"/>
        <v>5000</v>
      </c>
      <c r="K29" s="381">
        <f t="shared" si="4"/>
        <v>5000</v>
      </c>
      <c r="L29" s="381">
        <f t="shared" si="4"/>
        <v>5000</v>
      </c>
      <c r="M29" s="381">
        <f t="shared" si="4"/>
        <v>5000</v>
      </c>
      <c r="P29" s="354" t="s">
        <v>742</v>
      </c>
      <c r="Q29" s="404">
        <v>5000</v>
      </c>
    </row>
    <row r="30" spans="2:21" ht="14.85" customHeight="1">
      <c r="B30" s="328" t="s">
        <v>443</v>
      </c>
      <c r="D30" s="405">
        <f>IF(D28=0,0,$Q$30)</f>
        <v>0.2</v>
      </c>
      <c r="E30" s="405">
        <f t="shared" ref="E30:M30" si="5">IF(E28=0,0,$Q$30)</f>
        <v>0.2</v>
      </c>
      <c r="F30" s="405">
        <f t="shared" si="5"/>
        <v>0.2</v>
      </c>
      <c r="G30" s="405">
        <f t="shared" si="5"/>
        <v>0.2</v>
      </c>
      <c r="H30" s="405">
        <f t="shared" si="5"/>
        <v>0.2</v>
      </c>
      <c r="I30" s="405">
        <f t="shared" si="5"/>
        <v>0.2</v>
      </c>
      <c r="J30" s="405">
        <f t="shared" si="5"/>
        <v>0.2</v>
      </c>
      <c r="K30" s="405">
        <f t="shared" si="5"/>
        <v>0.2</v>
      </c>
      <c r="L30" s="405">
        <f t="shared" si="5"/>
        <v>0.2</v>
      </c>
      <c r="M30" s="405">
        <f t="shared" si="5"/>
        <v>0.2</v>
      </c>
      <c r="P30" s="354" t="s">
        <v>743</v>
      </c>
      <c r="Q30" s="406">
        <f>+'WACC PWERM'!P21</f>
        <v>0.2</v>
      </c>
    </row>
    <row r="31" spans="2:21" ht="14.85" customHeight="1">
      <c r="B31" s="346"/>
      <c r="C31" s="346"/>
      <c r="D31" s="346"/>
      <c r="E31" s="346"/>
      <c r="F31" s="346"/>
      <c r="G31" s="346"/>
      <c r="H31" s="346"/>
      <c r="I31" s="346"/>
      <c r="J31" s="346"/>
      <c r="K31" s="346"/>
      <c r="L31" s="346"/>
      <c r="M31" s="346"/>
    </row>
    <row r="32" spans="2:21" ht="14.85" customHeight="1">
      <c r="B32" s="382" t="s">
        <v>169</v>
      </c>
      <c r="D32" s="381">
        <f>D29*(1+D30)^(YEARFRAC(D28,D$15,3))</f>
        <v>7200</v>
      </c>
      <c r="E32" s="381">
        <f t="shared" ref="E32:M32" si="6">E29*(1+E30)^(YEARFRAC(E28,E$15,3))</f>
        <v>7200</v>
      </c>
      <c r="F32" s="381">
        <f t="shared" si="6"/>
        <v>8640</v>
      </c>
      <c r="G32" s="381">
        <f t="shared" si="6"/>
        <v>8640</v>
      </c>
      <c r="H32" s="381">
        <f t="shared" si="6"/>
        <v>7200</v>
      </c>
      <c r="I32" s="381">
        <f t="shared" si="6"/>
        <v>7200</v>
      </c>
      <c r="J32" s="381">
        <f t="shared" si="6"/>
        <v>8640</v>
      </c>
      <c r="K32" s="381">
        <f t="shared" si="6"/>
        <v>8640</v>
      </c>
      <c r="L32" s="381">
        <f t="shared" si="6"/>
        <v>7200</v>
      </c>
      <c r="M32" s="381">
        <f t="shared" si="6"/>
        <v>8640</v>
      </c>
    </row>
    <row r="33" spans="2:17" ht="14.85" customHeight="1"/>
    <row r="34" spans="2:17" ht="14.85" customHeight="1">
      <c r="B34" s="399" t="s">
        <v>445</v>
      </c>
    </row>
    <row r="35" spans="2:17" ht="14.85" customHeight="1">
      <c r="B35" s="328" t="s">
        <v>442</v>
      </c>
      <c r="D35" s="402">
        <f t="shared" ref="D35:M35" si="7">IF(D15&gt;$Q$35,$Q$35,0)</f>
        <v>42825</v>
      </c>
      <c r="E35" s="402">
        <f t="shared" si="7"/>
        <v>42825</v>
      </c>
      <c r="F35" s="402">
        <f t="shared" si="7"/>
        <v>42825</v>
      </c>
      <c r="G35" s="402">
        <f t="shared" si="7"/>
        <v>42825</v>
      </c>
      <c r="H35" s="402">
        <f t="shared" si="7"/>
        <v>42825</v>
      </c>
      <c r="I35" s="402">
        <f t="shared" si="7"/>
        <v>42825</v>
      </c>
      <c r="J35" s="402">
        <f t="shared" si="7"/>
        <v>42825</v>
      </c>
      <c r="K35" s="402">
        <f t="shared" si="7"/>
        <v>42825</v>
      </c>
      <c r="L35" s="402">
        <f t="shared" si="7"/>
        <v>42825</v>
      </c>
      <c r="M35" s="402">
        <f t="shared" si="7"/>
        <v>42825</v>
      </c>
      <c r="P35" s="354" t="s">
        <v>741</v>
      </c>
      <c r="Q35" s="403">
        <v>42825</v>
      </c>
    </row>
    <row r="36" spans="2:17" ht="14.85" customHeight="1">
      <c r="B36" s="328" t="s">
        <v>441</v>
      </c>
      <c r="D36" s="381">
        <f>IF(D35=0,0,$Q$36)</f>
        <v>3000</v>
      </c>
      <c r="E36" s="381">
        <f t="shared" ref="E36:M36" si="8">IF(E35=0,0,$Q$36)</f>
        <v>3000</v>
      </c>
      <c r="F36" s="381">
        <f t="shared" si="8"/>
        <v>3000</v>
      </c>
      <c r="G36" s="381">
        <f t="shared" si="8"/>
        <v>3000</v>
      </c>
      <c r="H36" s="381">
        <f t="shared" si="8"/>
        <v>3000</v>
      </c>
      <c r="I36" s="381">
        <f t="shared" si="8"/>
        <v>3000</v>
      </c>
      <c r="J36" s="381">
        <f t="shared" si="8"/>
        <v>3000</v>
      </c>
      <c r="K36" s="381">
        <f t="shared" si="8"/>
        <v>3000</v>
      </c>
      <c r="L36" s="381">
        <f t="shared" si="8"/>
        <v>3000</v>
      </c>
      <c r="M36" s="381">
        <f t="shared" si="8"/>
        <v>3000</v>
      </c>
      <c r="P36" s="354" t="s">
        <v>742</v>
      </c>
      <c r="Q36" s="404">
        <v>3000</v>
      </c>
    </row>
    <row r="37" spans="2:17" ht="14.85" customHeight="1">
      <c r="B37" s="328" t="s">
        <v>443</v>
      </c>
      <c r="D37" s="405">
        <f>IF(D35=0,0,$Q$37)</f>
        <v>0.2</v>
      </c>
      <c r="E37" s="405">
        <f t="shared" ref="E37:M37" si="9">IF(E35=0,0,$Q$37)</f>
        <v>0.2</v>
      </c>
      <c r="F37" s="405">
        <f t="shared" si="9"/>
        <v>0.2</v>
      </c>
      <c r="G37" s="405">
        <f t="shared" si="9"/>
        <v>0.2</v>
      </c>
      <c r="H37" s="405">
        <f t="shared" si="9"/>
        <v>0.2</v>
      </c>
      <c r="I37" s="405">
        <f t="shared" si="9"/>
        <v>0.2</v>
      </c>
      <c r="J37" s="405">
        <f t="shared" si="9"/>
        <v>0.2</v>
      </c>
      <c r="K37" s="405">
        <f t="shared" si="9"/>
        <v>0.2</v>
      </c>
      <c r="L37" s="405">
        <f t="shared" si="9"/>
        <v>0.2</v>
      </c>
      <c r="M37" s="405">
        <f t="shared" si="9"/>
        <v>0.2</v>
      </c>
      <c r="P37" s="354" t="s">
        <v>743</v>
      </c>
      <c r="Q37" s="407">
        <f>+Q30</f>
        <v>0.2</v>
      </c>
    </row>
    <row r="38" spans="2:17" ht="14.85" customHeight="1">
      <c r="B38" s="346"/>
      <c r="C38" s="346"/>
      <c r="D38" s="346"/>
      <c r="E38" s="346"/>
      <c r="F38" s="346"/>
      <c r="G38" s="346"/>
      <c r="H38" s="346"/>
      <c r="I38" s="346"/>
      <c r="J38" s="346"/>
      <c r="K38" s="346"/>
      <c r="L38" s="346"/>
      <c r="M38" s="346"/>
    </row>
    <row r="39" spans="2:17" ht="14.85" customHeight="1">
      <c r="B39" s="382" t="s">
        <v>169</v>
      </c>
      <c r="D39" s="381">
        <f>D36*(1+D37)^(YEARFRAC(D35,D$15,3))</f>
        <v>3600</v>
      </c>
      <c r="E39" s="381">
        <f t="shared" ref="E39:M39" si="10">E36*(1+E37)^(YEARFRAC(E35,E$15,3))</f>
        <v>3600</v>
      </c>
      <c r="F39" s="381">
        <f t="shared" si="10"/>
        <v>4320</v>
      </c>
      <c r="G39" s="381">
        <f t="shared" si="10"/>
        <v>4320</v>
      </c>
      <c r="H39" s="381">
        <f t="shared" si="10"/>
        <v>3600</v>
      </c>
      <c r="I39" s="381">
        <f t="shared" si="10"/>
        <v>3600</v>
      </c>
      <c r="J39" s="381">
        <f t="shared" si="10"/>
        <v>4320</v>
      </c>
      <c r="K39" s="381">
        <f t="shared" si="10"/>
        <v>4320</v>
      </c>
      <c r="L39" s="381">
        <f t="shared" si="10"/>
        <v>3600</v>
      </c>
      <c r="M39" s="381">
        <f t="shared" si="10"/>
        <v>4320</v>
      </c>
    </row>
    <row r="40" spans="2:17" ht="14.85" customHeight="1"/>
    <row r="41" spans="2:17" ht="14.85" customHeight="1">
      <c r="B41" s="399" t="s">
        <v>446</v>
      </c>
    </row>
    <row r="42" spans="2:17" ht="14.85" customHeight="1">
      <c r="B42" s="328" t="s">
        <v>442</v>
      </c>
      <c r="D42" s="402">
        <f t="shared" ref="D42:M42" si="11">IF(D15&gt;$Q$42,$Q$42,0)</f>
        <v>0</v>
      </c>
      <c r="E42" s="402">
        <f t="shared" si="11"/>
        <v>0</v>
      </c>
      <c r="F42" s="402">
        <f t="shared" si="11"/>
        <v>43190</v>
      </c>
      <c r="G42" s="402">
        <f t="shared" si="11"/>
        <v>43190</v>
      </c>
      <c r="H42" s="402">
        <f t="shared" si="11"/>
        <v>0</v>
      </c>
      <c r="I42" s="402">
        <f t="shared" si="11"/>
        <v>0</v>
      </c>
      <c r="J42" s="402">
        <f t="shared" si="11"/>
        <v>43190</v>
      </c>
      <c r="K42" s="402">
        <f t="shared" si="11"/>
        <v>43190</v>
      </c>
      <c r="L42" s="402">
        <f t="shared" si="11"/>
        <v>0</v>
      </c>
      <c r="M42" s="402">
        <f t="shared" si="11"/>
        <v>43190</v>
      </c>
      <c r="P42" s="354" t="s">
        <v>741</v>
      </c>
      <c r="Q42" s="403">
        <v>43190</v>
      </c>
    </row>
    <row r="43" spans="2:17" ht="14.85" customHeight="1">
      <c r="B43" s="328" t="s">
        <v>441</v>
      </c>
      <c r="D43" s="381">
        <f>IF(D42=0,0,$Q$43)</f>
        <v>0</v>
      </c>
      <c r="E43" s="381">
        <f t="shared" ref="E43:M43" si="12">IF(E42=0,0,$Q$43)</f>
        <v>0</v>
      </c>
      <c r="F43" s="381">
        <f t="shared" si="12"/>
        <v>3500</v>
      </c>
      <c r="G43" s="381">
        <f t="shared" si="12"/>
        <v>3500</v>
      </c>
      <c r="H43" s="381">
        <f t="shared" si="12"/>
        <v>0</v>
      </c>
      <c r="I43" s="381">
        <f t="shared" si="12"/>
        <v>0</v>
      </c>
      <c r="J43" s="381">
        <f t="shared" si="12"/>
        <v>3500</v>
      </c>
      <c r="K43" s="381">
        <f t="shared" si="12"/>
        <v>3500</v>
      </c>
      <c r="L43" s="381">
        <f t="shared" si="12"/>
        <v>0</v>
      </c>
      <c r="M43" s="381">
        <f t="shared" si="12"/>
        <v>3500</v>
      </c>
      <c r="P43" s="354" t="s">
        <v>742</v>
      </c>
      <c r="Q43" s="404">
        <v>3500</v>
      </c>
    </row>
    <row r="44" spans="2:17" ht="14.85" customHeight="1">
      <c r="B44" s="328" t="s">
        <v>443</v>
      </c>
      <c r="D44" s="405">
        <f>IF(D42=0,0,$Q$44)</f>
        <v>0</v>
      </c>
      <c r="E44" s="405">
        <f t="shared" ref="E44:M44" si="13">IF(E42=0,0,$Q$44)</f>
        <v>0</v>
      </c>
      <c r="F44" s="405">
        <f t="shared" si="13"/>
        <v>0.2</v>
      </c>
      <c r="G44" s="405">
        <f t="shared" si="13"/>
        <v>0.2</v>
      </c>
      <c r="H44" s="405">
        <f t="shared" si="13"/>
        <v>0</v>
      </c>
      <c r="I44" s="405">
        <f t="shared" si="13"/>
        <v>0</v>
      </c>
      <c r="J44" s="405">
        <f t="shared" si="13"/>
        <v>0.2</v>
      </c>
      <c r="K44" s="405">
        <f t="shared" si="13"/>
        <v>0.2</v>
      </c>
      <c r="L44" s="405">
        <f t="shared" si="13"/>
        <v>0</v>
      </c>
      <c r="M44" s="405">
        <f t="shared" si="13"/>
        <v>0.2</v>
      </c>
      <c r="P44" s="354" t="s">
        <v>743</v>
      </c>
      <c r="Q44" s="407">
        <f>+Q37</f>
        <v>0.2</v>
      </c>
    </row>
    <row r="45" spans="2:17" ht="14.85" customHeight="1">
      <c r="B45" s="346"/>
      <c r="C45" s="346"/>
      <c r="D45" s="346"/>
      <c r="E45" s="346"/>
      <c r="F45" s="346"/>
      <c r="G45" s="346"/>
      <c r="H45" s="346"/>
      <c r="I45" s="346"/>
      <c r="J45" s="346"/>
      <c r="K45" s="346"/>
      <c r="L45" s="346"/>
      <c r="M45" s="346"/>
    </row>
    <row r="46" spans="2:17" ht="14.85" customHeight="1">
      <c r="B46" s="408" t="s">
        <v>3465</v>
      </c>
      <c r="D46" s="381">
        <f>D43*(1+D44)^(YEARFRAC(D42,D$15,3))</f>
        <v>0</v>
      </c>
      <c r="E46" s="381">
        <f t="shared" ref="E46:M46" si="14">E43*(1+E44)^(YEARFRAC(E42,E$15,3))</f>
        <v>0</v>
      </c>
      <c r="F46" s="381">
        <f t="shared" si="14"/>
        <v>4200</v>
      </c>
      <c r="G46" s="381">
        <f t="shared" si="14"/>
        <v>4200</v>
      </c>
      <c r="H46" s="381">
        <f t="shared" si="14"/>
        <v>0</v>
      </c>
      <c r="I46" s="381">
        <f t="shared" si="14"/>
        <v>0</v>
      </c>
      <c r="J46" s="381">
        <f t="shared" si="14"/>
        <v>4200</v>
      </c>
      <c r="K46" s="381">
        <f t="shared" si="14"/>
        <v>4200</v>
      </c>
      <c r="L46" s="381">
        <f t="shared" si="14"/>
        <v>0</v>
      </c>
      <c r="M46" s="381">
        <f t="shared" si="14"/>
        <v>4200</v>
      </c>
    </row>
    <row r="47" spans="2:17" ht="14.85" customHeight="1"/>
    <row r="48" spans="2:17" ht="14.85" customHeight="1" thickBot="1">
      <c r="B48" s="409" t="s">
        <v>385</v>
      </c>
      <c r="C48" s="410"/>
      <c r="D48" s="411">
        <f>D46+D39+D32</f>
        <v>10800</v>
      </c>
      <c r="E48" s="411">
        <f t="shared" ref="E48:M48" si="15">E46+E39+E32</f>
        <v>10800</v>
      </c>
      <c r="F48" s="411">
        <f t="shared" si="15"/>
        <v>17160</v>
      </c>
      <c r="G48" s="411">
        <f t="shared" si="15"/>
        <v>17160</v>
      </c>
      <c r="H48" s="411">
        <f t="shared" si="15"/>
        <v>10800</v>
      </c>
      <c r="I48" s="411">
        <f t="shared" si="15"/>
        <v>10800</v>
      </c>
      <c r="J48" s="411">
        <f t="shared" si="15"/>
        <v>17160</v>
      </c>
      <c r="K48" s="411">
        <f t="shared" si="15"/>
        <v>17160</v>
      </c>
      <c r="L48" s="411">
        <f t="shared" si="15"/>
        <v>10800</v>
      </c>
      <c r="M48" s="411">
        <f t="shared" si="15"/>
        <v>17160</v>
      </c>
    </row>
    <row r="49" spans="2:20" ht="14.85" customHeight="1"/>
    <row r="50" spans="2:20" ht="14.85" customHeight="1">
      <c r="B50" s="384" t="s">
        <v>447</v>
      </c>
      <c r="C50" s="376"/>
      <c r="D50" s="376"/>
      <c r="E50" s="376"/>
      <c r="F50" s="376"/>
      <c r="G50" s="376"/>
      <c r="H50" s="376"/>
      <c r="I50" s="376"/>
      <c r="J50" s="376"/>
      <c r="K50" s="376"/>
      <c r="L50" s="376"/>
      <c r="M50" s="379"/>
    </row>
    <row r="51" spans="2:20" ht="14.85" customHeight="1"/>
    <row r="52" spans="2:20" ht="14.85" customHeight="1">
      <c r="B52" s="250" t="s">
        <v>435</v>
      </c>
      <c r="D52" s="331">
        <f t="shared" ref="D52:M52" si="16">D23</f>
        <v>100000</v>
      </c>
      <c r="E52" s="331">
        <f t="shared" si="16"/>
        <v>100000</v>
      </c>
      <c r="F52" s="331">
        <f t="shared" si="16"/>
        <v>100000</v>
      </c>
      <c r="G52" s="331">
        <f t="shared" si="16"/>
        <v>100000</v>
      </c>
      <c r="H52" s="331">
        <f t="shared" si="16"/>
        <v>100000</v>
      </c>
      <c r="I52" s="331">
        <f t="shared" si="16"/>
        <v>100000</v>
      </c>
      <c r="J52" s="331">
        <f t="shared" si="16"/>
        <v>100000</v>
      </c>
      <c r="K52" s="331">
        <f t="shared" si="16"/>
        <v>100000</v>
      </c>
      <c r="L52" s="331">
        <f t="shared" si="16"/>
        <v>100000</v>
      </c>
      <c r="M52" s="331">
        <f t="shared" si="16"/>
        <v>100000</v>
      </c>
    </row>
    <row r="53" spans="2:20" ht="14.85" customHeight="1">
      <c r="B53" s="328" t="s">
        <v>355</v>
      </c>
      <c r="D53" s="331">
        <f>-MIN(D48,D52)</f>
        <v>-10800</v>
      </c>
      <c r="E53" s="331">
        <f t="shared" ref="E53:M53" si="17">-MIN(E48,E52)</f>
        <v>-10800</v>
      </c>
      <c r="F53" s="331">
        <f t="shared" si="17"/>
        <v>-17160</v>
      </c>
      <c r="G53" s="331">
        <f t="shared" si="17"/>
        <v>-17160</v>
      </c>
      <c r="H53" s="331">
        <f t="shared" si="17"/>
        <v>-10800</v>
      </c>
      <c r="I53" s="331">
        <f t="shared" si="17"/>
        <v>-10800</v>
      </c>
      <c r="J53" s="331">
        <f t="shared" si="17"/>
        <v>-17160</v>
      </c>
      <c r="K53" s="331">
        <f t="shared" si="17"/>
        <v>-17160</v>
      </c>
      <c r="L53" s="331">
        <f t="shared" si="17"/>
        <v>-10800</v>
      </c>
      <c r="M53" s="331">
        <f t="shared" si="17"/>
        <v>-17160</v>
      </c>
    </row>
    <row r="54" spans="2:20" ht="14.85" customHeight="1">
      <c r="B54" s="346"/>
      <c r="C54" s="346"/>
      <c r="D54" s="346"/>
      <c r="E54" s="346"/>
      <c r="F54" s="346"/>
      <c r="G54" s="346"/>
      <c r="H54" s="346"/>
      <c r="I54" s="346"/>
      <c r="J54" s="346"/>
      <c r="K54" s="346"/>
      <c r="L54" s="346"/>
      <c r="M54" s="346"/>
    </row>
    <row r="55" spans="2:20" ht="14.85" customHeight="1">
      <c r="B55" s="253" t="s">
        <v>448</v>
      </c>
      <c r="D55" s="412">
        <f t="shared" ref="D55:M55" si="18">SUM(D52:D53)</f>
        <v>89200</v>
      </c>
      <c r="E55" s="412">
        <f t="shared" si="18"/>
        <v>89200</v>
      </c>
      <c r="F55" s="412">
        <f t="shared" si="18"/>
        <v>82840</v>
      </c>
      <c r="G55" s="412">
        <f t="shared" si="18"/>
        <v>82840</v>
      </c>
      <c r="H55" s="412">
        <f t="shared" si="18"/>
        <v>89200</v>
      </c>
      <c r="I55" s="412">
        <f t="shared" si="18"/>
        <v>89200</v>
      </c>
      <c r="J55" s="412">
        <f t="shared" si="18"/>
        <v>82840</v>
      </c>
      <c r="K55" s="412">
        <f t="shared" si="18"/>
        <v>82840</v>
      </c>
      <c r="L55" s="412">
        <f t="shared" si="18"/>
        <v>89200</v>
      </c>
      <c r="M55" s="412">
        <f t="shared" si="18"/>
        <v>82840</v>
      </c>
    </row>
    <row r="56" spans="2:20" ht="14.85" customHeight="1"/>
    <row r="57" spans="2:20" s="414" customFormat="1" ht="14.85" customHeight="1">
      <c r="B57" s="413" t="s">
        <v>1777</v>
      </c>
      <c r="D57" s="415">
        <f ca="1">-'Hist BS'!$I$65</f>
        <v>-2038</v>
      </c>
      <c r="E57" s="415">
        <f ca="1">-'Hist BS'!$I$65</f>
        <v>-2038</v>
      </c>
      <c r="F57" s="415">
        <f ca="1">-'Hist BS'!$I$65</f>
        <v>-2038</v>
      </c>
      <c r="G57" s="415">
        <f ca="1">-'Hist BS'!$I$65</f>
        <v>-2038</v>
      </c>
      <c r="H57" s="415">
        <f ca="1">-'Hist BS'!$I$65</f>
        <v>-2038</v>
      </c>
      <c r="I57" s="415">
        <f ca="1">-'Hist BS'!$I$65</f>
        <v>-2038</v>
      </c>
      <c r="J57" s="415">
        <f ca="1">-'Hist BS'!$I$65</f>
        <v>-2038</v>
      </c>
      <c r="K57" s="415">
        <f ca="1">-'Hist BS'!$I$65</f>
        <v>-2038</v>
      </c>
      <c r="L57" s="415">
        <f ca="1">-'Hist BS'!$I$65</f>
        <v>-2038</v>
      </c>
      <c r="M57" s="415">
        <f ca="1">-'Hist BS'!$I$65</f>
        <v>-2038</v>
      </c>
    </row>
    <row r="58" spans="2:20" ht="14.85" customHeight="1">
      <c r="B58" s="346"/>
      <c r="C58" s="346"/>
      <c r="D58" s="346"/>
      <c r="E58" s="346"/>
      <c r="F58" s="346"/>
      <c r="G58" s="346"/>
      <c r="H58" s="346"/>
      <c r="I58" s="346"/>
      <c r="J58" s="346"/>
      <c r="K58" s="346"/>
      <c r="L58" s="346"/>
      <c r="M58" s="346"/>
    </row>
    <row r="59" spans="2:20" ht="14.85" customHeight="1">
      <c r="B59" s="253" t="s">
        <v>458</v>
      </c>
      <c r="D59" s="412">
        <f ca="1">MAX(SUM(D55:D57),0)</f>
        <v>87162</v>
      </c>
      <c r="E59" s="412">
        <f t="shared" ref="E59:M59" ca="1" si="19">MAX(SUM(E55:E57),0)</f>
        <v>87162</v>
      </c>
      <c r="F59" s="412">
        <f t="shared" ca="1" si="19"/>
        <v>80802</v>
      </c>
      <c r="G59" s="412">
        <f t="shared" ca="1" si="19"/>
        <v>80802</v>
      </c>
      <c r="H59" s="412">
        <f t="shared" ca="1" si="19"/>
        <v>87162</v>
      </c>
      <c r="I59" s="412">
        <f t="shared" ca="1" si="19"/>
        <v>87162</v>
      </c>
      <c r="J59" s="412">
        <f t="shared" ca="1" si="19"/>
        <v>80802</v>
      </c>
      <c r="K59" s="412">
        <f t="shared" ca="1" si="19"/>
        <v>80802</v>
      </c>
      <c r="L59" s="412">
        <f t="shared" ca="1" si="19"/>
        <v>87162</v>
      </c>
      <c r="M59" s="412">
        <f t="shared" ca="1" si="19"/>
        <v>80802</v>
      </c>
    </row>
    <row r="60" spans="2:20" ht="14.85" customHeight="1"/>
    <row r="61" spans="2:20" ht="14.85" customHeight="1">
      <c r="B61" s="253" t="s">
        <v>449</v>
      </c>
      <c r="O61" s="253" t="s">
        <v>411</v>
      </c>
      <c r="S61" s="275" t="s">
        <v>1860</v>
      </c>
    </row>
    <row r="62" spans="2:20" ht="14.85" customHeight="1">
      <c r="B62" s="328" t="str">
        <f>'Cap Table'!$D$7</f>
        <v>Series A</v>
      </c>
      <c r="D62" s="331">
        <f ca="1">IF(D$59&lt;$S$62,0,INDEX('OPM 1'!$D19:$S19,0,MATCH(D$59,'OPM 1'!$D$89:$S$89,1)))</f>
        <v>0</v>
      </c>
      <c r="E62" s="331">
        <f ca="1">IF(E$59&lt;$S$62,0,INDEX('OPM 1'!$D19:$S19,0,MATCH(E$59,'OPM 1'!$D$89:$S$89,1)))</f>
        <v>0</v>
      </c>
      <c r="F62" s="331">
        <f ca="1">IF(F$59&lt;$S$62,0,INDEX('OPM 1'!$D19:$S19,0,MATCH(F$59,'OPM 1'!$D$89:$S$89,1)))</f>
        <v>0</v>
      </c>
      <c r="G62" s="331">
        <f ca="1">IF(G$59&lt;$S$62,0,INDEX('OPM 1'!$D19:$S19,0,MATCH(G$59,'OPM 1'!$D$89:$S$89,1)))</f>
        <v>0</v>
      </c>
      <c r="H62" s="331">
        <f ca="1">IF(H$59&lt;$S$62,0,INDEX('OPM 1'!$D19:$S19,0,MATCH(H$59,'OPM 1'!$D$89:$S$89,1)))</f>
        <v>0</v>
      </c>
      <c r="I62" s="331">
        <f ca="1">IF(I$59&lt;$S$62,0,INDEX('OPM 1'!$D19:$S19,0,MATCH(I$59,'OPM 1'!$D$89:$S$89,1)))</f>
        <v>0</v>
      </c>
      <c r="J62" s="331">
        <f ca="1">IF(J$59&lt;$S$62,0,INDEX('OPM 1'!$D19:$S19,0,MATCH(J$59,'OPM 1'!$D$89:$S$89,1)))</f>
        <v>0</v>
      </c>
      <c r="K62" s="331">
        <f ca="1">IF(K$59&lt;$S$62,0,INDEX('OPM 1'!$D19:$S19,0,MATCH(K$59,'OPM 1'!$D$89:$S$89,1)))</f>
        <v>0</v>
      </c>
      <c r="L62" s="331">
        <f ca="1">IF(L$59&lt;$S$62,0,INDEX('OPM 1'!$D19:$S19,0,MATCH(L$59,'OPM 1'!$D$89:$S$89,1)))</f>
        <v>0</v>
      </c>
      <c r="M62" s="331">
        <f ca="1">IF(M$59&lt;$S$62,0,INDEX('OPM 1'!$D19:$S19,0,MATCH(M$59,'OPM 1'!$D$89:$S$89,1)))</f>
        <v>0</v>
      </c>
      <c r="O62" s="344">
        <f>'Econ Rights'!D16</f>
        <v>250</v>
      </c>
      <c r="P62" s="416">
        <f>+O62/$O$70</f>
        <v>0.14766686355581807</v>
      </c>
      <c r="S62" s="344">
        <f>+'OPM 1'!D89</f>
        <v>216</v>
      </c>
      <c r="T62" s="250" t="s">
        <v>1861</v>
      </c>
    </row>
    <row r="63" spans="2:20" ht="14.85" customHeight="1">
      <c r="B63" s="328" t="str">
        <f>'Cap Table'!$E$7</f>
        <v>Series B</v>
      </c>
      <c r="D63" s="331">
        <f ca="1">IF(D$59&lt;$S$62,0,INDEX('OPM 1'!$D20:$S20,0,MATCH(D$59,'OPM 1'!$D$89:$S$89,1)))</f>
        <v>0</v>
      </c>
      <c r="E63" s="331">
        <f ca="1">IF(E$59&lt;$S$62,0,INDEX('OPM 1'!$D20:$S20,0,MATCH(E$59,'OPM 1'!$D$89:$S$89,1)))</f>
        <v>0</v>
      </c>
      <c r="F63" s="331">
        <f ca="1">IF(F$59&lt;$S$62,0,INDEX('OPM 1'!$D20:$S20,0,MATCH(F$59,'OPM 1'!$D$89:$S$89,1)))</f>
        <v>0</v>
      </c>
      <c r="G63" s="331">
        <f ca="1">IF(G$59&lt;$S$62,0,INDEX('OPM 1'!$D20:$S20,0,MATCH(G$59,'OPM 1'!$D$89:$S$89,1)))</f>
        <v>0</v>
      </c>
      <c r="H63" s="331">
        <f ca="1">IF(H$59&lt;$S$62,0,INDEX('OPM 1'!$D20:$S20,0,MATCH(H$59,'OPM 1'!$D$89:$S$89,1)))</f>
        <v>0</v>
      </c>
      <c r="I63" s="331">
        <f ca="1">IF(I$59&lt;$S$62,0,INDEX('OPM 1'!$D20:$S20,0,MATCH(I$59,'OPM 1'!$D$89:$S$89,1)))</f>
        <v>0</v>
      </c>
      <c r="J63" s="331">
        <f ca="1">IF(J$59&lt;$S$62,0,INDEX('OPM 1'!$D20:$S20,0,MATCH(J$59,'OPM 1'!$D$89:$S$89,1)))</f>
        <v>0</v>
      </c>
      <c r="K63" s="331">
        <f ca="1">IF(K$59&lt;$S$62,0,INDEX('OPM 1'!$D20:$S20,0,MATCH(K$59,'OPM 1'!$D$89:$S$89,1)))</f>
        <v>0</v>
      </c>
      <c r="L63" s="331">
        <f ca="1">IF(L$59&lt;$S$62,0,INDEX('OPM 1'!$D20:$S20,0,MATCH(L$59,'OPM 1'!$D$89:$S$89,1)))</f>
        <v>0</v>
      </c>
      <c r="M63" s="331">
        <f ca="1">IF(M$59&lt;$S$62,0,INDEX('OPM 1'!$D20:$S20,0,MATCH(M$59,'OPM 1'!$D$89:$S$89,1)))</f>
        <v>0</v>
      </c>
      <c r="O63" s="344">
        <f>'Econ Rights'!E16</f>
        <v>243</v>
      </c>
      <c r="P63" s="416">
        <f t="shared" ref="P63:P68" si="20">+O63/$O$70</f>
        <v>0.14353219137625517</v>
      </c>
    </row>
    <row r="64" spans="2:20" ht="14.85" customHeight="1">
      <c r="B64" s="328" t="str">
        <f>'Cap Table'!$F$7</f>
        <v>Series C</v>
      </c>
      <c r="D64" s="331">
        <f ca="1">IF(D$59&lt;$S$62,0,INDEX('OPM 1'!$D21:$S21,0,MATCH(D$59,'OPM 1'!$D$89:$S$89,1)))</f>
        <v>0</v>
      </c>
      <c r="E64" s="331">
        <f ca="1">IF(E$59&lt;$S$62,0,INDEX('OPM 1'!$D21:$S21,0,MATCH(E$59,'OPM 1'!$D$89:$S$89,1)))</f>
        <v>0</v>
      </c>
      <c r="F64" s="331">
        <f ca="1">IF(F$59&lt;$S$62,0,INDEX('OPM 1'!$D21:$S21,0,MATCH(F$59,'OPM 1'!$D$89:$S$89,1)))</f>
        <v>0</v>
      </c>
      <c r="G64" s="331">
        <f ca="1">IF(G$59&lt;$S$62,0,INDEX('OPM 1'!$D21:$S21,0,MATCH(G$59,'OPM 1'!$D$89:$S$89,1)))</f>
        <v>0</v>
      </c>
      <c r="H64" s="331">
        <f ca="1">IF(H$59&lt;$S$62,0,INDEX('OPM 1'!$D21:$S21,0,MATCH(H$59,'OPM 1'!$D$89:$S$89,1)))</f>
        <v>0</v>
      </c>
      <c r="I64" s="331">
        <f ca="1">IF(I$59&lt;$S$62,0,INDEX('OPM 1'!$D21:$S21,0,MATCH(I$59,'OPM 1'!$D$89:$S$89,1)))</f>
        <v>0</v>
      </c>
      <c r="J64" s="331">
        <f ca="1">IF(J$59&lt;$S$62,0,INDEX('OPM 1'!$D21:$S21,0,MATCH(J$59,'OPM 1'!$D$89:$S$89,1)))</f>
        <v>0</v>
      </c>
      <c r="K64" s="331">
        <f ca="1">IF(K$59&lt;$S$62,0,INDEX('OPM 1'!$D21:$S21,0,MATCH(K$59,'OPM 1'!$D$89:$S$89,1)))</f>
        <v>0</v>
      </c>
      <c r="L64" s="331">
        <f ca="1">IF(L$59&lt;$S$62,0,INDEX('OPM 1'!$D21:$S21,0,MATCH(L$59,'OPM 1'!$D$89:$S$89,1)))</f>
        <v>0</v>
      </c>
      <c r="M64" s="331">
        <f ca="1">IF(M$59&lt;$S$62,0,INDEX('OPM 1'!$D21:$S21,0,MATCH(M$59,'OPM 1'!$D$89:$S$89,1)))</f>
        <v>0</v>
      </c>
      <c r="O64" s="344">
        <f>'Econ Rights'!F16</f>
        <v>261</v>
      </c>
      <c r="P64" s="416">
        <f t="shared" si="20"/>
        <v>0.15416420555227406</v>
      </c>
    </row>
    <row r="65" spans="2:16" ht="14.85" customHeight="1">
      <c r="B65" s="328" t="str">
        <f>'Cap Table'!$G$7</f>
        <v>Series D</v>
      </c>
      <c r="D65" s="331">
        <f ca="1">IF(D$59&lt;$S$62,0,INDEX('OPM 1'!$D22:$S22,0,MATCH(D$59,'OPM 1'!$D$89:$S$89,1)))</f>
        <v>0</v>
      </c>
      <c r="E65" s="331">
        <f ca="1">IF(E$59&lt;$S$62,0,INDEX('OPM 1'!$D22:$S22,0,MATCH(E$59,'OPM 1'!$D$89:$S$89,1)))</f>
        <v>0</v>
      </c>
      <c r="F65" s="331">
        <f ca="1">IF(F$59&lt;$S$62,0,INDEX('OPM 1'!$D22:$S22,0,MATCH(F$59,'OPM 1'!$D$89:$S$89,1)))</f>
        <v>0</v>
      </c>
      <c r="G65" s="331">
        <f ca="1">IF(G$59&lt;$S$62,0,INDEX('OPM 1'!$D22:$S22,0,MATCH(G$59,'OPM 1'!$D$89:$S$89,1)))</f>
        <v>0</v>
      </c>
      <c r="H65" s="331">
        <f ca="1">IF(H$59&lt;$S$62,0,INDEX('OPM 1'!$D22:$S22,0,MATCH(H$59,'OPM 1'!$D$89:$S$89,1)))</f>
        <v>0</v>
      </c>
      <c r="I65" s="331">
        <f ca="1">IF(I$59&lt;$S$62,0,INDEX('OPM 1'!$D22:$S22,0,MATCH(I$59,'OPM 1'!$D$89:$S$89,1)))</f>
        <v>0</v>
      </c>
      <c r="J65" s="331">
        <f ca="1">IF(J$59&lt;$S$62,0,INDEX('OPM 1'!$D22:$S22,0,MATCH(J$59,'OPM 1'!$D$89:$S$89,1)))</f>
        <v>0</v>
      </c>
      <c r="K65" s="331">
        <f ca="1">IF(K$59&lt;$S$62,0,INDEX('OPM 1'!$D22:$S22,0,MATCH(K$59,'OPM 1'!$D$89:$S$89,1)))</f>
        <v>0</v>
      </c>
      <c r="L65" s="331">
        <f ca="1">IF(L$59&lt;$S$62,0,INDEX('OPM 1'!$D22:$S22,0,MATCH(L$59,'OPM 1'!$D$89:$S$89,1)))</f>
        <v>0</v>
      </c>
      <c r="M65" s="331">
        <f ca="1">IF(M$59&lt;$S$62,0,INDEX('OPM 1'!$D22:$S22,0,MATCH(M$59,'OPM 1'!$D$89:$S$89,1)))</f>
        <v>0</v>
      </c>
      <c r="O65" s="344">
        <f>'Econ Rights'!G16</f>
        <v>264</v>
      </c>
      <c r="P65" s="416">
        <f t="shared" si="20"/>
        <v>0.15593620791494389</v>
      </c>
    </row>
    <row r="66" spans="2:16" ht="14.85" customHeight="1">
      <c r="B66" s="328" t="str">
        <f>'Cap Table'!$H$7</f>
        <v>Series E</v>
      </c>
      <c r="D66" s="331">
        <f ca="1">IF(D$59&lt;$S$62,0,INDEX('OPM 1'!$D23:$S23,0,MATCH(D$59,'OPM 1'!$D$89:$S$89,1)))</f>
        <v>0</v>
      </c>
      <c r="E66" s="331">
        <f ca="1">IF(E$59&lt;$S$62,0,INDEX('OPM 1'!$D23:$S23,0,MATCH(E$59,'OPM 1'!$D$89:$S$89,1)))</f>
        <v>0</v>
      </c>
      <c r="F66" s="331">
        <f ca="1">IF(F$59&lt;$S$62,0,INDEX('OPM 1'!$D23:$S23,0,MATCH(F$59,'OPM 1'!$D$89:$S$89,1)))</f>
        <v>0</v>
      </c>
      <c r="G66" s="331">
        <f ca="1">IF(G$59&lt;$S$62,0,INDEX('OPM 1'!$D23:$S23,0,MATCH(G$59,'OPM 1'!$D$89:$S$89,1)))</f>
        <v>0</v>
      </c>
      <c r="H66" s="331">
        <f ca="1">IF(H$59&lt;$S$62,0,INDEX('OPM 1'!$D23:$S23,0,MATCH(H$59,'OPM 1'!$D$89:$S$89,1)))</f>
        <v>0</v>
      </c>
      <c r="I66" s="331">
        <f ca="1">IF(I$59&lt;$S$62,0,INDEX('OPM 1'!$D23:$S23,0,MATCH(I$59,'OPM 1'!$D$89:$S$89,1)))</f>
        <v>0</v>
      </c>
      <c r="J66" s="331">
        <f ca="1">IF(J$59&lt;$S$62,0,INDEX('OPM 1'!$D23:$S23,0,MATCH(J$59,'OPM 1'!$D$89:$S$89,1)))</f>
        <v>0</v>
      </c>
      <c r="K66" s="331">
        <f ca="1">IF(K$59&lt;$S$62,0,INDEX('OPM 1'!$D23:$S23,0,MATCH(K$59,'OPM 1'!$D$89:$S$89,1)))</f>
        <v>0</v>
      </c>
      <c r="L66" s="331">
        <f ca="1">IF(L$59&lt;$S$62,0,INDEX('OPM 1'!$D23:$S23,0,MATCH(L$59,'OPM 1'!$D$89:$S$89,1)))</f>
        <v>0</v>
      </c>
      <c r="M66" s="331">
        <f ca="1">IF(M$59&lt;$S$62,0,INDEX('OPM 1'!$D23:$S23,0,MATCH(M$59,'OPM 1'!$D$89:$S$89,1)))</f>
        <v>0</v>
      </c>
      <c r="O66" s="344">
        <f>'Econ Rights'!H16</f>
        <v>216</v>
      </c>
      <c r="P66" s="416">
        <f t="shared" si="20"/>
        <v>0.12758417011222681</v>
      </c>
    </row>
    <row r="67" spans="2:16" ht="14.85" customHeight="1">
      <c r="B67" s="328" t="str">
        <f>'Cap Table'!$I$7</f>
        <v>Series F</v>
      </c>
      <c r="D67" s="331">
        <f ca="1">IF(D$59&lt;$S$62,0,INDEX('OPM 1'!$D24:$S24,0,MATCH(D$59,'OPM 1'!$D$89:$S$89,1)))</f>
        <v>0</v>
      </c>
      <c r="E67" s="331">
        <f ca="1">IF(E$59&lt;$S$62,0,INDEX('OPM 1'!$D24:$S24,0,MATCH(E$59,'OPM 1'!$D$89:$S$89,1)))</f>
        <v>0</v>
      </c>
      <c r="F67" s="331">
        <f ca="1">IF(F$59&lt;$S$62,0,INDEX('OPM 1'!$D24:$S24,0,MATCH(F$59,'OPM 1'!$D$89:$S$89,1)))</f>
        <v>0</v>
      </c>
      <c r="G67" s="331">
        <f ca="1">IF(G$59&lt;$S$62,0,INDEX('OPM 1'!$D24:$S24,0,MATCH(G$59,'OPM 1'!$D$89:$S$89,1)))</f>
        <v>0</v>
      </c>
      <c r="H67" s="331">
        <f ca="1">IF(H$59&lt;$S$62,0,INDEX('OPM 1'!$D24:$S24,0,MATCH(H$59,'OPM 1'!$D$89:$S$89,1)))</f>
        <v>0</v>
      </c>
      <c r="I67" s="331">
        <f ca="1">IF(I$59&lt;$S$62,0,INDEX('OPM 1'!$D24:$S24,0,MATCH(I$59,'OPM 1'!$D$89:$S$89,1)))</f>
        <v>0</v>
      </c>
      <c r="J67" s="331">
        <f ca="1">IF(J$59&lt;$S$62,0,INDEX('OPM 1'!$D24:$S24,0,MATCH(J$59,'OPM 1'!$D$89:$S$89,1)))</f>
        <v>0</v>
      </c>
      <c r="K67" s="331">
        <f ca="1">IF(K$59&lt;$S$62,0,INDEX('OPM 1'!$D24:$S24,0,MATCH(K$59,'OPM 1'!$D$89:$S$89,1)))</f>
        <v>0</v>
      </c>
      <c r="L67" s="331">
        <f ca="1">IF(L$59&lt;$S$62,0,INDEX('OPM 1'!$D24:$S24,0,MATCH(L$59,'OPM 1'!$D$89:$S$89,1)))</f>
        <v>0</v>
      </c>
      <c r="M67" s="331">
        <f ca="1">IF(M$59&lt;$S$62,0,INDEX('OPM 1'!$D24:$S24,0,MATCH(M$59,'OPM 1'!$D$89:$S$89,1)))</f>
        <v>0</v>
      </c>
      <c r="O67" s="344">
        <f>'Econ Rights'!I16</f>
        <v>200</v>
      </c>
      <c r="P67" s="416">
        <f t="shared" si="20"/>
        <v>0.11813349084465447</v>
      </c>
    </row>
    <row r="68" spans="2:16" ht="14.85" customHeight="1">
      <c r="B68" s="328" t="str">
        <f>'Cap Table'!$J$7</f>
        <v>Series G</v>
      </c>
      <c r="D68" s="331">
        <f ca="1">IF(D$59&lt;$S$62,D$59,INDEX('OPM 1'!$D25:$S25,0,MATCH(D$59,'OPM 1'!$D$89:$S$89,1)))</f>
        <v>0</v>
      </c>
      <c r="E68" s="331">
        <f ca="1">IF(E$59&lt;$S$62,E$59,INDEX('OPM 1'!$D25:$S25,0,MATCH(E$59,'OPM 1'!$D$89:$S$89,1)))</f>
        <v>0</v>
      </c>
      <c r="F68" s="331">
        <f ca="1">IF(F$59&lt;$S$62,F$59,INDEX('OPM 1'!$D25:$S25,0,MATCH(F$59,'OPM 1'!$D$89:$S$89,1)))</f>
        <v>0</v>
      </c>
      <c r="G68" s="331">
        <f ca="1">IF(G$59&lt;$S$62,G$59,INDEX('OPM 1'!$D25:$S25,0,MATCH(G$59,'OPM 1'!$D$89:$S$89,1)))</f>
        <v>0</v>
      </c>
      <c r="H68" s="331">
        <f ca="1">IF(H$59&lt;$S$62,H$59,INDEX('OPM 1'!$D25:$S25,0,MATCH(H$59,'OPM 1'!$D$89:$S$89,1)))</f>
        <v>0</v>
      </c>
      <c r="I68" s="331">
        <f ca="1">IF(I$59&lt;$S$62,I$59,INDEX('OPM 1'!$D25:$S25,0,MATCH(I$59,'OPM 1'!$D$89:$S$89,1)))</f>
        <v>0</v>
      </c>
      <c r="J68" s="331">
        <f ca="1">IF(J$59&lt;$S$62,J$59,INDEX('OPM 1'!$D25:$S25,0,MATCH(J$59,'OPM 1'!$D$89:$S$89,1)))</f>
        <v>0</v>
      </c>
      <c r="K68" s="331">
        <f ca="1">IF(K$59&lt;$S$62,K$59,INDEX('OPM 1'!$D25:$S25,0,MATCH(K$59,'OPM 1'!$D$89:$S$89,1)))</f>
        <v>0</v>
      </c>
      <c r="L68" s="331">
        <f ca="1">IF(L$59&lt;$S$62,L$59,INDEX('OPM 1'!$D25:$S25,0,MATCH(L$59,'OPM 1'!$D$89:$S$89,1)))</f>
        <v>0</v>
      </c>
      <c r="M68" s="331">
        <f ca="1">IF(M$59&lt;$S$62,M$59,INDEX('OPM 1'!$D25:$S25,0,MATCH(M$59,'OPM 1'!$D$89:$S$89,1)))</f>
        <v>0</v>
      </c>
      <c r="O68" s="344">
        <f>'Econ Rights'!J16</f>
        <v>259</v>
      </c>
      <c r="P68" s="416">
        <f t="shared" si="20"/>
        <v>0.15298287064382751</v>
      </c>
    </row>
    <row r="69" spans="2:16" ht="14.85" customHeight="1">
      <c r="B69" s="346"/>
      <c r="C69" s="346"/>
      <c r="D69" s="346"/>
      <c r="E69" s="346"/>
      <c r="F69" s="346"/>
      <c r="G69" s="346"/>
      <c r="H69" s="346"/>
      <c r="I69" s="346"/>
      <c r="J69" s="346"/>
      <c r="K69" s="346"/>
      <c r="L69" s="346"/>
      <c r="M69" s="346"/>
      <c r="P69" s="416"/>
    </row>
    <row r="70" spans="2:16" ht="14.85" customHeight="1">
      <c r="B70" s="408" t="str">
        <f>CONCATENATE("Total ",B61)</f>
        <v>Total Liquidation Preferences</v>
      </c>
      <c r="D70" s="412">
        <f ca="1">SUM(D62:D68)</f>
        <v>0</v>
      </c>
      <c r="E70" s="412">
        <f t="shared" ref="E70:M70" ca="1" si="21">SUM(E62:E68)</f>
        <v>0</v>
      </c>
      <c r="F70" s="412">
        <f t="shared" ca="1" si="21"/>
        <v>0</v>
      </c>
      <c r="G70" s="412">
        <f t="shared" ca="1" si="21"/>
        <v>0</v>
      </c>
      <c r="H70" s="412">
        <f t="shared" ca="1" si="21"/>
        <v>0</v>
      </c>
      <c r="I70" s="412">
        <f t="shared" ca="1" si="21"/>
        <v>0</v>
      </c>
      <c r="J70" s="412">
        <f t="shared" ca="1" si="21"/>
        <v>0</v>
      </c>
      <c r="K70" s="412">
        <f t="shared" ca="1" si="21"/>
        <v>0</v>
      </c>
      <c r="L70" s="412">
        <f t="shared" ca="1" si="21"/>
        <v>0</v>
      </c>
      <c r="M70" s="412">
        <f t="shared" ca="1" si="21"/>
        <v>0</v>
      </c>
      <c r="O70" s="417">
        <f>SUM(O62:O68)</f>
        <v>1693</v>
      </c>
      <c r="P70" s="418">
        <f>SUM(P62:P68)</f>
        <v>0.99999999999999989</v>
      </c>
    </row>
    <row r="71" spans="2:16" ht="14.85" customHeight="1"/>
    <row r="72" spans="2:16" ht="14.85" customHeight="1">
      <c r="B72" s="253" t="s">
        <v>450</v>
      </c>
      <c r="C72" s="253"/>
      <c r="D72" s="412">
        <f ca="1">D59-D70</f>
        <v>87162</v>
      </c>
      <c r="E72" s="412">
        <f t="shared" ref="E72:M72" ca="1" si="22">E59-E70</f>
        <v>87162</v>
      </c>
      <c r="F72" s="412">
        <f t="shared" ca="1" si="22"/>
        <v>80802</v>
      </c>
      <c r="G72" s="412">
        <f t="shared" ca="1" si="22"/>
        <v>80802</v>
      </c>
      <c r="H72" s="412">
        <f t="shared" ca="1" si="22"/>
        <v>87162</v>
      </c>
      <c r="I72" s="412">
        <f t="shared" ca="1" si="22"/>
        <v>87162</v>
      </c>
      <c r="J72" s="412">
        <f t="shared" ca="1" si="22"/>
        <v>80802</v>
      </c>
      <c r="K72" s="412">
        <f t="shared" ca="1" si="22"/>
        <v>80802</v>
      </c>
      <c r="L72" s="412">
        <f t="shared" ca="1" si="22"/>
        <v>87162</v>
      </c>
      <c r="M72" s="412">
        <f t="shared" ca="1" si="22"/>
        <v>80802</v>
      </c>
    </row>
    <row r="73" spans="2:16" ht="14.85" customHeight="1"/>
    <row r="74" spans="2:16" ht="14.85" customHeight="1">
      <c r="B74" s="253" t="s">
        <v>451</v>
      </c>
    </row>
    <row r="75" spans="2:16" ht="14.85" customHeight="1">
      <c r="B75" s="413" t="str">
        <f t="shared" ref="B75:B81" si="23">+$B62</f>
        <v>Series A</v>
      </c>
      <c r="D75" s="331">
        <f ca="1">IF(D$59&lt;$S$62,0,INDEX('OPM 1'!$D55:$S55,0,MATCH(D$59,'OPM 1'!$D$89:$S$89,1)))</f>
        <v>0</v>
      </c>
      <c r="E75" s="331">
        <f ca="1">IF(E$59&lt;$S$62,0,INDEX('OPM 1'!$D55:$S55,0,MATCH(E$59,'OPM 1'!$D$89:$S$89,1)))</f>
        <v>0</v>
      </c>
      <c r="F75" s="331">
        <f ca="1">IF(F$59&lt;$S$62,0,INDEX('OPM 1'!$D55:$S55,0,MATCH(F$59,'OPM 1'!$D$89:$S$89,1)))</f>
        <v>0</v>
      </c>
      <c r="G75" s="331">
        <f ca="1">IF(G$59&lt;$S$62,0,INDEX('OPM 1'!$D55:$S55,0,MATCH(G$59,'OPM 1'!$D$89:$S$89,1)))</f>
        <v>0</v>
      </c>
      <c r="H75" s="331">
        <f ca="1">IF(H$59&lt;$S$62,0,INDEX('OPM 1'!$D55:$S55,0,MATCH(H$59,'OPM 1'!$D$89:$S$89,1)))</f>
        <v>0</v>
      </c>
      <c r="I75" s="331">
        <f ca="1">IF(I$59&lt;$S$62,0,INDEX('OPM 1'!$D55:$S55,0,MATCH(I$59,'OPM 1'!$D$89:$S$89,1)))</f>
        <v>0</v>
      </c>
      <c r="J75" s="331">
        <f ca="1">IF(J$59&lt;$S$62,0,INDEX('OPM 1'!$D55:$S55,0,MATCH(J$59,'OPM 1'!$D$89:$S$89,1)))</f>
        <v>0</v>
      </c>
      <c r="K75" s="331">
        <f ca="1">IF(K$59&lt;$S$62,0,INDEX('OPM 1'!$D55:$S55,0,MATCH(K$59,'OPM 1'!$D$89:$S$89,1)))</f>
        <v>0</v>
      </c>
      <c r="L75" s="331">
        <f ca="1">IF(L$59&lt;$S$62,0,INDEX('OPM 1'!$D55:$S55,0,MATCH(L$59,'OPM 1'!$D$89:$S$89,1)))</f>
        <v>0</v>
      </c>
      <c r="M75" s="331">
        <f ca="1">IF(M$59&lt;$S$62,0,INDEX('OPM 1'!$D55:$S55,0,MATCH(M$59,'OPM 1'!$D$89:$S$89,1)))</f>
        <v>0</v>
      </c>
      <c r="O75" s="344">
        <f>'Cap Table'!D13</f>
        <v>10</v>
      </c>
    </row>
    <row r="76" spans="2:16" ht="14.85" customHeight="1">
      <c r="B76" s="413" t="str">
        <f t="shared" si="23"/>
        <v>Series B</v>
      </c>
      <c r="D76" s="331">
        <f ca="1">IF(D$59&lt;$S$62,0,INDEX('OPM 1'!$D56:$S56,0,MATCH(D$59,'OPM 1'!$D$89:$S$89,1)))</f>
        <v>0</v>
      </c>
      <c r="E76" s="331">
        <f ca="1">IF(E$59&lt;$S$62,0,INDEX('OPM 1'!$D56:$S56,0,MATCH(E$59,'OPM 1'!$D$89:$S$89,1)))</f>
        <v>0</v>
      </c>
      <c r="F76" s="331">
        <f ca="1">IF(F$59&lt;$S$62,0,INDEX('OPM 1'!$D56:$S56,0,MATCH(F$59,'OPM 1'!$D$89:$S$89,1)))</f>
        <v>0</v>
      </c>
      <c r="G76" s="331">
        <f ca="1">IF(G$59&lt;$S$62,0,INDEX('OPM 1'!$D56:$S56,0,MATCH(G$59,'OPM 1'!$D$89:$S$89,1)))</f>
        <v>0</v>
      </c>
      <c r="H76" s="331">
        <f ca="1">IF(H$59&lt;$S$62,0,INDEX('OPM 1'!$D56:$S56,0,MATCH(H$59,'OPM 1'!$D$89:$S$89,1)))</f>
        <v>0</v>
      </c>
      <c r="I76" s="331">
        <f ca="1">IF(I$59&lt;$S$62,0,INDEX('OPM 1'!$D56:$S56,0,MATCH(I$59,'OPM 1'!$D$89:$S$89,1)))</f>
        <v>0</v>
      </c>
      <c r="J76" s="331">
        <f ca="1">IF(J$59&lt;$S$62,0,INDEX('OPM 1'!$D56:$S56,0,MATCH(J$59,'OPM 1'!$D$89:$S$89,1)))</f>
        <v>0</v>
      </c>
      <c r="K76" s="331">
        <f ca="1">IF(K$59&lt;$S$62,0,INDEX('OPM 1'!$D56:$S56,0,MATCH(K$59,'OPM 1'!$D$89:$S$89,1)))</f>
        <v>0</v>
      </c>
      <c r="L76" s="331">
        <f ca="1">IF(L$59&lt;$S$62,0,INDEX('OPM 1'!$D56:$S56,0,MATCH(L$59,'OPM 1'!$D$89:$S$89,1)))</f>
        <v>0</v>
      </c>
      <c r="M76" s="331">
        <f ca="1">IF(M$59&lt;$S$62,0,INDEX('OPM 1'!$D56:$S56,0,MATCH(M$59,'OPM 1'!$D$89:$S$89,1)))</f>
        <v>0</v>
      </c>
      <c r="O76" s="344">
        <f ca="1">'Cap Table'!E13</f>
        <v>99</v>
      </c>
    </row>
    <row r="77" spans="2:16" ht="14.85" customHeight="1">
      <c r="B77" s="413" t="str">
        <f t="shared" si="23"/>
        <v>Series C</v>
      </c>
      <c r="D77" s="331">
        <f ca="1">IF(D$59&lt;$S$62,0,INDEX('OPM 1'!$D57:$S57,0,MATCH(D$59,'OPM 1'!$D$89:$S$89,1)))</f>
        <v>0</v>
      </c>
      <c r="E77" s="331">
        <f ca="1">IF(E$59&lt;$S$62,0,INDEX('OPM 1'!$D57:$S57,0,MATCH(E$59,'OPM 1'!$D$89:$S$89,1)))</f>
        <v>0</v>
      </c>
      <c r="F77" s="331">
        <f ca="1">IF(F$59&lt;$S$62,0,INDEX('OPM 1'!$D57:$S57,0,MATCH(F$59,'OPM 1'!$D$89:$S$89,1)))</f>
        <v>0</v>
      </c>
      <c r="G77" s="331">
        <f ca="1">IF(G$59&lt;$S$62,0,INDEX('OPM 1'!$D57:$S57,0,MATCH(G$59,'OPM 1'!$D$89:$S$89,1)))</f>
        <v>0</v>
      </c>
      <c r="H77" s="331">
        <f ca="1">IF(H$59&lt;$S$62,0,INDEX('OPM 1'!$D57:$S57,0,MATCH(H$59,'OPM 1'!$D$89:$S$89,1)))</f>
        <v>0</v>
      </c>
      <c r="I77" s="331">
        <f ca="1">IF(I$59&lt;$S$62,0,INDEX('OPM 1'!$D57:$S57,0,MATCH(I$59,'OPM 1'!$D$89:$S$89,1)))</f>
        <v>0</v>
      </c>
      <c r="J77" s="331">
        <f ca="1">IF(J$59&lt;$S$62,0,INDEX('OPM 1'!$D57:$S57,0,MATCH(J$59,'OPM 1'!$D$89:$S$89,1)))</f>
        <v>0</v>
      </c>
      <c r="K77" s="331">
        <f ca="1">IF(K$59&lt;$S$62,0,INDEX('OPM 1'!$D57:$S57,0,MATCH(K$59,'OPM 1'!$D$89:$S$89,1)))</f>
        <v>0</v>
      </c>
      <c r="L77" s="331">
        <f ca="1">IF(L$59&lt;$S$62,0,INDEX('OPM 1'!$D57:$S57,0,MATCH(L$59,'OPM 1'!$D$89:$S$89,1)))</f>
        <v>0</v>
      </c>
      <c r="M77" s="331">
        <f ca="1">IF(M$59&lt;$S$62,0,INDEX('OPM 1'!$D57:$S57,0,MATCH(M$59,'OPM 1'!$D$89:$S$89,1)))</f>
        <v>0</v>
      </c>
      <c r="O77" s="344">
        <f ca="1">'Cap Table'!F13</f>
        <v>88</v>
      </c>
    </row>
    <row r="78" spans="2:16" ht="14.85" customHeight="1">
      <c r="B78" s="413" t="str">
        <f t="shared" si="23"/>
        <v>Series D</v>
      </c>
      <c r="D78" s="331">
        <f ca="1">IF(D$59&lt;$S$62,0,INDEX('OPM 1'!$D58:$S58,0,MATCH(D$59,'OPM 1'!$D$89:$S$89,1)))</f>
        <v>0</v>
      </c>
      <c r="E78" s="331">
        <f ca="1">IF(E$59&lt;$S$62,0,INDEX('OPM 1'!$D58:$S58,0,MATCH(E$59,'OPM 1'!$D$89:$S$89,1)))</f>
        <v>0</v>
      </c>
      <c r="F78" s="331">
        <f ca="1">IF(F$59&lt;$S$62,0,INDEX('OPM 1'!$D58:$S58,0,MATCH(F$59,'OPM 1'!$D$89:$S$89,1)))</f>
        <v>0</v>
      </c>
      <c r="G78" s="331">
        <f ca="1">IF(G$59&lt;$S$62,0,INDEX('OPM 1'!$D58:$S58,0,MATCH(G$59,'OPM 1'!$D$89:$S$89,1)))</f>
        <v>0</v>
      </c>
      <c r="H78" s="331">
        <f ca="1">IF(H$59&lt;$S$62,0,INDEX('OPM 1'!$D58:$S58,0,MATCH(H$59,'OPM 1'!$D$89:$S$89,1)))</f>
        <v>0</v>
      </c>
      <c r="I78" s="331">
        <f ca="1">IF(I$59&lt;$S$62,0,INDEX('OPM 1'!$D58:$S58,0,MATCH(I$59,'OPM 1'!$D$89:$S$89,1)))</f>
        <v>0</v>
      </c>
      <c r="J78" s="331">
        <f ca="1">IF(J$59&lt;$S$62,0,INDEX('OPM 1'!$D58:$S58,0,MATCH(J$59,'OPM 1'!$D$89:$S$89,1)))</f>
        <v>0</v>
      </c>
      <c r="K78" s="331">
        <f ca="1">IF(K$59&lt;$S$62,0,INDEX('OPM 1'!$D58:$S58,0,MATCH(K$59,'OPM 1'!$D$89:$S$89,1)))</f>
        <v>0</v>
      </c>
      <c r="L78" s="331">
        <f ca="1">IF(L$59&lt;$S$62,0,INDEX('OPM 1'!$D58:$S58,0,MATCH(L$59,'OPM 1'!$D$89:$S$89,1)))</f>
        <v>0</v>
      </c>
      <c r="M78" s="331">
        <f ca="1">IF(M$59&lt;$S$62,0,INDEX('OPM 1'!$D58:$S58,0,MATCH(M$59,'OPM 1'!$D$89:$S$89,1)))</f>
        <v>0</v>
      </c>
      <c r="O78" s="344">
        <f ca="1">'Cap Table'!G13</f>
        <v>54</v>
      </c>
    </row>
    <row r="79" spans="2:16" ht="14.85" customHeight="1">
      <c r="B79" s="413" t="str">
        <f t="shared" si="23"/>
        <v>Series E</v>
      </c>
      <c r="D79" s="331">
        <f ca="1">IF(D$59&lt;$S$62,0,INDEX('OPM 1'!$D59:$S59,0,MATCH(D$59,'OPM 1'!$D$89:$S$89,1)))</f>
        <v>0</v>
      </c>
      <c r="E79" s="331">
        <f ca="1">IF(E$59&lt;$S$62,0,INDEX('OPM 1'!$D59:$S59,0,MATCH(E$59,'OPM 1'!$D$89:$S$89,1)))</f>
        <v>0</v>
      </c>
      <c r="F79" s="331">
        <f ca="1">IF(F$59&lt;$S$62,0,INDEX('OPM 1'!$D59:$S59,0,MATCH(F$59,'OPM 1'!$D$89:$S$89,1)))</f>
        <v>0</v>
      </c>
      <c r="G79" s="331">
        <f ca="1">IF(G$59&lt;$S$62,0,INDEX('OPM 1'!$D59:$S59,0,MATCH(G$59,'OPM 1'!$D$89:$S$89,1)))</f>
        <v>0</v>
      </c>
      <c r="H79" s="331">
        <f ca="1">IF(H$59&lt;$S$62,0,INDEX('OPM 1'!$D59:$S59,0,MATCH(H$59,'OPM 1'!$D$89:$S$89,1)))</f>
        <v>0</v>
      </c>
      <c r="I79" s="331">
        <f ca="1">IF(I$59&lt;$S$62,0,INDEX('OPM 1'!$D59:$S59,0,MATCH(I$59,'OPM 1'!$D$89:$S$89,1)))</f>
        <v>0</v>
      </c>
      <c r="J79" s="331">
        <f ca="1">IF(J$59&lt;$S$62,0,INDEX('OPM 1'!$D59:$S59,0,MATCH(J$59,'OPM 1'!$D$89:$S$89,1)))</f>
        <v>0</v>
      </c>
      <c r="K79" s="331">
        <f ca="1">IF(K$59&lt;$S$62,0,INDEX('OPM 1'!$D59:$S59,0,MATCH(K$59,'OPM 1'!$D$89:$S$89,1)))</f>
        <v>0</v>
      </c>
      <c r="L79" s="331">
        <f ca="1">IF(L$59&lt;$S$62,0,INDEX('OPM 1'!$D59:$S59,0,MATCH(L$59,'OPM 1'!$D$89:$S$89,1)))</f>
        <v>0</v>
      </c>
      <c r="M79" s="331">
        <f ca="1">IF(M$59&lt;$S$62,0,INDEX('OPM 1'!$D59:$S59,0,MATCH(M$59,'OPM 1'!$D$89:$S$89,1)))</f>
        <v>0</v>
      </c>
      <c r="O79" s="344">
        <f ca="1">'Cap Table'!H13</f>
        <v>100</v>
      </c>
    </row>
    <row r="80" spans="2:16" ht="14.85" customHeight="1">
      <c r="B80" s="413" t="str">
        <f t="shared" si="23"/>
        <v>Series F</v>
      </c>
      <c r="D80" s="331">
        <f ca="1">IF(D$59&lt;$S$62,0,INDEX('OPM 1'!$D60:$S60,0,MATCH(D$59,'OPM 1'!$D$89:$S$89,1)))</f>
        <v>0</v>
      </c>
      <c r="E80" s="331">
        <f ca="1">IF(E$59&lt;$S$62,0,INDEX('OPM 1'!$D60:$S60,0,MATCH(E$59,'OPM 1'!$D$89:$S$89,1)))</f>
        <v>0</v>
      </c>
      <c r="F80" s="331">
        <f ca="1">IF(F$59&lt;$S$62,0,INDEX('OPM 1'!$D60:$S60,0,MATCH(F$59,'OPM 1'!$D$89:$S$89,1)))</f>
        <v>0</v>
      </c>
      <c r="G80" s="331">
        <f ca="1">IF(G$59&lt;$S$62,0,INDEX('OPM 1'!$D60:$S60,0,MATCH(G$59,'OPM 1'!$D$89:$S$89,1)))</f>
        <v>0</v>
      </c>
      <c r="H80" s="331">
        <f ca="1">IF(H$59&lt;$S$62,0,INDEX('OPM 1'!$D60:$S60,0,MATCH(H$59,'OPM 1'!$D$89:$S$89,1)))</f>
        <v>0</v>
      </c>
      <c r="I80" s="331">
        <f ca="1">IF(I$59&lt;$S$62,0,INDEX('OPM 1'!$D60:$S60,0,MATCH(I$59,'OPM 1'!$D$89:$S$89,1)))</f>
        <v>0</v>
      </c>
      <c r="J80" s="331">
        <f ca="1">IF(J$59&lt;$S$62,0,INDEX('OPM 1'!$D60:$S60,0,MATCH(J$59,'OPM 1'!$D$89:$S$89,1)))</f>
        <v>0</v>
      </c>
      <c r="K80" s="331">
        <f ca="1">IF(K$59&lt;$S$62,0,INDEX('OPM 1'!$D60:$S60,0,MATCH(K$59,'OPM 1'!$D$89:$S$89,1)))</f>
        <v>0</v>
      </c>
      <c r="L80" s="331">
        <f ca="1">IF(L$59&lt;$S$62,0,INDEX('OPM 1'!$D60:$S60,0,MATCH(L$59,'OPM 1'!$D$89:$S$89,1)))</f>
        <v>0</v>
      </c>
      <c r="M80" s="331">
        <f ca="1">IF(M$59&lt;$S$62,0,INDEX('OPM 1'!$D60:$S60,0,MATCH(M$59,'OPM 1'!$D$89:$S$89,1)))</f>
        <v>0</v>
      </c>
      <c r="O80" s="344">
        <f ca="1">'Cap Table'!I13</f>
        <v>66</v>
      </c>
    </row>
    <row r="81" spans="2:15" ht="14.85" customHeight="1">
      <c r="B81" s="413" t="str">
        <f t="shared" si="23"/>
        <v>Series G</v>
      </c>
      <c r="D81" s="331">
        <f ca="1">IF(D$59&lt;$S$62,0,INDEX('OPM 1'!$D61:$S61,0,MATCH(D$59,'OPM 1'!$D$89:$S$89,1)))</f>
        <v>0</v>
      </c>
      <c r="E81" s="331">
        <f ca="1">IF(E$59&lt;$S$62,0,INDEX('OPM 1'!$D61:$S61,0,MATCH(E$59,'OPM 1'!$D$89:$S$89,1)))</f>
        <v>0</v>
      </c>
      <c r="F81" s="331">
        <f ca="1">IF(F$59&lt;$S$62,0,INDEX('OPM 1'!$D61:$S61,0,MATCH(F$59,'OPM 1'!$D$89:$S$89,1)))</f>
        <v>0</v>
      </c>
      <c r="G81" s="331">
        <f ca="1">IF(G$59&lt;$S$62,0,INDEX('OPM 1'!$D61:$S61,0,MATCH(G$59,'OPM 1'!$D$89:$S$89,1)))</f>
        <v>0</v>
      </c>
      <c r="H81" s="331">
        <f ca="1">IF(H$59&lt;$S$62,0,INDEX('OPM 1'!$D61:$S61,0,MATCH(H$59,'OPM 1'!$D$89:$S$89,1)))</f>
        <v>0</v>
      </c>
      <c r="I81" s="331">
        <f ca="1">IF(I$59&lt;$S$62,0,INDEX('OPM 1'!$D61:$S61,0,MATCH(I$59,'OPM 1'!$D$89:$S$89,1)))</f>
        <v>0</v>
      </c>
      <c r="J81" s="331">
        <f ca="1">IF(J$59&lt;$S$62,0,INDEX('OPM 1'!$D61:$S61,0,MATCH(J$59,'OPM 1'!$D$89:$S$89,1)))</f>
        <v>0</v>
      </c>
      <c r="K81" s="331">
        <f ca="1">IF(K$59&lt;$S$62,0,INDEX('OPM 1'!$D61:$S61,0,MATCH(K$59,'OPM 1'!$D$89:$S$89,1)))</f>
        <v>0</v>
      </c>
      <c r="L81" s="331">
        <f ca="1">IF(L$59&lt;$S$62,0,INDEX('OPM 1'!$D61:$S61,0,MATCH(L$59,'OPM 1'!$D$89:$S$89,1)))</f>
        <v>0</v>
      </c>
      <c r="M81" s="331">
        <f ca="1">IF(M$59&lt;$S$62,0,INDEX('OPM 1'!$D61:$S61,0,MATCH(M$59,'OPM 1'!$D$89:$S$89,1)))</f>
        <v>0</v>
      </c>
      <c r="O81" s="344">
        <f ca="1">'Cap Table'!J13</f>
        <v>98</v>
      </c>
    </row>
    <row r="82" spans="2:15" ht="14.85" customHeight="1">
      <c r="B82" s="413" t="str">
        <f t="shared" ref="B82:B88" si="24">+$B75&amp;" Warrants"</f>
        <v>Series A Warrants</v>
      </c>
      <c r="D82" s="331">
        <f ca="1">INDEX('OPM 1'!$D62:$S62,0,MATCH(D$59,'OPM 1'!$D$89:$S$89,1))</f>
        <v>0</v>
      </c>
      <c r="E82" s="331">
        <f ca="1">INDEX('OPM 1'!$D62:$S62,0,MATCH(E$59,'OPM 1'!$D$89:$S$89,1))</f>
        <v>0</v>
      </c>
      <c r="F82" s="331">
        <f ca="1">INDEX('OPM 1'!$D62:$S62,0,MATCH(F$59,'OPM 1'!$D$89:$S$89,1))</f>
        <v>0</v>
      </c>
      <c r="G82" s="331">
        <f ca="1">INDEX('OPM 1'!$D62:$S62,0,MATCH(G$59,'OPM 1'!$D$89:$S$89,1))</f>
        <v>0</v>
      </c>
      <c r="H82" s="331">
        <f ca="1">INDEX('OPM 1'!$D62:$S62,0,MATCH(H$59,'OPM 1'!$D$89:$S$89,1))</f>
        <v>0</v>
      </c>
      <c r="I82" s="331">
        <f ca="1">INDEX('OPM 1'!$D62:$S62,0,MATCH(I$59,'OPM 1'!$D$89:$S$89,1))</f>
        <v>0</v>
      </c>
      <c r="J82" s="331">
        <f ca="1">INDEX('OPM 1'!$D62:$S62,0,MATCH(J$59,'OPM 1'!$D$89:$S$89,1))</f>
        <v>0</v>
      </c>
      <c r="K82" s="331">
        <f ca="1">INDEX('OPM 1'!$D62:$S62,0,MATCH(K$59,'OPM 1'!$D$89:$S$89,1))</f>
        <v>0</v>
      </c>
      <c r="L82" s="331">
        <f ca="1">INDEX('OPM 1'!$D62:$S62,0,MATCH(L$59,'OPM 1'!$D$89:$S$89,1))</f>
        <v>0</v>
      </c>
      <c r="M82" s="331">
        <f ca="1">INDEX('OPM 1'!$D62:$S62,0,MATCH(M$59,'OPM 1'!$D$89:$S$89,1))</f>
        <v>0</v>
      </c>
      <c r="O82" s="344">
        <f ca="1">'Cap Table'!D15</f>
        <v>12</v>
      </c>
    </row>
    <row r="83" spans="2:15" ht="14.85" customHeight="1">
      <c r="B83" s="413" t="str">
        <f t="shared" si="24"/>
        <v>Series B Warrants</v>
      </c>
      <c r="D83" s="331">
        <f ca="1">INDEX('OPM 1'!$D63:$S63,0,MATCH(D$59,'OPM 1'!$D$89:$S$89,1))</f>
        <v>0</v>
      </c>
      <c r="E83" s="331">
        <f ca="1">INDEX('OPM 1'!$D63:$S63,0,MATCH(E$59,'OPM 1'!$D$89:$S$89,1))</f>
        <v>0</v>
      </c>
      <c r="F83" s="331">
        <f ca="1">INDEX('OPM 1'!$D63:$S63,0,MATCH(F$59,'OPM 1'!$D$89:$S$89,1))</f>
        <v>0</v>
      </c>
      <c r="G83" s="331">
        <f ca="1">INDEX('OPM 1'!$D63:$S63,0,MATCH(G$59,'OPM 1'!$D$89:$S$89,1))</f>
        <v>0</v>
      </c>
      <c r="H83" s="331">
        <f ca="1">INDEX('OPM 1'!$D63:$S63,0,MATCH(H$59,'OPM 1'!$D$89:$S$89,1))</f>
        <v>0</v>
      </c>
      <c r="I83" s="331">
        <f ca="1">INDEX('OPM 1'!$D63:$S63,0,MATCH(I$59,'OPM 1'!$D$89:$S$89,1))</f>
        <v>0</v>
      </c>
      <c r="J83" s="331">
        <f ca="1">INDEX('OPM 1'!$D63:$S63,0,MATCH(J$59,'OPM 1'!$D$89:$S$89,1))</f>
        <v>0</v>
      </c>
      <c r="K83" s="331">
        <f ca="1">INDEX('OPM 1'!$D63:$S63,0,MATCH(K$59,'OPM 1'!$D$89:$S$89,1))</f>
        <v>0</v>
      </c>
      <c r="L83" s="331">
        <f ca="1">INDEX('OPM 1'!$D63:$S63,0,MATCH(L$59,'OPM 1'!$D$89:$S$89,1))</f>
        <v>0</v>
      </c>
      <c r="M83" s="331">
        <f ca="1">INDEX('OPM 1'!$D63:$S63,0,MATCH(M$59,'OPM 1'!$D$89:$S$89,1))</f>
        <v>0</v>
      </c>
      <c r="O83" s="344">
        <f ca="1">'Cap Table'!E15</f>
        <v>10</v>
      </c>
    </row>
    <row r="84" spans="2:15" ht="14.85" customHeight="1">
      <c r="B84" s="413" t="str">
        <f t="shared" si="24"/>
        <v>Series C Warrants</v>
      </c>
      <c r="D84" s="331">
        <f ca="1">INDEX('OPM 1'!$D64:$S64,0,MATCH(D$59,'OPM 1'!$D$89:$S$89,1))</f>
        <v>0</v>
      </c>
      <c r="E84" s="331">
        <f ca="1">INDEX('OPM 1'!$D64:$S64,0,MATCH(E$59,'OPM 1'!$D$89:$S$89,1))</f>
        <v>0</v>
      </c>
      <c r="F84" s="331">
        <f ca="1">INDEX('OPM 1'!$D64:$S64,0,MATCH(F$59,'OPM 1'!$D$89:$S$89,1))</f>
        <v>0</v>
      </c>
      <c r="G84" s="331">
        <f ca="1">INDEX('OPM 1'!$D64:$S64,0,MATCH(G$59,'OPM 1'!$D$89:$S$89,1))</f>
        <v>0</v>
      </c>
      <c r="H84" s="331">
        <f ca="1">INDEX('OPM 1'!$D64:$S64,0,MATCH(H$59,'OPM 1'!$D$89:$S$89,1))</f>
        <v>0</v>
      </c>
      <c r="I84" s="331">
        <f ca="1">INDEX('OPM 1'!$D64:$S64,0,MATCH(I$59,'OPM 1'!$D$89:$S$89,1))</f>
        <v>0</v>
      </c>
      <c r="J84" s="331">
        <f ca="1">INDEX('OPM 1'!$D64:$S64,0,MATCH(J$59,'OPM 1'!$D$89:$S$89,1))</f>
        <v>0</v>
      </c>
      <c r="K84" s="331">
        <f ca="1">INDEX('OPM 1'!$D64:$S64,0,MATCH(K$59,'OPM 1'!$D$89:$S$89,1))</f>
        <v>0</v>
      </c>
      <c r="L84" s="331">
        <f ca="1">INDEX('OPM 1'!$D64:$S64,0,MATCH(L$59,'OPM 1'!$D$89:$S$89,1))</f>
        <v>0</v>
      </c>
      <c r="M84" s="331">
        <f ca="1">INDEX('OPM 1'!$D64:$S64,0,MATCH(M$59,'OPM 1'!$D$89:$S$89,1))</f>
        <v>0</v>
      </c>
      <c r="O84" s="344">
        <f ca="1">'Cap Table'!F15</f>
        <v>17</v>
      </c>
    </row>
    <row r="85" spans="2:15" ht="14.85" customHeight="1">
      <c r="B85" s="413" t="str">
        <f t="shared" si="24"/>
        <v>Series D Warrants</v>
      </c>
      <c r="D85" s="331">
        <f ca="1">INDEX('OPM 1'!$D65:$S65,0,MATCH(D$59,'OPM 1'!$D$89:$S$89,1))</f>
        <v>0</v>
      </c>
      <c r="E85" s="331">
        <f ca="1">INDEX('OPM 1'!$D65:$S65,0,MATCH(E$59,'OPM 1'!$D$89:$S$89,1))</f>
        <v>0</v>
      </c>
      <c r="F85" s="331">
        <f ca="1">INDEX('OPM 1'!$D65:$S65,0,MATCH(F$59,'OPM 1'!$D$89:$S$89,1))</f>
        <v>0</v>
      </c>
      <c r="G85" s="331">
        <f ca="1">INDEX('OPM 1'!$D65:$S65,0,MATCH(G$59,'OPM 1'!$D$89:$S$89,1))</f>
        <v>0</v>
      </c>
      <c r="H85" s="331">
        <f ca="1">INDEX('OPM 1'!$D65:$S65,0,MATCH(H$59,'OPM 1'!$D$89:$S$89,1))</f>
        <v>0</v>
      </c>
      <c r="I85" s="331">
        <f ca="1">INDEX('OPM 1'!$D65:$S65,0,MATCH(I$59,'OPM 1'!$D$89:$S$89,1))</f>
        <v>0</v>
      </c>
      <c r="J85" s="331">
        <f ca="1">INDEX('OPM 1'!$D65:$S65,0,MATCH(J$59,'OPM 1'!$D$89:$S$89,1))</f>
        <v>0</v>
      </c>
      <c r="K85" s="331">
        <f ca="1">INDEX('OPM 1'!$D65:$S65,0,MATCH(K$59,'OPM 1'!$D$89:$S$89,1))</f>
        <v>0</v>
      </c>
      <c r="L85" s="331">
        <f ca="1">INDEX('OPM 1'!$D65:$S65,0,MATCH(L$59,'OPM 1'!$D$89:$S$89,1))</f>
        <v>0</v>
      </c>
      <c r="M85" s="331">
        <f ca="1">INDEX('OPM 1'!$D65:$S65,0,MATCH(M$59,'OPM 1'!$D$89:$S$89,1))</f>
        <v>0</v>
      </c>
      <c r="O85" s="344">
        <f ca="1">'Cap Table'!G15</f>
        <v>14</v>
      </c>
    </row>
    <row r="86" spans="2:15" ht="14.85" customHeight="1">
      <c r="B86" s="413" t="str">
        <f t="shared" si="24"/>
        <v>Series E Warrants</v>
      </c>
      <c r="D86" s="331">
        <f ca="1">INDEX('OPM 1'!$D66:$S66,0,MATCH(D$59,'OPM 1'!$D$89:$S$89,1))</f>
        <v>0</v>
      </c>
      <c r="E86" s="331">
        <f ca="1">INDEX('OPM 1'!$D66:$S66,0,MATCH(E$59,'OPM 1'!$D$89:$S$89,1))</f>
        <v>0</v>
      </c>
      <c r="F86" s="331">
        <f ca="1">INDEX('OPM 1'!$D66:$S66,0,MATCH(F$59,'OPM 1'!$D$89:$S$89,1))</f>
        <v>0</v>
      </c>
      <c r="G86" s="331">
        <f ca="1">INDEX('OPM 1'!$D66:$S66,0,MATCH(G$59,'OPM 1'!$D$89:$S$89,1))</f>
        <v>0</v>
      </c>
      <c r="H86" s="331">
        <f ca="1">INDEX('OPM 1'!$D66:$S66,0,MATCH(H$59,'OPM 1'!$D$89:$S$89,1))</f>
        <v>0</v>
      </c>
      <c r="I86" s="331">
        <f ca="1">INDEX('OPM 1'!$D66:$S66,0,MATCH(I$59,'OPM 1'!$D$89:$S$89,1))</f>
        <v>0</v>
      </c>
      <c r="J86" s="331">
        <f ca="1">INDEX('OPM 1'!$D66:$S66,0,MATCH(J$59,'OPM 1'!$D$89:$S$89,1))</f>
        <v>0</v>
      </c>
      <c r="K86" s="331">
        <f ca="1">INDEX('OPM 1'!$D66:$S66,0,MATCH(K$59,'OPM 1'!$D$89:$S$89,1))</f>
        <v>0</v>
      </c>
      <c r="L86" s="331">
        <f ca="1">INDEX('OPM 1'!$D66:$S66,0,MATCH(L$59,'OPM 1'!$D$89:$S$89,1))</f>
        <v>0</v>
      </c>
      <c r="M86" s="331">
        <f ca="1">INDEX('OPM 1'!$D66:$S66,0,MATCH(M$59,'OPM 1'!$D$89:$S$89,1))</f>
        <v>0</v>
      </c>
      <c r="O86" s="344">
        <f ca="1">'Cap Table'!H15</f>
        <v>19</v>
      </c>
    </row>
    <row r="87" spans="2:15" ht="14.85" customHeight="1">
      <c r="B87" s="413" t="str">
        <f t="shared" si="24"/>
        <v>Series F Warrants</v>
      </c>
      <c r="D87" s="331">
        <f ca="1">INDEX('OPM 1'!$D67:$S67,0,MATCH(D$59,'OPM 1'!$D$89:$S$89,1))</f>
        <v>0</v>
      </c>
      <c r="E87" s="331">
        <f ca="1">INDEX('OPM 1'!$D67:$S67,0,MATCH(E$59,'OPM 1'!$D$89:$S$89,1))</f>
        <v>0</v>
      </c>
      <c r="F87" s="331">
        <f ca="1">INDEX('OPM 1'!$D67:$S67,0,MATCH(F$59,'OPM 1'!$D$89:$S$89,1))</f>
        <v>0</v>
      </c>
      <c r="G87" s="331">
        <f ca="1">INDEX('OPM 1'!$D67:$S67,0,MATCH(G$59,'OPM 1'!$D$89:$S$89,1))</f>
        <v>0</v>
      </c>
      <c r="H87" s="331">
        <f ca="1">INDEX('OPM 1'!$D67:$S67,0,MATCH(H$59,'OPM 1'!$D$89:$S$89,1))</f>
        <v>0</v>
      </c>
      <c r="I87" s="331">
        <f ca="1">INDEX('OPM 1'!$D67:$S67,0,MATCH(I$59,'OPM 1'!$D$89:$S$89,1))</f>
        <v>0</v>
      </c>
      <c r="J87" s="331">
        <f ca="1">INDEX('OPM 1'!$D67:$S67,0,MATCH(J$59,'OPM 1'!$D$89:$S$89,1))</f>
        <v>0</v>
      </c>
      <c r="K87" s="331">
        <f ca="1">INDEX('OPM 1'!$D67:$S67,0,MATCH(K$59,'OPM 1'!$D$89:$S$89,1))</f>
        <v>0</v>
      </c>
      <c r="L87" s="331">
        <f ca="1">INDEX('OPM 1'!$D67:$S67,0,MATCH(L$59,'OPM 1'!$D$89:$S$89,1))</f>
        <v>0</v>
      </c>
      <c r="M87" s="331">
        <f ca="1">INDEX('OPM 1'!$D67:$S67,0,MATCH(M$59,'OPM 1'!$D$89:$S$89,1))</f>
        <v>0</v>
      </c>
      <c r="O87" s="344">
        <f ca="1">'Cap Table'!I15</f>
        <v>15</v>
      </c>
    </row>
    <row r="88" spans="2:15" ht="14.85" customHeight="1">
      <c r="B88" s="413" t="str">
        <f t="shared" si="24"/>
        <v>Series G Warrants</v>
      </c>
      <c r="D88" s="331">
        <f ca="1">INDEX('OPM 1'!$D68:$S68,0,MATCH(D$59,'OPM 1'!$D$89:$S$89,1))</f>
        <v>0</v>
      </c>
      <c r="E88" s="331">
        <f ca="1">INDEX('OPM 1'!$D68:$S68,0,MATCH(E$59,'OPM 1'!$D$89:$S$89,1))</f>
        <v>0</v>
      </c>
      <c r="F88" s="331">
        <f ca="1">INDEX('OPM 1'!$D68:$S68,0,MATCH(F$59,'OPM 1'!$D$89:$S$89,1))</f>
        <v>0</v>
      </c>
      <c r="G88" s="331">
        <f ca="1">INDEX('OPM 1'!$D68:$S68,0,MATCH(G$59,'OPM 1'!$D$89:$S$89,1))</f>
        <v>0</v>
      </c>
      <c r="H88" s="331">
        <f ca="1">INDEX('OPM 1'!$D68:$S68,0,MATCH(H$59,'OPM 1'!$D$89:$S$89,1))</f>
        <v>0</v>
      </c>
      <c r="I88" s="331">
        <f ca="1">INDEX('OPM 1'!$D68:$S68,0,MATCH(I$59,'OPM 1'!$D$89:$S$89,1))</f>
        <v>0</v>
      </c>
      <c r="J88" s="331">
        <f ca="1">INDEX('OPM 1'!$D68:$S68,0,MATCH(J$59,'OPM 1'!$D$89:$S$89,1))</f>
        <v>0</v>
      </c>
      <c r="K88" s="331">
        <f ca="1">INDEX('OPM 1'!$D68:$S68,0,MATCH(K$59,'OPM 1'!$D$89:$S$89,1))</f>
        <v>0</v>
      </c>
      <c r="L88" s="331">
        <f ca="1">INDEX('OPM 1'!$D68:$S68,0,MATCH(L$59,'OPM 1'!$D$89:$S$89,1))</f>
        <v>0</v>
      </c>
      <c r="M88" s="331">
        <f ca="1">INDEX('OPM 1'!$D68:$S68,0,MATCH(M$59,'OPM 1'!$D$89:$S$89,1))</f>
        <v>0</v>
      </c>
      <c r="O88" s="344">
        <f ca="1">'Cap Table'!J15</f>
        <v>11</v>
      </c>
    </row>
    <row r="89" spans="2:15" ht="14.85" customHeight="1">
      <c r="B89" s="419" t="str">
        <f>'Cap Table'!$B27</f>
        <v>Options/Warrants at $2.00 Strike Price</v>
      </c>
      <c r="D89" s="331">
        <f ca="1">INDEX('OPM 1'!$D69:$S69,0,MATCH(D$59,'OPM 1'!$D$89:$S$89,1))</f>
        <v>0</v>
      </c>
      <c r="E89" s="331">
        <f ca="1">INDEX('OPM 1'!$D69:$S69,0,MATCH(E$59,'OPM 1'!$D$89:$S$89,1))</f>
        <v>0</v>
      </c>
      <c r="F89" s="331">
        <f ca="1">INDEX('OPM 1'!$D69:$S69,0,MATCH(F$59,'OPM 1'!$D$89:$S$89,1))</f>
        <v>0</v>
      </c>
      <c r="G89" s="331">
        <f ca="1">INDEX('OPM 1'!$D69:$S69,0,MATCH(G$59,'OPM 1'!$D$89:$S$89,1))</f>
        <v>0</v>
      </c>
      <c r="H89" s="331">
        <f ca="1">INDEX('OPM 1'!$D69:$S69,0,MATCH(H$59,'OPM 1'!$D$89:$S$89,1))</f>
        <v>0</v>
      </c>
      <c r="I89" s="331">
        <f ca="1">INDEX('OPM 1'!$D69:$S69,0,MATCH(I$59,'OPM 1'!$D$89:$S$89,1))</f>
        <v>0</v>
      </c>
      <c r="J89" s="331">
        <f ca="1">INDEX('OPM 1'!$D69:$S69,0,MATCH(J$59,'OPM 1'!$D$89:$S$89,1))</f>
        <v>0</v>
      </c>
      <c r="K89" s="331">
        <f ca="1">INDEX('OPM 1'!$D69:$S69,0,MATCH(K$59,'OPM 1'!$D$89:$S$89,1))</f>
        <v>0</v>
      </c>
      <c r="L89" s="331">
        <f ca="1">INDEX('OPM 1'!$D69:$S69,0,MATCH(L$59,'OPM 1'!$D$89:$S$89,1))</f>
        <v>0</v>
      </c>
      <c r="M89" s="331">
        <f ca="1">INDEX('OPM 1'!$D69:$S69,0,MATCH(M$59,'OPM 1'!$D$89:$S$89,1))</f>
        <v>0</v>
      </c>
      <c r="O89" s="344">
        <f>'Cap Table'!D27</f>
        <v>79</v>
      </c>
    </row>
    <row r="90" spans="2:15" ht="14.85" customHeight="1">
      <c r="B90" s="419" t="str">
        <f>'Cap Table'!$B28</f>
        <v>Options/Warrants at $0.00 Strike Price</v>
      </c>
      <c r="D90" s="331">
        <f ca="1">INDEX('OPM 1'!$D70:$S70,0,MATCH(D$59,'OPM 1'!$D$89:$S$89,1))</f>
        <v>0</v>
      </c>
      <c r="E90" s="331">
        <f ca="1">INDEX('OPM 1'!$D70:$S70,0,MATCH(E$59,'OPM 1'!$D$89:$S$89,1))</f>
        <v>0</v>
      </c>
      <c r="F90" s="331">
        <f ca="1">INDEX('OPM 1'!$D70:$S70,0,MATCH(F$59,'OPM 1'!$D$89:$S$89,1))</f>
        <v>0</v>
      </c>
      <c r="G90" s="331">
        <f ca="1">INDEX('OPM 1'!$D70:$S70,0,MATCH(G$59,'OPM 1'!$D$89:$S$89,1))</f>
        <v>0</v>
      </c>
      <c r="H90" s="331">
        <f ca="1">INDEX('OPM 1'!$D70:$S70,0,MATCH(H$59,'OPM 1'!$D$89:$S$89,1))</f>
        <v>0</v>
      </c>
      <c r="I90" s="331">
        <f ca="1">INDEX('OPM 1'!$D70:$S70,0,MATCH(I$59,'OPM 1'!$D$89:$S$89,1))</f>
        <v>0</v>
      </c>
      <c r="J90" s="331">
        <f ca="1">INDEX('OPM 1'!$D70:$S70,0,MATCH(J$59,'OPM 1'!$D$89:$S$89,1))</f>
        <v>0</v>
      </c>
      <c r="K90" s="331">
        <f ca="1">INDEX('OPM 1'!$D70:$S70,0,MATCH(K$59,'OPM 1'!$D$89:$S$89,1))</f>
        <v>0</v>
      </c>
      <c r="L90" s="331">
        <f ca="1">INDEX('OPM 1'!$D70:$S70,0,MATCH(L$59,'OPM 1'!$D$89:$S$89,1))</f>
        <v>0</v>
      </c>
      <c r="M90" s="331">
        <f ca="1">INDEX('OPM 1'!$D70:$S70,0,MATCH(M$59,'OPM 1'!$D$89:$S$89,1))</f>
        <v>0</v>
      </c>
      <c r="O90" s="344">
        <f>'Cap Table'!D28</f>
        <v>0</v>
      </c>
    </row>
    <row r="91" spans="2:15" ht="14.85" customHeight="1">
      <c r="B91" s="419" t="str">
        <f>'Cap Table'!$B29</f>
        <v>Options/Warrants at $0.00 Strike Price</v>
      </c>
      <c r="D91" s="331">
        <f ca="1">INDEX('OPM 1'!$D71:$S71,0,MATCH(D$59,'OPM 1'!$D$89:$S$89,1))</f>
        <v>0</v>
      </c>
      <c r="E91" s="331">
        <f ca="1">INDEX('OPM 1'!$D71:$S71,0,MATCH(E$59,'OPM 1'!$D$89:$S$89,1))</f>
        <v>0</v>
      </c>
      <c r="F91" s="331">
        <f ca="1">INDEX('OPM 1'!$D71:$S71,0,MATCH(F$59,'OPM 1'!$D$89:$S$89,1))</f>
        <v>0</v>
      </c>
      <c r="G91" s="331">
        <f ca="1">INDEX('OPM 1'!$D71:$S71,0,MATCH(G$59,'OPM 1'!$D$89:$S$89,1))</f>
        <v>0</v>
      </c>
      <c r="H91" s="331">
        <f ca="1">INDEX('OPM 1'!$D71:$S71,0,MATCH(H$59,'OPM 1'!$D$89:$S$89,1))</f>
        <v>0</v>
      </c>
      <c r="I91" s="331">
        <f ca="1">INDEX('OPM 1'!$D71:$S71,0,MATCH(I$59,'OPM 1'!$D$89:$S$89,1))</f>
        <v>0</v>
      </c>
      <c r="J91" s="331">
        <f ca="1">INDEX('OPM 1'!$D71:$S71,0,MATCH(J$59,'OPM 1'!$D$89:$S$89,1))</f>
        <v>0</v>
      </c>
      <c r="K91" s="331">
        <f ca="1">INDEX('OPM 1'!$D71:$S71,0,MATCH(K$59,'OPM 1'!$D$89:$S$89,1))</f>
        <v>0</v>
      </c>
      <c r="L91" s="331">
        <f ca="1">INDEX('OPM 1'!$D71:$S71,0,MATCH(L$59,'OPM 1'!$D$89:$S$89,1))</f>
        <v>0</v>
      </c>
      <c r="M91" s="331">
        <f ca="1">INDEX('OPM 1'!$D71:$S71,0,MATCH(M$59,'OPM 1'!$D$89:$S$89,1))</f>
        <v>0</v>
      </c>
      <c r="O91" s="344">
        <f>'Cap Table'!D29</f>
        <v>0</v>
      </c>
    </row>
    <row r="92" spans="2:15" ht="14.85" customHeight="1">
      <c r="B92" s="419" t="str">
        <f>'Cap Table'!$B30</f>
        <v>Options/Warrants at $0.00 Strike Price</v>
      </c>
      <c r="D92" s="331">
        <f ca="1">INDEX('OPM 1'!$D72:$S72,0,MATCH(D$59,'OPM 1'!$D$89:$S$89,1))</f>
        <v>0</v>
      </c>
      <c r="E92" s="331">
        <f ca="1">INDEX('OPM 1'!$D72:$S72,0,MATCH(E$59,'OPM 1'!$D$89:$S$89,1))</f>
        <v>0</v>
      </c>
      <c r="F92" s="331">
        <f ca="1">INDEX('OPM 1'!$D72:$S72,0,MATCH(F$59,'OPM 1'!$D$89:$S$89,1))</f>
        <v>0</v>
      </c>
      <c r="G92" s="331">
        <f ca="1">INDEX('OPM 1'!$D72:$S72,0,MATCH(G$59,'OPM 1'!$D$89:$S$89,1))</f>
        <v>0</v>
      </c>
      <c r="H92" s="331">
        <f ca="1">INDEX('OPM 1'!$D72:$S72,0,MATCH(H$59,'OPM 1'!$D$89:$S$89,1))</f>
        <v>0</v>
      </c>
      <c r="I92" s="331">
        <f ca="1">INDEX('OPM 1'!$D72:$S72,0,MATCH(I$59,'OPM 1'!$D$89:$S$89,1))</f>
        <v>0</v>
      </c>
      <c r="J92" s="331">
        <f ca="1">INDEX('OPM 1'!$D72:$S72,0,MATCH(J$59,'OPM 1'!$D$89:$S$89,1))</f>
        <v>0</v>
      </c>
      <c r="K92" s="331">
        <f ca="1">INDEX('OPM 1'!$D72:$S72,0,MATCH(K$59,'OPM 1'!$D$89:$S$89,1))</f>
        <v>0</v>
      </c>
      <c r="L92" s="331">
        <f ca="1">INDEX('OPM 1'!$D72:$S72,0,MATCH(L$59,'OPM 1'!$D$89:$S$89,1))</f>
        <v>0</v>
      </c>
      <c r="M92" s="331">
        <f ca="1">INDEX('OPM 1'!$D72:$S72,0,MATCH(M$59,'OPM 1'!$D$89:$S$89,1))</f>
        <v>0</v>
      </c>
      <c r="O92" s="344">
        <f>'Cap Table'!D30</f>
        <v>0</v>
      </c>
    </row>
    <row r="93" spans="2:15" ht="14.85" customHeight="1">
      <c r="B93" s="419" t="str">
        <f>'Cap Table'!$B31</f>
        <v>Options/Warrants at $0.00 Strike Price</v>
      </c>
      <c r="D93" s="331">
        <f ca="1">INDEX('OPM 1'!$D73:$S73,0,MATCH(D$59,'OPM 1'!$D$89:$S$89,1))</f>
        <v>0</v>
      </c>
      <c r="E93" s="331">
        <f ca="1">INDEX('OPM 1'!$D73:$S73,0,MATCH(E$59,'OPM 1'!$D$89:$S$89,1))</f>
        <v>0</v>
      </c>
      <c r="F93" s="331">
        <f ca="1">INDEX('OPM 1'!$D73:$S73,0,MATCH(F$59,'OPM 1'!$D$89:$S$89,1))</f>
        <v>0</v>
      </c>
      <c r="G93" s="331">
        <f ca="1">INDEX('OPM 1'!$D73:$S73,0,MATCH(G$59,'OPM 1'!$D$89:$S$89,1))</f>
        <v>0</v>
      </c>
      <c r="H93" s="331">
        <f ca="1">INDEX('OPM 1'!$D73:$S73,0,MATCH(H$59,'OPM 1'!$D$89:$S$89,1))</f>
        <v>0</v>
      </c>
      <c r="I93" s="331">
        <f ca="1">INDEX('OPM 1'!$D73:$S73,0,MATCH(I$59,'OPM 1'!$D$89:$S$89,1))</f>
        <v>0</v>
      </c>
      <c r="J93" s="331">
        <f ca="1">INDEX('OPM 1'!$D73:$S73,0,MATCH(J$59,'OPM 1'!$D$89:$S$89,1))</f>
        <v>0</v>
      </c>
      <c r="K93" s="331">
        <f ca="1">INDEX('OPM 1'!$D73:$S73,0,MATCH(K$59,'OPM 1'!$D$89:$S$89,1))</f>
        <v>0</v>
      </c>
      <c r="L93" s="331">
        <f ca="1">INDEX('OPM 1'!$D73:$S73,0,MATCH(L$59,'OPM 1'!$D$89:$S$89,1))</f>
        <v>0</v>
      </c>
      <c r="M93" s="331">
        <f ca="1">INDEX('OPM 1'!$D73:$S73,0,MATCH(M$59,'OPM 1'!$D$89:$S$89,1))</f>
        <v>0</v>
      </c>
      <c r="O93" s="344">
        <f>'Cap Table'!D31</f>
        <v>0</v>
      </c>
    </row>
    <row r="94" spans="2:15" ht="14.85" customHeight="1">
      <c r="B94" s="419" t="str">
        <f>'Cap Table'!$B32</f>
        <v>Options/Warrants at $0.00 Strike Price</v>
      </c>
      <c r="D94" s="331">
        <f ca="1">INDEX('OPM 1'!$D74:$S74,0,MATCH(D$59,'OPM 1'!$D$89:$S$89,1))</f>
        <v>0</v>
      </c>
      <c r="E94" s="331">
        <f ca="1">INDEX('OPM 1'!$D74:$S74,0,MATCH(E$59,'OPM 1'!$D$89:$S$89,1))</f>
        <v>0</v>
      </c>
      <c r="F94" s="331">
        <f ca="1">INDEX('OPM 1'!$D74:$S74,0,MATCH(F$59,'OPM 1'!$D$89:$S$89,1))</f>
        <v>0</v>
      </c>
      <c r="G94" s="331">
        <f ca="1">INDEX('OPM 1'!$D74:$S74,0,MATCH(G$59,'OPM 1'!$D$89:$S$89,1))</f>
        <v>0</v>
      </c>
      <c r="H94" s="331">
        <f ca="1">INDEX('OPM 1'!$D74:$S74,0,MATCH(H$59,'OPM 1'!$D$89:$S$89,1))</f>
        <v>0</v>
      </c>
      <c r="I94" s="331">
        <f ca="1">INDEX('OPM 1'!$D74:$S74,0,MATCH(I$59,'OPM 1'!$D$89:$S$89,1))</f>
        <v>0</v>
      </c>
      <c r="J94" s="331">
        <f ca="1">INDEX('OPM 1'!$D74:$S74,0,MATCH(J$59,'OPM 1'!$D$89:$S$89,1))</f>
        <v>0</v>
      </c>
      <c r="K94" s="331">
        <f ca="1">INDEX('OPM 1'!$D74:$S74,0,MATCH(K$59,'OPM 1'!$D$89:$S$89,1))</f>
        <v>0</v>
      </c>
      <c r="L94" s="331">
        <f ca="1">INDEX('OPM 1'!$D74:$S74,0,MATCH(L$59,'OPM 1'!$D$89:$S$89,1))</f>
        <v>0</v>
      </c>
      <c r="M94" s="331">
        <f ca="1">INDEX('OPM 1'!$D74:$S74,0,MATCH(M$59,'OPM 1'!$D$89:$S$89,1))</f>
        <v>0</v>
      </c>
      <c r="O94" s="344">
        <f>'Cap Table'!D32</f>
        <v>0</v>
      </c>
    </row>
    <row r="95" spans="2:15" ht="14.85" customHeight="1">
      <c r="B95" s="419" t="str">
        <f>'Cap Table'!$B33</f>
        <v>Options/Warrants at $0.00 Strike Price</v>
      </c>
      <c r="D95" s="331">
        <f ca="1">INDEX('OPM 1'!$D75:$S75,0,MATCH(D$59,'OPM 1'!$D$89:$S$89,1))</f>
        <v>0</v>
      </c>
      <c r="E95" s="331">
        <f ca="1">INDEX('OPM 1'!$D75:$S75,0,MATCH(E$59,'OPM 1'!$D$89:$S$89,1))</f>
        <v>0</v>
      </c>
      <c r="F95" s="331">
        <f ca="1">INDEX('OPM 1'!$D75:$S75,0,MATCH(F$59,'OPM 1'!$D$89:$S$89,1))</f>
        <v>0</v>
      </c>
      <c r="G95" s="331">
        <f ca="1">INDEX('OPM 1'!$D75:$S75,0,MATCH(G$59,'OPM 1'!$D$89:$S$89,1))</f>
        <v>0</v>
      </c>
      <c r="H95" s="331">
        <f ca="1">INDEX('OPM 1'!$D75:$S75,0,MATCH(H$59,'OPM 1'!$D$89:$S$89,1))</f>
        <v>0</v>
      </c>
      <c r="I95" s="331">
        <f ca="1">INDEX('OPM 1'!$D75:$S75,0,MATCH(I$59,'OPM 1'!$D$89:$S$89,1))</f>
        <v>0</v>
      </c>
      <c r="J95" s="331">
        <f ca="1">INDEX('OPM 1'!$D75:$S75,0,MATCH(J$59,'OPM 1'!$D$89:$S$89,1))</f>
        <v>0</v>
      </c>
      <c r="K95" s="331">
        <f ca="1">INDEX('OPM 1'!$D75:$S75,0,MATCH(K$59,'OPM 1'!$D$89:$S$89,1))</f>
        <v>0</v>
      </c>
      <c r="L95" s="331">
        <f ca="1">INDEX('OPM 1'!$D75:$S75,0,MATCH(L$59,'OPM 1'!$D$89:$S$89,1))</f>
        <v>0</v>
      </c>
      <c r="M95" s="331">
        <f ca="1">INDEX('OPM 1'!$D75:$S75,0,MATCH(M$59,'OPM 1'!$D$89:$S$89,1))</f>
        <v>0</v>
      </c>
      <c r="O95" s="344">
        <f>'Cap Table'!D33</f>
        <v>0</v>
      </c>
    </row>
    <row r="96" spans="2:15" ht="14.85" customHeight="1">
      <c r="B96" s="419" t="str">
        <f>'Cap Table'!$B34</f>
        <v>Options/Warrants at $0.00 Strike Price</v>
      </c>
      <c r="D96" s="331">
        <f ca="1">INDEX('OPM 1'!$D76:$S76,0,MATCH(D$59,'OPM 1'!$D$89:$S$89,1))</f>
        <v>0</v>
      </c>
      <c r="E96" s="331">
        <f ca="1">INDEX('OPM 1'!$D76:$S76,0,MATCH(E$59,'OPM 1'!$D$89:$S$89,1))</f>
        <v>0</v>
      </c>
      <c r="F96" s="331">
        <f ca="1">INDEX('OPM 1'!$D76:$S76,0,MATCH(F$59,'OPM 1'!$D$89:$S$89,1))</f>
        <v>0</v>
      </c>
      <c r="G96" s="331">
        <f ca="1">INDEX('OPM 1'!$D76:$S76,0,MATCH(G$59,'OPM 1'!$D$89:$S$89,1))</f>
        <v>0</v>
      </c>
      <c r="H96" s="331">
        <f ca="1">INDEX('OPM 1'!$D76:$S76,0,MATCH(H$59,'OPM 1'!$D$89:$S$89,1))</f>
        <v>0</v>
      </c>
      <c r="I96" s="331">
        <f ca="1">INDEX('OPM 1'!$D76:$S76,0,MATCH(I$59,'OPM 1'!$D$89:$S$89,1))</f>
        <v>0</v>
      </c>
      <c r="J96" s="331">
        <f ca="1">INDEX('OPM 1'!$D76:$S76,0,MATCH(J$59,'OPM 1'!$D$89:$S$89,1))</f>
        <v>0</v>
      </c>
      <c r="K96" s="331">
        <f ca="1">INDEX('OPM 1'!$D76:$S76,0,MATCH(K$59,'OPM 1'!$D$89:$S$89,1))</f>
        <v>0</v>
      </c>
      <c r="L96" s="331">
        <f ca="1">INDEX('OPM 1'!$D76:$S76,0,MATCH(L$59,'OPM 1'!$D$89:$S$89,1))</f>
        <v>0</v>
      </c>
      <c r="M96" s="331">
        <f ca="1">INDEX('OPM 1'!$D76:$S76,0,MATCH(M$59,'OPM 1'!$D$89:$S$89,1))</f>
        <v>0</v>
      </c>
      <c r="O96" s="344">
        <f>'Cap Table'!D34</f>
        <v>0</v>
      </c>
    </row>
    <row r="97" spans="2:17" ht="14.85" customHeight="1">
      <c r="B97" s="419" t="str">
        <f>'Cap Table'!$B35</f>
        <v>Options/Warrants at $0.00 Strike Price</v>
      </c>
      <c r="D97" s="331">
        <f ca="1">INDEX('OPM 1'!$D77:$S77,0,MATCH(D$59,'OPM 1'!$D$89:$S$89,1))</f>
        <v>0</v>
      </c>
      <c r="E97" s="331">
        <f ca="1">INDEX('OPM 1'!$D77:$S77,0,MATCH(E$59,'OPM 1'!$D$89:$S$89,1))</f>
        <v>0</v>
      </c>
      <c r="F97" s="331">
        <f ca="1">INDEX('OPM 1'!$D77:$S77,0,MATCH(F$59,'OPM 1'!$D$89:$S$89,1))</f>
        <v>0</v>
      </c>
      <c r="G97" s="331">
        <f ca="1">INDEX('OPM 1'!$D77:$S77,0,MATCH(G$59,'OPM 1'!$D$89:$S$89,1))</f>
        <v>0</v>
      </c>
      <c r="H97" s="331">
        <f ca="1">INDEX('OPM 1'!$D77:$S77,0,MATCH(H$59,'OPM 1'!$D$89:$S$89,1))</f>
        <v>0</v>
      </c>
      <c r="I97" s="331">
        <f ca="1">INDEX('OPM 1'!$D77:$S77,0,MATCH(I$59,'OPM 1'!$D$89:$S$89,1))</f>
        <v>0</v>
      </c>
      <c r="J97" s="331">
        <f ca="1">INDEX('OPM 1'!$D77:$S77,0,MATCH(J$59,'OPM 1'!$D$89:$S$89,1))</f>
        <v>0</v>
      </c>
      <c r="K97" s="331">
        <f ca="1">INDEX('OPM 1'!$D77:$S77,0,MATCH(K$59,'OPM 1'!$D$89:$S$89,1))</f>
        <v>0</v>
      </c>
      <c r="L97" s="331">
        <f ca="1">INDEX('OPM 1'!$D77:$S77,0,MATCH(L$59,'OPM 1'!$D$89:$S$89,1))</f>
        <v>0</v>
      </c>
      <c r="M97" s="331">
        <f ca="1">INDEX('OPM 1'!$D77:$S77,0,MATCH(M$59,'OPM 1'!$D$89:$S$89,1))</f>
        <v>0</v>
      </c>
      <c r="O97" s="344">
        <f>'Cap Table'!D35</f>
        <v>0</v>
      </c>
    </row>
    <row r="98" spans="2:17" ht="14.85" customHeight="1">
      <c r="B98" s="419" t="str">
        <f>'Cap Table'!$B36</f>
        <v>Expected Options Grant</v>
      </c>
      <c r="D98" s="331">
        <f ca="1">INDEX('OPM 1'!$D78:$S78,0,MATCH(D$59,'OPM 1'!$D$89:$S$89,1))</f>
        <v>0</v>
      </c>
      <c r="E98" s="331">
        <f ca="1">INDEX('OPM 1'!$D78:$S78,0,MATCH(E$59,'OPM 1'!$D$89:$S$89,1))</f>
        <v>0</v>
      </c>
      <c r="F98" s="331">
        <f ca="1">INDEX('OPM 1'!$D78:$S78,0,MATCH(F$59,'OPM 1'!$D$89:$S$89,1))</f>
        <v>0</v>
      </c>
      <c r="G98" s="331">
        <f ca="1">INDEX('OPM 1'!$D78:$S78,0,MATCH(G$59,'OPM 1'!$D$89:$S$89,1))</f>
        <v>0</v>
      </c>
      <c r="H98" s="331">
        <f ca="1">INDEX('OPM 1'!$D78:$S78,0,MATCH(H$59,'OPM 1'!$D$89:$S$89,1))</f>
        <v>0</v>
      </c>
      <c r="I98" s="331">
        <f ca="1">INDEX('OPM 1'!$D78:$S78,0,MATCH(I$59,'OPM 1'!$D$89:$S$89,1))</f>
        <v>0</v>
      </c>
      <c r="J98" s="331">
        <f ca="1">INDEX('OPM 1'!$D78:$S78,0,MATCH(J$59,'OPM 1'!$D$89:$S$89,1))</f>
        <v>0</v>
      </c>
      <c r="K98" s="331">
        <f ca="1">INDEX('OPM 1'!$D78:$S78,0,MATCH(K$59,'OPM 1'!$D$89:$S$89,1))</f>
        <v>0</v>
      </c>
      <c r="L98" s="331">
        <f ca="1">INDEX('OPM 1'!$D78:$S78,0,MATCH(L$59,'OPM 1'!$D$89:$S$89,1))</f>
        <v>0</v>
      </c>
      <c r="M98" s="331">
        <f ca="1">INDEX('OPM 1'!$D78:$S78,0,MATCH(M$59,'OPM 1'!$D$89:$S$89,1))</f>
        <v>0</v>
      </c>
      <c r="O98" s="344">
        <f>'Cap Table'!D36</f>
        <v>14</v>
      </c>
    </row>
    <row r="99" spans="2:17" ht="14.85" customHeight="1">
      <c r="B99" s="420" t="str">
        <f>'Cap Table'!$K7 &amp;" Stock"</f>
        <v>Common Stock</v>
      </c>
      <c r="D99" s="331">
        <f ca="1">INDEX('OPM 1'!$D79:$S79,0,MATCH(D$59,'OPM 1'!$D$89:$S$89,1))</f>
        <v>0</v>
      </c>
      <c r="E99" s="331">
        <f ca="1">INDEX('OPM 1'!$D79:$S79,0,MATCH(E$59,'OPM 1'!$D$89:$S$89,1))</f>
        <v>0</v>
      </c>
      <c r="F99" s="331">
        <f ca="1">INDEX('OPM 1'!$D79:$S79,0,MATCH(F$59,'OPM 1'!$D$89:$S$89,1))</f>
        <v>0</v>
      </c>
      <c r="G99" s="331">
        <f ca="1">INDEX('OPM 1'!$D79:$S79,0,MATCH(G$59,'OPM 1'!$D$89:$S$89,1))</f>
        <v>0</v>
      </c>
      <c r="H99" s="331">
        <f ca="1">INDEX('OPM 1'!$D79:$S79,0,MATCH(H$59,'OPM 1'!$D$89:$S$89,1))</f>
        <v>0</v>
      </c>
      <c r="I99" s="331">
        <f ca="1">INDEX('OPM 1'!$D79:$S79,0,MATCH(I$59,'OPM 1'!$D$89:$S$89,1))</f>
        <v>0</v>
      </c>
      <c r="J99" s="331">
        <f ca="1">INDEX('OPM 1'!$D79:$S79,0,MATCH(J$59,'OPM 1'!$D$89:$S$89,1))</f>
        <v>0</v>
      </c>
      <c r="K99" s="331">
        <f ca="1">INDEX('OPM 1'!$D79:$S79,0,MATCH(K$59,'OPM 1'!$D$89:$S$89,1))</f>
        <v>0</v>
      </c>
      <c r="L99" s="331">
        <f ca="1">INDEX('OPM 1'!$D79:$S79,0,MATCH(L$59,'OPM 1'!$D$89:$S$89,1))</f>
        <v>0</v>
      </c>
      <c r="M99" s="331">
        <f ca="1">INDEX('OPM 1'!$D79:$S79,0,MATCH(M$59,'OPM 1'!$D$89:$S$89,1))</f>
        <v>0</v>
      </c>
      <c r="O99" s="344">
        <f ca="1">'Cap Table'!K13</f>
        <v>64</v>
      </c>
    </row>
    <row r="100" spans="2:17" ht="14.85" customHeight="1">
      <c r="B100" s="346"/>
      <c r="C100" s="346"/>
      <c r="D100" s="346"/>
      <c r="E100" s="346"/>
      <c r="F100" s="346"/>
      <c r="G100" s="346"/>
      <c r="H100" s="346"/>
      <c r="I100" s="346"/>
      <c r="J100" s="346"/>
      <c r="K100" s="346"/>
      <c r="L100" s="346"/>
      <c r="M100" s="346"/>
    </row>
    <row r="101" spans="2:17" ht="14.85" customHeight="1">
      <c r="B101" s="408" t="str">
        <f>CONCATENATE("Total ",B74)</f>
        <v>Total Shares (As Converted)</v>
      </c>
      <c r="D101" s="412">
        <f t="shared" ref="D101:M101" ca="1" si="25">SUM(D75:D99)</f>
        <v>0</v>
      </c>
      <c r="E101" s="412">
        <f t="shared" ca="1" si="25"/>
        <v>0</v>
      </c>
      <c r="F101" s="412">
        <f t="shared" ca="1" si="25"/>
        <v>0</v>
      </c>
      <c r="G101" s="412">
        <f t="shared" ca="1" si="25"/>
        <v>0</v>
      </c>
      <c r="H101" s="412">
        <f t="shared" ca="1" si="25"/>
        <v>0</v>
      </c>
      <c r="I101" s="412">
        <f t="shared" ca="1" si="25"/>
        <v>0</v>
      </c>
      <c r="J101" s="412">
        <f t="shared" ca="1" si="25"/>
        <v>0</v>
      </c>
      <c r="K101" s="412">
        <f t="shared" ca="1" si="25"/>
        <v>0</v>
      </c>
      <c r="L101" s="412">
        <f t="shared" ca="1" si="25"/>
        <v>0</v>
      </c>
      <c r="M101" s="412">
        <f t="shared" ca="1" si="25"/>
        <v>0</v>
      </c>
    </row>
    <row r="102" spans="2:17" ht="14.85" customHeight="1"/>
    <row r="103" spans="2:17" ht="14.85" customHeight="1">
      <c r="B103" s="328" t="s">
        <v>459</v>
      </c>
      <c r="D103" s="331">
        <f ca="1">-INDEX('OPM 1'!$D87:$S87,0,MATCH(D$59,'OPM 1'!$D$89:$S$89,1))</f>
        <v>0</v>
      </c>
      <c r="E103" s="331">
        <f ca="1">-INDEX('OPM 1'!$D87:$S87,0,MATCH(E$59,'OPM 1'!$D$89:$S$89,1))</f>
        <v>0</v>
      </c>
      <c r="F103" s="331">
        <f ca="1">-INDEX('OPM 1'!$D87:$S87,0,MATCH(F$59,'OPM 1'!$D$89:$S$89,1))</f>
        <v>0</v>
      </c>
      <c r="G103" s="331">
        <f ca="1">-INDEX('OPM 1'!$D87:$S87,0,MATCH(G$59,'OPM 1'!$D$89:$S$89,1))</f>
        <v>0</v>
      </c>
      <c r="H103" s="331">
        <f ca="1">-INDEX('OPM 1'!$D87:$S87,0,MATCH(H$59,'OPM 1'!$D$89:$S$89,1))</f>
        <v>0</v>
      </c>
      <c r="I103" s="331">
        <f ca="1">-INDEX('OPM 1'!$D87:$S87,0,MATCH(I$59,'OPM 1'!$D$89:$S$89,1))</f>
        <v>0</v>
      </c>
      <c r="J103" s="331">
        <f ca="1">-INDEX('OPM 1'!$D87:$S87,0,MATCH(J$59,'OPM 1'!$D$89:$S$89,1))</f>
        <v>0</v>
      </c>
      <c r="K103" s="331">
        <f ca="1">-INDEX('OPM 1'!$D87:$S87,0,MATCH(K$59,'OPM 1'!$D$89:$S$89,1))</f>
        <v>0</v>
      </c>
      <c r="L103" s="331">
        <f ca="1">-INDEX('OPM 1'!$D87:$S87,0,MATCH(L$59,'OPM 1'!$D$89:$S$89,1))</f>
        <v>0</v>
      </c>
      <c r="M103" s="331">
        <f ca="1">-INDEX('OPM 1'!$D87:$S87,0,MATCH(M$59,'OPM 1'!$D$89:$S$89,1))</f>
        <v>0</v>
      </c>
    </row>
    <row r="104" spans="2:17" ht="14.85" customHeight="1"/>
    <row r="105" spans="2:17" ht="14.85" customHeight="1">
      <c r="B105" s="384" t="s">
        <v>652</v>
      </c>
      <c r="C105" s="376"/>
      <c r="D105" s="376"/>
      <c r="E105" s="376"/>
      <c r="F105" s="376"/>
      <c r="G105" s="376"/>
      <c r="H105" s="376"/>
      <c r="I105" s="376"/>
      <c r="J105" s="376"/>
      <c r="K105" s="376"/>
      <c r="L105" s="376"/>
      <c r="M105" s="379"/>
      <c r="Q105" s="421" t="s">
        <v>82</v>
      </c>
    </row>
    <row r="106" spans="2:17" ht="14.85" customHeight="1"/>
    <row r="107" spans="2:17" ht="14.85" customHeight="1">
      <c r="B107" s="328" t="str">
        <f t="shared" ref="B107:B131" si="26">+B75</f>
        <v>Series A</v>
      </c>
      <c r="D107" s="415">
        <f t="shared" ref="D107:M107" ca="1" si="27">D62+IF(D75&gt;0,(D$72+D$103)*(D75/D$101),0)</f>
        <v>0</v>
      </c>
      <c r="E107" s="415">
        <f t="shared" ca="1" si="27"/>
        <v>0</v>
      </c>
      <c r="F107" s="415">
        <f t="shared" ca="1" si="27"/>
        <v>0</v>
      </c>
      <c r="G107" s="415">
        <f t="shared" ca="1" si="27"/>
        <v>0</v>
      </c>
      <c r="H107" s="415">
        <f t="shared" ca="1" si="27"/>
        <v>0</v>
      </c>
      <c r="I107" s="415">
        <f t="shared" ca="1" si="27"/>
        <v>0</v>
      </c>
      <c r="J107" s="415">
        <f t="shared" ca="1" si="27"/>
        <v>0</v>
      </c>
      <c r="K107" s="415">
        <f t="shared" ca="1" si="27"/>
        <v>0</v>
      </c>
      <c r="L107" s="415">
        <f t="shared" ca="1" si="27"/>
        <v>0</v>
      </c>
      <c r="M107" s="415">
        <f t="shared" ca="1" si="27"/>
        <v>0</v>
      </c>
    </row>
    <row r="108" spans="2:17" ht="14.85" customHeight="1">
      <c r="B108" s="328" t="str">
        <f t="shared" si="26"/>
        <v>Series B</v>
      </c>
      <c r="D108" s="415">
        <f t="shared" ref="D108:M108" ca="1" si="28">D63+IF(D76&gt;0,(D$72+D$103)*(D76/D$101),0)</f>
        <v>0</v>
      </c>
      <c r="E108" s="415">
        <f t="shared" ca="1" si="28"/>
        <v>0</v>
      </c>
      <c r="F108" s="415">
        <f t="shared" ca="1" si="28"/>
        <v>0</v>
      </c>
      <c r="G108" s="415">
        <f t="shared" ca="1" si="28"/>
        <v>0</v>
      </c>
      <c r="H108" s="415">
        <f t="shared" ca="1" si="28"/>
        <v>0</v>
      </c>
      <c r="I108" s="415">
        <f t="shared" ca="1" si="28"/>
        <v>0</v>
      </c>
      <c r="J108" s="415">
        <f t="shared" ca="1" si="28"/>
        <v>0</v>
      </c>
      <c r="K108" s="415">
        <f t="shared" ca="1" si="28"/>
        <v>0</v>
      </c>
      <c r="L108" s="415">
        <f t="shared" ca="1" si="28"/>
        <v>0</v>
      </c>
      <c r="M108" s="415">
        <f t="shared" ca="1" si="28"/>
        <v>0</v>
      </c>
    </row>
    <row r="109" spans="2:17" ht="14.85" customHeight="1">
      <c r="B109" s="328" t="str">
        <f t="shared" si="26"/>
        <v>Series C</v>
      </c>
      <c r="D109" s="415">
        <f t="shared" ref="D109:M109" ca="1" si="29">D64+IF(D77&gt;0,(D$72+D$103)*(D77/D$101),0)</f>
        <v>0</v>
      </c>
      <c r="E109" s="415">
        <f t="shared" ca="1" si="29"/>
        <v>0</v>
      </c>
      <c r="F109" s="415">
        <f t="shared" ca="1" si="29"/>
        <v>0</v>
      </c>
      <c r="G109" s="415">
        <f t="shared" ca="1" si="29"/>
        <v>0</v>
      </c>
      <c r="H109" s="415">
        <f t="shared" ca="1" si="29"/>
        <v>0</v>
      </c>
      <c r="I109" s="415">
        <f t="shared" ca="1" si="29"/>
        <v>0</v>
      </c>
      <c r="J109" s="415">
        <f t="shared" ca="1" si="29"/>
        <v>0</v>
      </c>
      <c r="K109" s="415">
        <f t="shared" ca="1" si="29"/>
        <v>0</v>
      </c>
      <c r="L109" s="415">
        <f t="shared" ca="1" si="29"/>
        <v>0</v>
      </c>
      <c r="M109" s="415">
        <f t="shared" ca="1" si="29"/>
        <v>0</v>
      </c>
    </row>
    <row r="110" spans="2:17" ht="14.85" customHeight="1">
      <c r="B110" s="328" t="str">
        <f t="shared" si="26"/>
        <v>Series D</v>
      </c>
      <c r="D110" s="415">
        <f t="shared" ref="D110:M110" ca="1" si="30">D65+IF(D78&gt;0,(D$72+D$103)*(D78/D$101),0)</f>
        <v>0</v>
      </c>
      <c r="E110" s="415">
        <f t="shared" ca="1" si="30"/>
        <v>0</v>
      </c>
      <c r="F110" s="415">
        <f t="shared" ca="1" si="30"/>
        <v>0</v>
      </c>
      <c r="G110" s="415">
        <f t="shared" ca="1" si="30"/>
        <v>0</v>
      </c>
      <c r="H110" s="415">
        <f t="shared" ca="1" si="30"/>
        <v>0</v>
      </c>
      <c r="I110" s="415">
        <f t="shared" ca="1" si="30"/>
        <v>0</v>
      </c>
      <c r="J110" s="415">
        <f t="shared" ca="1" si="30"/>
        <v>0</v>
      </c>
      <c r="K110" s="415">
        <f t="shared" ca="1" si="30"/>
        <v>0</v>
      </c>
      <c r="L110" s="415">
        <f t="shared" ca="1" si="30"/>
        <v>0</v>
      </c>
      <c r="M110" s="415">
        <f t="shared" ca="1" si="30"/>
        <v>0</v>
      </c>
    </row>
    <row r="111" spans="2:17" ht="14.85" customHeight="1">
      <c r="B111" s="328" t="str">
        <f t="shared" si="26"/>
        <v>Series E</v>
      </c>
      <c r="D111" s="415">
        <f t="shared" ref="D111:M111" ca="1" si="31">D66+IF(D79&gt;0,(D$72+D$103)*(D79/D$101),0)</f>
        <v>0</v>
      </c>
      <c r="E111" s="415">
        <f t="shared" ca="1" si="31"/>
        <v>0</v>
      </c>
      <c r="F111" s="415">
        <f t="shared" ca="1" si="31"/>
        <v>0</v>
      </c>
      <c r="G111" s="415">
        <f t="shared" ca="1" si="31"/>
        <v>0</v>
      </c>
      <c r="H111" s="415">
        <f t="shared" ca="1" si="31"/>
        <v>0</v>
      </c>
      <c r="I111" s="415">
        <f t="shared" ca="1" si="31"/>
        <v>0</v>
      </c>
      <c r="J111" s="415">
        <f t="shared" ca="1" si="31"/>
        <v>0</v>
      </c>
      <c r="K111" s="415">
        <f t="shared" ca="1" si="31"/>
        <v>0</v>
      </c>
      <c r="L111" s="415">
        <f t="shared" ca="1" si="31"/>
        <v>0</v>
      </c>
      <c r="M111" s="415">
        <f t="shared" ca="1" si="31"/>
        <v>0</v>
      </c>
    </row>
    <row r="112" spans="2:17" ht="14.85" customHeight="1">
      <c r="B112" s="328" t="str">
        <f t="shared" si="26"/>
        <v>Series F</v>
      </c>
      <c r="D112" s="415">
        <f t="shared" ref="D112:M112" ca="1" si="32">D67+IF(D80&gt;0,(D$72+D$103)*(D80/D$101),0)</f>
        <v>0</v>
      </c>
      <c r="E112" s="415">
        <f t="shared" ca="1" si="32"/>
        <v>0</v>
      </c>
      <c r="F112" s="415">
        <f t="shared" ca="1" si="32"/>
        <v>0</v>
      </c>
      <c r="G112" s="415">
        <f t="shared" ca="1" si="32"/>
        <v>0</v>
      </c>
      <c r="H112" s="415">
        <f t="shared" ca="1" si="32"/>
        <v>0</v>
      </c>
      <c r="I112" s="415">
        <f t="shared" ca="1" si="32"/>
        <v>0</v>
      </c>
      <c r="J112" s="415">
        <f t="shared" ca="1" si="32"/>
        <v>0</v>
      </c>
      <c r="K112" s="415">
        <f t="shared" ca="1" si="32"/>
        <v>0</v>
      </c>
      <c r="L112" s="415">
        <f t="shared" ca="1" si="32"/>
        <v>0</v>
      </c>
      <c r="M112" s="415">
        <f t="shared" ca="1" si="32"/>
        <v>0</v>
      </c>
    </row>
    <row r="113" spans="2:17" ht="14.85" customHeight="1">
      <c r="B113" s="328" t="str">
        <f t="shared" si="26"/>
        <v>Series G</v>
      </c>
      <c r="D113" s="415">
        <f t="shared" ref="D113:M113" ca="1" si="33">D68+IF(D81&gt;0,(D$72+D$103)*(D81/D$101),0)</f>
        <v>0</v>
      </c>
      <c r="E113" s="415">
        <f t="shared" ca="1" si="33"/>
        <v>0</v>
      </c>
      <c r="F113" s="415">
        <f t="shared" ca="1" si="33"/>
        <v>0</v>
      </c>
      <c r="G113" s="415">
        <f t="shared" ca="1" si="33"/>
        <v>0</v>
      </c>
      <c r="H113" s="415">
        <f t="shared" ca="1" si="33"/>
        <v>0</v>
      </c>
      <c r="I113" s="415">
        <f t="shared" ca="1" si="33"/>
        <v>0</v>
      </c>
      <c r="J113" s="415">
        <f t="shared" ca="1" si="33"/>
        <v>0</v>
      </c>
      <c r="K113" s="415">
        <f t="shared" ca="1" si="33"/>
        <v>0</v>
      </c>
      <c r="L113" s="415">
        <f t="shared" ca="1" si="33"/>
        <v>0</v>
      </c>
      <c r="M113" s="415">
        <f t="shared" ca="1" si="33"/>
        <v>0</v>
      </c>
    </row>
    <row r="114" spans="2:17" ht="14.85" customHeight="1">
      <c r="B114" s="328" t="str">
        <f t="shared" si="26"/>
        <v>Series A Warrants</v>
      </c>
      <c r="D114" s="415">
        <f t="shared" ref="D114:M114" ca="1" si="34">IF(D82&gt;0,(D$72+D$103)*(D82/D$101)-(D82*$Q$114),0)</f>
        <v>0</v>
      </c>
      <c r="E114" s="415">
        <f t="shared" ca="1" si="34"/>
        <v>0</v>
      </c>
      <c r="F114" s="415">
        <f t="shared" ca="1" si="34"/>
        <v>0</v>
      </c>
      <c r="G114" s="415">
        <f t="shared" ca="1" si="34"/>
        <v>0</v>
      </c>
      <c r="H114" s="415">
        <f t="shared" ca="1" si="34"/>
        <v>0</v>
      </c>
      <c r="I114" s="415">
        <f t="shared" ca="1" si="34"/>
        <v>0</v>
      </c>
      <c r="J114" s="415">
        <f t="shared" ca="1" si="34"/>
        <v>0</v>
      </c>
      <c r="K114" s="415">
        <f t="shared" ca="1" si="34"/>
        <v>0</v>
      </c>
      <c r="L114" s="415">
        <f t="shared" ca="1" si="34"/>
        <v>0</v>
      </c>
      <c r="M114" s="415">
        <f t="shared" ca="1" si="34"/>
        <v>0</v>
      </c>
      <c r="Q114" s="422"/>
    </row>
    <row r="115" spans="2:17" ht="14.85" customHeight="1">
      <c r="B115" s="328" t="str">
        <f t="shared" si="26"/>
        <v>Series B Warrants</v>
      </c>
      <c r="D115" s="415">
        <f t="shared" ref="D115:M115" ca="1" si="35">IF(D83&gt;0,(D$72+D$103)*(D83/D$101)-(D83*$Q$115),0)</f>
        <v>0</v>
      </c>
      <c r="E115" s="415">
        <f t="shared" ca="1" si="35"/>
        <v>0</v>
      </c>
      <c r="F115" s="415">
        <f t="shared" ca="1" si="35"/>
        <v>0</v>
      </c>
      <c r="G115" s="415">
        <f t="shared" ca="1" si="35"/>
        <v>0</v>
      </c>
      <c r="H115" s="415">
        <f t="shared" ca="1" si="35"/>
        <v>0</v>
      </c>
      <c r="I115" s="415">
        <f t="shared" ca="1" si="35"/>
        <v>0</v>
      </c>
      <c r="J115" s="415">
        <f t="shared" ca="1" si="35"/>
        <v>0</v>
      </c>
      <c r="K115" s="415">
        <f t="shared" ca="1" si="35"/>
        <v>0</v>
      </c>
      <c r="L115" s="415">
        <f t="shared" ca="1" si="35"/>
        <v>0</v>
      </c>
      <c r="M115" s="415">
        <f t="shared" ca="1" si="35"/>
        <v>0</v>
      </c>
      <c r="Q115" s="423"/>
    </row>
    <row r="116" spans="2:17" ht="14.85" customHeight="1">
      <c r="B116" s="328" t="str">
        <f t="shared" si="26"/>
        <v>Series C Warrants</v>
      </c>
      <c r="D116" s="415">
        <f t="shared" ref="D116:M116" ca="1" si="36">IF(D84&gt;0,(D$72+D$103)*(D84/D$101)-(D84*$Q$116),0)</f>
        <v>0</v>
      </c>
      <c r="E116" s="415">
        <f t="shared" ca="1" si="36"/>
        <v>0</v>
      </c>
      <c r="F116" s="415">
        <f t="shared" ca="1" si="36"/>
        <v>0</v>
      </c>
      <c r="G116" s="415">
        <f t="shared" ca="1" si="36"/>
        <v>0</v>
      </c>
      <c r="H116" s="415">
        <f t="shared" ca="1" si="36"/>
        <v>0</v>
      </c>
      <c r="I116" s="415">
        <f t="shared" ca="1" si="36"/>
        <v>0</v>
      </c>
      <c r="J116" s="415">
        <f t="shared" ca="1" si="36"/>
        <v>0</v>
      </c>
      <c r="K116" s="415">
        <f t="shared" ca="1" si="36"/>
        <v>0</v>
      </c>
      <c r="L116" s="415">
        <f t="shared" ca="1" si="36"/>
        <v>0</v>
      </c>
      <c r="M116" s="415">
        <f t="shared" ca="1" si="36"/>
        <v>0</v>
      </c>
      <c r="Q116" s="423"/>
    </row>
    <row r="117" spans="2:17" ht="14.85" customHeight="1">
      <c r="B117" s="328" t="str">
        <f t="shared" si="26"/>
        <v>Series D Warrants</v>
      </c>
      <c r="D117" s="415">
        <f t="shared" ref="D117:M117" ca="1" si="37">IF(D85&gt;0,(D$72+D$103)*(D85/D$101)-(D85*$Q$117),0)</f>
        <v>0</v>
      </c>
      <c r="E117" s="415">
        <f t="shared" ca="1" si="37"/>
        <v>0</v>
      </c>
      <c r="F117" s="415">
        <f t="shared" ca="1" si="37"/>
        <v>0</v>
      </c>
      <c r="G117" s="415">
        <f t="shared" ca="1" si="37"/>
        <v>0</v>
      </c>
      <c r="H117" s="415">
        <f t="shared" ca="1" si="37"/>
        <v>0</v>
      </c>
      <c r="I117" s="415">
        <f t="shared" ca="1" si="37"/>
        <v>0</v>
      </c>
      <c r="J117" s="415">
        <f t="shared" ca="1" si="37"/>
        <v>0</v>
      </c>
      <c r="K117" s="415">
        <f t="shared" ca="1" si="37"/>
        <v>0</v>
      </c>
      <c r="L117" s="415">
        <f t="shared" ca="1" si="37"/>
        <v>0</v>
      </c>
      <c r="M117" s="415">
        <f t="shared" ca="1" si="37"/>
        <v>0</v>
      </c>
      <c r="Q117" s="423"/>
    </row>
    <row r="118" spans="2:17" ht="14.85" customHeight="1">
      <c r="B118" s="328" t="str">
        <f t="shared" si="26"/>
        <v>Series E Warrants</v>
      </c>
      <c r="D118" s="415">
        <f t="shared" ref="D118:M118" ca="1" si="38">IF(D86&gt;0,(D$72+D$103)*(D86/D$101)-(D86*$Q$118),0)</f>
        <v>0</v>
      </c>
      <c r="E118" s="415">
        <f t="shared" ca="1" si="38"/>
        <v>0</v>
      </c>
      <c r="F118" s="415">
        <f t="shared" ca="1" si="38"/>
        <v>0</v>
      </c>
      <c r="G118" s="415">
        <f t="shared" ca="1" si="38"/>
        <v>0</v>
      </c>
      <c r="H118" s="415">
        <f t="shared" ca="1" si="38"/>
        <v>0</v>
      </c>
      <c r="I118" s="415">
        <f t="shared" ca="1" si="38"/>
        <v>0</v>
      </c>
      <c r="J118" s="415">
        <f t="shared" ca="1" si="38"/>
        <v>0</v>
      </c>
      <c r="K118" s="415">
        <f t="shared" ca="1" si="38"/>
        <v>0</v>
      </c>
      <c r="L118" s="415">
        <f t="shared" ca="1" si="38"/>
        <v>0</v>
      </c>
      <c r="M118" s="415">
        <f t="shared" ca="1" si="38"/>
        <v>0</v>
      </c>
      <c r="Q118" s="423"/>
    </row>
    <row r="119" spans="2:17" ht="14.85" customHeight="1">
      <c r="B119" s="328" t="str">
        <f t="shared" si="26"/>
        <v>Series F Warrants</v>
      </c>
      <c r="D119" s="415">
        <f t="shared" ref="D119:M119" ca="1" si="39">IF(D87&gt;0,(D$72+D$103)*(D87/D$101)-(D87*$Q$119),0)</f>
        <v>0</v>
      </c>
      <c r="E119" s="415">
        <f t="shared" ca="1" si="39"/>
        <v>0</v>
      </c>
      <c r="F119" s="415">
        <f t="shared" ca="1" si="39"/>
        <v>0</v>
      </c>
      <c r="G119" s="415">
        <f t="shared" ca="1" si="39"/>
        <v>0</v>
      </c>
      <c r="H119" s="415">
        <f t="shared" ca="1" si="39"/>
        <v>0</v>
      </c>
      <c r="I119" s="415">
        <f t="shared" ca="1" si="39"/>
        <v>0</v>
      </c>
      <c r="J119" s="415">
        <f t="shared" ca="1" si="39"/>
        <v>0</v>
      </c>
      <c r="K119" s="415">
        <f t="shared" ca="1" si="39"/>
        <v>0</v>
      </c>
      <c r="L119" s="415">
        <f t="shared" ca="1" si="39"/>
        <v>0</v>
      </c>
      <c r="M119" s="415">
        <f t="shared" ca="1" si="39"/>
        <v>0</v>
      </c>
      <c r="Q119" s="423"/>
    </row>
    <row r="120" spans="2:17" ht="14.85" customHeight="1">
      <c r="B120" s="328" t="str">
        <f t="shared" si="26"/>
        <v>Series G Warrants</v>
      </c>
      <c r="D120" s="415">
        <f t="shared" ref="D120:M120" ca="1" si="40">IF(D88&gt;0,(D$72+D$103)*(D88/D$101)-(D88*$Q$120),0)</f>
        <v>0</v>
      </c>
      <c r="E120" s="415">
        <f t="shared" ca="1" si="40"/>
        <v>0</v>
      </c>
      <c r="F120" s="415">
        <f t="shared" ca="1" si="40"/>
        <v>0</v>
      </c>
      <c r="G120" s="415">
        <f t="shared" ca="1" si="40"/>
        <v>0</v>
      </c>
      <c r="H120" s="415">
        <f t="shared" ca="1" si="40"/>
        <v>0</v>
      </c>
      <c r="I120" s="415">
        <f t="shared" ca="1" si="40"/>
        <v>0</v>
      </c>
      <c r="J120" s="415">
        <f t="shared" ca="1" si="40"/>
        <v>0</v>
      </c>
      <c r="K120" s="415">
        <f t="shared" ca="1" si="40"/>
        <v>0</v>
      </c>
      <c r="L120" s="415">
        <f t="shared" ca="1" si="40"/>
        <v>0</v>
      </c>
      <c r="M120" s="415">
        <f t="shared" ca="1" si="40"/>
        <v>0</v>
      </c>
      <c r="Q120" s="423"/>
    </row>
    <row r="121" spans="2:17" ht="14.85" customHeight="1">
      <c r="B121" s="328" t="str">
        <f t="shared" si="26"/>
        <v>Options/Warrants at $2.00 Strike Price</v>
      </c>
      <c r="D121" s="415">
        <f t="shared" ref="D121:M121" ca="1" si="41">IF(D89&gt;0,(D$72+D$103)*(D89/D$101)-(D89*$Q$121),0)</f>
        <v>0</v>
      </c>
      <c r="E121" s="415">
        <f t="shared" ca="1" si="41"/>
        <v>0</v>
      </c>
      <c r="F121" s="415">
        <f t="shared" ca="1" si="41"/>
        <v>0</v>
      </c>
      <c r="G121" s="415">
        <f t="shared" ca="1" si="41"/>
        <v>0</v>
      </c>
      <c r="H121" s="415">
        <f t="shared" ca="1" si="41"/>
        <v>0</v>
      </c>
      <c r="I121" s="415">
        <f t="shared" ca="1" si="41"/>
        <v>0</v>
      </c>
      <c r="J121" s="415">
        <f t="shared" ca="1" si="41"/>
        <v>0</v>
      </c>
      <c r="K121" s="415">
        <f t="shared" ca="1" si="41"/>
        <v>0</v>
      </c>
      <c r="L121" s="415">
        <f t="shared" ca="1" si="41"/>
        <v>0</v>
      </c>
      <c r="M121" s="415">
        <f t="shared" ca="1" si="41"/>
        <v>0</v>
      </c>
      <c r="Q121" s="424"/>
    </row>
    <row r="122" spans="2:17" ht="14.85" customHeight="1">
      <c r="B122" s="328" t="str">
        <f t="shared" si="26"/>
        <v>Options/Warrants at $0.00 Strike Price</v>
      </c>
      <c r="D122" s="415">
        <f t="shared" ref="D122:M122" ca="1" si="42">IF(D90&gt;0,(D$72+D$103)*(D90/D$101)-(D90*$Q$122),0)</f>
        <v>0</v>
      </c>
      <c r="E122" s="415">
        <f t="shared" ca="1" si="42"/>
        <v>0</v>
      </c>
      <c r="F122" s="415">
        <f t="shared" ca="1" si="42"/>
        <v>0</v>
      </c>
      <c r="G122" s="415">
        <f t="shared" ca="1" si="42"/>
        <v>0</v>
      </c>
      <c r="H122" s="415">
        <f t="shared" ca="1" si="42"/>
        <v>0</v>
      </c>
      <c r="I122" s="415">
        <f t="shared" ca="1" si="42"/>
        <v>0</v>
      </c>
      <c r="J122" s="415">
        <f t="shared" ca="1" si="42"/>
        <v>0</v>
      </c>
      <c r="K122" s="415">
        <f t="shared" ca="1" si="42"/>
        <v>0</v>
      </c>
      <c r="L122" s="415">
        <f t="shared" ca="1" si="42"/>
        <v>0</v>
      </c>
      <c r="M122" s="415">
        <f t="shared" ca="1" si="42"/>
        <v>0</v>
      </c>
      <c r="Q122" s="424"/>
    </row>
    <row r="123" spans="2:17" ht="14.85" customHeight="1">
      <c r="B123" s="328" t="str">
        <f t="shared" si="26"/>
        <v>Options/Warrants at $0.00 Strike Price</v>
      </c>
      <c r="D123" s="415">
        <f t="shared" ref="D123:M123" ca="1" si="43">IF(D91&gt;0,(D$72+D$103)*(D91/D$101)-(D91*$Q$123),0)</f>
        <v>0</v>
      </c>
      <c r="E123" s="415">
        <f ca="1">IF(E91&gt;0,(E$72+E$103)*(E91/E$101)-(E91*$Q$123),0)</f>
        <v>0</v>
      </c>
      <c r="F123" s="415">
        <f t="shared" ca="1" si="43"/>
        <v>0</v>
      </c>
      <c r="G123" s="415">
        <f t="shared" ca="1" si="43"/>
        <v>0</v>
      </c>
      <c r="H123" s="415">
        <f t="shared" ca="1" si="43"/>
        <v>0</v>
      </c>
      <c r="I123" s="415">
        <f t="shared" ca="1" si="43"/>
        <v>0</v>
      </c>
      <c r="J123" s="415">
        <f t="shared" ca="1" si="43"/>
        <v>0</v>
      </c>
      <c r="K123" s="415">
        <f t="shared" ca="1" si="43"/>
        <v>0</v>
      </c>
      <c r="L123" s="415">
        <f t="shared" ca="1" si="43"/>
        <v>0</v>
      </c>
      <c r="M123" s="415">
        <f t="shared" ca="1" si="43"/>
        <v>0</v>
      </c>
      <c r="Q123" s="424"/>
    </row>
    <row r="124" spans="2:17" ht="14.85" customHeight="1">
      <c r="B124" s="328" t="str">
        <f t="shared" si="26"/>
        <v>Options/Warrants at $0.00 Strike Price</v>
      </c>
      <c r="D124" s="415">
        <f ca="1">IF(D92&gt;0,(D$72+D$103)*(D92/D$101)-(D92*$Q$124),0)</f>
        <v>0</v>
      </c>
      <c r="E124" s="415">
        <f t="shared" ref="E124:M124" ca="1" si="44">IF(E92&gt;0,(E$72+E$103)*(E92/E$101)-(E92*$Q$124),0)</f>
        <v>0</v>
      </c>
      <c r="F124" s="415">
        <f t="shared" ca="1" si="44"/>
        <v>0</v>
      </c>
      <c r="G124" s="415">
        <f t="shared" ca="1" si="44"/>
        <v>0</v>
      </c>
      <c r="H124" s="415">
        <f t="shared" ca="1" si="44"/>
        <v>0</v>
      </c>
      <c r="I124" s="415">
        <f t="shared" ca="1" si="44"/>
        <v>0</v>
      </c>
      <c r="J124" s="415">
        <f t="shared" ca="1" si="44"/>
        <v>0</v>
      </c>
      <c r="K124" s="415">
        <f t="shared" ca="1" si="44"/>
        <v>0</v>
      </c>
      <c r="L124" s="415">
        <f t="shared" ca="1" si="44"/>
        <v>0</v>
      </c>
      <c r="M124" s="415">
        <f t="shared" ca="1" si="44"/>
        <v>0</v>
      </c>
      <c r="Q124" s="424"/>
    </row>
    <row r="125" spans="2:17" ht="14.85" customHeight="1">
      <c r="B125" s="328" t="str">
        <f t="shared" si="26"/>
        <v>Options/Warrants at $0.00 Strike Price</v>
      </c>
      <c r="D125" s="415">
        <f t="shared" ref="D125:M125" ca="1" si="45">IF(D93&gt;0,(D$72+D$103)*(D93/D$101)-(D93*$Q$125),0)</f>
        <v>0</v>
      </c>
      <c r="E125" s="415">
        <f t="shared" ca="1" si="45"/>
        <v>0</v>
      </c>
      <c r="F125" s="415">
        <f t="shared" ca="1" si="45"/>
        <v>0</v>
      </c>
      <c r="G125" s="415">
        <f t="shared" ca="1" si="45"/>
        <v>0</v>
      </c>
      <c r="H125" s="415">
        <f t="shared" ca="1" si="45"/>
        <v>0</v>
      </c>
      <c r="I125" s="415">
        <f t="shared" ca="1" si="45"/>
        <v>0</v>
      </c>
      <c r="J125" s="415">
        <f t="shared" ca="1" si="45"/>
        <v>0</v>
      </c>
      <c r="K125" s="415">
        <f t="shared" ca="1" si="45"/>
        <v>0</v>
      </c>
      <c r="L125" s="415">
        <f t="shared" ca="1" si="45"/>
        <v>0</v>
      </c>
      <c r="M125" s="415">
        <f t="shared" ca="1" si="45"/>
        <v>0</v>
      </c>
      <c r="Q125" s="424"/>
    </row>
    <row r="126" spans="2:17" ht="14.85" customHeight="1">
      <c r="B126" s="328" t="str">
        <f t="shared" si="26"/>
        <v>Options/Warrants at $0.00 Strike Price</v>
      </c>
      <c r="D126" s="415">
        <f t="shared" ref="D126:M126" ca="1" si="46">IF(D94&gt;0,(D$72+D$103)*(D94/D$101)-(D94*$Q$126),0)</f>
        <v>0</v>
      </c>
      <c r="E126" s="415">
        <f t="shared" ca="1" si="46"/>
        <v>0</v>
      </c>
      <c r="F126" s="415">
        <f t="shared" ca="1" si="46"/>
        <v>0</v>
      </c>
      <c r="G126" s="415">
        <f t="shared" ca="1" si="46"/>
        <v>0</v>
      </c>
      <c r="H126" s="415">
        <f t="shared" ca="1" si="46"/>
        <v>0</v>
      </c>
      <c r="I126" s="415">
        <f t="shared" ca="1" si="46"/>
        <v>0</v>
      </c>
      <c r="J126" s="415">
        <f t="shared" ca="1" si="46"/>
        <v>0</v>
      </c>
      <c r="K126" s="415">
        <f t="shared" ca="1" si="46"/>
        <v>0</v>
      </c>
      <c r="L126" s="415">
        <f t="shared" ca="1" si="46"/>
        <v>0</v>
      </c>
      <c r="M126" s="415">
        <f t="shared" ca="1" si="46"/>
        <v>0</v>
      </c>
      <c r="Q126" s="424"/>
    </row>
    <row r="127" spans="2:17" ht="14.85" customHeight="1">
      <c r="B127" s="328" t="str">
        <f t="shared" si="26"/>
        <v>Options/Warrants at $0.00 Strike Price</v>
      </c>
      <c r="D127" s="415">
        <f t="shared" ref="D127:M127" ca="1" si="47">IF(D95&gt;0,(D$72+D$103)*(D95/D$101)-(D95*$Q$127),0)</f>
        <v>0</v>
      </c>
      <c r="E127" s="415">
        <f t="shared" ca="1" si="47"/>
        <v>0</v>
      </c>
      <c r="F127" s="415">
        <f t="shared" ca="1" si="47"/>
        <v>0</v>
      </c>
      <c r="G127" s="415">
        <f t="shared" ca="1" si="47"/>
        <v>0</v>
      </c>
      <c r="H127" s="415">
        <f t="shared" ca="1" si="47"/>
        <v>0</v>
      </c>
      <c r="I127" s="415">
        <f t="shared" ca="1" si="47"/>
        <v>0</v>
      </c>
      <c r="J127" s="415">
        <f t="shared" ca="1" si="47"/>
        <v>0</v>
      </c>
      <c r="K127" s="415">
        <f t="shared" ca="1" si="47"/>
        <v>0</v>
      </c>
      <c r="L127" s="415">
        <f t="shared" ca="1" si="47"/>
        <v>0</v>
      </c>
      <c r="M127" s="415">
        <f t="shared" ca="1" si="47"/>
        <v>0</v>
      </c>
      <c r="Q127" s="424"/>
    </row>
    <row r="128" spans="2:17" ht="14.85" customHeight="1">
      <c r="B128" s="328" t="str">
        <f t="shared" si="26"/>
        <v>Options/Warrants at $0.00 Strike Price</v>
      </c>
      <c r="D128" s="415">
        <f t="shared" ref="D128:M128" ca="1" si="48">IF(D96&gt;0,(D$72+D$103)*(D96/D$101)-(D96*$Q$128),0)</f>
        <v>0</v>
      </c>
      <c r="E128" s="415">
        <f t="shared" ca="1" si="48"/>
        <v>0</v>
      </c>
      <c r="F128" s="415">
        <f t="shared" ca="1" si="48"/>
        <v>0</v>
      </c>
      <c r="G128" s="415">
        <f t="shared" ca="1" si="48"/>
        <v>0</v>
      </c>
      <c r="H128" s="415">
        <f t="shared" ca="1" si="48"/>
        <v>0</v>
      </c>
      <c r="I128" s="415">
        <f t="shared" ca="1" si="48"/>
        <v>0</v>
      </c>
      <c r="J128" s="415">
        <f t="shared" ca="1" si="48"/>
        <v>0</v>
      </c>
      <c r="K128" s="415">
        <f t="shared" ca="1" si="48"/>
        <v>0</v>
      </c>
      <c r="L128" s="415">
        <f t="shared" ca="1" si="48"/>
        <v>0</v>
      </c>
      <c r="M128" s="415">
        <f t="shared" ca="1" si="48"/>
        <v>0</v>
      </c>
      <c r="Q128" s="424"/>
    </row>
    <row r="129" spans="2:17" ht="14.85" customHeight="1">
      <c r="B129" s="328" t="str">
        <f t="shared" si="26"/>
        <v>Options/Warrants at $0.00 Strike Price</v>
      </c>
      <c r="D129" s="415">
        <f t="shared" ref="D129:M129" ca="1" si="49">IF(D97&gt;0,(D$72+D$103)*(D97/D$101)-(D97*$Q$129),0)</f>
        <v>0</v>
      </c>
      <c r="E129" s="415">
        <f t="shared" ca="1" si="49"/>
        <v>0</v>
      </c>
      <c r="F129" s="415">
        <f t="shared" ca="1" si="49"/>
        <v>0</v>
      </c>
      <c r="G129" s="415">
        <f t="shared" ca="1" si="49"/>
        <v>0</v>
      </c>
      <c r="H129" s="415">
        <f t="shared" ca="1" si="49"/>
        <v>0</v>
      </c>
      <c r="I129" s="415">
        <f t="shared" ca="1" si="49"/>
        <v>0</v>
      </c>
      <c r="J129" s="415">
        <f t="shared" ca="1" si="49"/>
        <v>0</v>
      </c>
      <c r="K129" s="415">
        <f t="shared" ca="1" si="49"/>
        <v>0</v>
      </c>
      <c r="L129" s="415">
        <f t="shared" ca="1" si="49"/>
        <v>0</v>
      </c>
      <c r="M129" s="415">
        <f t="shared" ca="1" si="49"/>
        <v>0</v>
      </c>
      <c r="Q129" s="424"/>
    </row>
    <row r="130" spans="2:17" ht="14.85" customHeight="1">
      <c r="B130" s="328" t="str">
        <f t="shared" si="26"/>
        <v>Expected Options Grant</v>
      </c>
      <c r="D130" s="415">
        <f t="shared" ref="D130:M130" ca="1" si="50">IF(D98&gt;0,(D$72+D$103)*(D98/D$101)-(D98*$Q$130),0)</f>
        <v>0</v>
      </c>
      <c r="E130" s="415">
        <f t="shared" ca="1" si="50"/>
        <v>0</v>
      </c>
      <c r="F130" s="415">
        <f t="shared" ca="1" si="50"/>
        <v>0</v>
      </c>
      <c r="G130" s="415">
        <f t="shared" ca="1" si="50"/>
        <v>0</v>
      </c>
      <c r="H130" s="415">
        <f t="shared" ca="1" si="50"/>
        <v>0</v>
      </c>
      <c r="I130" s="415">
        <f t="shared" ca="1" si="50"/>
        <v>0</v>
      </c>
      <c r="J130" s="415">
        <f t="shared" ca="1" si="50"/>
        <v>0</v>
      </c>
      <c r="K130" s="415">
        <f t="shared" ca="1" si="50"/>
        <v>0</v>
      </c>
      <c r="L130" s="415">
        <f t="shared" ca="1" si="50"/>
        <v>0</v>
      </c>
      <c r="M130" s="415">
        <f t="shared" ca="1" si="50"/>
        <v>0</v>
      </c>
      <c r="Q130" s="425"/>
    </row>
    <row r="131" spans="2:17" ht="14.85" customHeight="1">
      <c r="B131" s="328" t="str">
        <f t="shared" si="26"/>
        <v>Common Stock</v>
      </c>
      <c r="D131" s="415">
        <f ca="1">IF(D99&gt;0,(D$72+D$103)*(D99/D$101),0)</f>
        <v>0</v>
      </c>
      <c r="E131" s="415">
        <f t="shared" ref="E131:M131" ca="1" si="51">IF(E99&gt;0,(E$72+E$103)*(E99/E$101),0)</f>
        <v>0</v>
      </c>
      <c r="F131" s="415">
        <f t="shared" ca="1" si="51"/>
        <v>0</v>
      </c>
      <c r="G131" s="415">
        <f t="shared" ca="1" si="51"/>
        <v>0</v>
      </c>
      <c r="H131" s="415">
        <f t="shared" ca="1" si="51"/>
        <v>0</v>
      </c>
      <c r="I131" s="415">
        <f t="shared" ca="1" si="51"/>
        <v>0</v>
      </c>
      <c r="J131" s="415">
        <f t="shared" ca="1" si="51"/>
        <v>0</v>
      </c>
      <c r="K131" s="415">
        <f t="shared" ca="1" si="51"/>
        <v>0</v>
      </c>
      <c r="L131" s="415">
        <f t="shared" ca="1" si="51"/>
        <v>0</v>
      </c>
      <c r="M131" s="415">
        <f t="shared" ca="1" si="51"/>
        <v>0</v>
      </c>
    </row>
    <row r="132" spans="2:17" ht="14.85" customHeight="1">
      <c r="B132" s="346"/>
      <c r="C132" s="346"/>
      <c r="D132" s="346"/>
      <c r="E132" s="346"/>
      <c r="F132" s="346"/>
      <c r="G132" s="346"/>
      <c r="H132" s="346"/>
      <c r="I132" s="346"/>
      <c r="J132" s="346"/>
      <c r="K132" s="346"/>
      <c r="L132" s="346"/>
      <c r="M132" s="346"/>
    </row>
    <row r="133" spans="2:17" ht="14.85" customHeight="1">
      <c r="B133" s="253" t="s">
        <v>2546</v>
      </c>
      <c r="D133" s="412">
        <f t="shared" ref="D133:M133" ca="1" si="52">SUM(D107:D131)</f>
        <v>0</v>
      </c>
      <c r="E133" s="412">
        <f t="shared" ca="1" si="52"/>
        <v>0</v>
      </c>
      <c r="F133" s="412">
        <f t="shared" ca="1" si="52"/>
        <v>0</v>
      </c>
      <c r="G133" s="412">
        <f t="shared" ca="1" si="52"/>
        <v>0</v>
      </c>
      <c r="H133" s="412">
        <f t="shared" ca="1" si="52"/>
        <v>0</v>
      </c>
      <c r="I133" s="412">
        <f t="shared" ca="1" si="52"/>
        <v>0</v>
      </c>
      <c r="J133" s="412">
        <f t="shared" ca="1" si="52"/>
        <v>0</v>
      </c>
      <c r="K133" s="412">
        <f t="shared" ca="1" si="52"/>
        <v>0</v>
      </c>
      <c r="L133" s="412">
        <f t="shared" ca="1" si="52"/>
        <v>0</v>
      </c>
      <c r="M133" s="412">
        <f t="shared" ca="1" si="52"/>
        <v>0</v>
      </c>
    </row>
    <row r="134" spans="2:17" ht="14.85" customHeight="1">
      <c r="B134" s="426"/>
      <c r="D134" s="427" t="str">
        <f ca="1">IF(ABS(D133-D59)&lt;0.1,"","Check")</f>
        <v>Check</v>
      </c>
      <c r="E134" s="427" t="str">
        <f t="shared" ref="E134:M134" ca="1" si="53">IF(ABS(E133-E59)&lt;0.1,"","Check")</f>
        <v>Check</v>
      </c>
      <c r="F134" s="427" t="str">
        <f t="shared" ca="1" si="53"/>
        <v>Check</v>
      </c>
      <c r="G134" s="427" t="str">
        <f t="shared" ca="1" si="53"/>
        <v>Check</v>
      </c>
      <c r="H134" s="427" t="str">
        <f t="shared" ca="1" si="53"/>
        <v>Check</v>
      </c>
      <c r="I134" s="427" t="str">
        <f t="shared" ca="1" si="53"/>
        <v>Check</v>
      </c>
      <c r="J134" s="427" t="str">
        <f t="shared" ca="1" si="53"/>
        <v>Check</v>
      </c>
      <c r="K134" s="427" t="str">
        <f t="shared" ca="1" si="53"/>
        <v>Check</v>
      </c>
      <c r="L134" s="427" t="str">
        <f t="shared" ca="1" si="53"/>
        <v>Check</v>
      </c>
      <c r="M134" s="427" t="str">
        <f t="shared" ca="1" si="53"/>
        <v>Check</v>
      </c>
      <c r="O134" s="428" t="str">
        <f ca="1">IF(COUNTIF($D$134:$M$134,$O$135)&gt;0,$O$135,"")</f>
        <v>Check</v>
      </c>
    </row>
    <row r="135" spans="2:17" ht="14.85" customHeight="1">
      <c r="B135" s="384" t="s">
        <v>452</v>
      </c>
      <c r="C135" s="376"/>
      <c r="D135" s="376"/>
      <c r="E135" s="376"/>
      <c r="F135" s="376"/>
      <c r="G135" s="376"/>
      <c r="H135" s="376"/>
      <c r="I135" s="376"/>
      <c r="J135" s="376"/>
      <c r="K135" s="376"/>
      <c r="L135" s="376"/>
      <c r="M135" s="379"/>
      <c r="O135" s="250" t="s">
        <v>110</v>
      </c>
    </row>
    <row r="136" spans="2:17" ht="14.85" customHeight="1"/>
    <row r="137" spans="2:17" ht="14.85" customHeight="1">
      <c r="B137" s="250" t="s">
        <v>453</v>
      </c>
      <c r="D137" s="331">
        <f ca="1">D131</f>
        <v>0</v>
      </c>
      <c r="E137" s="331">
        <f t="shared" ref="E137:M137" ca="1" si="54">E131</f>
        <v>0</v>
      </c>
      <c r="F137" s="331">
        <f t="shared" ca="1" si="54"/>
        <v>0</v>
      </c>
      <c r="G137" s="331">
        <f t="shared" ca="1" si="54"/>
        <v>0</v>
      </c>
      <c r="H137" s="331">
        <f t="shared" ca="1" si="54"/>
        <v>0</v>
      </c>
      <c r="I137" s="331">
        <f t="shared" ca="1" si="54"/>
        <v>0</v>
      </c>
      <c r="J137" s="331">
        <f t="shared" ca="1" si="54"/>
        <v>0</v>
      </c>
      <c r="K137" s="331">
        <f t="shared" ca="1" si="54"/>
        <v>0</v>
      </c>
      <c r="L137" s="331">
        <f t="shared" ca="1" si="54"/>
        <v>0</v>
      </c>
      <c r="M137" s="331">
        <f t="shared" ca="1" si="54"/>
        <v>0</v>
      </c>
    </row>
    <row r="138" spans="2:17" ht="14.85" customHeight="1">
      <c r="B138" s="250" t="s">
        <v>324</v>
      </c>
      <c r="D138" s="331">
        <f ca="1">D99</f>
        <v>0</v>
      </c>
      <c r="E138" s="331">
        <f t="shared" ref="E138:M138" ca="1" si="55">E99</f>
        <v>0</v>
      </c>
      <c r="F138" s="331">
        <f t="shared" ca="1" si="55"/>
        <v>0</v>
      </c>
      <c r="G138" s="331">
        <f t="shared" ca="1" si="55"/>
        <v>0</v>
      </c>
      <c r="H138" s="331">
        <f t="shared" ca="1" si="55"/>
        <v>0</v>
      </c>
      <c r="I138" s="331">
        <f t="shared" ca="1" si="55"/>
        <v>0</v>
      </c>
      <c r="J138" s="331">
        <f t="shared" ca="1" si="55"/>
        <v>0</v>
      </c>
      <c r="K138" s="331">
        <f t="shared" ca="1" si="55"/>
        <v>0</v>
      </c>
      <c r="L138" s="331">
        <f t="shared" ca="1" si="55"/>
        <v>0</v>
      </c>
      <c r="M138" s="331">
        <f t="shared" ca="1" si="55"/>
        <v>0</v>
      </c>
    </row>
    <row r="139" spans="2:17" ht="14.85" customHeight="1">
      <c r="B139" s="346"/>
      <c r="C139" s="346"/>
      <c r="D139" s="346"/>
      <c r="E139" s="346"/>
      <c r="F139" s="346"/>
      <c r="G139" s="346"/>
      <c r="H139" s="346"/>
      <c r="I139" s="346"/>
      <c r="J139" s="346"/>
      <c r="K139" s="346"/>
      <c r="L139" s="346"/>
      <c r="M139" s="346"/>
    </row>
    <row r="140" spans="2:17" ht="14.85" customHeight="1">
      <c r="B140" s="253" t="s">
        <v>454</v>
      </c>
      <c r="C140" s="253"/>
      <c r="D140" s="429">
        <f ca="1">IFERROR(D137/D138,0)</f>
        <v>0</v>
      </c>
      <c r="E140" s="429">
        <f t="shared" ref="E140:M140" ca="1" si="56">IFERROR(E137/E138,0)</f>
        <v>0</v>
      </c>
      <c r="F140" s="429">
        <f t="shared" ca="1" si="56"/>
        <v>0</v>
      </c>
      <c r="G140" s="429">
        <f t="shared" ca="1" si="56"/>
        <v>0</v>
      </c>
      <c r="H140" s="429">
        <f t="shared" ca="1" si="56"/>
        <v>0</v>
      </c>
      <c r="I140" s="429">
        <f t="shared" ca="1" si="56"/>
        <v>0</v>
      </c>
      <c r="J140" s="429">
        <f t="shared" ca="1" si="56"/>
        <v>0</v>
      </c>
      <c r="K140" s="429">
        <f t="shared" ca="1" si="56"/>
        <v>0</v>
      </c>
      <c r="L140" s="429">
        <f t="shared" ca="1" si="56"/>
        <v>0</v>
      </c>
      <c r="M140" s="429">
        <f t="shared" ca="1" si="56"/>
        <v>0</v>
      </c>
    </row>
    <row r="141" spans="2:17" ht="14.85" customHeight="1"/>
    <row r="142" spans="2:17" ht="14.85" customHeight="1">
      <c r="B142" s="414" t="s">
        <v>2294</v>
      </c>
      <c r="C142" s="430"/>
      <c r="D142" s="431">
        <f>DLOM!E66</f>
        <v>9.8702455390530019E-2</v>
      </c>
      <c r="E142" s="432">
        <f>D142</f>
        <v>9.8702455390530019E-2</v>
      </c>
      <c r="F142" s="431">
        <f>DLOM!F66</f>
        <v>0.13211352115863315</v>
      </c>
      <c r="G142" s="432">
        <f>F142</f>
        <v>0.13211352115863315</v>
      </c>
      <c r="H142" s="431">
        <f>DLOM!G66</f>
        <v>0.13211352115863315</v>
      </c>
      <c r="I142" s="432">
        <f>H142</f>
        <v>0.13211352115863315</v>
      </c>
      <c r="J142" s="431">
        <f>DLOM!H66</f>
        <v>0.15858124353057387</v>
      </c>
      <c r="K142" s="432">
        <f>J142</f>
        <v>0.15858124353057387</v>
      </c>
      <c r="L142" s="431"/>
      <c r="M142" s="431"/>
      <c r="O142" s="433" t="s">
        <v>2303</v>
      </c>
    </row>
    <row r="143" spans="2:17" ht="14.85" customHeight="1"/>
    <row r="144" spans="2:17" ht="14.85" customHeight="1">
      <c r="B144" s="434" t="s">
        <v>2318</v>
      </c>
      <c r="C144" s="430"/>
      <c r="D144" s="429">
        <f ca="1">IFERROR(D140*(1-D142),0)</f>
        <v>0</v>
      </c>
      <c r="E144" s="429">
        <f t="shared" ref="E144:M144" ca="1" si="57">IFERROR(E140*(1-E142),0)</f>
        <v>0</v>
      </c>
      <c r="F144" s="429">
        <f t="shared" ca="1" si="57"/>
        <v>0</v>
      </c>
      <c r="G144" s="429">
        <f t="shared" ca="1" si="57"/>
        <v>0</v>
      </c>
      <c r="H144" s="429">
        <f t="shared" ca="1" si="57"/>
        <v>0</v>
      </c>
      <c r="I144" s="429">
        <f t="shared" ca="1" si="57"/>
        <v>0</v>
      </c>
      <c r="J144" s="429">
        <f t="shared" ca="1" si="57"/>
        <v>0</v>
      </c>
      <c r="K144" s="429">
        <f t="shared" ca="1" si="57"/>
        <v>0</v>
      </c>
      <c r="L144" s="429">
        <f t="shared" ca="1" si="57"/>
        <v>0</v>
      </c>
      <c r="M144" s="429">
        <f t="shared" ca="1" si="57"/>
        <v>0</v>
      </c>
    </row>
    <row r="145" spans="2:13 16384:16384" ht="14.85" customHeight="1"/>
    <row r="146" spans="2:13 16384:16384" ht="14.85" customHeight="1">
      <c r="B146" s="414" t="s">
        <v>2287</v>
      </c>
      <c r="C146" s="430">
        <f>'WACC PWERM'!$J$15</f>
        <v>0.45</v>
      </c>
      <c r="D146" s="435">
        <f>1/(1+$C146)^D13</f>
        <v>0.62927811385623289</v>
      </c>
      <c r="E146" s="435">
        <f t="shared" ref="E146:M146" si="58">1/(1+$C146)^E13</f>
        <v>0.62927811385623289</v>
      </c>
      <c r="F146" s="435">
        <f t="shared" si="58"/>
        <v>0.43398490610774687</v>
      </c>
      <c r="G146" s="435">
        <f t="shared" si="58"/>
        <v>0.43398490610774687</v>
      </c>
      <c r="H146" s="435">
        <f t="shared" si="58"/>
        <v>0.62927811385623289</v>
      </c>
      <c r="I146" s="435">
        <f t="shared" si="58"/>
        <v>0.62927811385623289</v>
      </c>
      <c r="J146" s="435">
        <f t="shared" si="58"/>
        <v>0.43398490610774687</v>
      </c>
      <c r="K146" s="435">
        <f t="shared" si="58"/>
        <v>0.43398490610774687</v>
      </c>
      <c r="L146" s="435">
        <f t="shared" si="58"/>
        <v>0.62927811385623289</v>
      </c>
      <c r="M146" s="435">
        <f t="shared" si="58"/>
        <v>0.43398490610774687</v>
      </c>
    </row>
    <row r="147" spans="2:13 16384:16384" ht="14.85" customHeight="1">
      <c r="B147" s="346"/>
      <c r="C147" s="346"/>
      <c r="D147" s="346"/>
      <c r="E147" s="346"/>
      <c r="F147" s="346"/>
      <c r="G147" s="346"/>
      <c r="H147" s="346"/>
      <c r="I147" s="346"/>
      <c r="J147" s="346"/>
      <c r="K147" s="346"/>
      <c r="L147" s="346"/>
      <c r="M147" s="346"/>
    </row>
    <row r="148" spans="2:13 16384:16384" ht="14.85" customHeight="1">
      <c r="B148" s="253" t="s">
        <v>455</v>
      </c>
      <c r="D148" s="429">
        <f ca="1">D144*D146</f>
        <v>0</v>
      </c>
      <c r="E148" s="429">
        <f t="shared" ref="E148:M148" ca="1" si="59">E144*E146</f>
        <v>0</v>
      </c>
      <c r="F148" s="429">
        <f t="shared" ca="1" si="59"/>
        <v>0</v>
      </c>
      <c r="G148" s="429">
        <f t="shared" ca="1" si="59"/>
        <v>0</v>
      </c>
      <c r="H148" s="429">
        <f t="shared" ca="1" si="59"/>
        <v>0</v>
      </c>
      <c r="I148" s="429">
        <f t="shared" ca="1" si="59"/>
        <v>0</v>
      </c>
      <c r="J148" s="429">
        <f t="shared" ca="1" si="59"/>
        <v>0</v>
      </c>
      <c r="K148" s="429">
        <f t="shared" ca="1" si="59"/>
        <v>0</v>
      </c>
      <c r="L148" s="429">
        <f t="shared" ca="1" si="59"/>
        <v>0</v>
      </c>
      <c r="M148" s="429">
        <f t="shared" ca="1" si="59"/>
        <v>0</v>
      </c>
    </row>
    <row r="149" spans="2:13 16384:16384" ht="14.85" customHeight="1"/>
    <row r="150" spans="2:13 16384:16384" ht="14.85" customHeight="1">
      <c r="B150" s="250" t="s">
        <v>2288</v>
      </c>
      <c r="C150" s="436">
        <f>SUM(D150:M150)</f>
        <v>0.99999999999999989</v>
      </c>
      <c r="D150" s="437">
        <v>0.1</v>
      </c>
      <c r="E150" s="437">
        <v>0.1</v>
      </c>
      <c r="F150" s="437">
        <v>0.1</v>
      </c>
      <c r="G150" s="437">
        <v>0.1</v>
      </c>
      <c r="H150" s="437">
        <v>0.1</v>
      </c>
      <c r="I150" s="437">
        <v>0.1</v>
      </c>
      <c r="J150" s="437">
        <v>0.1</v>
      </c>
      <c r="K150" s="437">
        <v>0.1</v>
      </c>
      <c r="L150" s="437">
        <v>0.1</v>
      </c>
      <c r="M150" s="437">
        <v>0.1</v>
      </c>
    </row>
    <row r="151" spans="2:13 16384:16384" ht="14.85" customHeight="1">
      <c r="B151" s="250" t="s">
        <v>992</v>
      </c>
      <c r="C151" s="436">
        <f>SUM(D151:M151)</f>
        <v>0.99999999999999989</v>
      </c>
      <c r="D151" s="437">
        <v>0.1</v>
      </c>
      <c r="E151" s="437">
        <v>0.1</v>
      </c>
      <c r="F151" s="437">
        <v>0.1</v>
      </c>
      <c r="G151" s="437">
        <v>0.1</v>
      </c>
      <c r="H151" s="437">
        <v>0.1</v>
      </c>
      <c r="I151" s="437">
        <v>0.1</v>
      </c>
      <c r="J151" s="437">
        <v>0.1</v>
      </c>
      <c r="K151" s="437">
        <v>0.1</v>
      </c>
      <c r="L151" s="437">
        <v>0.1</v>
      </c>
      <c r="M151" s="437">
        <v>0.1</v>
      </c>
    </row>
    <row r="152" spans="2:13 16384:16384" ht="14.85" customHeight="1"/>
    <row r="153" spans="2:13 16384:16384" ht="14.85" customHeight="1">
      <c r="B153" s="438" t="s">
        <v>456</v>
      </c>
      <c r="D153" s="439" t="s">
        <v>781</v>
      </c>
      <c r="E153" s="359"/>
      <c r="F153" s="359"/>
      <c r="G153" s="359"/>
    </row>
    <row r="154" spans="2:13 16384:16384" ht="14.85" customHeight="1">
      <c r="B154" s="440">
        <f ca="1">SUMPRODUCT(D148:M148,D151:M151)</f>
        <v>0</v>
      </c>
    </row>
    <row r="155" spans="2:13 16384:16384" ht="14.85" customHeight="1"/>
    <row r="156" spans="2:13 16384:16384" ht="14.85" customHeight="1">
      <c r="B156" s="384" t="s">
        <v>457</v>
      </c>
      <c r="C156" s="376"/>
      <c r="D156" s="376"/>
      <c r="E156" s="376"/>
      <c r="F156" s="376"/>
      <c r="G156" s="376"/>
      <c r="H156" s="376"/>
      <c r="I156" s="376"/>
      <c r="J156" s="376"/>
      <c r="K156" s="376"/>
      <c r="L156" s="376"/>
      <c r="M156" s="379"/>
    </row>
    <row r="157" spans="2:13 16384:16384" ht="14.85" customHeight="1"/>
    <row r="158" spans="2:13 16384:16384" ht="14.85" customHeight="1">
      <c r="B158" s="253" t="s">
        <v>460</v>
      </c>
    </row>
    <row r="159" spans="2:13 16384:16384" ht="14.85" customHeight="1">
      <c r="B159" s="328" t="s">
        <v>461</v>
      </c>
      <c r="D159" s="441">
        <f ca="1">MIN(SUM(D107:D113),SUM($O$62:$O$68))</f>
        <v>0</v>
      </c>
      <c r="E159" s="441">
        <f t="shared" ref="E159:M159" ca="1" si="60">MIN(SUM(E107:E113),SUM($O$62:$O$68))</f>
        <v>0</v>
      </c>
      <c r="F159" s="441">
        <f t="shared" ca="1" si="60"/>
        <v>0</v>
      </c>
      <c r="G159" s="441">
        <f t="shared" ca="1" si="60"/>
        <v>0</v>
      </c>
      <c r="H159" s="441">
        <f t="shared" ca="1" si="60"/>
        <v>0</v>
      </c>
      <c r="I159" s="441">
        <f t="shared" ca="1" si="60"/>
        <v>0</v>
      </c>
      <c r="J159" s="441">
        <f t="shared" ca="1" si="60"/>
        <v>0</v>
      </c>
      <c r="K159" s="441">
        <f t="shared" ca="1" si="60"/>
        <v>0</v>
      </c>
      <c r="L159" s="441">
        <f t="shared" ca="1" si="60"/>
        <v>0</v>
      </c>
      <c r="M159" s="441">
        <f t="shared" ca="1" si="60"/>
        <v>0</v>
      </c>
      <c r="XFD159" s="441"/>
    </row>
    <row r="160" spans="2:13 16384:16384" ht="14.85" customHeight="1"/>
    <row r="161" spans="2:13" ht="14.85" customHeight="1">
      <c r="B161" s="413" t="s">
        <v>195</v>
      </c>
      <c r="C161" s="430">
        <f>'WACC PWERM'!$J$11</f>
        <v>0.125</v>
      </c>
      <c r="D161" s="435">
        <f>1/(1+$C161)^D$13</f>
        <v>0.86344469751927277</v>
      </c>
      <c r="E161" s="435">
        <f t="shared" ref="E161:M161" si="61">1/(1+$C161)^E$13</f>
        <v>0.86344469751927277</v>
      </c>
      <c r="F161" s="435">
        <f t="shared" si="61"/>
        <v>0.76750639779490915</v>
      </c>
      <c r="G161" s="435">
        <f t="shared" si="61"/>
        <v>0.76750639779490915</v>
      </c>
      <c r="H161" s="435">
        <f t="shared" si="61"/>
        <v>0.86344469751927277</v>
      </c>
      <c r="I161" s="435">
        <f t="shared" si="61"/>
        <v>0.86344469751927277</v>
      </c>
      <c r="J161" s="435">
        <f t="shared" si="61"/>
        <v>0.76750639779490915</v>
      </c>
      <c r="K161" s="435">
        <f t="shared" si="61"/>
        <v>0.76750639779490915</v>
      </c>
      <c r="L161" s="435">
        <f t="shared" si="61"/>
        <v>0.86344469751927277</v>
      </c>
      <c r="M161" s="435">
        <f t="shared" si="61"/>
        <v>0.76750639779490915</v>
      </c>
    </row>
    <row r="162" spans="2:13" ht="14.85" customHeight="1"/>
    <row r="163" spans="2:13" ht="14.85" customHeight="1">
      <c r="B163" s="328" t="s">
        <v>198</v>
      </c>
      <c r="D163" s="331">
        <f ca="1">D159*D161</f>
        <v>0</v>
      </c>
      <c r="E163" s="331">
        <f t="shared" ref="E163:M163" ca="1" si="62">E159*E161</f>
        <v>0</v>
      </c>
      <c r="F163" s="331">
        <f t="shared" ca="1" si="62"/>
        <v>0</v>
      </c>
      <c r="G163" s="331">
        <f t="shared" ca="1" si="62"/>
        <v>0</v>
      </c>
      <c r="H163" s="331">
        <f t="shared" ca="1" si="62"/>
        <v>0</v>
      </c>
      <c r="I163" s="331">
        <f t="shared" ca="1" si="62"/>
        <v>0</v>
      </c>
      <c r="J163" s="331">
        <f t="shared" ca="1" si="62"/>
        <v>0</v>
      </c>
      <c r="K163" s="331">
        <f t="shared" ca="1" si="62"/>
        <v>0</v>
      </c>
      <c r="L163" s="331">
        <f t="shared" ca="1" si="62"/>
        <v>0</v>
      </c>
      <c r="M163" s="331">
        <f t="shared" ca="1" si="62"/>
        <v>0</v>
      </c>
    </row>
    <row r="164" spans="2:13" ht="14.85" customHeight="1"/>
    <row r="165" spans="2:13" ht="14.85" customHeight="1">
      <c r="B165" s="328" t="s">
        <v>462</v>
      </c>
      <c r="D165" s="331">
        <f ca="1">D163*D$151</f>
        <v>0</v>
      </c>
      <c r="E165" s="331">
        <f t="shared" ref="E165:M165" ca="1" si="63">E163*E$151</f>
        <v>0</v>
      </c>
      <c r="F165" s="331">
        <f t="shared" ca="1" si="63"/>
        <v>0</v>
      </c>
      <c r="G165" s="331">
        <f t="shared" ca="1" si="63"/>
        <v>0</v>
      </c>
      <c r="H165" s="331">
        <f t="shared" ca="1" si="63"/>
        <v>0</v>
      </c>
      <c r="I165" s="331">
        <f t="shared" ca="1" si="63"/>
        <v>0</v>
      </c>
      <c r="J165" s="331">
        <f t="shared" ca="1" si="63"/>
        <v>0</v>
      </c>
      <c r="K165" s="331">
        <f t="shared" ca="1" si="63"/>
        <v>0</v>
      </c>
      <c r="L165" s="331">
        <f t="shared" ca="1" si="63"/>
        <v>0</v>
      </c>
      <c r="M165" s="331">
        <f t="shared" ca="1" si="63"/>
        <v>0</v>
      </c>
    </row>
    <row r="166" spans="2:13" ht="14.85" customHeight="1">
      <c r="B166" s="442">
        <f ca="1">SUM(D165:M165)</f>
        <v>0</v>
      </c>
    </row>
    <row r="167" spans="2:13" ht="14.85" customHeight="1"/>
    <row r="168" spans="2:13" ht="14.85" customHeight="1"/>
    <row r="169" spans="2:13" ht="14.85" customHeight="1">
      <c r="B169" s="253" t="s">
        <v>463</v>
      </c>
    </row>
    <row r="170" spans="2:13" ht="14.85" customHeight="1">
      <c r="B170" s="328" t="s">
        <v>461</v>
      </c>
      <c r="D170" s="441">
        <f ca="1">SUM(D107:D113)-D159</f>
        <v>0</v>
      </c>
      <c r="E170" s="441">
        <f t="shared" ref="E170:M170" ca="1" si="64">SUM(E107:E113)-E159</f>
        <v>0</v>
      </c>
      <c r="F170" s="441">
        <f t="shared" ca="1" si="64"/>
        <v>0</v>
      </c>
      <c r="G170" s="441">
        <f t="shared" ca="1" si="64"/>
        <v>0</v>
      </c>
      <c r="H170" s="441">
        <f t="shared" ca="1" si="64"/>
        <v>0</v>
      </c>
      <c r="I170" s="441">
        <f t="shared" ca="1" si="64"/>
        <v>0</v>
      </c>
      <c r="J170" s="441">
        <f t="shared" ca="1" si="64"/>
        <v>0</v>
      </c>
      <c r="K170" s="441">
        <f t="shared" ca="1" si="64"/>
        <v>0</v>
      </c>
      <c r="L170" s="441">
        <f t="shared" ca="1" si="64"/>
        <v>0</v>
      </c>
      <c r="M170" s="441">
        <f t="shared" ca="1" si="64"/>
        <v>0</v>
      </c>
    </row>
    <row r="171" spans="2:13" ht="14.85" customHeight="1"/>
    <row r="172" spans="2:13" ht="14.85" customHeight="1">
      <c r="B172" s="420" t="s">
        <v>195</v>
      </c>
      <c r="C172" s="430">
        <f>'WACC PWERM'!$J$13</f>
        <v>0.27500000000000002</v>
      </c>
      <c r="D172" s="435">
        <f>1/(1+$C172)^D$13</f>
        <v>0.73870936577476853</v>
      </c>
      <c r="E172" s="435">
        <f t="shared" ref="E172:M172" si="65">1/(1+$C172)^E$13</f>
        <v>0.73870936577476853</v>
      </c>
      <c r="F172" s="435">
        <f t="shared" si="65"/>
        <v>0.5793798947253086</v>
      </c>
      <c r="G172" s="435">
        <f t="shared" si="65"/>
        <v>0.5793798947253086</v>
      </c>
      <c r="H172" s="435">
        <f t="shared" si="65"/>
        <v>0.73870936577476853</v>
      </c>
      <c r="I172" s="435">
        <f t="shared" si="65"/>
        <v>0.73870936577476853</v>
      </c>
      <c r="J172" s="435">
        <f t="shared" si="65"/>
        <v>0.5793798947253086</v>
      </c>
      <c r="K172" s="435">
        <f t="shared" si="65"/>
        <v>0.5793798947253086</v>
      </c>
      <c r="L172" s="435">
        <f t="shared" si="65"/>
        <v>0.73870936577476853</v>
      </c>
      <c r="M172" s="435">
        <f t="shared" si="65"/>
        <v>0.5793798947253086</v>
      </c>
    </row>
    <row r="173" spans="2:13" ht="14.85" customHeight="1"/>
    <row r="174" spans="2:13" ht="14.85" customHeight="1">
      <c r="B174" s="328" t="s">
        <v>198</v>
      </c>
      <c r="D174" s="331">
        <f ca="1">D170*D172</f>
        <v>0</v>
      </c>
      <c r="E174" s="331">
        <f t="shared" ref="E174:M174" ca="1" si="66">E170*E172</f>
        <v>0</v>
      </c>
      <c r="F174" s="331">
        <f t="shared" ca="1" si="66"/>
        <v>0</v>
      </c>
      <c r="G174" s="331">
        <f t="shared" ca="1" si="66"/>
        <v>0</v>
      </c>
      <c r="H174" s="331">
        <f t="shared" ca="1" si="66"/>
        <v>0</v>
      </c>
      <c r="I174" s="331">
        <f t="shared" ca="1" si="66"/>
        <v>0</v>
      </c>
      <c r="J174" s="331">
        <f t="shared" ca="1" si="66"/>
        <v>0</v>
      </c>
      <c r="K174" s="331">
        <f t="shared" ca="1" si="66"/>
        <v>0</v>
      </c>
      <c r="L174" s="331">
        <f t="shared" ca="1" si="66"/>
        <v>0</v>
      </c>
      <c r="M174" s="331">
        <f t="shared" ca="1" si="66"/>
        <v>0</v>
      </c>
    </row>
    <row r="175" spans="2:13" ht="14.85" customHeight="1"/>
    <row r="176" spans="2:13" ht="14.85" customHeight="1">
      <c r="B176" s="328" t="s">
        <v>462</v>
      </c>
      <c r="D176" s="331">
        <f ca="1">D174*D$151</f>
        <v>0</v>
      </c>
      <c r="E176" s="331">
        <f t="shared" ref="E176:M176" ca="1" si="67">E174*E$151</f>
        <v>0</v>
      </c>
      <c r="F176" s="331">
        <f t="shared" ca="1" si="67"/>
        <v>0</v>
      </c>
      <c r="G176" s="331">
        <f t="shared" ca="1" si="67"/>
        <v>0</v>
      </c>
      <c r="H176" s="331">
        <f t="shared" ca="1" si="67"/>
        <v>0</v>
      </c>
      <c r="I176" s="331">
        <f t="shared" ca="1" si="67"/>
        <v>0</v>
      </c>
      <c r="J176" s="331">
        <f t="shared" ca="1" si="67"/>
        <v>0</v>
      </c>
      <c r="K176" s="331">
        <f t="shared" ca="1" si="67"/>
        <v>0</v>
      </c>
      <c r="L176" s="331">
        <f t="shared" ca="1" si="67"/>
        <v>0</v>
      </c>
      <c r="M176" s="331">
        <f t="shared" ca="1" si="67"/>
        <v>0</v>
      </c>
    </row>
    <row r="177" spans="2:13" ht="14.85" customHeight="1">
      <c r="B177" s="443">
        <f ca="1">SUM(D176:M176)</f>
        <v>0</v>
      </c>
    </row>
    <row r="178" spans="2:13" ht="14.85" customHeight="1"/>
    <row r="179" spans="2:13" ht="14.85" customHeight="1">
      <c r="B179" s="384" t="s">
        <v>466</v>
      </c>
      <c r="C179" s="376"/>
      <c r="D179" s="376"/>
      <c r="E179" s="376"/>
      <c r="F179" s="376"/>
      <c r="G179" s="376"/>
      <c r="H179" s="376"/>
      <c r="I179" s="376"/>
      <c r="J179" s="376"/>
      <c r="K179" s="376"/>
      <c r="L179" s="376"/>
      <c r="M179" s="379"/>
    </row>
    <row r="180" spans="2:13" ht="14.85" customHeight="1"/>
    <row r="181" spans="2:13" ht="14.85" customHeight="1">
      <c r="B181" s="253" t="s">
        <v>464</v>
      </c>
    </row>
    <row r="182" spans="2:13" ht="14.85" customHeight="1">
      <c r="B182" s="328" t="s">
        <v>461</v>
      </c>
      <c r="D182" s="441">
        <f ca="1">MIN(D113,$O$68)</f>
        <v>0</v>
      </c>
      <c r="E182" s="441">
        <f t="shared" ref="E182:M182" ca="1" si="68">MIN(E113,$O$68)</f>
        <v>0</v>
      </c>
      <c r="F182" s="441">
        <f t="shared" ca="1" si="68"/>
        <v>0</v>
      </c>
      <c r="G182" s="441">
        <f t="shared" ca="1" si="68"/>
        <v>0</v>
      </c>
      <c r="H182" s="441">
        <f t="shared" ca="1" si="68"/>
        <v>0</v>
      </c>
      <c r="I182" s="441">
        <f t="shared" ca="1" si="68"/>
        <v>0</v>
      </c>
      <c r="J182" s="441">
        <f t="shared" ca="1" si="68"/>
        <v>0</v>
      </c>
      <c r="K182" s="441">
        <f t="shared" ca="1" si="68"/>
        <v>0</v>
      </c>
      <c r="L182" s="441">
        <f t="shared" ca="1" si="68"/>
        <v>0</v>
      </c>
      <c r="M182" s="441">
        <f t="shared" ca="1" si="68"/>
        <v>0</v>
      </c>
    </row>
    <row r="183" spans="2:13" ht="14.85" customHeight="1"/>
    <row r="184" spans="2:13" ht="14.85" customHeight="1">
      <c r="B184" s="413" t="s">
        <v>195</v>
      </c>
      <c r="C184" s="444">
        <f>C161</f>
        <v>0.125</v>
      </c>
      <c r="D184" s="435">
        <f>+D161</f>
        <v>0.86344469751927277</v>
      </c>
      <c r="E184" s="435">
        <f t="shared" ref="E184:M184" si="69">+E161</f>
        <v>0.86344469751927277</v>
      </c>
      <c r="F184" s="435">
        <f t="shared" si="69"/>
        <v>0.76750639779490915</v>
      </c>
      <c r="G184" s="435">
        <f t="shared" si="69"/>
        <v>0.76750639779490915</v>
      </c>
      <c r="H184" s="435">
        <f t="shared" si="69"/>
        <v>0.86344469751927277</v>
      </c>
      <c r="I184" s="435">
        <f t="shared" si="69"/>
        <v>0.86344469751927277</v>
      </c>
      <c r="J184" s="435">
        <f t="shared" si="69"/>
        <v>0.76750639779490915</v>
      </c>
      <c r="K184" s="435">
        <f t="shared" si="69"/>
        <v>0.76750639779490915</v>
      </c>
      <c r="L184" s="435">
        <f t="shared" si="69"/>
        <v>0.86344469751927277</v>
      </c>
      <c r="M184" s="435">
        <f t="shared" si="69"/>
        <v>0.76750639779490915</v>
      </c>
    </row>
    <row r="185" spans="2:13" ht="14.85" customHeight="1">
      <c r="B185" s="328"/>
    </row>
    <row r="186" spans="2:13" ht="14.85" customHeight="1">
      <c r="B186" s="328" t="s">
        <v>198</v>
      </c>
      <c r="D186" s="331">
        <f ca="1">D182*D184</f>
        <v>0</v>
      </c>
      <c r="E186" s="331">
        <f t="shared" ref="E186:M186" ca="1" si="70">E182*E184</f>
        <v>0</v>
      </c>
      <c r="F186" s="331">
        <f t="shared" ca="1" si="70"/>
        <v>0</v>
      </c>
      <c r="G186" s="331">
        <f t="shared" ca="1" si="70"/>
        <v>0</v>
      </c>
      <c r="H186" s="331">
        <f t="shared" ca="1" si="70"/>
        <v>0</v>
      </c>
      <c r="I186" s="331">
        <f t="shared" ca="1" si="70"/>
        <v>0</v>
      </c>
      <c r="J186" s="331">
        <f t="shared" ca="1" si="70"/>
        <v>0</v>
      </c>
      <c r="K186" s="331">
        <f t="shared" ca="1" si="70"/>
        <v>0</v>
      </c>
      <c r="L186" s="331">
        <f t="shared" ca="1" si="70"/>
        <v>0</v>
      </c>
      <c r="M186" s="331">
        <f t="shared" ca="1" si="70"/>
        <v>0</v>
      </c>
    </row>
    <row r="187" spans="2:13" ht="14.85" customHeight="1"/>
    <row r="188" spans="2:13" ht="14.85" customHeight="1">
      <c r="B188" s="328" t="s">
        <v>462</v>
      </c>
      <c r="D188" s="331">
        <f ca="1">D186*D$151</f>
        <v>0</v>
      </c>
      <c r="E188" s="331">
        <f t="shared" ref="E188:M188" ca="1" si="71">E186*E$151</f>
        <v>0</v>
      </c>
      <c r="F188" s="331">
        <f t="shared" ca="1" si="71"/>
        <v>0</v>
      </c>
      <c r="G188" s="331">
        <f t="shared" ca="1" si="71"/>
        <v>0</v>
      </c>
      <c r="H188" s="331">
        <f t="shared" ca="1" si="71"/>
        <v>0</v>
      </c>
      <c r="I188" s="331">
        <f t="shared" ca="1" si="71"/>
        <v>0</v>
      </c>
      <c r="J188" s="331">
        <f t="shared" ca="1" si="71"/>
        <v>0</v>
      </c>
      <c r="K188" s="331">
        <f t="shared" ca="1" si="71"/>
        <v>0</v>
      </c>
      <c r="L188" s="331">
        <f t="shared" ca="1" si="71"/>
        <v>0</v>
      </c>
      <c r="M188" s="331">
        <f t="shared" ca="1" si="71"/>
        <v>0</v>
      </c>
    </row>
    <row r="189" spans="2:13" ht="14.85" customHeight="1">
      <c r="B189" s="443">
        <f ca="1">SUM(D188:M188)</f>
        <v>0</v>
      </c>
    </row>
    <row r="190" spans="2:13" ht="14.85" customHeight="1"/>
    <row r="191" spans="2:13" ht="14.85" customHeight="1"/>
    <row r="192" spans="2:13" ht="14.85" customHeight="1">
      <c r="B192" s="253" t="s">
        <v>465</v>
      </c>
    </row>
    <row r="193" spans="2:14" ht="14.85" customHeight="1">
      <c r="B193" s="328" t="s">
        <v>461</v>
      </c>
      <c r="D193" s="441">
        <f ca="1">D113-D182</f>
        <v>0</v>
      </c>
      <c r="E193" s="441">
        <f t="shared" ref="E193:M193" ca="1" si="72">E113-E182</f>
        <v>0</v>
      </c>
      <c r="F193" s="441">
        <f t="shared" ca="1" si="72"/>
        <v>0</v>
      </c>
      <c r="G193" s="441">
        <f t="shared" ca="1" si="72"/>
        <v>0</v>
      </c>
      <c r="H193" s="441">
        <f t="shared" ca="1" si="72"/>
        <v>0</v>
      </c>
      <c r="I193" s="441">
        <f t="shared" ca="1" si="72"/>
        <v>0</v>
      </c>
      <c r="J193" s="441">
        <f t="shared" ca="1" si="72"/>
        <v>0</v>
      </c>
      <c r="K193" s="441">
        <f t="shared" ca="1" si="72"/>
        <v>0</v>
      </c>
      <c r="L193" s="441">
        <f t="shared" ca="1" si="72"/>
        <v>0</v>
      </c>
      <c r="M193" s="441">
        <f t="shared" ca="1" si="72"/>
        <v>0</v>
      </c>
    </row>
    <row r="194" spans="2:14" ht="14.85" customHeight="1"/>
    <row r="195" spans="2:14" ht="14.85" customHeight="1">
      <c r="B195" s="413" t="s">
        <v>195</v>
      </c>
      <c r="C195" s="444">
        <f>C172</f>
        <v>0.27500000000000002</v>
      </c>
      <c r="D195" s="435">
        <f>+D172</f>
        <v>0.73870936577476853</v>
      </c>
      <c r="E195" s="435">
        <f t="shared" ref="E195:M195" si="73">+E172</f>
        <v>0.73870936577476853</v>
      </c>
      <c r="F195" s="435">
        <f t="shared" si="73"/>
        <v>0.5793798947253086</v>
      </c>
      <c r="G195" s="435">
        <f t="shared" si="73"/>
        <v>0.5793798947253086</v>
      </c>
      <c r="H195" s="435">
        <f t="shared" si="73"/>
        <v>0.73870936577476853</v>
      </c>
      <c r="I195" s="435">
        <f t="shared" si="73"/>
        <v>0.73870936577476853</v>
      </c>
      <c r="J195" s="435">
        <f t="shared" si="73"/>
        <v>0.5793798947253086</v>
      </c>
      <c r="K195" s="435">
        <f t="shared" si="73"/>
        <v>0.5793798947253086</v>
      </c>
      <c r="L195" s="435">
        <f t="shared" si="73"/>
        <v>0.73870936577476853</v>
      </c>
      <c r="M195" s="435">
        <f t="shared" si="73"/>
        <v>0.5793798947253086</v>
      </c>
    </row>
    <row r="196" spans="2:14" ht="14.85" customHeight="1"/>
    <row r="197" spans="2:14" ht="14.85" customHeight="1">
      <c r="B197" s="328" t="s">
        <v>198</v>
      </c>
      <c r="D197" s="331">
        <f ca="1">D193*D195</f>
        <v>0</v>
      </c>
      <c r="E197" s="331">
        <f t="shared" ref="E197:M197" ca="1" si="74">E193*E195</f>
        <v>0</v>
      </c>
      <c r="F197" s="331">
        <f t="shared" ca="1" si="74"/>
        <v>0</v>
      </c>
      <c r="G197" s="331">
        <f t="shared" ca="1" si="74"/>
        <v>0</v>
      </c>
      <c r="H197" s="331">
        <f t="shared" ca="1" si="74"/>
        <v>0</v>
      </c>
      <c r="I197" s="331">
        <f t="shared" ca="1" si="74"/>
        <v>0</v>
      </c>
      <c r="J197" s="331">
        <f t="shared" ca="1" si="74"/>
        <v>0</v>
      </c>
      <c r="K197" s="331">
        <f t="shared" ca="1" si="74"/>
        <v>0</v>
      </c>
      <c r="L197" s="331">
        <f t="shared" ca="1" si="74"/>
        <v>0</v>
      </c>
      <c r="M197" s="331">
        <f t="shared" ca="1" si="74"/>
        <v>0</v>
      </c>
    </row>
    <row r="198" spans="2:14" ht="14.85" customHeight="1"/>
    <row r="199" spans="2:14" ht="14.85" customHeight="1">
      <c r="B199" s="328" t="s">
        <v>462</v>
      </c>
      <c r="D199" s="331">
        <f ca="1">D197*D$151</f>
        <v>0</v>
      </c>
      <c r="E199" s="331">
        <f t="shared" ref="E199:M199" ca="1" si="75">E197*E$151</f>
        <v>0</v>
      </c>
      <c r="F199" s="331">
        <f t="shared" ca="1" si="75"/>
        <v>0</v>
      </c>
      <c r="G199" s="331">
        <f t="shared" ca="1" si="75"/>
        <v>0</v>
      </c>
      <c r="H199" s="331">
        <f t="shared" ca="1" si="75"/>
        <v>0</v>
      </c>
      <c r="I199" s="331">
        <f t="shared" ca="1" si="75"/>
        <v>0</v>
      </c>
      <c r="J199" s="331">
        <f t="shared" ca="1" si="75"/>
        <v>0</v>
      </c>
      <c r="K199" s="331">
        <f t="shared" ca="1" si="75"/>
        <v>0</v>
      </c>
      <c r="L199" s="331">
        <f t="shared" ca="1" si="75"/>
        <v>0</v>
      </c>
      <c r="M199" s="331">
        <f t="shared" ca="1" si="75"/>
        <v>0</v>
      </c>
    </row>
    <row r="200" spans="2:14" ht="14.85" customHeight="1">
      <c r="B200" s="443">
        <f ca="1">SUM(D199:M199)</f>
        <v>0</v>
      </c>
      <c r="D200" s="331"/>
      <c r="E200" s="331"/>
      <c r="F200" s="331"/>
      <c r="G200" s="331"/>
      <c r="H200" s="331"/>
      <c r="I200" s="331"/>
      <c r="J200" s="331"/>
      <c r="K200" s="331"/>
      <c r="L200" s="331"/>
      <c r="M200" s="331"/>
    </row>
    <row r="201" spans="2:14" ht="14.85" customHeight="1"/>
    <row r="202" spans="2:14" ht="14.85" customHeight="1">
      <c r="B202" s="445"/>
      <c r="C202" s="446"/>
      <c r="D202" s="447" t="s">
        <v>326</v>
      </c>
      <c r="E202" s="447" t="s">
        <v>324</v>
      </c>
      <c r="F202" s="448" t="s">
        <v>467</v>
      </c>
    </row>
    <row r="203" spans="2:14" ht="14.85" customHeight="1">
      <c r="B203" s="449" t="s">
        <v>468</v>
      </c>
      <c r="C203" s="450"/>
      <c r="D203" s="451">
        <f ca="1">B200+B189</f>
        <v>0</v>
      </c>
      <c r="E203" s="452"/>
      <c r="F203" s="453" t="e">
        <f ca="1">D203/E203</f>
        <v>#DIV/0!</v>
      </c>
      <c r="G203" s="439" t="s">
        <v>782</v>
      </c>
      <c r="H203" s="439"/>
      <c r="I203" s="439"/>
      <c r="J203" s="439"/>
      <c r="N203" s="414"/>
    </row>
    <row r="204" spans="2:14" ht="14.85" customHeight="1">
      <c r="N204" s="414"/>
    </row>
    <row r="205" spans="2:14" ht="14.85" customHeight="1">
      <c r="B205" s="384" t="s">
        <v>352</v>
      </c>
      <c r="C205" s="376"/>
      <c r="D205" s="376"/>
      <c r="E205" s="376"/>
      <c r="F205" s="376"/>
      <c r="G205" s="376"/>
      <c r="H205" s="376"/>
      <c r="I205" s="376"/>
      <c r="J205" s="376"/>
      <c r="K205" s="376"/>
      <c r="L205" s="376"/>
      <c r="M205" s="379"/>
      <c r="N205" s="454"/>
    </row>
    <row r="206" spans="2:14" ht="14.85" customHeight="1">
      <c r="N206" s="414"/>
    </row>
    <row r="207" spans="2:14" ht="14.85" customHeight="1">
      <c r="B207" s="328" t="s">
        <v>461</v>
      </c>
      <c r="D207" s="441">
        <f>D55</f>
        <v>89200</v>
      </c>
      <c r="E207" s="441">
        <f t="shared" ref="E207:M207" si="76">E55</f>
        <v>89200</v>
      </c>
      <c r="F207" s="441">
        <f t="shared" si="76"/>
        <v>82840</v>
      </c>
      <c r="G207" s="441">
        <f t="shared" si="76"/>
        <v>82840</v>
      </c>
      <c r="H207" s="441">
        <f t="shared" si="76"/>
        <v>89200</v>
      </c>
      <c r="I207" s="441">
        <f t="shared" si="76"/>
        <v>89200</v>
      </c>
      <c r="J207" s="441">
        <f t="shared" si="76"/>
        <v>82840</v>
      </c>
      <c r="K207" s="441">
        <f t="shared" si="76"/>
        <v>82840</v>
      </c>
      <c r="L207" s="441">
        <f t="shared" si="76"/>
        <v>89200</v>
      </c>
      <c r="M207" s="441">
        <f t="shared" si="76"/>
        <v>82840</v>
      </c>
    </row>
    <row r="208" spans="2:14" ht="14.85" customHeight="1"/>
    <row r="209" spans="1:19" ht="14.85" customHeight="1">
      <c r="B209" s="413" t="s">
        <v>195</v>
      </c>
      <c r="C209" s="430">
        <f>'WACC PWERM'!$J$23</f>
        <v>0.2</v>
      </c>
      <c r="D209" s="435">
        <f>1/(1+$C209)^D$13</f>
        <v>0.79669962196315403</v>
      </c>
      <c r="E209" s="435">
        <f t="shared" ref="E209:M209" si="77">1/(1+$C209)^E$13</f>
        <v>0.79669962196315403</v>
      </c>
      <c r="F209" s="435">
        <f t="shared" si="77"/>
        <v>0.66391635163596163</v>
      </c>
      <c r="G209" s="435">
        <f t="shared" si="77"/>
        <v>0.66391635163596163</v>
      </c>
      <c r="H209" s="435">
        <f t="shared" si="77"/>
        <v>0.79669962196315403</v>
      </c>
      <c r="I209" s="435">
        <f t="shared" si="77"/>
        <v>0.79669962196315403</v>
      </c>
      <c r="J209" s="435">
        <f t="shared" si="77"/>
        <v>0.66391635163596163</v>
      </c>
      <c r="K209" s="435">
        <f t="shared" si="77"/>
        <v>0.66391635163596163</v>
      </c>
      <c r="L209" s="435">
        <f t="shared" si="77"/>
        <v>0.79669962196315403</v>
      </c>
      <c r="M209" s="435">
        <f t="shared" si="77"/>
        <v>0.66391635163596163</v>
      </c>
    </row>
    <row r="210" spans="1:19" ht="14.85" customHeight="1"/>
    <row r="211" spans="1:19" ht="14.85" customHeight="1">
      <c r="B211" s="328" t="s">
        <v>198</v>
      </c>
      <c r="D211" s="331">
        <f>D207*D209</f>
        <v>71065.606279113344</v>
      </c>
      <c r="E211" s="331">
        <f t="shared" ref="E211:M211" si="78">E207*E209</f>
        <v>71065.606279113344</v>
      </c>
      <c r="F211" s="331">
        <f t="shared" si="78"/>
        <v>54998.830569523059</v>
      </c>
      <c r="G211" s="331">
        <f t="shared" si="78"/>
        <v>54998.830569523059</v>
      </c>
      <c r="H211" s="331">
        <f t="shared" si="78"/>
        <v>71065.606279113344</v>
      </c>
      <c r="I211" s="331">
        <f t="shared" si="78"/>
        <v>71065.606279113344</v>
      </c>
      <c r="J211" s="331">
        <f t="shared" si="78"/>
        <v>54998.830569523059</v>
      </c>
      <c r="K211" s="331">
        <f t="shared" si="78"/>
        <v>54998.830569523059</v>
      </c>
      <c r="L211" s="331">
        <f t="shared" si="78"/>
        <v>71065.606279113344</v>
      </c>
      <c r="M211" s="331">
        <f t="shared" si="78"/>
        <v>54998.830569523059</v>
      </c>
    </row>
    <row r="212" spans="1:19" ht="14.85" customHeight="1"/>
    <row r="213" spans="1:19" ht="14.85" customHeight="1">
      <c r="B213" s="328" t="s">
        <v>462</v>
      </c>
      <c r="D213" s="331">
        <f>D211*D$151</f>
        <v>7106.5606279113344</v>
      </c>
      <c r="E213" s="331">
        <f t="shared" ref="E213:M213" si="79">E211*E$151</f>
        <v>7106.5606279113344</v>
      </c>
      <c r="F213" s="331">
        <f t="shared" si="79"/>
        <v>5499.8830569523061</v>
      </c>
      <c r="G213" s="331">
        <f t="shared" si="79"/>
        <v>5499.8830569523061</v>
      </c>
      <c r="H213" s="331">
        <f t="shared" si="79"/>
        <v>7106.5606279113344</v>
      </c>
      <c r="I213" s="331">
        <f t="shared" si="79"/>
        <v>7106.5606279113344</v>
      </c>
      <c r="J213" s="331">
        <f t="shared" si="79"/>
        <v>5499.8830569523061</v>
      </c>
      <c r="K213" s="331">
        <f t="shared" si="79"/>
        <v>5499.8830569523061</v>
      </c>
      <c r="L213" s="331">
        <f t="shared" si="79"/>
        <v>7106.5606279113344</v>
      </c>
      <c r="M213" s="331">
        <f t="shared" si="79"/>
        <v>5499.8830569523061</v>
      </c>
    </row>
    <row r="214" spans="1:19" ht="14.85" customHeight="1">
      <c r="B214" s="443">
        <f>ROUND(SUM(D213:M213),-1)</f>
        <v>63030</v>
      </c>
    </row>
    <row r="215" spans="1:19" ht="14.85" customHeight="1"/>
    <row r="216" spans="1:19" ht="14.85" customHeight="1">
      <c r="A216" s="414"/>
      <c r="B216" s="455" t="s">
        <v>86</v>
      </c>
    </row>
    <row r="217" spans="1:19" ht="14.85" customHeight="1">
      <c r="A217" s="456" t="s">
        <v>270</v>
      </c>
      <c r="B217" s="457" t="str">
        <f>"Refer to "&amp;'WACC PWERM'!B3&amp;" for details regarding discount rate."</f>
        <v>Refer to Exhibit D.3 for details regarding discount rate.</v>
      </c>
    </row>
    <row r="218" spans="1:19" ht="14.85" customHeight="1">
      <c r="A218" s="456" t="s">
        <v>269</v>
      </c>
      <c r="B218" s="457" t="str">
        <f>"Refer to "&amp;'Exit Probability'!B3&amp;" for details regarding probability weightings."</f>
        <v>Refer to Exhibit B.2 for details regarding probability weightings.</v>
      </c>
    </row>
    <row r="219" spans="1:19" ht="14.85" customHeight="1"/>
    <row r="220" spans="1:19" ht="14.85" customHeight="1"/>
    <row r="221" spans="1:19" ht="14.85" customHeight="1">
      <c r="B221" s="253" t="s">
        <v>989</v>
      </c>
    </row>
    <row r="222" spans="1:19" ht="14.85" customHeight="1">
      <c r="B222" s="250" t="s">
        <v>990</v>
      </c>
      <c r="D222" s="331">
        <f t="shared" ref="D222:M222" ca="1" si="80">SUM(D114:D130)</f>
        <v>0</v>
      </c>
      <c r="E222" s="331">
        <f t="shared" ca="1" si="80"/>
        <v>0</v>
      </c>
      <c r="F222" s="331">
        <f t="shared" ca="1" si="80"/>
        <v>0</v>
      </c>
      <c r="G222" s="331">
        <f t="shared" ca="1" si="80"/>
        <v>0</v>
      </c>
      <c r="H222" s="331">
        <f t="shared" ca="1" si="80"/>
        <v>0</v>
      </c>
      <c r="I222" s="331">
        <f t="shared" ca="1" si="80"/>
        <v>0</v>
      </c>
      <c r="J222" s="331">
        <f t="shared" ca="1" si="80"/>
        <v>0</v>
      </c>
      <c r="K222" s="331">
        <f t="shared" ca="1" si="80"/>
        <v>0</v>
      </c>
      <c r="L222" s="331">
        <f t="shared" ca="1" si="80"/>
        <v>0</v>
      </c>
      <c r="M222" s="331">
        <f t="shared" ca="1" si="80"/>
        <v>0</v>
      </c>
    </row>
    <row r="223" spans="1:19" ht="14.85" customHeight="1">
      <c r="B223" s="250" t="s">
        <v>991</v>
      </c>
      <c r="D223" s="250">
        <f ca="1">SUMPRODUCT(D222:M222,D151:M151,D146:M146)</f>
        <v>0</v>
      </c>
    </row>
    <row r="224" spans="1:19" ht="14.85" customHeight="1">
      <c r="B224" s="250" t="s">
        <v>993</v>
      </c>
      <c r="D224" s="458" t="e">
        <f ca="1">+D223/B154</f>
        <v>#DIV/0!</v>
      </c>
      <c r="P224" s="459" t="s">
        <v>738</v>
      </c>
      <c r="Q224" s="460"/>
      <c r="R224" s="460"/>
      <c r="S224" s="461"/>
    </row>
    <row r="225" spans="2:19" ht="14.85" customHeight="1">
      <c r="P225" s="462">
        <v>0</v>
      </c>
      <c r="Q225" s="463" t="s">
        <v>3452</v>
      </c>
      <c r="R225" s="464"/>
      <c r="S225" s="465"/>
    </row>
    <row r="226" spans="2:19" ht="14.85" customHeight="1">
      <c r="B226" s="384" t="s">
        <v>653</v>
      </c>
      <c r="C226" s="376"/>
      <c r="D226" s="376"/>
      <c r="E226" s="376"/>
      <c r="F226" s="376"/>
      <c r="G226" s="376"/>
      <c r="H226" s="376"/>
      <c r="I226" s="376"/>
      <c r="J226" s="376"/>
      <c r="K226" s="376"/>
      <c r="L226" s="376"/>
      <c r="M226" s="379"/>
      <c r="P226" s="466"/>
      <c r="Q226" s="467"/>
      <c r="R226" s="467"/>
      <c r="S226" s="468"/>
    </row>
    <row r="227" spans="2:19" ht="14.85" customHeight="1">
      <c r="P227" s="469" t="s">
        <v>3453</v>
      </c>
      <c r="Q227" s="470" t="s">
        <v>3454</v>
      </c>
      <c r="R227" s="470" t="s">
        <v>3455</v>
      </c>
      <c r="S227" s="471" t="s">
        <v>2193</v>
      </c>
    </row>
    <row r="228" spans="2:19" ht="14.85" customHeight="1">
      <c r="B228" s="472" t="str">
        <f>+B107</f>
        <v>Series A</v>
      </c>
      <c r="D228" s="473"/>
      <c r="E228" s="473"/>
      <c r="F228" s="473"/>
      <c r="G228" s="473"/>
      <c r="H228" s="473"/>
      <c r="I228" s="473"/>
      <c r="J228" s="473"/>
      <c r="K228" s="473"/>
      <c r="L228" s="473"/>
      <c r="M228" s="473"/>
      <c r="P228" s="474"/>
      <c r="Q228" s="475"/>
      <c r="R228" s="475"/>
      <c r="S228" s="476"/>
    </row>
    <row r="229" spans="2:19" ht="14.85" customHeight="1">
      <c r="B229" s="477" t="str">
        <f>$B$181</f>
        <v>Debt-Like Component</v>
      </c>
      <c r="D229" s="478">
        <f t="shared" ref="D229:M229" ca="1" si="81">MIN(D107,$O$62)/$O$75</f>
        <v>0</v>
      </c>
      <c r="E229" s="478">
        <f t="shared" ca="1" si="81"/>
        <v>0</v>
      </c>
      <c r="F229" s="478">
        <f t="shared" ca="1" si="81"/>
        <v>0</v>
      </c>
      <c r="G229" s="478">
        <f t="shared" ca="1" si="81"/>
        <v>0</v>
      </c>
      <c r="H229" s="478">
        <f t="shared" ca="1" si="81"/>
        <v>0</v>
      </c>
      <c r="I229" s="478">
        <f t="shared" ca="1" si="81"/>
        <v>0</v>
      </c>
      <c r="J229" s="478">
        <f t="shared" ca="1" si="81"/>
        <v>0</v>
      </c>
      <c r="K229" s="478">
        <f t="shared" ca="1" si="81"/>
        <v>0</v>
      </c>
      <c r="L229" s="478">
        <f t="shared" ca="1" si="81"/>
        <v>0</v>
      </c>
      <c r="M229" s="478">
        <f t="shared" ca="1" si="81"/>
        <v>0</v>
      </c>
      <c r="P229" s="479">
        <f>IF($P$225=1,'WACC PWERM'!$J$23,'WACC PWERM'!$J$11)</f>
        <v>0.125</v>
      </c>
      <c r="Q229" s="480">
        <f ca="1">SUMPRODUCT(D274:M274,$D$151:$M$151)</f>
        <v>0</v>
      </c>
      <c r="R229" s="481">
        <f>O75</f>
        <v>10</v>
      </c>
      <c r="S229" s="482">
        <f ca="1">Q229*R229</f>
        <v>0</v>
      </c>
    </row>
    <row r="230" spans="2:19" ht="14.85" customHeight="1">
      <c r="B230" s="477" t="str">
        <f>$B$192</f>
        <v>Equity-Like Component</v>
      </c>
      <c r="D230" s="478">
        <f t="shared" ref="D230:M230" ca="1" si="82">(D107-MIN(D107,$O$62)/$O$75)</f>
        <v>0</v>
      </c>
      <c r="E230" s="478">
        <f t="shared" ca="1" si="82"/>
        <v>0</v>
      </c>
      <c r="F230" s="478">
        <f t="shared" ca="1" si="82"/>
        <v>0</v>
      </c>
      <c r="G230" s="478">
        <f t="shared" ca="1" si="82"/>
        <v>0</v>
      </c>
      <c r="H230" s="478">
        <f t="shared" ca="1" si="82"/>
        <v>0</v>
      </c>
      <c r="I230" s="478">
        <f t="shared" ca="1" si="82"/>
        <v>0</v>
      </c>
      <c r="J230" s="478">
        <f t="shared" ca="1" si="82"/>
        <v>0</v>
      </c>
      <c r="K230" s="478">
        <f t="shared" ca="1" si="82"/>
        <v>0</v>
      </c>
      <c r="L230" s="478">
        <f t="shared" ca="1" si="82"/>
        <v>0</v>
      </c>
      <c r="M230" s="478">
        <f t="shared" ca="1" si="82"/>
        <v>0</v>
      </c>
      <c r="P230" s="479">
        <f>IF($P$225=1,'WACC PWERM'!$J$23,'WACC PWERM'!$J$13)</f>
        <v>0.27500000000000002</v>
      </c>
      <c r="Q230" s="480">
        <f ca="1">SUMPRODUCT(D275:M275,$D$151:$M$151)</f>
        <v>0</v>
      </c>
      <c r="R230" s="481">
        <f>R229</f>
        <v>10</v>
      </c>
      <c r="S230" s="482">
        <f ca="1">Q230*R230</f>
        <v>0</v>
      </c>
    </row>
    <row r="231" spans="2:19" ht="14.85" customHeight="1">
      <c r="B231" s="472" t="str">
        <f>+B108</f>
        <v>Series B</v>
      </c>
      <c r="D231" s="473"/>
      <c r="E231" s="473"/>
      <c r="F231" s="473"/>
      <c r="G231" s="473"/>
      <c r="H231" s="473"/>
      <c r="I231" s="473"/>
      <c r="J231" s="473"/>
      <c r="K231" s="473"/>
      <c r="L231" s="473"/>
      <c r="M231" s="473"/>
      <c r="P231" s="466"/>
      <c r="Q231" s="467"/>
      <c r="R231" s="467"/>
      <c r="S231" s="468"/>
    </row>
    <row r="232" spans="2:19" ht="14.85" customHeight="1">
      <c r="B232" s="477" t="str">
        <f>$B$181</f>
        <v>Debt-Like Component</v>
      </c>
      <c r="D232" s="478">
        <f t="shared" ref="D232:M232" ca="1" si="83">MIN(D108,$O$63)/$O$76</f>
        <v>0</v>
      </c>
      <c r="E232" s="478">
        <f t="shared" ca="1" si="83"/>
        <v>0</v>
      </c>
      <c r="F232" s="478">
        <f t="shared" ca="1" si="83"/>
        <v>0</v>
      </c>
      <c r="G232" s="478">
        <f t="shared" ca="1" si="83"/>
        <v>0</v>
      </c>
      <c r="H232" s="478">
        <f t="shared" ca="1" si="83"/>
        <v>0</v>
      </c>
      <c r="I232" s="478">
        <f t="shared" ca="1" si="83"/>
        <v>0</v>
      </c>
      <c r="J232" s="478">
        <f t="shared" ca="1" si="83"/>
        <v>0</v>
      </c>
      <c r="K232" s="478">
        <f t="shared" ca="1" si="83"/>
        <v>0</v>
      </c>
      <c r="L232" s="478">
        <f t="shared" ca="1" si="83"/>
        <v>0</v>
      </c>
      <c r="M232" s="478">
        <f t="shared" ca="1" si="83"/>
        <v>0</v>
      </c>
      <c r="P232" s="483">
        <f>P229</f>
        <v>0.125</v>
      </c>
      <c r="Q232" s="480">
        <f ca="1">SUMPRODUCT(D277:M277,$D$151:$M$151)</f>
        <v>0</v>
      </c>
      <c r="R232" s="481">
        <f ca="1">O76</f>
        <v>99</v>
      </c>
      <c r="S232" s="482">
        <f ca="1">Q232*R232</f>
        <v>0</v>
      </c>
    </row>
    <row r="233" spans="2:19" ht="14.85" customHeight="1">
      <c r="B233" s="477" t="str">
        <f>$B$192</f>
        <v>Equity-Like Component</v>
      </c>
      <c r="D233" s="478">
        <f t="shared" ref="D233:M233" ca="1" si="84">(D108-MIN(D108,$O$63)/$O$76)</f>
        <v>0</v>
      </c>
      <c r="E233" s="478">
        <f t="shared" ca="1" si="84"/>
        <v>0</v>
      </c>
      <c r="F233" s="478">
        <f t="shared" ca="1" si="84"/>
        <v>0</v>
      </c>
      <c r="G233" s="478">
        <f t="shared" ca="1" si="84"/>
        <v>0</v>
      </c>
      <c r="H233" s="478">
        <f t="shared" ca="1" si="84"/>
        <v>0</v>
      </c>
      <c r="I233" s="478">
        <f t="shared" ca="1" si="84"/>
        <v>0</v>
      </c>
      <c r="J233" s="478">
        <f t="shared" ca="1" si="84"/>
        <v>0</v>
      </c>
      <c r="K233" s="478">
        <f t="shared" ca="1" si="84"/>
        <v>0</v>
      </c>
      <c r="L233" s="478">
        <f t="shared" ca="1" si="84"/>
        <v>0</v>
      </c>
      <c r="M233" s="478">
        <f t="shared" ca="1" si="84"/>
        <v>0</v>
      </c>
      <c r="P233" s="483">
        <f>P230</f>
        <v>0.27500000000000002</v>
      </c>
      <c r="Q233" s="480">
        <f ca="1">SUMPRODUCT(D278:M278,$D$151:$M$151)</f>
        <v>0</v>
      </c>
      <c r="R233" s="481">
        <f ca="1">R232</f>
        <v>99</v>
      </c>
      <c r="S233" s="482">
        <f ca="1">Q233*R233</f>
        <v>0</v>
      </c>
    </row>
    <row r="234" spans="2:19" ht="14.85" customHeight="1">
      <c r="B234" s="472" t="str">
        <f>+B109</f>
        <v>Series C</v>
      </c>
      <c r="D234" s="473"/>
      <c r="E234" s="473"/>
      <c r="F234" s="473"/>
      <c r="G234" s="473"/>
      <c r="H234" s="473"/>
      <c r="I234" s="473"/>
      <c r="J234" s="473"/>
      <c r="K234" s="473"/>
      <c r="L234" s="473"/>
      <c r="M234" s="473"/>
      <c r="P234" s="466"/>
      <c r="Q234" s="467"/>
      <c r="R234" s="467"/>
      <c r="S234" s="468"/>
    </row>
    <row r="235" spans="2:19" ht="14.85" customHeight="1">
      <c r="B235" s="477" t="str">
        <f>$B$181</f>
        <v>Debt-Like Component</v>
      </c>
      <c r="D235" s="478">
        <f t="shared" ref="D235:M235" ca="1" si="85">MIN(D109,$O$64)/$O$77</f>
        <v>0</v>
      </c>
      <c r="E235" s="478">
        <f t="shared" ca="1" si="85"/>
        <v>0</v>
      </c>
      <c r="F235" s="478">
        <f t="shared" ca="1" si="85"/>
        <v>0</v>
      </c>
      <c r="G235" s="478">
        <f t="shared" ca="1" si="85"/>
        <v>0</v>
      </c>
      <c r="H235" s="478">
        <f t="shared" ca="1" si="85"/>
        <v>0</v>
      </c>
      <c r="I235" s="478">
        <f t="shared" ca="1" si="85"/>
        <v>0</v>
      </c>
      <c r="J235" s="478">
        <f t="shared" ca="1" si="85"/>
        <v>0</v>
      </c>
      <c r="K235" s="478">
        <f t="shared" ca="1" si="85"/>
        <v>0</v>
      </c>
      <c r="L235" s="478">
        <f t="shared" ca="1" si="85"/>
        <v>0</v>
      </c>
      <c r="M235" s="478">
        <f t="shared" ca="1" si="85"/>
        <v>0</v>
      </c>
      <c r="P235" s="483">
        <f>P232</f>
        <v>0.125</v>
      </c>
      <c r="Q235" s="480">
        <f ca="1">SUMPRODUCT(D280:M280,$D$151:$M$151)</f>
        <v>0</v>
      </c>
      <c r="R235" s="481">
        <f ca="1">O77</f>
        <v>88</v>
      </c>
      <c r="S235" s="482">
        <f ca="1">Q235*R235</f>
        <v>0</v>
      </c>
    </row>
    <row r="236" spans="2:19" ht="14.85" customHeight="1">
      <c r="B236" s="477" t="str">
        <f>$B$192</f>
        <v>Equity-Like Component</v>
      </c>
      <c r="D236" s="478">
        <f t="shared" ref="D236:M236" ca="1" si="86">(D109-MIN(D109,$O$64)/$O$77)</f>
        <v>0</v>
      </c>
      <c r="E236" s="478">
        <f t="shared" ca="1" si="86"/>
        <v>0</v>
      </c>
      <c r="F236" s="478">
        <f t="shared" ca="1" si="86"/>
        <v>0</v>
      </c>
      <c r="G236" s="478">
        <f t="shared" ca="1" si="86"/>
        <v>0</v>
      </c>
      <c r="H236" s="478">
        <f t="shared" ca="1" si="86"/>
        <v>0</v>
      </c>
      <c r="I236" s="478">
        <f t="shared" ca="1" si="86"/>
        <v>0</v>
      </c>
      <c r="J236" s="478">
        <f t="shared" ca="1" si="86"/>
        <v>0</v>
      </c>
      <c r="K236" s="478">
        <f t="shared" ca="1" si="86"/>
        <v>0</v>
      </c>
      <c r="L236" s="478">
        <f t="shared" ca="1" si="86"/>
        <v>0</v>
      </c>
      <c r="M236" s="478">
        <f t="shared" ca="1" si="86"/>
        <v>0</v>
      </c>
      <c r="P236" s="483">
        <f>P233</f>
        <v>0.27500000000000002</v>
      </c>
      <c r="Q236" s="480">
        <f ca="1">SUMPRODUCT(D281:M281,$D$151:$M$151)</f>
        <v>0</v>
      </c>
      <c r="R236" s="481">
        <f ca="1">R235</f>
        <v>88</v>
      </c>
      <c r="S236" s="482">
        <f ca="1">Q236*R236</f>
        <v>0</v>
      </c>
    </row>
    <row r="237" spans="2:19" ht="14.85" customHeight="1">
      <c r="B237" s="472" t="str">
        <f>+B110</f>
        <v>Series D</v>
      </c>
      <c r="D237" s="473"/>
      <c r="E237" s="473"/>
      <c r="F237" s="473"/>
      <c r="G237" s="473"/>
      <c r="H237" s="473"/>
      <c r="I237" s="473"/>
      <c r="J237" s="473"/>
      <c r="K237" s="473"/>
      <c r="L237" s="473"/>
      <c r="M237" s="473"/>
      <c r="P237" s="466"/>
      <c r="Q237" s="467"/>
      <c r="R237" s="467"/>
      <c r="S237" s="468"/>
    </row>
    <row r="238" spans="2:19" ht="14.85" customHeight="1">
      <c r="B238" s="477" t="str">
        <f>$B$181</f>
        <v>Debt-Like Component</v>
      </c>
      <c r="D238" s="478">
        <f t="shared" ref="D238:M238" ca="1" si="87">MIN(D110,$O$65)/$O$78</f>
        <v>0</v>
      </c>
      <c r="E238" s="478">
        <f t="shared" ca="1" si="87"/>
        <v>0</v>
      </c>
      <c r="F238" s="478">
        <f t="shared" ca="1" si="87"/>
        <v>0</v>
      </c>
      <c r="G238" s="478">
        <f t="shared" ca="1" si="87"/>
        <v>0</v>
      </c>
      <c r="H238" s="478">
        <f t="shared" ca="1" si="87"/>
        <v>0</v>
      </c>
      <c r="I238" s="478">
        <f t="shared" ca="1" si="87"/>
        <v>0</v>
      </c>
      <c r="J238" s="478">
        <f t="shared" ca="1" si="87"/>
        <v>0</v>
      </c>
      <c r="K238" s="478">
        <f t="shared" ca="1" si="87"/>
        <v>0</v>
      </c>
      <c r="L238" s="478">
        <f t="shared" ca="1" si="87"/>
        <v>0</v>
      </c>
      <c r="M238" s="478">
        <f t="shared" ca="1" si="87"/>
        <v>0</v>
      </c>
      <c r="P238" s="483">
        <f>P235</f>
        <v>0.125</v>
      </c>
      <c r="Q238" s="480">
        <f ca="1">SUMPRODUCT(D283:M283,$D$151:$M$151)</f>
        <v>0</v>
      </c>
      <c r="R238" s="481">
        <f ca="1">O78</f>
        <v>54</v>
      </c>
      <c r="S238" s="482">
        <f t="shared" ref="S238:S239" ca="1" si="88">Q238*R238</f>
        <v>0</v>
      </c>
    </row>
    <row r="239" spans="2:19" ht="14.85" customHeight="1">
      <c r="B239" s="477" t="str">
        <f>$B$192</f>
        <v>Equity-Like Component</v>
      </c>
      <c r="D239" s="478">
        <f t="shared" ref="D239:M239" ca="1" si="89">(D110-MIN(D110,$O$65)/$O$78)</f>
        <v>0</v>
      </c>
      <c r="E239" s="478">
        <f t="shared" ca="1" si="89"/>
        <v>0</v>
      </c>
      <c r="F239" s="478">
        <f t="shared" ca="1" si="89"/>
        <v>0</v>
      </c>
      <c r="G239" s="478">
        <f t="shared" ca="1" si="89"/>
        <v>0</v>
      </c>
      <c r="H239" s="478">
        <f t="shared" ca="1" si="89"/>
        <v>0</v>
      </c>
      <c r="I239" s="478">
        <f t="shared" ca="1" si="89"/>
        <v>0</v>
      </c>
      <c r="J239" s="478">
        <f t="shared" ca="1" si="89"/>
        <v>0</v>
      </c>
      <c r="K239" s="478">
        <f t="shared" ca="1" si="89"/>
        <v>0</v>
      </c>
      <c r="L239" s="478">
        <f t="shared" ca="1" si="89"/>
        <v>0</v>
      </c>
      <c r="M239" s="478">
        <f t="shared" ca="1" si="89"/>
        <v>0</v>
      </c>
      <c r="P239" s="483">
        <f>P236</f>
        <v>0.27500000000000002</v>
      </c>
      <c r="Q239" s="480">
        <f ca="1">SUMPRODUCT(D284:M284,$D$151:$M$151)</f>
        <v>0</v>
      </c>
      <c r="R239" s="481">
        <f ca="1">R238</f>
        <v>54</v>
      </c>
      <c r="S239" s="482">
        <f t="shared" ca="1" si="88"/>
        <v>0</v>
      </c>
    </row>
    <row r="240" spans="2:19" ht="14.85" customHeight="1">
      <c r="B240" s="472" t="str">
        <f>+B111</f>
        <v>Series E</v>
      </c>
      <c r="D240" s="473"/>
      <c r="E240" s="473"/>
      <c r="F240" s="473"/>
      <c r="G240" s="473"/>
      <c r="H240" s="473"/>
      <c r="I240" s="473"/>
      <c r="J240" s="473"/>
      <c r="K240" s="473"/>
      <c r="L240" s="473"/>
      <c r="M240" s="473"/>
      <c r="P240" s="466"/>
      <c r="Q240" s="467"/>
      <c r="R240" s="467"/>
      <c r="S240" s="468"/>
    </row>
    <row r="241" spans="2:19" ht="14.85" customHeight="1">
      <c r="B241" s="477" t="str">
        <f>$B$181</f>
        <v>Debt-Like Component</v>
      </c>
      <c r="D241" s="478">
        <f t="shared" ref="D241:M241" ca="1" si="90">MIN(D111,$O$66)/$O$79</f>
        <v>0</v>
      </c>
      <c r="E241" s="478">
        <f t="shared" ca="1" si="90"/>
        <v>0</v>
      </c>
      <c r="F241" s="478">
        <f t="shared" ca="1" si="90"/>
        <v>0</v>
      </c>
      <c r="G241" s="478">
        <f t="shared" ca="1" si="90"/>
        <v>0</v>
      </c>
      <c r="H241" s="478">
        <f t="shared" ca="1" si="90"/>
        <v>0</v>
      </c>
      <c r="I241" s="478">
        <f t="shared" ca="1" si="90"/>
        <v>0</v>
      </c>
      <c r="J241" s="478">
        <f t="shared" ca="1" si="90"/>
        <v>0</v>
      </c>
      <c r="K241" s="478">
        <f t="shared" ca="1" si="90"/>
        <v>0</v>
      </c>
      <c r="L241" s="478">
        <f t="shared" ca="1" si="90"/>
        <v>0</v>
      </c>
      <c r="M241" s="478">
        <f t="shared" ca="1" si="90"/>
        <v>0</v>
      </c>
      <c r="P241" s="483">
        <f>P238</f>
        <v>0.125</v>
      </c>
      <c r="Q241" s="480">
        <f ca="1">SUMPRODUCT(D286:M286,$D$151:$M$151)</f>
        <v>0</v>
      </c>
      <c r="R241" s="481">
        <f ca="1">O79</f>
        <v>100</v>
      </c>
      <c r="S241" s="482">
        <f t="shared" ref="S241:S242" ca="1" si="91">Q241*R241</f>
        <v>0</v>
      </c>
    </row>
    <row r="242" spans="2:19" ht="14.85" customHeight="1">
      <c r="B242" s="477" t="str">
        <f>$B$192</f>
        <v>Equity-Like Component</v>
      </c>
      <c r="D242" s="478">
        <f ca="1">(D111-MIN(D111,$O$66)/$O$79)</f>
        <v>0</v>
      </c>
      <c r="E242" s="478">
        <f t="shared" ref="E242:M242" ca="1" si="92">(E115-MIN(E115,$O$64)/$O$77)</f>
        <v>0</v>
      </c>
      <c r="F242" s="478">
        <f t="shared" ca="1" si="92"/>
        <v>0</v>
      </c>
      <c r="G242" s="478">
        <f t="shared" ca="1" si="92"/>
        <v>0</v>
      </c>
      <c r="H242" s="478">
        <f t="shared" ca="1" si="92"/>
        <v>0</v>
      </c>
      <c r="I242" s="478">
        <f t="shared" ca="1" si="92"/>
        <v>0</v>
      </c>
      <c r="J242" s="478">
        <f t="shared" ca="1" si="92"/>
        <v>0</v>
      </c>
      <c r="K242" s="478">
        <f t="shared" ca="1" si="92"/>
        <v>0</v>
      </c>
      <c r="L242" s="478">
        <f t="shared" ca="1" si="92"/>
        <v>0</v>
      </c>
      <c r="M242" s="478">
        <f t="shared" ca="1" si="92"/>
        <v>0</v>
      </c>
      <c r="P242" s="483">
        <f>P239</f>
        <v>0.27500000000000002</v>
      </c>
      <c r="Q242" s="480">
        <f ca="1">SUMPRODUCT(D287:M287,$D$151:$M$151)</f>
        <v>0</v>
      </c>
      <c r="R242" s="481">
        <f ca="1">R241</f>
        <v>100</v>
      </c>
      <c r="S242" s="482">
        <f t="shared" ca="1" si="91"/>
        <v>0</v>
      </c>
    </row>
    <row r="243" spans="2:19" ht="14.85" customHeight="1">
      <c r="B243" s="472" t="str">
        <f>+B112</f>
        <v>Series F</v>
      </c>
      <c r="D243" s="473"/>
      <c r="E243" s="473"/>
      <c r="F243" s="473"/>
      <c r="G243" s="473"/>
      <c r="H243" s="473"/>
      <c r="I243" s="473"/>
      <c r="J243" s="473"/>
      <c r="K243" s="473"/>
      <c r="L243" s="473"/>
      <c r="M243" s="473"/>
      <c r="P243" s="466"/>
      <c r="Q243" s="467"/>
      <c r="R243" s="467"/>
      <c r="S243" s="468"/>
    </row>
    <row r="244" spans="2:19" ht="14.85" customHeight="1">
      <c r="B244" s="477" t="str">
        <f>$B$181</f>
        <v>Debt-Like Component</v>
      </c>
      <c r="D244" s="478">
        <f t="shared" ref="D244:M244" ca="1" si="93">MIN(D112,$O$67)/$O$80</f>
        <v>0</v>
      </c>
      <c r="E244" s="478">
        <f t="shared" ca="1" si="93"/>
        <v>0</v>
      </c>
      <c r="F244" s="478">
        <f t="shared" ca="1" si="93"/>
        <v>0</v>
      </c>
      <c r="G244" s="478">
        <f t="shared" ca="1" si="93"/>
        <v>0</v>
      </c>
      <c r="H244" s="478">
        <f t="shared" ca="1" si="93"/>
        <v>0</v>
      </c>
      <c r="I244" s="478">
        <f t="shared" ca="1" si="93"/>
        <v>0</v>
      </c>
      <c r="J244" s="478">
        <f t="shared" ca="1" si="93"/>
        <v>0</v>
      </c>
      <c r="K244" s="478">
        <f t="shared" ca="1" si="93"/>
        <v>0</v>
      </c>
      <c r="L244" s="478">
        <f t="shared" ca="1" si="93"/>
        <v>0</v>
      </c>
      <c r="M244" s="478">
        <f t="shared" ca="1" si="93"/>
        <v>0</v>
      </c>
      <c r="P244" s="483">
        <f>P241</f>
        <v>0.125</v>
      </c>
      <c r="Q244" s="480">
        <f ca="1">SUMPRODUCT(D289:M289,$D$151:$M$151)</f>
        <v>0</v>
      </c>
      <c r="R244" s="481">
        <f ca="1">O80</f>
        <v>66</v>
      </c>
      <c r="S244" s="482">
        <f t="shared" ref="S244:S245" ca="1" si="94">Q244*R244</f>
        <v>0</v>
      </c>
    </row>
    <row r="245" spans="2:19" ht="14.85" customHeight="1">
      <c r="B245" s="477" t="str">
        <f>$B$192</f>
        <v>Equity-Like Component</v>
      </c>
      <c r="D245" s="478">
        <f t="shared" ref="D245:M245" ca="1" si="95">(D112-MIN(D112,$O$67)/$O$80)</f>
        <v>0</v>
      </c>
      <c r="E245" s="478">
        <f t="shared" ca="1" si="95"/>
        <v>0</v>
      </c>
      <c r="F245" s="478">
        <f t="shared" ca="1" si="95"/>
        <v>0</v>
      </c>
      <c r="G245" s="478">
        <f t="shared" ca="1" si="95"/>
        <v>0</v>
      </c>
      <c r="H245" s="478">
        <f t="shared" ca="1" si="95"/>
        <v>0</v>
      </c>
      <c r="I245" s="478">
        <f t="shared" ca="1" si="95"/>
        <v>0</v>
      </c>
      <c r="J245" s="478">
        <f t="shared" ca="1" si="95"/>
        <v>0</v>
      </c>
      <c r="K245" s="478">
        <f t="shared" ca="1" si="95"/>
        <v>0</v>
      </c>
      <c r="L245" s="478">
        <f t="shared" ca="1" si="95"/>
        <v>0</v>
      </c>
      <c r="M245" s="478">
        <f t="shared" ca="1" si="95"/>
        <v>0</v>
      </c>
      <c r="P245" s="483">
        <f>P242</f>
        <v>0.27500000000000002</v>
      </c>
      <c r="Q245" s="480">
        <f ca="1">SUMPRODUCT(D290:M290,$D$151:$M$151)</f>
        <v>0</v>
      </c>
      <c r="R245" s="481">
        <f ca="1">R244</f>
        <v>66</v>
      </c>
      <c r="S245" s="482">
        <f t="shared" ca="1" si="94"/>
        <v>0</v>
      </c>
    </row>
    <row r="246" spans="2:19" ht="14.85" customHeight="1">
      <c r="B246" s="472" t="str">
        <f>+B113</f>
        <v>Series G</v>
      </c>
      <c r="D246" s="473"/>
      <c r="E246" s="473"/>
      <c r="F246" s="473"/>
      <c r="G246" s="473"/>
      <c r="H246" s="473"/>
      <c r="I246" s="473"/>
      <c r="J246" s="473"/>
      <c r="K246" s="473"/>
      <c r="L246" s="473"/>
      <c r="M246" s="473"/>
      <c r="P246" s="466"/>
      <c r="Q246" s="467"/>
      <c r="R246" s="467"/>
      <c r="S246" s="468"/>
    </row>
    <row r="247" spans="2:19" ht="14.85" customHeight="1">
      <c r="B247" s="477" t="str">
        <f>$B$181</f>
        <v>Debt-Like Component</v>
      </c>
      <c r="D247" s="478">
        <f t="shared" ref="D247:M247" ca="1" si="96">MIN(D113,$O$68)/$O$81</f>
        <v>0</v>
      </c>
      <c r="E247" s="478">
        <f t="shared" ca="1" si="96"/>
        <v>0</v>
      </c>
      <c r="F247" s="478">
        <f t="shared" ca="1" si="96"/>
        <v>0</v>
      </c>
      <c r="G247" s="478">
        <f t="shared" ca="1" si="96"/>
        <v>0</v>
      </c>
      <c r="H247" s="478">
        <f t="shared" ca="1" si="96"/>
        <v>0</v>
      </c>
      <c r="I247" s="478">
        <f t="shared" ca="1" si="96"/>
        <v>0</v>
      </c>
      <c r="J247" s="478">
        <f t="shared" ca="1" si="96"/>
        <v>0</v>
      </c>
      <c r="K247" s="478">
        <f t="shared" ca="1" si="96"/>
        <v>0</v>
      </c>
      <c r="L247" s="478">
        <f t="shared" ca="1" si="96"/>
        <v>0</v>
      </c>
      <c r="M247" s="478">
        <f t="shared" ca="1" si="96"/>
        <v>0</v>
      </c>
      <c r="P247" s="483">
        <f>P244</f>
        <v>0.125</v>
      </c>
      <c r="Q247" s="480">
        <f ca="1">SUMPRODUCT(D292:M292,$D$151:$M$151)</f>
        <v>0</v>
      </c>
      <c r="R247" s="481">
        <f ca="1">O81</f>
        <v>98</v>
      </c>
      <c r="S247" s="482">
        <f t="shared" ref="S247:S266" ca="1" si="97">Q247*R247</f>
        <v>0</v>
      </c>
    </row>
    <row r="248" spans="2:19" ht="14.85" customHeight="1">
      <c r="B248" s="477" t="str">
        <f>$B$192</f>
        <v>Equity-Like Component</v>
      </c>
      <c r="D248" s="478">
        <f t="shared" ref="D248:M248" ca="1" si="98">(D113-MIN(D113,$O$68)/$O$81)</f>
        <v>0</v>
      </c>
      <c r="E248" s="478">
        <f t="shared" ca="1" si="98"/>
        <v>0</v>
      </c>
      <c r="F248" s="478">
        <f t="shared" ca="1" si="98"/>
        <v>0</v>
      </c>
      <c r="G248" s="478">
        <f t="shared" ca="1" si="98"/>
        <v>0</v>
      </c>
      <c r="H248" s="478">
        <f t="shared" ca="1" si="98"/>
        <v>0</v>
      </c>
      <c r="I248" s="478">
        <f t="shared" ca="1" si="98"/>
        <v>0</v>
      </c>
      <c r="J248" s="478">
        <f t="shared" ca="1" si="98"/>
        <v>0</v>
      </c>
      <c r="K248" s="478">
        <f t="shared" ca="1" si="98"/>
        <v>0</v>
      </c>
      <c r="L248" s="478">
        <f t="shared" ca="1" si="98"/>
        <v>0</v>
      </c>
      <c r="M248" s="478">
        <f t="shared" ca="1" si="98"/>
        <v>0</v>
      </c>
      <c r="P248" s="483">
        <f>P245</f>
        <v>0.27500000000000002</v>
      </c>
      <c r="Q248" s="480">
        <f ca="1">SUMPRODUCT(D293:M293,$D$151:$M$151)</f>
        <v>0</v>
      </c>
      <c r="R248" s="481">
        <f ca="1">R247</f>
        <v>98</v>
      </c>
      <c r="S248" s="482">
        <f t="shared" ca="1" si="97"/>
        <v>0</v>
      </c>
    </row>
    <row r="249" spans="2:19" ht="14.85" customHeight="1">
      <c r="B249" s="472" t="str">
        <f t="shared" ref="B249:B266" si="99">+B114</f>
        <v>Series A Warrants</v>
      </c>
      <c r="D249" s="478">
        <f t="shared" ref="D249:M249" ca="1" si="100">D114/$O82</f>
        <v>0</v>
      </c>
      <c r="E249" s="478">
        <f t="shared" ca="1" si="100"/>
        <v>0</v>
      </c>
      <c r="F249" s="478">
        <f t="shared" ca="1" si="100"/>
        <v>0</v>
      </c>
      <c r="G249" s="478">
        <f t="shared" ca="1" si="100"/>
        <v>0</v>
      </c>
      <c r="H249" s="478">
        <f t="shared" ca="1" si="100"/>
        <v>0</v>
      </c>
      <c r="I249" s="478">
        <f t="shared" ca="1" si="100"/>
        <v>0</v>
      </c>
      <c r="J249" s="478">
        <f t="shared" ca="1" si="100"/>
        <v>0</v>
      </c>
      <c r="K249" s="478">
        <f t="shared" ca="1" si="100"/>
        <v>0</v>
      </c>
      <c r="L249" s="478">
        <f t="shared" ca="1" si="100"/>
        <v>0</v>
      </c>
      <c r="M249" s="478">
        <f t="shared" ca="1" si="100"/>
        <v>0</v>
      </c>
      <c r="P249" s="479">
        <f>IF($P$225=1,'WACC PWERM'!$J$23,'WACC PWERM'!$J$17)</f>
        <v>0.45</v>
      </c>
      <c r="Q249" s="480">
        <f t="shared" ref="Q249:Q266" ca="1" si="101">SUMPRODUCT(D294:M294,$D$151:$M$151)</f>
        <v>0</v>
      </c>
      <c r="R249" s="481">
        <f ca="1">O82</f>
        <v>12</v>
      </c>
      <c r="S249" s="482">
        <f t="shared" ca="1" si="97"/>
        <v>0</v>
      </c>
    </row>
    <row r="250" spans="2:19" ht="14.85" customHeight="1">
      <c r="B250" s="472" t="str">
        <f t="shared" si="99"/>
        <v>Series B Warrants</v>
      </c>
      <c r="D250" s="478">
        <f t="shared" ref="D250:M250" ca="1" si="102">D115/$O83</f>
        <v>0</v>
      </c>
      <c r="E250" s="478">
        <f t="shared" ca="1" si="102"/>
        <v>0</v>
      </c>
      <c r="F250" s="478">
        <f t="shared" ca="1" si="102"/>
        <v>0</v>
      </c>
      <c r="G250" s="478">
        <f t="shared" ca="1" si="102"/>
        <v>0</v>
      </c>
      <c r="H250" s="478">
        <f t="shared" ca="1" si="102"/>
        <v>0</v>
      </c>
      <c r="I250" s="478">
        <f t="shared" ca="1" si="102"/>
        <v>0</v>
      </c>
      <c r="J250" s="478">
        <f t="shared" ca="1" si="102"/>
        <v>0</v>
      </c>
      <c r="K250" s="478">
        <f t="shared" ca="1" si="102"/>
        <v>0</v>
      </c>
      <c r="L250" s="478">
        <f t="shared" ca="1" si="102"/>
        <v>0</v>
      </c>
      <c r="M250" s="478">
        <f t="shared" ca="1" si="102"/>
        <v>0</v>
      </c>
      <c r="P250" s="483">
        <f>P249</f>
        <v>0.45</v>
      </c>
      <c r="Q250" s="480">
        <f t="shared" ca="1" si="101"/>
        <v>0</v>
      </c>
      <c r="R250" s="481">
        <f t="shared" ref="R250:R266" ca="1" si="103">O83</f>
        <v>10</v>
      </c>
      <c r="S250" s="482">
        <f t="shared" ca="1" si="97"/>
        <v>0</v>
      </c>
    </row>
    <row r="251" spans="2:19" ht="14.85" customHeight="1">
      <c r="B251" s="472" t="str">
        <f t="shared" si="99"/>
        <v>Series C Warrants</v>
      </c>
      <c r="D251" s="478">
        <f t="shared" ref="D251:M251" ca="1" si="104">D116/$O84</f>
        <v>0</v>
      </c>
      <c r="E251" s="478">
        <f t="shared" ca="1" si="104"/>
        <v>0</v>
      </c>
      <c r="F251" s="478">
        <f t="shared" ca="1" si="104"/>
        <v>0</v>
      </c>
      <c r="G251" s="478">
        <f t="shared" ca="1" si="104"/>
        <v>0</v>
      </c>
      <c r="H251" s="478">
        <f t="shared" ca="1" si="104"/>
        <v>0</v>
      </c>
      <c r="I251" s="478">
        <f t="shared" ca="1" si="104"/>
        <v>0</v>
      </c>
      <c r="J251" s="478">
        <f t="shared" ca="1" si="104"/>
        <v>0</v>
      </c>
      <c r="K251" s="478">
        <f t="shared" ca="1" si="104"/>
        <v>0</v>
      </c>
      <c r="L251" s="478">
        <f t="shared" ca="1" si="104"/>
        <v>0</v>
      </c>
      <c r="M251" s="478">
        <f t="shared" ca="1" si="104"/>
        <v>0</v>
      </c>
      <c r="P251" s="483">
        <f t="shared" ref="P251:P265" si="105">P250</f>
        <v>0.45</v>
      </c>
      <c r="Q251" s="480">
        <f t="shared" ca="1" si="101"/>
        <v>0</v>
      </c>
      <c r="R251" s="481">
        <f t="shared" ca="1" si="103"/>
        <v>17</v>
      </c>
      <c r="S251" s="482">
        <f t="shared" ca="1" si="97"/>
        <v>0</v>
      </c>
    </row>
    <row r="252" spans="2:19" ht="14.85" customHeight="1">
      <c r="B252" s="472" t="str">
        <f t="shared" si="99"/>
        <v>Series D Warrants</v>
      </c>
      <c r="D252" s="478">
        <f t="shared" ref="D252:M252" ca="1" si="106">D117/$O85</f>
        <v>0</v>
      </c>
      <c r="E252" s="478">
        <f t="shared" ca="1" si="106"/>
        <v>0</v>
      </c>
      <c r="F252" s="478">
        <f t="shared" ca="1" si="106"/>
        <v>0</v>
      </c>
      <c r="G252" s="478">
        <f t="shared" ca="1" si="106"/>
        <v>0</v>
      </c>
      <c r="H252" s="478">
        <f t="shared" ca="1" si="106"/>
        <v>0</v>
      </c>
      <c r="I252" s="478">
        <f t="shared" ca="1" si="106"/>
        <v>0</v>
      </c>
      <c r="J252" s="478">
        <f t="shared" ca="1" si="106"/>
        <v>0</v>
      </c>
      <c r="K252" s="478">
        <f t="shared" ca="1" si="106"/>
        <v>0</v>
      </c>
      <c r="L252" s="478">
        <f t="shared" ca="1" si="106"/>
        <v>0</v>
      </c>
      <c r="M252" s="478">
        <f t="shared" ca="1" si="106"/>
        <v>0</v>
      </c>
      <c r="P252" s="483">
        <f t="shared" si="105"/>
        <v>0.45</v>
      </c>
      <c r="Q252" s="480">
        <f t="shared" ca="1" si="101"/>
        <v>0</v>
      </c>
      <c r="R252" s="481">
        <f t="shared" ca="1" si="103"/>
        <v>14</v>
      </c>
      <c r="S252" s="482">
        <f t="shared" ca="1" si="97"/>
        <v>0</v>
      </c>
    </row>
    <row r="253" spans="2:19" ht="14.85" customHeight="1">
      <c r="B253" s="472" t="str">
        <f t="shared" si="99"/>
        <v>Series E Warrants</v>
      </c>
      <c r="D253" s="478">
        <f t="shared" ref="D253:M253" ca="1" si="107">D118/$O86</f>
        <v>0</v>
      </c>
      <c r="E253" s="478">
        <f t="shared" ca="1" si="107"/>
        <v>0</v>
      </c>
      <c r="F253" s="478">
        <f t="shared" ca="1" si="107"/>
        <v>0</v>
      </c>
      <c r="G253" s="478">
        <f t="shared" ca="1" si="107"/>
        <v>0</v>
      </c>
      <c r="H253" s="478">
        <f t="shared" ca="1" si="107"/>
        <v>0</v>
      </c>
      <c r="I253" s="478">
        <f t="shared" ca="1" si="107"/>
        <v>0</v>
      </c>
      <c r="J253" s="478">
        <f t="shared" ca="1" si="107"/>
        <v>0</v>
      </c>
      <c r="K253" s="478">
        <f t="shared" ca="1" si="107"/>
        <v>0</v>
      </c>
      <c r="L253" s="478">
        <f t="shared" ca="1" si="107"/>
        <v>0</v>
      </c>
      <c r="M253" s="478">
        <f t="shared" ca="1" si="107"/>
        <v>0</v>
      </c>
      <c r="P253" s="483">
        <f t="shared" si="105"/>
        <v>0.45</v>
      </c>
      <c r="Q253" s="480">
        <f t="shared" ca="1" si="101"/>
        <v>0</v>
      </c>
      <c r="R253" s="481">
        <f t="shared" ca="1" si="103"/>
        <v>19</v>
      </c>
      <c r="S253" s="482">
        <f t="shared" ca="1" si="97"/>
        <v>0</v>
      </c>
    </row>
    <row r="254" spans="2:19" ht="14.85" customHeight="1">
      <c r="B254" s="472" t="str">
        <f t="shared" si="99"/>
        <v>Series F Warrants</v>
      </c>
      <c r="D254" s="478">
        <f t="shared" ref="D254:M254" ca="1" si="108">D119/$O87</f>
        <v>0</v>
      </c>
      <c r="E254" s="478">
        <f t="shared" ca="1" si="108"/>
        <v>0</v>
      </c>
      <c r="F254" s="478">
        <f t="shared" ca="1" si="108"/>
        <v>0</v>
      </c>
      <c r="G254" s="478">
        <f t="shared" ca="1" si="108"/>
        <v>0</v>
      </c>
      <c r="H254" s="478">
        <f t="shared" ca="1" si="108"/>
        <v>0</v>
      </c>
      <c r="I254" s="478">
        <f t="shared" ca="1" si="108"/>
        <v>0</v>
      </c>
      <c r="J254" s="478">
        <f t="shared" ca="1" si="108"/>
        <v>0</v>
      </c>
      <c r="K254" s="478">
        <f t="shared" ca="1" si="108"/>
        <v>0</v>
      </c>
      <c r="L254" s="478">
        <f t="shared" ca="1" si="108"/>
        <v>0</v>
      </c>
      <c r="M254" s="478">
        <f t="shared" ca="1" si="108"/>
        <v>0</v>
      </c>
      <c r="P254" s="483">
        <f t="shared" si="105"/>
        <v>0.45</v>
      </c>
      <c r="Q254" s="480">
        <f t="shared" ca="1" si="101"/>
        <v>0</v>
      </c>
      <c r="R254" s="481">
        <f t="shared" ca="1" si="103"/>
        <v>15</v>
      </c>
      <c r="S254" s="482">
        <f t="shared" ca="1" si="97"/>
        <v>0</v>
      </c>
    </row>
    <row r="255" spans="2:19" ht="14.85" customHeight="1">
      <c r="B255" s="472" t="str">
        <f t="shared" si="99"/>
        <v>Series G Warrants</v>
      </c>
      <c r="D255" s="478">
        <f t="shared" ref="D255:M255" ca="1" si="109">D120/$O88</f>
        <v>0</v>
      </c>
      <c r="E255" s="478">
        <f t="shared" ca="1" si="109"/>
        <v>0</v>
      </c>
      <c r="F255" s="478">
        <f t="shared" ca="1" si="109"/>
        <v>0</v>
      </c>
      <c r="G255" s="478">
        <f t="shared" ca="1" si="109"/>
        <v>0</v>
      </c>
      <c r="H255" s="478">
        <f t="shared" ca="1" si="109"/>
        <v>0</v>
      </c>
      <c r="I255" s="478">
        <f t="shared" ca="1" si="109"/>
        <v>0</v>
      </c>
      <c r="J255" s="478">
        <f t="shared" ca="1" si="109"/>
        <v>0</v>
      </c>
      <c r="K255" s="478">
        <f t="shared" ca="1" si="109"/>
        <v>0</v>
      </c>
      <c r="L255" s="478">
        <f t="shared" ca="1" si="109"/>
        <v>0</v>
      </c>
      <c r="M255" s="478">
        <f t="shared" ca="1" si="109"/>
        <v>0</v>
      </c>
      <c r="P255" s="483">
        <f t="shared" si="105"/>
        <v>0.45</v>
      </c>
      <c r="Q255" s="480">
        <f t="shared" ca="1" si="101"/>
        <v>0</v>
      </c>
      <c r="R255" s="481">
        <f t="shared" ca="1" si="103"/>
        <v>11</v>
      </c>
      <c r="S255" s="482">
        <f t="shared" ca="1" si="97"/>
        <v>0</v>
      </c>
    </row>
    <row r="256" spans="2:19" ht="14.85" customHeight="1">
      <c r="B256" s="472" t="str">
        <f t="shared" si="99"/>
        <v>Options/Warrants at $2.00 Strike Price</v>
      </c>
      <c r="D256" s="478">
        <f t="shared" ref="D256:M256" ca="1" si="110">D121/$O89</f>
        <v>0</v>
      </c>
      <c r="E256" s="478">
        <f t="shared" ca="1" si="110"/>
        <v>0</v>
      </c>
      <c r="F256" s="478">
        <f t="shared" ca="1" si="110"/>
        <v>0</v>
      </c>
      <c r="G256" s="478">
        <f t="shared" ca="1" si="110"/>
        <v>0</v>
      </c>
      <c r="H256" s="478">
        <f t="shared" ca="1" si="110"/>
        <v>0</v>
      </c>
      <c r="I256" s="478">
        <f t="shared" ca="1" si="110"/>
        <v>0</v>
      </c>
      <c r="J256" s="478">
        <f t="shared" ca="1" si="110"/>
        <v>0</v>
      </c>
      <c r="K256" s="478">
        <f t="shared" ca="1" si="110"/>
        <v>0</v>
      </c>
      <c r="L256" s="478">
        <f t="shared" ca="1" si="110"/>
        <v>0</v>
      </c>
      <c r="M256" s="478">
        <f t="shared" ca="1" si="110"/>
        <v>0</v>
      </c>
      <c r="P256" s="483">
        <f t="shared" si="105"/>
        <v>0.45</v>
      </c>
      <c r="Q256" s="480">
        <f t="shared" ca="1" si="101"/>
        <v>0</v>
      </c>
      <c r="R256" s="481">
        <f t="shared" si="103"/>
        <v>79</v>
      </c>
      <c r="S256" s="482">
        <f t="shared" ca="1" si="97"/>
        <v>0</v>
      </c>
    </row>
    <row r="257" spans="2:19" ht="14.85" customHeight="1">
      <c r="B257" s="472" t="str">
        <f t="shared" si="99"/>
        <v>Options/Warrants at $0.00 Strike Price</v>
      </c>
      <c r="D257" s="478" t="e">
        <f t="shared" ref="D257:M257" ca="1" si="111">D122/$O90</f>
        <v>#DIV/0!</v>
      </c>
      <c r="E257" s="478" t="e">
        <f t="shared" ca="1" si="111"/>
        <v>#DIV/0!</v>
      </c>
      <c r="F257" s="478" t="e">
        <f t="shared" ca="1" si="111"/>
        <v>#DIV/0!</v>
      </c>
      <c r="G257" s="478" t="e">
        <f t="shared" ca="1" si="111"/>
        <v>#DIV/0!</v>
      </c>
      <c r="H257" s="478" t="e">
        <f t="shared" ca="1" si="111"/>
        <v>#DIV/0!</v>
      </c>
      <c r="I257" s="478" t="e">
        <f t="shared" ca="1" si="111"/>
        <v>#DIV/0!</v>
      </c>
      <c r="J257" s="478" t="e">
        <f t="shared" ca="1" si="111"/>
        <v>#DIV/0!</v>
      </c>
      <c r="K257" s="478" t="e">
        <f t="shared" ca="1" si="111"/>
        <v>#DIV/0!</v>
      </c>
      <c r="L257" s="478" t="e">
        <f t="shared" ca="1" si="111"/>
        <v>#DIV/0!</v>
      </c>
      <c r="M257" s="478" t="e">
        <f t="shared" ca="1" si="111"/>
        <v>#DIV/0!</v>
      </c>
      <c r="P257" s="483">
        <f t="shared" si="105"/>
        <v>0.45</v>
      </c>
      <c r="Q257" s="480" t="e">
        <f t="shared" ca="1" si="101"/>
        <v>#DIV/0!</v>
      </c>
      <c r="R257" s="481">
        <f t="shared" si="103"/>
        <v>0</v>
      </c>
      <c r="S257" s="482" t="e">
        <f t="shared" ca="1" si="97"/>
        <v>#DIV/0!</v>
      </c>
    </row>
    <row r="258" spans="2:19" ht="14.85" customHeight="1">
      <c r="B258" s="472" t="str">
        <f t="shared" si="99"/>
        <v>Options/Warrants at $0.00 Strike Price</v>
      </c>
      <c r="D258" s="478" t="e">
        <f t="shared" ref="D258:M258" ca="1" si="112">D123/$O91</f>
        <v>#DIV/0!</v>
      </c>
      <c r="E258" s="478" t="e">
        <f t="shared" ca="1" si="112"/>
        <v>#DIV/0!</v>
      </c>
      <c r="F258" s="478" t="e">
        <f t="shared" ca="1" si="112"/>
        <v>#DIV/0!</v>
      </c>
      <c r="G258" s="478" t="e">
        <f t="shared" ca="1" si="112"/>
        <v>#DIV/0!</v>
      </c>
      <c r="H258" s="478" t="e">
        <f t="shared" ca="1" si="112"/>
        <v>#DIV/0!</v>
      </c>
      <c r="I258" s="478" t="e">
        <f t="shared" ca="1" si="112"/>
        <v>#DIV/0!</v>
      </c>
      <c r="J258" s="478" t="e">
        <f t="shared" ca="1" si="112"/>
        <v>#DIV/0!</v>
      </c>
      <c r="K258" s="478" t="e">
        <f t="shared" ca="1" si="112"/>
        <v>#DIV/0!</v>
      </c>
      <c r="L258" s="478" t="e">
        <f t="shared" ca="1" si="112"/>
        <v>#DIV/0!</v>
      </c>
      <c r="M258" s="478" t="e">
        <f t="shared" ca="1" si="112"/>
        <v>#DIV/0!</v>
      </c>
      <c r="P258" s="483">
        <f t="shared" si="105"/>
        <v>0.45</v>
      </c>
      <c r="Q258" s="480" t="e">
        <f t="shared" ca="1" si="101"/>
        <v>#DIV/0!</v>
      </c>
      <c r="R258" s="481">
        <f t="shared" si="103"/>
        <v>0</v>
      </c>
      <c r="S258" s="482" t="e">
        <f t="shared" ca="1" si="97"/>
        <v>#DIV/0!</v>
      </c>
    </row>
    <row r="259" spans="2:19" ht="14.85" customHeight="1">
      <c r="B259" s="472" t="str">
        <f t="shared" si="99"/>
        <v>Options/Warrants at $0.00 Strike Price</v>
      </c>
      <c r="D259" s="478" t="e">
        <f t="shared" ref="D259:M259" ca="1" si="113">D124/$O92</f>
        <v>#DIV/0!</v>
      </c>
      <c r="E259" s="478" t="e">
        <f t="shared" ca="1" si="113"/>
        <v>#DIV/0!</v>
      </c>
      <c r="F259" s="478" t="e">
        <f t="shared" ca="1" si="113"/>
        <v>#DIV/0!</v>
      </c>
      <c r="G259" s="478" t="e">
        <f t="shared" ca="1" si="113"/>
        <v>#DIV/0!</v>
      </c>
      <c r="H259" s="478" t="e">
        <f t="shared" ca="1" si="113"/>
        <v>#DIV/0!</v>
      </c>
      <c r="I259" s="478" t="e">
        <f t="shared" ca="1" si="113"/>
        <v>#DIV/0!</v>
      </c>
      <c r="J259" s="478" t="e">
        <f t="shared" ca="1" si="113"/>
        <v>#DIV/0!</v>
      </c>
      <c r="K259" s="478" t="e">
        <f t="shared" ca="1" si="113"/>
        <v>#DIV/0!</v>
      </c>
      <c r="L259" s="478" t="e">
        <f t="shared" ca="1" si="113"/>
        <v>#DIV/0!</v>
      </c>
      <c r="M259" s="478" t="e">
        <f t="shared" ca="1" si="113"/>
        <v>#DIV/0!</v>
      </c>
      <c r="P259" s="483">
        <f t="shared" si="105"/>
        <v>0.45</v>
      </c>
      <c r="Q259" s="480" t="e">
        <f t="shared" ca="1" si="101"/>
        <v>#DIV/0!</v>
      </c>
      <c r="R259" s="481">
        <f t="shared" si="103"/>
        <v>0</v>
      </c>
      <c r="S259" s="482" t="e">
        <f t="shared" ca="1" si="97"/>
        <v>#DIV/0!</v>
      </c>
    </row>
    <row r="260" spans="2:19" ht="14.85" customHeight="1">
      <c r="B260" s="472" t="str">
        <f t="shared" si="99"/>
        <v>Options/Warrants at $0.00 Strike Price</v>
      </c>
      <c r="D260" s="478" t="e">
        <f t="shared" ref="D260:M260" ca="1" si="114">D125/$O93</f>
        <v>#DIV/0!</v>
      </c>
      <c r="E260" s="478" t="e">
        <f t="shared" ca="1" si="114"/>
        <v>#DIV/0!</v>
      </c>
      <c r="F260" s="478" t="e">
        <f t="shared" ca="1" si="114"/>
        <v>#DIV/0!</v>
      </c>
      <c r="G260" s="478" t="e">
        <f t="shared" ca="1" si="114"/>
        <v>#DIV/0!</v>
      </c>
      <c r="H260" s="478" t="e">
        <f t="shared" ca="1" si="114"/>
        <v>#DIV/0!</v>
      </c>
      <c r="I260" s="478" t="e">
        <f t="shared" ca="1" si="114"/>
        <v>#DIV/0!</v>
      </c>
      <c r="J260" s="478" t="e">
        <f t="shared" ca="1" si="114"/>
        <v>#DIV/0!</v>
      </c>
      <c r="K260" s="478" t="e">
        <f t="shared" ca="1" si="114"/>
        <v>#DIV/0!</v>
      </c>
      <c r="L260" s="478" t="e">
        <f t="shared" ca="1" si="114"/>
        <v>#DIV/0!</v>
      </c>
      <c r="M260" s="478" t="e">
        <f t="shared" ca="1" si="114"/>
        <v>#DIV/0!</v>
      </c>
      <c r="P260" s="483">
        <f t="shared" si="105"/>
        <v>0.45</v>
      </c>
      <c r="Q260" s="480" t="e">
        <f t="shared" ca="1" si="101"/>
        <v>#DIV/0!</v>
      </c>
      <c r="R260" s="481">
        <f t="shared" si="103"/>
        <v>0</v>
      </c>
      <c r="S260" s="482" t="e">
        <f t="shared" ca="1" si="97"/>
        <v>#DIV/0!</v>
      </c>
    </row>
    <row r="261" spans="2:19" ht="14.85" customHeight="1">
      <c r="B261" s="472" t="str">
        <f t="shared" si="99"/>
        <v>Options/Warrants at $0.00 Strike Price</v>
      </c>
      <c r="D261" s="478" t="e">
        <f t="shared" ref="D261:M261" ca="1" si="115">D126/$O94</f>
        <v>#DIV/0!</v>
      </c>
      <c r="E261" s="478" t="e">
        <f t="shared" ca="1" si="115"/>
        <v>#DIV/0!</v>
      </c>
      <c r="F261" s="478" t="e">
        <f t="shared" ca="1" si="115"/>
        <v>#DIV/0!</v>
      </c>
      <c r="G261" s="478" t="e">
        <f t="shared" ca="1" si="115"/>
        <v>#DIV/0!</v>
      </c>
      <c r="H261" s="478" t="e">
        <f t="shared" ca="1" si="115"/>
        <v>#DIV/0!</v>
      </c>
      <c r="I261" s="478" t="e">
        <f t="shared" ca="1" si="115"/>
        <v>#DIV/0!</v>
      </c>
      <c r="J261" s="478" t="e">
        <f t="shared" ca="1" si="115"/>
        <v>#DIV/0!</v>
      </c>
      <c r="K261" s="478" t="e">
        <f t="shared" ca="1" si="115"/>
        <v>#DIV/0!</v>
      </c>
      <c r="L261" s="478" t="e">
        <f t="shared" ca="1" si="115"/>
        <v>#DIV/0!</v>
      </c>
      <c r="M261" s="478" t="e">
        <f t="shared" ca="1" si="115"/>
        <v>#DIV/0!</v>
      </c>
      <c r="P261" s="483">
        <f t="shared" si="105"/>
        <v>0.45</v>
      </c>
      <c r="Q261" s="480" t="e">
        <f t="shared" ca="1" si="101"/>
        <v>#DIV/0!</v>
      </c>
      <c r="R261" s="481">
        <f t="shared" si="103"/>
        <v>0</v>
      </c>
      <c r="S261" s="482" t="e">
        <f t="shared" ca="1" si="97"/>
        <v>#DIV/0!</v>
      </c>
    </row>
    <row r="262" spans="2:19" ht="14.85" customHeight="1">
      <c r="B262" s="472" t="str">
        <f t="shared" si="99"/>
        <v>Options/Warrants at $0.00 Strike Price</v>
      </c>
      <c r="D262" s="478" t="e">
        <f t="shared" ref="D262:M262" ca="1" si="116">D127/$O95</f>
        <v>#DIV/0!</v>
      </c>
      <c r="E262" s="478" t="e">
        <f t="shared" ca="1" si="116"/>
        <v>#DIV/0!</v>
      </c>
      <c r="F262" s="478" t="e">
        <f t="shared" ca="1" si="116"/>
        <v>#DIV/0!</v>
      </c>
      <c r="G262" s="478" t="e">
        <f t="shared" ca="1" si="116"/>
        <v>#DIV/0!</v>
      </c>
      <c r="H262" s="478" t="e">
        <f t="shared" ca="1" si="116"/>
        <v>#DIV/0!</v>
      </c>
      <c r="I262" s="478" t="e">
        <f t="shared" ca="1" si="116"/>
        <v>#DIV/0!</v>
      </c>
      <c r="J262" s="478" t="e">
        <f t="shared" ca="1" si="116"/>
        <v>#DIV/0!</v>
      </c>
      <c r="K262" s="478" t="e">
        <f t="shared" ca="1" si="116"/>
        <v>#DIV/0!</v>
      </c>
      <c r="L262" s="478" t="e">
        <f t="shared" ca="1" si="116"/>
        <v>#DIV/0!</v>
      </c>
      <c r="M262" s="478" t="e">
        <f t="shared" ca="1" si="116"/>
        <v>#DIV/0!</v>
      </c>
      <c r="P262" s="483">
        <f t="shared" si="105"/>
        <v>0.45</v>
      </c>
      <c r="Q262" s="480" t="e">
        <f t="shared" ca="1" si="101"/>
        <v>#DIV/0!</v>
      </c>
      <c r="R262" s="481">
        <f t="shared" si="103"/>
        <v>0</v>
      </c>
      <c r="S262" s="482" t="e">
        <f t="shared" ca="1" si="97"/>
        <v>#DIV/0!</v>
      </c>
    </row>
    <row r="263" spans="2:19" ht="14.85" customHeight="1">
      <c r="B263" s="472" t="str">
        <f t="shared" si="99"/>
        <v>Options/Warrants at $0.00 Strike Price</v>
      </c>
      <c r="D263" s="478" t="e">
        <f t="shared" ref="D263:M263" ca="1" si="117">D128/$O96</f>
        <v>#DIV/0!</v>
      </c>
      <c r="E263" s="478" t="e">
        <f t="shared" ca="1" si="117"/>
        <v>#DIV/0!</v>
      </c>
      <c r="F263" s="478" t="e">
        <f t="shared" ca="1" si="117"/>
        <v>#DIV/0!</v>
      </c>
      <c r="G263" s="478" t="e">
        <f t="shared" ca="1" si="117"/>
        <v>#DIV/0!</v>
      </c>
      <c r="H263" s="478" t="e">
        <f t="shared" ca="1" si="117"/>
        <v>#DIV/0!</v>
      </c>
      <c r="I263" s="478" t="e">
        <f t="shared" ca="1" si="117"/>
        <v>#DIV/0!</v>
      </c>
      <c r="J263" s="478" t="e">
        <f t="shared" ca="1" si="117"/>
        <v>#DIV/0!</v>
      </c>
      <c r="K263" s="478" t="e">
        <f t="shared" ca="1" si="117"/>
        <v>#DIV/0!</v>
      </c>
      <c r="L263" s="478" t="e">
        <f t="shared" ca="1" si="117"/>
        <v>#DIV/0!</v>
      </c>
      <c r="M263" s="478" t="e">
        <f t="shared" ca="1" si="117"/>
        <v>#DIV/0!</v>
      </c>
      <c r="P263" s="483">
        <f t="shared" si="105"/>
        <v>0.45</v>
      </c>
      <c r="Q263" s="480" t="e">
        <f t="shared" ca="1" si="101"/>
        <v>#DIV/0!</v>
      </c>
      <c r="R263" s="481">
        <f t="shared" si="103"/>
        <v>0</v>
      </c>
      <c r="S263" s="482" t="e">
        <f t="shared" ca="1" si="97"/>
        <v>#DIV/0!</v>
      </c>
    </row>
    <row r="264" spans="2:19" ht="14.85" customHeight="1">
      <c r="B264" s="472" t="str">
        <f t="shared" si="99"/>
        <v>Options/Warrants at $0.00 Strike Price</v>
      </c>
      <c r="D264" s="478" t="e">
        <f t="shared" ref="D264:M264" ca="1" si="118">D129/$O97</f>
        <v>#DIV/0!</v>
      </c>
      <c r="E264" s="478" t="e">
        <f t="shared" ca="1" si="118"/>
        <v>#DIV/0!</v>
      </c>
      <c r="F264" s="478" t="e">
        <f t="shared" ca="1" si="118"/>
        <v>#DIV/0!</v>
      </c>
      <c r="G264" s="478" t="e">
        <f t="shared" ca="1" si="118"/>
        <v>#DIV/0!</v>
      </c>
      <c r="H264" s="478" t="e">
        <f t="shared" ca="1" si="118"/>
        <v>#DIV/0!</v>
      </c>
      <c r="I264" s="478" t="e">
        <f t="shared" ca="1" si="118"/>
        <v>#DIV/0!</v>
      </c>
      <c r="J264" s="478" t="e">
        <f t="shared" ca="1" si="118"/>
        <v>#DIV/0!</v>
      </c>
      <c r="K264" s="478" t="e">
        <f t="shared" ca="1" si="118"/>
        <v>#DIV/0!</v>
      </c>
      <c r="L264" s="478" t="e">
        <f t="shared" ca="1" si="118"/>
        <v>#DIV/0!</v>
      </c>
      <c r="M264" s="478" t="e">
        <f t="shared" ca="1" si="118"/>
        <v>#DIV/0!</v>
      </c>
      <c r="P264" s="483">
        <f t="shared" si="105"/>
        <v>0.45</v>
      </c>
      <c r="Q264" s="480" t="e">
        <f t="shared" ca="1" si="101"/>
        <v>#DIV/0!</v>
      </c>
      <c r="R264" s="481">
        <f t="shared" si="103"/>
        <v>0</v>
      </c>
      <c r="S264" s="482" t="e">
        <f t="shared" ca="1" si="97"/>
        <v>#DIV/0!</v>
      </c>
    </row>
    <row r="265" spans="2:19" ht="14.85" customHeight="1">
      <c r="B265" s="472" t="str">
        <f t="shared" si="99"/>
        <v>Expected Options Grant</v>
      </c>
      <c r="D265" s="478">
        <f t="shared" ref="D265:M265" ca="1" si="119">D130/$O98</f>
        <v>0</v>
      </c>
      <c r="E265" s="478">
        <f t="shared" ca="1" si="119"/>
        <v>0</v>
      </c>
      <c r="F265" s="478">
        <f t="shared" ca="1" si="119"/>
        <v>0</v>
      </c>
      <c r="G265" s="478">
        <f t="shared" ca="1" si="119"/>
        <v>0</v>
      </c>
      <c r="H265" s="478">
        <f t="shared" ca="1" si="119"/>
        <v>0</v>
      </c>
      <c r="I265" s="478">
        <f t="shared" ca="1" si="119"/>
        <v>0</v>
      </c>
      <c r="J265" s="478">
        <f t="shared" ca="1" si="119"/>
        <v>0</v>
      </c>
      <c r="K265" s="478">
        <f t="shared" ca="1" si="119"/>
        <v>0</v>
      </c>
      <c r="L265" s="478">
        <f t="shared" ca="1" si="119"/>
        <v>0</v>
      </c>
      <c r="M265" s="478">
        <f t="shared" ca="1" si="119"/>
        <v>0</v>
      </c>
      <c r="P265" s="483">
        <f t="shared" si="105"/>
        <v>0.45</v>
      </c>
      <c r="Q265" s="480">
        <f t="shared" ca="1" si="101"/>
        <v>0</v>
      </c>
      <c r="R265" s="481">
        <f t="shared" si="103"/>
        <v>14</v>
      </c>
      <c r="S265" s="482">
        <f t="shared" ca="1" si="97"/>
        <v>0</v>
      </c>
    </row>
    <row r="266" spans="2:19" ht="14.85" customHeight="1">
      <c r="B266" s="472" t="str">
        <f t="shared" si="99"/>
        <v>Common Stock</v>
      </c>
      <c r="D266" s="478">
        <f t="shared" ref="D266:M266" ca="1" si="120">D131/$O99</f>
        <v>0</v>
      </c>
      <c r="E266" s="478">
        <f t="shared" ca="1" si="120"/>
        <v>0</v>
      </c>
      <c r="F266" s="478">
        <f t="shared" ca="1" si="120"/>
        <v>0</v>
      </c>
      <c r="G266" s="478">
        <f t="shared" ca="1" si="120"/>
        <v>0</v>
      </c>
      <c r="H266" s="478">
        <f t="shared" ca="1" si="120"/>
        <v>0</v>
      </c>
      <c r="I266" s="478">
        <f t="shared" ca="1" si="120"/>
        <v>0</v>
      </c>
      <c r="J266" s="478">
        <f t="shared" ca="1" si="120"/>
        <v>0</v>
      </c>
      <c r="K266" s="478">
        <f t="shared" ca="1" si="120"/>
        <v>0</v>
      </c>
      <c r="L266" s="478">
        <f t="shared" ca="1" si="120"/>
        <v>0</v>
      </c>
      <c r="M266" s="478">
        <f t="shared" ca="1" si="120"/>
        <v>0</v>
      </c>
      <c r="P266" s="479">
        <f>IF($P$225=1,'WACC PWERM'!$J$23,'WACC PWERM'!$J$15)</f>
        <v>0.45</v>
      </c>
      <c r="Q266" s="480">
        <f t="shared" ca="1" si="101"/>
        <v>0</v>
      </c>
      <c r="R266" s="481">
        <f t="shared" ca="1" si="103"/>
        <v>64</v>
      </c>
      <c r="S266" s="482">
        <f t="shared" ca="1" si="97"/>
        <v>0</v>
      </c>
    </row>
    <row r="267" spans="2:19" ht="14.85" customHeight="1">
      <c r="B267" s="472"/>
      <c r="P267" s="466"/>
      <c r="Q267" s="467"/>
      <c r="R267" s="467"/>
      <c r="S267" s="468"/>
    </row>
    <row r="268" spans="2:19" ht="14.85" customHeight="1">
      <c r="P268" s="466"/>
      <c r="Q268" s="467"/>
      <c r="R268" s="484" t="s">
        <v>3456</v>
      </c>
      <c r="S268" s="485" t="e">
        <f ca="1">ROUND(SUM(S229:S267),-1)</f>
        <v>#DIV/0!</v>
      </c>
    </row>
    <row r="269" spans="2:19" ht="14.85" customHeight="1">
      <c r="P269" s="466"/>
      <c r="Q269" s="467"/>
      <c r="R269" s="484" t="s">
        <v>3457</v>
      </c>
      <c r="S269" s="486">
        <f>B214</f>
        <v>63030</v>
      </c>
    </row>
    <row r="270" spans="2:19" ht="14.85" customHeight="1">
      <c r="P270" s="487"/>
      <c r="Q270" s="346"/>
      <c r="R270" s="488" t="s">
        <v>3458</v>
      </c>
      <c r="S270" s="489" t="e">
        <f ca="1">S268-S269</f>
        <v>#DIV/0!</v>
      </c>
    </row>
    <row r="271" spans="2:19" ht="14.85" customHeight="1">
      <c r="B271" s="490" t="s">
        <v>3451</v>
      </c>
      <c r="C271" s="464"/>
      <c r="D271" s="464"/>
      <c r="E271" s="464"/>
      <c r="F271" s="464"/>
      <c r="G271" s="464"/>
      <c r="H271" s="464"/>
      <c r="I271" s="464"/>
      <c r="J271" s="464"/>
      <c r="K271" s="464"/>
      <c r="L271" s="464"/>
      <c r="M271" s="465"/>
      <c r="S271" s="491" t="e">
        <f ca="1">S269/S268-1</f>
        <v>#DIV/0!</v>
      </c>
    </row>
    <row r="272" spans="2:19" ht="14.85" customHeight="1"/>
    <row r="273" spans="2:13" ht="14.85" customHeight="1">
      <c r="B273" s="253" t="str">
        <f>B228</f>
        <v>Series A</v>
      </c>
    </row>
    <row r="274" spans="2:13" ht="14.85" customHeight="1">
      <c r="B274" s="250" t="str">
        <f t="shared" ref="B274:B311" si="121">B229</f>
        <v>Debt-Like Component</v>
      </c>
      <c r="D274" s="478">
        <f ca="1">D229*(1/(1+$P229)^D$13)</f>
        <v>0</v>
      </c>
      <c r="E274" s="478">
        <f t="shared" ref="E274:M274" ca="1" si="122">E229*(1/(1+$P229)^E$13)</f>
        <v>0</v>
      </c>
      <c r="F274" s="478">
        <f t="shared" ca="1" si="122"/>
        <v>0</v>
      </c>
      <c r="G274" s="478">
        <f t="shared" ca="1" si="122"/>
        <v>0</v>
      </c>
      <c r="H274" s="478">
        <f t="shared" ca="1" si="122"/>
        <v>0</v>
      </c>
      <c r="I274" s="478">
        <f t="shared" ca="1" si="122"/>
        <v>0</v>
      </c>
      <c r="J274" s="478">
        <f t="shared" ca="1" si="122"/>
        <v>0</v>
      </c>
      <c r="K274" s="478">
        <f t="shared" ca="1" si="122"/>
        <v>0</v>
      </c>
      <c r="L274" s="478">
        <f t="shared" ca="1" si="122"/>
        <v>0</v>
      </c>
      <c r="M274" s="478">
        <f t="shared" ca="1" si="122"/>
        <v>0</v>
      </c>
    </row>
    <row r="275" spans="2:13" ht="14.85" customHeight="1">
      <c r="B275" s="250" t="str">
        <f t="shared" si="121"/>
        <v>Equity-Like Component</v>
      </c>
      <c r="D275" s="478">
        <f ca="1">D230*(1/(1+$P230)^D$13)</f>
        <v>0</v>
      </c>
      <c r="E275" s="478">
        <f t="shared" ref="E275:M275" ca="1" si="123">E230*(1/(1+$P230)^E$13)</f>
        <v>0</v>
      </c>
      <c r="F275" s="478">
        <f t="shared" ca="1" si="123"/>
        <v>0</v>
      </c>
      <c r="G275" s="478">
        <f t="shared" ca="1" si="123"/>
        <v>0</v>
      </c>
      <c r="H275" s="478">
        <f t="shared" ca="1" si="123"/>
        <v>0</v>
      </c>
      <c r="I275" s="478">
        <f t="shared" ca="1" si="123"/>
        <v>0</v>
      </c>
      <c r="J275" s="478">
        <f t="shared" ca="1" si="123"/>
        <v>0</v>
      </c>
      <c r="K275" s="478">
        <f t="shared" ca="1" si="123"/>
        <v>0</v>
      </c>
      <c r="L275" s="478">
        <f t="shared" ca="1" si="123"/>
        <v>0</v>
      </c>
      <c r="M275" s="478">
        <f t="shared" ca="1" si="123"/>
        <v>0</v>
      </c>
    </row>
    <row r="276" spans="2:13" ht="14.85" customHeight="1">
      <c r="B276" s="253" t="str">
        <f t="shared" si="121"/>
        <v>Series B</v>
      </c>
    </row>
    <row r="277" spans="2:13" ht="14.85" customHeight="1">
      <c r="B277" s="250" t="str">
        <f t="shared" si="121"/>
        <v>Debt-Like Component</v>
      </c>
      <c r="D277" s="478">
        <f ca="1">D232*(1/(1+$P232)^D$13)</f>
        <v>0</v>
      </c>
      <c r="E277" s="478">
        <f t="shared" ref="E277:M277" ca="1" si="124">E232*(1/(1+$P232)^E$13)</f>
        <v>0</v>
      </c>
      <c r="F277" s="478">
        <f t="shared" ca="1" si="124"/>
        <v>0</v>
      </c>
      <c r="G277" s="478">
        <f t="shared" ca="1" si="124"/>
        <v>0</v>
      </c>
      <c r="H277" s="478">
        <f t="shared" ca="1" si="124"/>
        <v>0</v>
      </c>
      <c r="I277" s="478">
        <f t="shared" ca="1" si="124"/>
        <v>0</v>
      </c>
      <c r="J277" s="478">
        <f t="shared" ca="1" si="124"/>
        <v>0</v>
      </c>
      <c r="K277" s="478">
        <f t="shared" ca="1" si="124"/>
        <v>0</v>
      </c>
      <c r="L277" s="478">
        <f t="shared" ca="1" si="124"/>
        <v>0</v>
      </c>
      <c r="M277" s="478">
        <f t="shared" ca="1" si="124"/>
        <v>0</v>
      </c>
    </row>
    <row r="278" spans="2:13" ht="14.85" customHeight="1">
      <c r="B278" s="250" t="str">
        <f t="shared" si="121"/>
        <v>Equity-Like Component</v>
      </c>
      <c r="D278" s="478">
        <f ca="1">D233*(1/(1+$P233)^D$13)</f>
        <v>0</v>
      </c>
      <c r="E278" s="478">
        <f t="shared" ref="E278:M278" ca="1" si="125">E233*(1/(1+$P233)^E$13)</f>
        <v>0</v>
      </c>
      <c r="F278" s="478">
        <f t="shared" ca="1" si="125"/>
        <v>0</v>
      </c>
      <c r="G278" s="478">
        <f t="shared" ca="1" si="125"/>
        <v>0</v>
      </c>
      <c r="H278" s="478">
        <f t="shared" ca="1" si="125"/>
        <v>0</v>
      </c>
      <c r="I278" s="478">
        <f t="shared" ca="1" si="125"/>
        <v>0</v>
      </c>
      <c r="J278" s="478">
        <f t="shared" ca="1" si="125"/>
        <v>0</v>
      </c>
      <c r="K278" s="478">
        <f t="shared" ca="1" si="125"/>
        <v>0</v>
      </c>
      <c r="L278" s="478">
        <f t="shared" ca="1" si="125"/>
        <v>0</v>
      </c>
      <c r="M278" s="478">
        <f t="shared" ca="1" si="125"/>
        <v>0</v>
      </c>
    </row>
    <row r="279" spans="2:13" ht="14.85" customHeight="1">
      <c r="B279" s="253" t="str">
        <f t="shared" si="121"/>
        <v>Series C</v>
      </c>
    </row>
    <row r="280" spans="2:13" ht="14.85" customHeight="1">
      <c r="B280" s="250" t="str">
        <f t="shared" si="121"/>
        <v>Debt-Like Component</v>
      </c>
      <c r="D280" s="478">
        <f ca="1">D235*(1/(1+$P235)^D$13)</f>
        <v>0</v>
      </c>
      <c r="E280" s="478">
        <f t="shared" ref="E280:M280" ca="1" si="126">E235*(1/(1+$P235)^E$13)</f>
        <v>0</v>
      </c>
      <c r="F280" s="478">
        <f t="shared" ca="1" si="126"/>
        <v>0</v>
      </c>
      <c r="G280" s="478">
        <f t="shared" ca="1" si="126"/>
        <v>0</v>
      </c>
      <c r="H280" s="478">
        <f t="shared" ca="1" si="126"/>
        <v>0</v>
      </c>
      <c r="I280" s="478">
        <f t="shared" ca="1" si="126"/>
        <v>0</v>
      </c>
      <c r="J280" s="478">
        <f t="shared" ca="1" si="126"/>
        <v>0</v>
      </c>
      <c r="K280" s="478">
        <f t="shared" ca="1" si="126"/>
        <v>0</v>
      </c>
      <c r="L280" s="478">
        <f t="shared" ca="1" si="126"/>
        <v>0</v>
      </c>
      <c r="M280" s="478">
        <f t="shared" ca="1" si="126"/>
        <v>0</v>
      </c>
    </row>
    <row r="281" spans="2:13" ht="14.85" customHeight="1">
      <c r="B281" s="250" t="str">
        <f t="shared" si="121"/>
        <v>Equity-Like Component</v>
      </c>
      <c r="D281" s="478">
        <f ca="1">D236*(1/(1+$P236)^D$13)</f>
        <v>0</v>
      </c>
      <c r="E281" s="478">
        <f t="shared" ref="E281:M281" ca="1" si="127">E236*(1/(1+$P236)^E$13)</f>
        <v>0</v>
      </c>
      <c r="F281" s="478">
        <f t="shared" ca="1" si="127"/>
        <v>0</v>
      </c>
      <c r="G281" s="478">
        <f t="shared" ca="1" si="127"/>
        <v>0</v>
      </c>
      <c r="H281" s="478">
        <f t="shared" ca="1" si="127"/>
        <v>0</v>
      </c>
      <c r="I281" s="478">
        <f t="shared" ca="1" si="127"/>
        <v>0</v>
      </c>
      <c r="J281" s="478">
        <f t="shared" ca="1" si="127"/>
        <v>0</v>
      </c>
      <c r="K281" s="478">
        <f t="shared" ca="1" si="127"/>
        <v>0</v>
      </c>
      <c r="L281" s="478">
        <f t="shared" ca="1" si="127"/>
        <v>0</v>
      </c>
      <c r="M281" s="478">
        <f t="shared" ca="1" si="127"/>
        <v>0</v>
      </c>
    </row>
    <row r="282" spans="2:13" ht="14.85" customHeight="1">
      <c r="B282" s="253" t="str">
        <f t="shared" si="121"/>
        <v>Series D</v>
      </c>
    </row>
    <row r="283" spans="2:13" ht="14.85" customHeight="1">
      <c r="B283" s="250" t="str">
        <f t="shared" si="121"/>
        <v>Debt-Like Component</v>
      </c>
      <c r="D283" s="478">
        <f ca="1">D238*(1/(1+$P238)^D$13)</f>
        <v>0</v>
      </c>
      <c r="E283" s="478">
        <f t="shared" ref="E283:M283" ca="1" si="128">E238*(1/(1+$P238)^E$13)</f>
        <v>0</v>
      </c>
      <c r="F283" s="478">
        <f t="shared" ca="1" si="128"/>
        <v>0</v>
      </c>
      <c r="G283" s="478">
        <f t="shared" ca="1" si="128"/>
        <v>0</v>
      </c>
      <c r="H283" s="478">
        <f t="shared" ca="1" si="128"/>
        <v>0</v>
      </c>
      <c r="I283" s="478">
        <f t="shared" ca="1" si="128"/>
        <v>0</v>
      </c>
      <c r="J283" s="478">
        <f t="shared" ca="1" si="128"/>
        <v>0</v>
      </c>
      <c r="K283" s="478">
        <f t="shared" ca="1" si="128"/>
        <v>0</v>
      </c>
      <c r="L283" s="478">
        <f t="shared" ca="1" si="128"/>
        <v>0</v>
      </c>
      <c r="M283" s="478">
        <f t="shared" ca="1" si="128"/>
        <v>0</v>
      </c>
    </row>
    <row r="284" spans="2:13" ht="14.85" customHeight="1">
      <c r="B284" s="250" t="str">
        <f t="shared" si="121"/>
        <v>Equity-Like Component</v>
      </c>
      <c r="D284" s="478">
        <f ca="1">D239*(1/(1+$P239)^D$13)</f>
        <v>0</v>
      </c>
      <c r="E284" s="478">
        <f t="shared" ref="E284:M284" ca="1" si="129">E239*(1/(1+$P239)^E$13)</f>
        <v>0</v>
      </c>
      <c r="F284" s="478">
        <f t="shared" ca="1" si="129"/>
        <v>0</v>
      </c>
      <c r="G284" s="478">
        <f t="shared" ca="1" si="129"/>
        <v>0</v>
      </c>
      <c r="H284" s="478">
        <f t="shared" ca="1" si="129"/>
        <v>0</v>
      </c>
      <c r="I284" s="478">
        <f t="shared" ca="1" si="129"/>
        <v>0</v>
      </c>
      <c r="J284" s="478">
        <f t="shared" ca="1" si="129"/>
        <v>0</v>
      </c>
      <c r="K284" s="478">
        <f t="shared" ca="1" si="129"/>
        <v>0</v>
      </c>
      <c r="L284" s="478">
        <f t="shared" ca="1" si="129"/>
        <v>0</v>
      </c>
      <c r="M284" s="478">
        <f t="shared" ca="1" si="129"/>
        <v>0</v>
      </c>
    </row>
    <row r="285" spans="2:13" ht="14.85" customHeight="1">
      <c r="B285" s="253" t="str">
        <f t="shared" si="121"/>
        <v>Series E</v>
      </c>
    </row>
    <row r="286" spans="2:13" ht="14.85" customHeight="1">
      <c r="B286" s="250" t="str">
        <f t="shared" si="121"/>
        <v>Debt-Like Component</v>
      </c>
      <c r="D286" s="478">
        <f ca="1">D241*(1/(1+$P241)^D$13)</f>
        <v>0</v>
      </c>
      <c r="E286" s="478">
        <f t="shared" ref="E286:M286" ca="1" si="130">E241*(1/(1+$P241)^E$13)</f>
        <v>0</v>
      </c>
      <c r="F286" s="478">
        <f t="shared" ca="1" si="130"/>
        <v>0</v>
      </c>
      <c r="G286" s="478">
        <f t="shared" ca="1" si="130"/>
        <v>0</v>
      </c>
      <c r="H286" s="478">
        <f t="shared" ca="1" si="130"/>
        <v>0</v>
      </c>
      <c r="I286" s="478">
        <f t="shared" ca="1" si="130"/>
        <v>0</v>
      </c>
      <c r="J286" s="478">
        <f t="shared" ca="1" si="130"/>
        <v>0</v>
      </c>
      <c r="K286" s="478">
        <f t="shared" ca="1" si="130"/>
        <v>0</v>
      </c>
      <c r="L286" s="478">
        <f t="shared" ca="1" si="130"/>
        <v>0</v>
      </c>
      <c r="M286" s="478">
        <f t="shared" ca="1" si="130"/>
        <v>0</v>
      </c>
    </row>
    <row r="287" spans="2:13" ht="14.85" customHeight="1">
      <c r="B287" s="250" t="str">
        <f t="shared" si="121"/>
        <v>Equity-Like Component</v>
      </c>
      <c r="D287" s="478">
        <f ca="1">D242*(1/(1+$P242)^D$13)</f>
        <v>0</v>
      </c>
      <c r="E287" s="478">
        <f t="shared" ref="E287:M287" ca="1" si="131">E242*(1/(1+$P242)^E$13)</f>
        <v>0</v>
      </c>
      <c r="F287" s="478">
        <f t="shared" ca="1" si="131"/>
        <v>0</v>
      </c>
      <c r="G287" s="478">
        <f t="shared" ca="1" si="131"/>
        <v>0</v>
      </c>
      <c r="H287" s="478">
        <f t="shared" ca="1" si="131"/>
        <v>0</v>
      </c>
      <c r="I287" s="478">
        <f t="shared" ca="1" si="131"/>
        <v>0</v>
      </c>
      <c r="J287" s="478">
        <f t="shared" ca="1" si="131"/>
        <v>0</v>
      </c>
      <c r="K287" s="478">
        <f t="shared" ca="1" si="131"/>
        <v>0</v>
      </c>
      <c r="L287" s="478">
        <f t="shared" ca="1" si="131"/>
        <v>0</v>
      </c>
      <c r="M287" s="478">
        <f t="shared" ca="1" si="131"/>
        <v>0</v>
      </c>
    </row>
    <row r="288" spans="2:13" ht="14.85" customHeight="1">
      <c r="B288" s="253" t="str">
        <f t="shared" si="121"/>
        <v>Series F</v>
      </c>
    </row>
    <row r="289" spans="2:13" ht="14.85" customHeight="1">
      <c r="B289" s="250" t="str">
        <f t="shared" si="121"/>
        <v>Debt-Like Component</v>
      </c>
      <c r="D289" s="478">
        <f ca="1">D244*(1/(1+$P244)^D$13)</f>
        <v>0</v>
      </c>
      <c r="E289" s="478">
        <f t="shared" ref="E289:M289" ca="1" si="132">E244*(1/(1+$P244)^E$13)</f>
        <v>0</v>
      </c>
      <c r="F289" s="478">
        <f t="shared" ca="1" si="132"/>
        <v>0</v>
      </c>
      <c r="G289" s="478">
        <f t="shared" ca="1" si="132"/>
        <v>0</v>
      </c>
      <c r="H289" s="478">
        <f t="shared" ca="1" si="132"/>
        <v>0</v>
      </c>
      <c r="I289" s="478">
        <f t="shared" ca="1" si="132"/>
        <v>0</v>
      </c>
      <c r="J289" s="478">
        <f t="shared" ca="1" si="132"/>
        <v>0</v>
      </c>
      <c r="K289" s="478">
        <f t="shared" ca="1" si="132"/>
        <v>0</v>
      </c>
      <c r="L289" s="478">
        <f t="shared" ca="1" si="132"/>
        <v>0</v>
      </c>
      <c r="M289" s="478">
        <f t="shared" ca="1" si="132"/>
        <v>0</v>
      </c>
    </row>
    <row r="290" spans="2:13" ht="14.85" customHeight="1">
      <c r="B290" s="250" t="str">
        <f t="shared" si="121"/>
        <v>Equity-Like Component</v>
      </c>
      <c r="D290" s="478">
        <f ca="1">D245*(1/(1+$P245)^D$13)</f>
        <v>0</v>
      </c>
      <c r="E290" s="478">
        <f t="shared" ref="E290:M290" ca="1" si="133">E245*(1/(1+$P245)^E$13)</f>
        <v>0</v>
      </c>
      <c r="F290" s="478">
        <f t="shared" ca="1" si="133"/>
        <v>0</v>
      </c>
      <c r="G290" s="478">
        <f t="shared" ca="1" si="133"/>
        <v>0</v>
      </c>
      <c r="H290" s="478">
        <f t="shared" ca="1" si="133"/>
        <v>0</v>
      </c>
      <c r="I290" s="478">
        <f t="shared" ca="1" si="133"/>
        <v>0</v>
      </c>
      <c r="J290" s="478">
        <f t="shared" ca="1" si="133"/>
        <v>0</v>
      </c>
      <c r="K290" s="478">
        <f t="shared" ca="1" si="133"/>
        <v>0</v>
      </c>
      <c r="L290" s="478">
        <f t="shared" ca="1" si="133"/>
        <v>0</v>
      </c>
      <c r="M290" s="478">
        <f t="shared" ca="1" si="133"/>
        <v>0</v>
      </c>
    </row>
    <row r="291" spans="2:13" ht="14.85" customHeight="1">
      <c r="B291" s="253" t="str">
        <f t="shared" si="121"/>
        <v>Series G</v>
      </c>
    </row>
    <row r="292" spans="2:13" ht="14.85" customHeight="1">
      <c r="B292" s="250" t="str">
        <f t="shared" si="121"/>
        <v>Debt-Like Component</v>
      </c>
      <c r="D292" s="478">
        <f ca="1">D247*(1/(1+$P247)^D$13)</f>
        <v>0</v>
      </c>
      <c r="E292" s="478">
        <f t="shared" ref="E292:M292" ca="1" si="134">E247*(1/(1+$P247)^E$13)</f>
        <v>0</v>
      </c>
      <c r="F292" s="478">
        <f t="shared" ca="1" si="134"/>
        <v>0</v>
      </c>
      <c r="G292" s="478">
        <f t="shared" ca="1" si="134"/>
        <v>0</v>
      </c>
      <c r="H292" s="478">
        <f t="shared" ca="1" si="134"/>
        <v>0</v>
      </c>
      <c r="I292" s="478">
        <f t="shared" ca="1" si="134"/>
        <v>0</v>
      </c>
      <c r="J292" s="478">
        <f t="shared" ca="1" si="134"/>
        <v>0</v>
      </c>
      <c r="K292" s="478">
        <f t="shared" ca="1" si="134"/>
        <v>0</v>
      </c>
      <c r="L292" s="478">
        <f t="shared" ca="1" si="134"/>
        <v>0</v>
      </c>
      <c r="M292" s="478">
        <f t="shared" ca="1" si="134"/>
        <v>0</v>
      </c>
    </row>
    <row r="293" spans="2:13" ht="14.85" customHeight="1">
      <c r="B293" s="250" t="str">
        <f t="shared" si="121"/>
        <v>Equity-Like Component</v>
      </c>
      <c r="D293" s="478">
        <f ca="1">D248*(1/(1+$P248)^D$13)</f>
        <v>0</v>
      </c>
      <c r="E293" s="478">
        <f t="shared" ref="E293:M293" ca="1" si="135">E248*(1/(1+$P248)^E$13)</f>
        <v>0</v>
      </c>
      <c r="F293" s="478">
        <f t="shared" ca="1" si="135"/>
        <v>0</v>
      </c>
      <c r="G293" s="478">
        <f t="shared" ca="1" si="135"/>
        <v>0</v>
      </c>
      <c r="H293" s="478">
        <f t="shared" ca="1" si="135"/>
        <v>0</v>
      </c>
      <c r="I293" s="478">
        <f t="shared" ca="1" si="135"/>
        <v>0</v>
      </c>
      <c r="J293" s="478">
        <f t="shared" ca="1" si="135"/>
        <v>0</v>
      </c>
      <c r="K293" s="478">
        <f t="shared" ca="1" si="135"/>
        <v>0</v>
      </c>
      <c r="L293" s="478">
        <f t="shared" ca="1" si="135"/>
        <v>0</v>
      </c>
      <c r="M293" s="478">
        <f t="shared" ca="1" si="135"/>
        <v>0</v>
      </c>
    </row>
    <row r="294" spans="2:13" ht="14.85" customHeight="1">
      <c r="B294" s="253" t="str">
        <f t="shared" si="121"/>
        <v>Series A Warrants</v>
      </c>
      <c r="D294" s="478">
        <f t="shared" ref="D294:M294" ca="1" si="136">D249*(1/(1+$P249)^D$13)</f>
        <v>0</v>
      </c>
      <c r="E294" s="478">
        <f t="shared" ca="1" si="136"/>
        <v>0</v>
      </c>
      <c r="F294" s="478">
        <f t="shared" ca="1" si="136"/>
        <v>0</v>
      </c>
      <c r="G294" s="478">
        <f t="shared" ca="1" si="136"/>
        <v>0</v>
      </c>
      <c r="H294" s="478">
        <f t="shared" ca="1" si="136"/>
        <v>0</v>
      </c>
      <c r="I294" s="478">
        <f t="shared" ca="1" si="136"/>
        <v>0</v>
      </c>
      <c r="J294" s="478">
        <f t="shared" ca="1" si="136"/>
        <v>0</v>
      </c>
      <c r="K294" s="478">
        <f t="shared" ca="1" si="136"/>
        <v>0</v>
      </c>
      <c r="L294" s="478">
        <f t="shared" ca="1" si="136"/>
        <v>0</v>
      </c>
      <c r="M294" s="478">
        <f t="shared" ca="1" si="136"/>
        <v>0</v>
      </c>
    </row>
    <row r="295" spans="2:13" ht="14.85" customHeight="1">
      <c r="B295" s="253" t="str">
        <f t="shared" si="121"/>
        <v>Series B Warrants</v>
      </c>
      <c r="D295" s="478">
        <f t="shared" ref="D295:M295" ca="1" si="137">D250*(1/(1+$P250)^D$13)</f>
        <v>0</v>
      </c>
      <c r="E295" s="478">
        <f t="shared" ca="1" si="137"/>
        <v>0</v>
      </c>
      <c r="F295" s="478">
        <f t="shared" ca="1" si="137"/>
        <v>0</v>
      </c>
      <c r="G295" s="478">
        <f t="shared" ca="1" si="137"/>
        <v>0</v>
      </c>
      <c r="H295" s="478">
        <f t="shared" ca="1" si="137"/>
        <v>0</v>
      </c>
      <c r="I295" s="478">
        <f t="shared" ca="1" si="137"/>
        <v>0</v>
      </c>
      <c r="J295" s="478">
        <f t="shared" ca="1" si="137"/>
        <v>0</v>
      </c>
      <c r="K295" s="478">
        <f t="shared" ca="1" si="137"/>
        <v>0</v>
      </c>
      <c r="L295" s="478">
        <f t="shared" ca="1" si="137"/>
        <v>0</v>
      </c>
      <c r="M295" s="478">
        <f t="shared" ca="1" si="137"/>
        <v>0</v>
      </c>
    </row>
    <row r="296" spans="2:13" ht="14.85" customHeight="1">
      <c r="B296" s="253" t="str">
        <f t="shared" si="121"/>
        <v>Series C Warrants</v>
      </c>
      <c r="D296" s="478">
        <f t="shared" ref="D296:M296" ca="1" si="138">D251*(1/(1+$P251)^D$13)</f>
        <v>0</v>
      </c>
      <c r="E296" s="478">
        <f t="shared" ca="1" si="138"/>
        <v>0</v>
      </c>
      <c r="F296" s="478">
        <f t="shared" ca="1" si="138"/>
        <v>0</v>
      </c>
      <c r="G296" s="478">
        <f t="shared" ca="1" si="138"/>
        <v>0</v>
      </c>
      <c r="H296" s="478">
        <f t="shared" ca="1" si="138"/>
        <v>0</v>
      </c>
      <c r="I296" s="478">
        <f t="shared" ca="1" si="138"/>
        <v>0</v>
      </c>
      <c r="J296" s="478">
        <f t="shared" ca="1" si="138"/>
        <v>0</v>
      </c>
      <c r="K296" s="478">
        <f t="shared" ca="1" si="138"/>
        <v>0</v>
      </c>
      <c r="L296" s="478">
        <f t="shared" ca="1" si="138"/>
        <v>0</v>
      </c>
      <c r="M296" s="478">
        <f t="shared" ca="1" si="138"/>
        <v>0</v>
      </c>
    </row>
    <row r="297" spans="2:13" ht="14.85" customHeight="1">
      <c r="B297" s="253" t="str">
        <f t="shared" si="121"/>
        <v>Series D Warrants</v>
      </c>
      <c r="D297" s="478">
        <f t="shared" ref="D297:M297" ca="1" si="139">D252*(1/(1+$P252)^D$13)</f>
        <v>0</v>
      </c>
      <c r="E297" s="478">
        <f t="shared" ca="1" si="139"/>
        <v>0</v>
      </c>
      <c r="F297" s="478">
        <f t="shared" ca="1" si="139"/>
        <v>0</v>
      </c>
      <c r="G297" s="478">
        <f t="shared" ca="1" si="139"/>
        <v>0</v>
      </c>
      <c r="H297" s="478">
        <f t="shared" ca="1" si="139"/>
        <v>0</v>
      </c>
      <c r="I297" s="478">
        <f t="shared" ca="1" si="139"/>
        <v>0</v>
      </c>
      <c r="J297" s="478">
        <f t="shared" ca="1" si="139"/>
        <v>0</v>
      </c>
      <c r="K297" s="478">
        <f t="shared" ca="1" si="139"/>
        <v>0</v>
      </c>
      <c r="L297" s="478">
        <f t="shared" ca="1" si="139"/>
        <v>0</v>
      </c>
      <c r="M297" s="478">
        <f t="shared" ca="1" si="139"/>
        <v>0</v>
      </c>
    </row>
    <row r="298" spans="2:13" ht="14.85" customHeight="1">
      <c r="B298" s="253" t="str">
        <f t="shared" si="121"/>
        <v>Series E Warrants</v>
      </c>
      <c r="D298" s="478">
        <f t="shared" ref="D298:M298" ca="1" si="140">D253*(1/(1+$P253)^D$13)</f>
        <v>0</v>
      </c>
      <c r="E298" s="478">
        <f t="shared" ca="1" si="140"/>
        <v>0</v>
      </c>
      <c r="F298" s="478">
        <f t="shared" ca="1" si="140"/>
        <v>0</v>
      </c>
      <c r="G298" s="478">
        <f t="shared" ca="1" si="140"/>
        <v>0</v>
      </c>
      <c r="H298" s="478">
        <f t="shared" ca="1" si="140"/>
        <v>0</v>
      </c>
      <c r="I298" s="478">
        <f t="shared" ca="1" si="140"/>
        <v>0</v>
      </c>
      <c r="J298" s="478">
        <f t="shared" ca="1" si="140"/>
        <v>0</v>
      </c>
      <c r="K298" s="478">
        <f t="shared" ca="1" si="140"/>
        <v>0</v>
      </c>
      <c r="L298" s="478">
        <f t="shared" ca="1" si="140"/>
        <v>0</v>
      </c>
      <c r="M298" s="478">
        <f t="shared" ca="1" si="140"/>
        <v>0</v>
      </c>
    </row>
    <row r="299" spans="2:13" ht="14.85" customHeight="1">
      <c r="B299" s="253" t="str">
        <f t="shared" si="121"/>
        <v>Series F Warrants</v>
      </c>
      <c r="D299" s="478">
        <f t="shared" ref="D299:M299" ca="1" si="141">D254*(1/(1+$P254)^D$13)</f>
        <v>0</v>
      </c>
      <c r="E299" s="478">
        <f t="shared" ca="1" si="141"/>
        <v>0</v>
      </c>
      <c r="F299" s="478">
        <f t="shared" ca="1" si="141"/>
        <v>0</v>
      </c>
      <c r="G299" s="478">
        <f t="shared" ca="1" si="141"/>
        <v>0</v>
      </c>
      <c r="H299" s="478">
        <f t="shared" ca="1" si="141"/>
        <v>0</v>
      </c>
      <c r="I299" s="478">
        <f t="shared" ca="1" si="141"/>
        <v>0</v>
      </c>
      <c r="J299" s="478">
        <f t="shared" ca="1" si="141"/>
        <v>0</v>
      </c>
      <c r="K299" s="478">
        <f t="shared" ca="1" si="141"/>
        <v>0</v>
      </c>
      <c r="L299" s="478">
        <f t="shared" ca="1" si="141"/>
        <v>0</v>
      </c>
      <c r="M299" s="478">
        <f t="shared" ca="1" si="141"/>
        <v>0</v>
      </c>
    </row>
    <row r="300" spans="2:13" ht="14.85" customHeight="1">
      <c r="B300" s="253" t="str">
        <f t="shared" si="121"/>
        <v>Series G Warrants</v>
      </c>
      <c r="D300" s="478">
        <f t="shared" ref="D300:M300" ca="1" si="142">D255*(1/(1+$P255)^D$13)</f>
        <v>0</v>
      </c>
      <c r="E300" s="478">
        <f t="shared" ca="1" si="142"/>
        <v>0</v>
      </c>
      <c r="F300" s="478">
        <f t="shared" ca="1" si="142"/>
        <v>0</v>
      </c>
      <c r="G300" s="478">
        <f t="shared" ca="1" si="142"/>
        <v>0</v>
      </c>
      <c r="H300" s="478">
        <f t="shared" ca="1" si="142"/>
        <v>0</v>
      </c>
      <c r="I300" s="478">
        <f t="shared" ca="1" si="142"/>
        <v>0</v>
      </c>
      <c r="J300" s="478">
        <f t="shared" ca="1" si="142"/>
        <v>0</v>
      </c>
      <c r="K300" s="478">
        <f t="shared" ca="1" si="142"/>
        <v>0</v>
      </c>
      <c r="L300" s="478">
        <f t="shared" ca="1" si="142"/>
        <v>0</v>
      </c>
      <c r="M300" s="478">
        <f t="shared" ca="1" si="142"/>
        <v>0</v>
      </c>
    </row>
    <row r="301" spans="2:13" ht="14.85" customHeight="1">
      <c r="B301" s="253" t="str">
        <f t="shared" si="121"/>
        <v>Options/Warrants at $2.00 Strike Price</v>
      </c>
      <c r="D301" s="478">
        <f t="shared" ref="D301:M301" ca="1" si="143">D256*(1/(1+$P256)^D$13)</f>
        <v>0</v>
      </c>
      <c r="E301" s="478">
        <f t="shared" ca="1" si="143"/>
        <v>0</v>
      </c>
      <c r="F301" s="478">
        <f t="shared" ca="1" si="143"/>
        <v>0</v>
      </c>
      <c r="G301" s="478">
        <f t="shared" ca="1" si="143"/>
        <v>0</v>
      </c>
      <c r="H301" s="478">
        <f t="shared" ca="1" si="143"/>
        <v>0</v>
      </c>
      <c r="I301" s="478">
        <f t="shared" ca="1" si="143"/>
        <v>0</v>
      </c>
      <c r="J301" s="478">
        <f t="shared" ca="1" si="143"/>
        <v>0</v>
      </c>
      <c r="K301" s="478">
        <f t="shared" ca="1" si="143"/>
        <v>0</v>
      </c>
      <c r="L301" s="478">
        <f t="shared" ca="1" si="143"/>
        <v>0</v>
      </c>
      <c r="M301" s="478">
        <f t="shared" ca="1" si="143"/>
        <v>0</v>
      </c>
    </row>
    <row r="302" spans="2:13" ht="14.85" customHeight="1">
      <c r="B302" s="253" t="str">
        <f t="shared" si="121"/>
        <v>Options/Warrants at $0.00 Strike Price</v>
      </c>
      <c r="D302" s="478" t="e">
        <f t="shared" ref="D302:M302" ca="1" si="144">D257*(1/(1+$P257)^D$13)</f>
        <v>#DIV/0!</v>
      </c>
      <c r="E302" s="478" t="e">
        <f t="shared" ca="1" si="144"/>
        <v>#DIV/0!</v>
      </c>
      <c r="F302" s="478" t="e">
        <f t="shared" ca="1" si="144"/>
        <v>#DIV/0!</v>
      </c>
      <c r="G302" s="478" t="e">
        <f t="shared" ca="1" si="144"/>
        <v>#DIV/0!</v>
      </c>
      <c r="H302" s="478" t="e">
        <f t="shared" ca="1" si="144"/>
        <v>#DIV/0!</v>
      </c>
      <c r="I302" s="478" t="e">
        <f t="shared" ca="1" si="144"/>
        <v>#DIV/0!</v>
      </c>
      <c r="J302" s="478" t="e">
        <f t="shared" ca="1" si="144"/>
        <v>#DIV/0!</v>
      </c>
      <c r="K302" s="478" t="e">
        <f t="shared" ca="1" si="144"/>
        <v>#DIV/0!</v>
      </c>
      <c r="L302" s="478" t="e">
        <f t="shared" ca="1" si="144"/>
        <v>#DIV/0!</v>
      </c>
      <c r="M302" s="478" t="e">
        <f t="shared" ca="1" si="144"/>
        <v>#DIV/0!</v>
      </c>
    </row>
    <row r="303" spans="2:13" ht="14.85" customHeight="1">
      <c r="B303" s="253" t="str">
        <f t="shared" si="121"/>
        <v>Options/Warrants at $0.00 Strike Price</v>
      </c>
      <c r="D303" s="478" t="e">
        <f t="shared" ref="D303:M303" ca="1" si="145">D258*(1/(1+$P258)^D$13)</f>
        <v>#DIV/0!</v>
      </c>
      <c r="E303" s="478" t="e">
        <f t="shared" ca="1" si="145"/>
        <v>#DIV/0!</v>
      </c>
      <c r="F303" s="478" t="e">
        <f t="shared" ca="1" si="145"/>
        <v>#DIV/0!</v>
      </c>
      <c r="G303" s="478" t="e">
        <f t="shared" ca="1" si="145"/>
        <v>#DIV/0!</v>
      </c>
      <c r="H303" s="478" t="e">
        <f t="shared" ca="1" si="145"/>
        <v>#DIV/0!</v>
      </c>
      <c r="I303" s="478" t="e">
        <f t="shared" ca="1" si="145"/>
        <v>#DIV/0!</v>
      </c>
      <c r="J303" s="478" t="e">
        <f t="shared" ca="1" si="145"/>
        <v>#DIV/0!</v>
      </c>
      <c r="K303" s="478" t="e">
        <f t="shared" ca="1" si="145"/>
        <v>#DIV/0!</v>
      </c>
      <c r="L303" s="478" t="e">
        <f t="shared" ca="1" si="145"/>
        <v>#DIV/0!</v>
      </c>
      <c r="M303" s="478" t="e">
        <f t="shared" ca="1" si="145"/>
        <v>#DIV/0!</v>
      </c>
    </row>
    <row r="304" spans="2:13" ht="14.85" customHeight="1">
      <c r="B304" s="253" t="str">
        <f t="shared" si="121"/>
        <v>Options/Warrants at $0.00 Strike Price</v>
      </c>
      <c r="D304" s="478" t="e">
        <f t="shared" ref="D304:M304" ca="1" si="146">D259*(1/(1+$P259)^D$13)</f>
        <v>#DIV/0!</v>
      </c>
      <c r="E304" s="478" t="e">
        <f t="shared" ca="1" si="146"/>
        <v>#DIV/0!</v>
      </c>
      <c r="F304" s="478" t="e">
        <f t="shared" ca="1" si="146"/>
        <v>#DIV/0!</v>
      </c>
      <c r="G304" s="478" t="e">
        <f t="shared" ca="1" si="146"/>
        <v>#DIV/0!</v>
      </c>
      <c r="H304" s="478" t="e">
        <f t="shared" ca="1" si="146"/>
        <v>#DIV/0!</v>
      </c>
      <c r="I304" s="478" t="e">
        <f t="shared" ca="1" si="146"/>
        <v>#DIV/0!</v>
      </c>
      <c r="J304" s="478" t="e">
        <f t="shared" ca="1" si="146"/>
        <v>#DIV/0!</v>
      </c>
      <c r="K304" s="478" t="e">
        <f t="shared" ca="1" si="146"/>
        <v>#DIV/0!</v>
      </c>
      <c r="L304" s="478" t="e">
        <f t="shared" ca="1" si="146"/>
        <v>#DIV/0!</v>
      </c>
      <c r="M304" s="478" t="e">
        <f t="shared" ca="1" si="146"/>
        <v>#DIV/0!</v>
      </c>
    </row>
    <row r="305" spans="2:13" ht="14.85" customHeight="1">
      <c r="B305" s="253" t="str">
        <f t="shared" si="121"/>
        <v>Options/Warrants at $0.00 Strike Price</v>
      </c>
      <c r="D305" s="478" t="e">
        <f t="shared" ref="D305:M305" ca="1" si="147">D260*(1/(1+$P260)^D$13)</f>
        <v>#DIV/0!</v>
      </c>
      <c r="E305" s="478" t="e">
        <f t="shared" ca="1" si="147"/>
        <v>#DIV/0!</v>
      </c>
      <c r="F305" s="478" t="e">
        <f t="shared" ca="1" si="147"/>
        <v>#DIV/0!</v>
      </c>
      <c r="G305" s="478" t="e">
        <f t="shared" ca="1" si="147"/>
        <v>#DIV/0!</v>
      </c>
      <c r="H305" s="478" t="e">
        <f t="shared" ca="1" si="147"/>
        <v>#DIV/0!</v>
      </c>
      <c r="I305" s="478" t="e">
        <f t="shared" ca="1" si="147"/>
        <v>#DIV/0!</v>
      </c>
      <c r="J305" s="478" t="e">
        <f t="shared" ca="1" si="147"/>
        <v>#DIV/0!</v>
      </c>
      <c r="K305" s="478" t="e">
        <f t="shared" ca="1" si="147"/>
        <v>#DIV/0!</v>
      </c>
      <c r="L305" s="478" t="e">
        <f t="shared" ca="1" si="147"/>
        <v>#DIV/0!</v>
      </c>
      <c r="M305" s="478" t="e">
        <f t="shared" ca="1" si="147"/>
        <v>#DIV/0!</v>
      </c>
    </row>
    <row r="306" spans="2:13" ht="14.85" customHeight="1">
      <c r="B306" s="253" t="str">
        <f t="shared" si="121"/>
        <v>Options/Warrants at $0.00 Strike Price</v>
      </c>
      <c r="D306" s="478" t="e">
        <f t="shared" ref="D306:M306" ca="1" si="148">D261*(1/(1+$P261)^D$13)</f>
        <v>#DIV/0!</v>
      </c>
      <c r="E306" s="478" t="e">
        <f t="shared" ca="1" si="148"/>
        <v>#DIV/0!</v>
      </c>
      <c r="F306" s="478" t="e">
        <f t="shared" ca="1" si="148"/>
        <v>#DIV/0!</v>
      </c>
      <c r="G306" s="478" t="e">
        <f t="shared" ca="1" si="148"/>
        <v>#DIV/0!</v>
      </c>
      <c r="H306" s="478" t="e">
        <f t="shared" ca="1" si="148"/>
        <v>#DIV/0!</v>
      </c>
      <c r="I306" s="478" t="e">
        <f t="shared" ca="1" si="148"/>
        <v>#DIV/0!</v>
      </c>
      <c r="J306" s="478" t="e">
        <f t="shared" ca="1" si="148"/>
        <v>#DIV/0!</v>
      </c>
      <c r="K306" s="478" t="e">
        <f t="shared" ca="1" si="148"/>
        <v>#DIV/0!</v>
      </c>
      <c r="L306" s="478" t="e">
        <f t="shared" ca="1" si="148"/>
        <v>#DIV/0!</v>
      </c>
      <c r="M306" s="478" t="e">
        <f t="shared" ca="1" si="148"/>
        <v>#DIV/0!</v>
      </c>
    </row>
    <row r="307" spans="2:13" ht="14.85" customHeight="1">
      <c r="B307" s="253" t="str">
        <f t="shared" si="121"/>
        <v>Options/Warrants at $0.00 Strike Price</v>
      </c>
      <c r="D307" s="478" t="e">
        <f t="shared" ref="D307:M307" ca="1" si="149">D262*(1/(1+$P262)^D$13)</f>
        <v>#DIV/0!</v>
      </c>
      <c r="E307" s="478" t="e">
        <f t="shared" ca="1" si="149"/>
        <v>#DIV/0!</v>
      </c>
      <c r="F307" s="478" t="e">
        <f t="shared" ca="1" si="149"/>
        <v>#DIV/0!</v>
      </c>
      <c r="G307" s="478" t="e">
        <f t="shared" ca="1" si="149"/>
        <v>#DIV/0!</v>
      </c>
      <c r="H307" s="478" t="e">
        <f t="shared" ca="1" si="149"/>
        <v>#DIV/0!</v>
      </c>
      <c r="I307" s="478" t="e">
        <f t="shared" ca="1" si="149"/>
        <v>#DIV/0!</v>
      </c>
      <c r="J307" s="478" t="e">
        <f t="shared" ca="1" si="149"/>
        <v>#DIV/0!</v>
      </c>
      <c r="K307" s="478" t="e">
        <f t="shared" ca="1" si="149"/>
        <v>#DIV/0!</v>
      </c>
      <c r="L307" s="478" t="e">
        <f t="shared" ca="1" si="149"/>
        <v>#DIV/0!</v>
      </c>
      <c r="M307" s="478" t="e">
        <f t="shared" ca="1" si="149"/>
        <v>#DIV/0!</v>
      </c>
    </row>
    <row r="308" spans="2:13" ht="14.85" customHeight="1">
      <c r="B308" s="253" t="str">
        <f t="shared" si="121"/>
        <v>Options/Warrants at $0.00 Strike Price</v>
      </c>
      <c r="D308" s="478" t="e">
        <f t="shared" ref="D308:M308" ca="1" si="150">D263*(1/(1+$P263)^D$13)</f>
        <v>#DIV/0!</v>
      </c>
      <c r="E308" s="478" t="e">
        <f t="shared" ca="1" si="150"/>
        <v>#DIV/0!</v>
      </c>
      <c r="F308" s="478" t="e">
        <f t="shared" ca="1" si="150"/>
        <v>#DIV/0!</v>
      </c>
      <c r="G308" s="478" t="e">
        <f t="shared" ca="1" si="150"/>
        <v>#DIV/0!</v>
      </c>
      <c r="H308" s="478" t="e">
        <f t="shared" ca="1" si="150"/>
        <v>#DIV/0!</v>
      </c>
      <c r="I308" s="478" t="e">
        <f t="shared" ca="1" si="150"/>
        <v>#DIV/0!</v>
      </c>
      <c r="J308" s="478" t="e">
        <f t="shared" ca="1" si="150"/>
        <v>#DIV/0!</v>
      </c>
      <c r="K308" s="478" t="e">
        <f t="shared" ca="1" si="150"/>
        <v>#DIV/0!</v>
      </c>
      <c r="L308" s="478" t="e">
        <f t="shared" ca="1" si="150"/>
        <v>#DIV/0!</v>
      </c>
      <c r="M308" s="478" t="e">
        <f t="shared" ca="1" si="150"/>
        <v>#DIV/0!</v>
      </c>
    </row>
    <row r="309" spans="2:13" ht="14.85" customHeight="1">
      <c r="B309" s="253" t="str">
        <f t="shared" si="121"/>
        <v>Options/Warrants at $0.00 Strike Price</v>
      </c>
      <c r="D309" s="478" t="e">
        <f t="shared" ref="D309:M309" ca="1" si="151">D264*(1/(1+$P264)^D$13)</f>
        <v>#DIV/0!</v>
      </c>
      <c r="E309" s="478" t="e">
        <f t="shared" ca="1" si="151"/>
        <v>#DIV/0!</v>
      </c>
      <c r="F309" s="478" t="e">
        <f t="shared" ca="1" si="151"/>
        <v>#DIV/0!</v>
      </c>
      <c r="G309" s="478" t="e">
        <f t="shared" ca="1" si="151"/>
        <v>#DIV/0!</v>
      </c>
      <c r="H309" s="478" t="e">
        <f t="shared" ca="1" si="151"/>
        <v>#DIV/0!</v>
      </c>
      <c r="I309" s="478" t="e">
        <f t="shared" ca="1" si="151"/>
        <v>#DIV/0!</v>
      </c>
      <c r="J309" s="478" t="e">
        <f t="shared" ca="1" si="151"/>
        <v>#DIV/0!</v>
      </c>
      <c r="K309" s="478" t="e">
        <f t="shared" ca="1" si="151"/>
        <v>#DIV/0!</v>
      </c>
      <c r="L309" s="478" t="e">
        <f t="shared" ca="1" si="151"/>
        <v>#DIV/0!</v>
      </c>
      <c r="M309" s="478" t="e">
        <f t="shared" ca="1" si="151"/>
        <v>#DIV/0!</v>
      </c>
    </row>
    <row r="310" spans="2:13" ht="14.85" customHeight="1">
      <c r="B310" s="253" t="str">
        <f t="shared" si="121"/>
        <v>Expected Options Grant</v>
      </c>
      <c r="D310" s="478">
        <f t="shared" ref="D310:M310" ca="1" si="152">D265*(1/(1+$P265)^D$13)</f>
        <v>0</v>
      </c>
      <c r="E310" s="478">
        <f t="shared" ca="1" si="152"/>
        <v>0</v>
      </c>
      <c r="F310" s="478">
        <f t="shared" ca="1" si="152"/>
        <v>0</v>
      </c>
      <c r="G310" s="478">
        <f t="shared" ca="1" si="152"/>
        <v>0</v>
      </c>
      <c r="H310" s="478">
        <f t="shared" ca="1" si="152"/>
        <v>0</v>
      </c>
      <c r="I310" s="478">
        <f t="shared" ca="1" si="152"/>
        <v>0</v>
      </c>
      <c r="J310" s="478">
        <f t="shared" ca="1" si="152"/>
        <v>0</v>
      </c>
      <c r="K310" s="478">
        <f t="shared" ca="1" si="152"/>
        <v>0</v>
      </c>
      <c r="L310" s="478">
        <f t="shared" ca="1" si="152"/>
        <v>0</v>
      </c>
      <c r="M310" s="478">
        <f t="shared" ca="1" si="152"/>
        <v>0</v>
      </c>
    </row>
    <row r="311" spans="2:13" ht="14.85" customHeight="1">
      <c r="B311" s="253" t="str">
        <f t="shared" si="121"/>
        <v>Common Stock</v>
      </c>
      <c r="D311" s="478">
        <f t="shared" ref="D311:M311" ca="1" si="153">D266*(1/(1+$P266)^D$13)</f>
        <v>0</v>
      </c>
      <c r="E311" s="478">
        <f t="shared" ca="1" si="153"/>
        <v>0</v>
      </c>
      <c r="F311" s="478">
        <f t="shared" ca="1" si="153"/>
        <v>0</v>
      </c>
      <c r="G311" s="478">
        <f t="shared" ca="1" si="153"/>
        <v>0</v>
      </c>
      <c r="H311" s="478">
        <f t="shared" ca="1" si="153"/>
        <v>0</v>
      </c>
      <c r="I311" s="478">
        <f t="shared" ca="1" si="153"/>
        <v>0</v>
      </c>
      <c r="J311" s="478">
        <f t="shared" ca="1" si="153"/>
        <v>0</v>
      </c>
      <c r="K311" s="478">
        <f t="shared" ca="1" si="153"/>
        <v>0</v>
      </c>
      <c r="L311" s="478">
        <f t="shared" ca="1" si="153"/>
        <v>0</v>
      </c>
      <c r="M311" s="478">
        <f t="shared" ca="1" si="153"/>
        <v>0</v>
      </c>
    </row>
    <row r="312" spans="2:13" ht="14.85" customHeight="1"/>
    <row r="313" spans="2:13" ht="14.85" customHeight="1"/>
    <row r="314" spans="2:13" ht="14.85" customHeight="1"/>
    <row r="315" spans="2:13" ht="14.85" customHeight="1"/>
    <row r="316" spans="2:13" ht="14.85" customHeight="1"/>
    <row r="317" spans="2:13" ht="14.85" customHeight="1"/>
    <row r="318" spans="2:13" ht="14.85" customHeight="1"/>
    <row r="319" spans="2:13" ht="14.85" customHeight="1"/>
    <row r="320" spans="2:13"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D151:M151">
    <cfRule type="expression" dxfId="351" priority="29">
      <formula>$C$151&lt;&gt;1</formula>
    </cfRule>
  </conditionalFormatting>
  <conditionalFormatting sqref="B4:H4">
    <cfRule type="cellIs" dxfId="350" priority="28" stopIfTrue="1" operator="equal">
      <formula>"input"</formula>
    </cfRule>
  </conditionalFormatting>
  <conditionalFormatting sqref="I4">
    <cfRule type="cellIs" dxfId="349" priority="26" stopIfTrue="1" operator="equal">
      <formula>"input"</formula>
    </cfRule>
  </conditionalFormatting>
  <conditionalFormatting sqref="I4">
    <cfRule type="cellIs" dxfId="348" priority="27" stopIfTrue="1" operator="equal">
      <formula>"input"</formula>
    </cfRule>
  </conditionalFormatting>
  <conditionalFormatting sqref="J4:L4">
    <cfRule type="cellIs" dxfId="347" priority="24" stopIfTrue="1" operator="equal">
      <formula>"input"</formula>
    </cfRule>
  </conditionalFormatting>
  <conditionalFormatting sqref="J4:L4">
    <cfRule type="cellIs" dxfId="346" priority="25" stopIfTrue="1" operator="equal">
      <formula>"input"</formula>
    </cfRule>
  </conditionalFormatting>
  <conditionalFormatting sqref="M4">
    <cfRule type="cellIs" dxfId="345" priority="22" stopIfTrue="1" operator="equal">
      <formula>"input"</formula>
    </cfRule>
  </conditionalFormatting>
  <conditionalFormatting sqref="M4">
    <cfRule type="cellIs" dxfId="344" priority="23" stopIfTrue="1" operator="equal">
      <formula>"input"</formula>
    </cfRule>
  </conditionalFormatting>
  <conditionalFormatting sqref="D150:M150">
    <cfRule type="expression" dxfId="343" priority="20">
      <formula>$C$151&lt;&gt;1</formula>
    </cfRule>
  </conditionalFormatting>
  <conditionalFormatting sqref="D28:M30">
    <cfRule type="cellIs" dxfId="342" priority="18" operator="equal">
      <formula>0</formula>
    </cfRule>
    <cfRule type="cellIs" dxfId="341" priority="19" operator="equal">
      <formula>0</formula>
    </cfRule>
  </conditionalFormatting>
  <conditionalFormatting sqref="D32">
    <cfRule type="cellIs" dxfId="340" priority="16" operator="equal">
      <formula>0</formula>
    </cfRule>
    <cfRule type="cellIs" dxfId="339" priority="17" operator="equal">
      <formula>0</formula>
    </cfRule>
  </conditionalFormatting>
  <conditionalFormatting sqref="E32:M32">
    <cfRule type="cellIs" dxfId="338" priority="14" operator="equal">
      <formula>0</formula>
    </cfRule>
    <cfRule type="cellIs" dxfId="337" priority="15" operator="equal">
      <formula>0</formula>
    </cfRule>
  </conditionalFormatting>
  <conditionalFormatting sqref="D35:M37">
    <cfRule type="cellIs" dxfId="336" priority="12" operator="equal">
      <formula>0</formula>
    </cfRule>
    <cfRule type="cellIs" dxfId="335" priority="13" operator="equal">
      <formula>0</formula>
    </cfRule>
  </conditionalFormatting>
  <conditionalFormatting sqref="D39:M39">
    <cfRule type="cellIs" dxfId="334" priority="10" operator="equal">
      <formula>0</formula>
    </cfRule>
    <cfRule type="cellIs" dxfId="333" priority="11" operator="equal">
      <formula>0</formula>
    </cfRule>
  </conditionalFormatting>
  <conditionalFormatting sqref="D42:M44">
    <cfRule type="cellIs" dxfId="332" priority="6" operator="equal">
      <formula>0</formula>
    </cfRule>
    <cfRule type="cellIs" dxfId="331" priority="7" operator="equal">
      <formula>0</formula>
    </cfRule>
  </conditionalFormatting>
  <conditionalFormatting sqref="D46:M46">
    <cfRule type="cellIs" dxfId="330" priority="4" operator="equal">
      <formula>0</formula>
    </cfRule>
    <cfRule type="cellIs" dxfId="329" priority="5" operator="equal">
      <formula>0</formula>
    </cfRule>
  </conditionalFormatting>
  <conditionalFormatting sqref="D142:M142">
    <cfRule type="cellIs" dxfId="328" priority="1" operator="equal">
      <formula>0</formula>
    </cfRule>
  </conditionalFormatting>
  <dataValidations disablePrompts="1" count="1">
    <dataValidation type="list" allowBlank="1" showInputMessage="1" showErrorMessage="1" sqref="D8:M8" xr:uid="{00000000-0002-0000-0A00-000000000000}">
      <formula1>$P$8:$Q$8</formula1>
    </dataValidation>
  </dataValidations>
  <pageMargins left="0.5" right="0.5" top="0.5" bottom="0.5" header="0.5" footer="0.5"/>
  <pageSetup scale="67" fitToWidth="0" fitToHeight="0" orientation="landscape" r:id="rId1"/>
  <rowBreaks count="3" manualBreakCount="3">
    <brk id="48" max="13" man="1"/>
    <brk id="101" max="13" man="1"/>
    <brk id="154" max="13" man="1"/>
  </rowBreaks>
  <legacy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764"/>
  <sheetViews>
    <sheetView showGridLines="0" view="pageBreakPreview" zoomScale="80" zoomScaleNormal="100" zoomScaleSheetLayoutView="80" workbookViewId="0"/>
  </sheetViews>
  <sheetFormatPr defaultRowHeight="12.75"/>
  <cols>
    <col min="1" max="1" width="4.5" style="250" customWidth="1"/>
    <col min="2" max="2" width="48.6640625" style="250" customWidth="1"/>
    <col min="3" max="7" width="25.83203125" style="250" customWidth="1"/>
    <col min="8" max="8" width="4.5" style="250" customWidth="1"/>
    <col min="9" max="9" width="9.33203125" style="250"/>
    <col min="10" max="10" width="23.33203125" style="250" customWidth="1"/>
    <col min="11" max="11" width="19.1640625" style="250" customWidth="1"/>
    <col min="12" max="12" width="11.33203125" style="250" bestFit="1" customWidth="1"/>
    <col min="13" max="16384" width="9.33203125" style="250"/>
  </cols>
  <sheetData>
    <row r="1" spans="2:12" ht="13.5" thickBot="1"/>
    <row r="2" spans="2:12" ht="15" thickTop="1">
      <c r="B2" s="258" t="str">
        <f>'MASTER PubCo Inputs'!$C$5</f>
        <v>ABC, Inc.</v>
      </c>
      <c r="C2" s="258"/>
      <c r="D2" s="258"/>
      <c r="E2" s="258"/>
      <c r="F2" s="258"/>
      <c r="G2" s="258"/>
    </row>
    <row r="3" spans="2:12" ht="14.25">
      <c r="B3" s="259" t="str">
        <f>VLOOKUP(B4,Outline!$E$8:$G$79,COLUMNS(Outline!$E$8:$G$8),FALSE)</f>
        <v>Exhibit B.2</v>
      </c>
      <c r="C3" s="259"/>
      <c r="D3" s="259"/>
      <c r="E3" s="259"/>
      <c r="F3" s="259"/>
      <c r="G3" s="259"/>
    </row>
    <row r="4" spans="2:12" ht="15" thickBot="1">
      <c r="B4" s="924" t="s">
        <v>672</v>
      </c>
      <c r="C4" s="924"/>
      <c r="D4" s="924"/>
      <c r="E4" s="924"/>
      <c r="F4" s="924"/>
      <c r="G4" s="925" t="str">
        <f>+'MASTER PubCo Inputs'!$C$21</f>
        <v>(in thousands of USD)</v>
      </c>
    </row>
    <row r="5" spans="2:12" ht="14.85" customHeight="1" thickTop="1">
      <c r="B5" s="492"/>
      <c r="C5" s="492"/>
      <c r="D5" s="492"/>
      <c r="E5" s="492"/>
      <c r="F5" s="492"/>
      <c r="G5" s="493"/>
    </row>
    <row r="6" spans="2:12" ht="14.85" customHeight="1">
      <c r="B6" s="439" t="s">
        <v>2335</v>
      </c>
      <c r="C6" s="439"/>
      <c r="D6" s="439"/>
      <c r="E6" s="439"/>
      <c r="F6" s="439"/>
      <c r="G6" s="439"/>
    </row>
    <row r="7" spans="2:12" s="414" customFormat="1" ht="14.85" customHeight="1">
      <c r="B7" s="494"/>
      <c r="C7" s="494"/>
      <c r="D7" s="494"/>
      <c r="E7" s="494"/>
      <c r="F7" s="494"/>
      <c r="G7" s="494"/>
    </row>
    <row r="8" spans="2:12" ht="14.85" customHeight="1">
      <c r="C8" s="495" t="s">
        <v>783</v>
      </c>
    </row>
    <row r="9" spans="2:12" ht="14.85" customHeight="1">
      <c r="B9" s="496" t="s">
        <v>3476</v>
      </c>
      <c r="C9" s="497" t="s">
        <v>610</v>
      </c>
      <c r="D9" s="498" t="s">
        <v>611</v>
      </c>
      <c r="E9" s="498" t="s">
        <v>972</v>
      </c>
      <c r="F9" s="498" t="s">
        <v>612</v>
      </c>
      <c r="G9" s="499" t="s">
        <v>613</v>
      </c>
      <c r="J9" s="500" t="s">
        <v>614</v>
      </c>
      <c r="K9" s="501" t="s">
        <v>615</v>
      </c>
      <c r="L9" s="502"/>
    </row>
    <row r="10" spans="2:12" ht="14.85" customHeight="1">
      <c r="J10" s="503"/>
      <c r="K10" s="251"/>
    </row>
    <row r="11" spans="2:12" ht="14.85" customHeight="1">
      <c r="B11" s="504" t="s">
        <v>616</v>
      </c>
      <c r="C11" s="505">
        <v>0.8</v>
      </c>
      <c r="D11" s="505">
        <v>0.1</v>
      </c>
      <c r="E11" s="505">
        <v>0</v>
      </c>
      <c r="F11" s="506">
        <f>1-E11</f>
        <v>1</v>
      </c>
      <c r="G11" s="507">
        <v>42277</v>
      </c>
      <c r="H11" s="508"/>
      <c r="I11" s="508"/>
      <c r="J11" s="509">
        <f>+E11+F11</f>
        <v>1</v>
      </c>
      <c r="K11" s="510" t="str">
        <f>B11</f>
        <v>Phase Ia</v>
      </c>
      <c r="L11" s="511">
        <f>SUMIF($C$44:$C$57,B11,$F$44:$F$57)</f>
        <v>0.27999999999999997</v>
      </c>
    </row>
    <row r="12" spans="2:12" ht="14.85" customHeight="1">
      <c r="B12" s="504" t="s">
        <v>617</v>
      </c>
      <c r="C12" s="505">
        <v>0.7</v>
      </c>
      <c r="D12" s="505">
        <v>0.4</v>
      </c>
      <c r="E12" s="505">
        <v>0.1</v>
      </c>
      <c r="F12" s="506">
        <f>1-E12</f>
        <v>0.9</v>
      </c>
      <c r="G12" s="507">
        <f>+G11+366</f>
        <v>42643</v>
      </c>
      <c r="H12" s="512"/>
      <c r="I12" s="512"/>
      <c r="J12" s="509">
        <f>+E12+F12</f>
        <v>1</v>
      </c>
      <c r="K12" s="466" t="str">
        <f t="shared" ref="K12:K13" si="0">B12</f>
        <v>Phase Ib</v>
      </c>
      <c r="L12" s="513">
        <f>SUMIF($C$44:$C$57,B12,$F$44:$F$57)</f>
        <v>0.41760000000000003</v>
      </c>
    </row>
    <row r="13" spans="2:12" ht="14.85" customHeight="1">
      <c r="B13" s="504" t="s">
        <v>618</v>
      </c>
      <c r="C13" s="505">
        <v>0.41799999999999998</v>
      </c>
      <c r="D13" s="514">
        <v>1</v>
      </c>
      <c r="E13" s="505">
        <v>0.1</v>
      </c>
      <c r="F13" s="506">
        <f>1-E13</f>
        <v>0.9</v>
      </c>
      <c r="G13" s="507">
        <v>43465</v>
      </c>
      <c r="H13" s="508"/>
      <c r="I13" s="508"/>
      <c r="J13" s="509">
        <f>+E13+F13</f>
        <v>1</v>
      </c>
      <c r="K13" s="466" t="str">
        <f t="shared" si="0"/>
        <v>Phase II</v>
      </c>
      <c r="L13" s="515">
        <f>SUMIF($C$45:$C$57,B13,$F$45:$F$57)</f>
        <v>0.30239999999999995</v>
      </c>
    </row>
    <row r="14" spans="2:12" ht="14.85" customHeight="1">
      <c r="B14" s="516"/>
      <c r="C14" s="516"/>
      <c r="D14" s="517"/>
      <c r="E14" s="516"/>
      <c r="F14" s="517"/>
      <c r="G14" s="516"/>
      <c r="J14" s="516"/>
      <c r="K14" s="518"/>
      <c r="L14" s="519">
        <f>SUM(L11:L13)</f>
        <v>1</v>
      </c>
    </row>
    <row r="15" spans="2:12" s="414" customFormat="1" ht="14.85" customHeight="1">
      <c r="B15" s="520" t="str">
        <f>"Probability of Different Exit Scenarios in "&amp;B$11</f>
        <v>Probability of Different Exit Scenarios in Phase Ia</v>
      </c>
      <c r="C15" s="521"/>
      <c r="D15" s="521"/>
      <c r="E15" s="521"/>
      <c r="F15" s="521"/>
      <c r="G15" s="521"/>
      <c r="H15" s="512"/>
      <c r="I15" s="512"/>
    </row>
    <row r="16" spans="2:12" s="414" customFormat="1" ht="14.85" customHeight="1">
      <c r="B16" s="522" t="s">
        <v>619</v>
      </c>
      <c r="C16" s="497" t="s">
        <v>620</v>
      </c>
      <c r="D16" s="498" t="s">
        <v>621</v>
      </c>
      <c r="E16" s="498" t="s">
        <v>622</v>
      </c>
      <c r="F16" s="498" t="s">
        <v>623</v>
      </c>
      <c r="G16" s="499" t="s">
        <v>624</v>
      </c>
      <c r="H16" s="508"/>
      <c r="I16" s="508"/>
    </row>
    <row r="17" spans="2:11" ht="14.85" customHeight="1">
      <c r="J17" s="503"/>
      <c r="K17" s="251"/>
    </row>
    <row r="18" spans="2:11" s="414" customFormat="1" ht="14.85" customHeight="1">
      <c r="B18" s="523" t="s">
        <v>625</v>
      </c>
      <c r="C18" s="524">
        <f>+C11</f>
        <v>0.8</v>
      </c>
      <c r="D18" s="525">
        <f>C11</f>
        <v>0.8</v>
      </c>
      <c r="E18" s="524">
        <f>$D$11</f>
        <v>0.1</v>
      </c>
      <c r="F18" s="526">
        <f>D18*E18</f>
        <v>8.0000000000000016E-2</v>
      </c>
      <c r="G18" s="527"/>
    </row>
    <row r="19" spans="2:11" s="414" customFormat="1" ht="14.85" customHeight="1">
      <c r="B19" s="523" t="s">
        <v>626</v>
      </c>
      <c r="C19" s="524">
        <f>1-C18</f>
        <v>0.19999999999999996</v>
      </c>
      <c r="D19" s="525">
        <f>C19</f>
        <v>0.19999999999999996</v>
      </c>
      <c r="E19" s="528" t="s">
        <v>13</v>
      </c>
      <c r="F19" s="526">
        <f>D19</f>
        <v>0.19999999999999996</v>
      </c>
      <c r="G19" s="527"/>
    </row>
    <row r="20" spans="2:11" s="414" customFormat="1" ht="14.85" customHeight="1">
      <c r="B20" s="529" t="s">
        <v>169</v>
      </c>
      <c r="C20" s="530">
        <f>SUM(C18:C19)</f>
        <v>1</v>
      </c>
      <c r="D20" s="530">
        <f>SUM(D18:D19)</f>
        <v>1</v>
      </c>
      <c r="E20" s="531"/>
      <c r="F20" s="530">
        <f>SUM(F18:F19)</f>
        <v>0.27999999999999997</v>
      </c>
      <c r="G20" s="530">
        <f>+D20-F20</f>
        <v>0.72</v>
      </c>
      <c r="H20" s="343"/>
    </row>
    <row r="21" spans="2:11" s="414" customFormat="1" ht="14.85" customHeight="1">
      <c r="B21" s="516"/>
      <c r="C21" s="516"/>
      <c r="D21" s="517"/>
      <c r="E21" s="516"/>
      <c r="F21" s="517"/>
      <c r="G21" s="516"/>
    </row>
    <row r="22" spans="2:11" s="414" customFormat="1" ht="14.85" customHeight="1">
      <c r="B22" s="520" t="str">
        <f>"Probability of Different Exit Scenarios in "&amp;B$12</f>
        <v>Probability of Different Exit Scenarios in Phase Ib</v>
      </c>
      <c r="C22" s="521"/>
      <c r="D22" s="521"/>
      <c r="E22" s="521"/>
      <c r="F22" s="521"/>
      <c r="G22" s="521"/>
      <c r="H22" s="512"/>
      <c r="I22" s="512"/>
    </row>
    <row r="23" spans="2:11" s="414" customFormat="1" ht="14.85" customHeight="1">
      <c r="B23" s="522" t="s">
        <v>619</v>
      </c>
      <c r="C23" s="497" t="s">
        <v>620</v>
      </c>
      <c r="D23" s="498" t="s">
        <v>621</v>
      </c>
      <c r="E23" s="498" t="s">
        <v>622</v>
      </c>
      <c r="F23" s="498" t="s">
        <v>623</v>
      </c>
      <c r="G23" s="499" t="s">
        <v>624</v>
      </c>
      <c r="H23" s="508"/>
      <c r="I23" s="508"/>
    </row>
    <row r="24" spans="2:11" ht="14.85" customHeight="1">
      <c r="J24" s="503"/>
      <c r="K24" s="251"/>
    </row>
    <row r="25" spans="2:11" s="414" customFormat="1" ht="14.85" customHeight="1">
      <c r="B25" s="523" t="s">
        <v>625</v>
      </c>
      <c r="C25" s="524">
        <f>C12</f>
        <v>0.7</v>
      </c>
      <c r="D25" s="524">
        <f>$G$20*C25</f>
        <v>0.504</v>
      </c>
      <c r="E25" s="524">
        <f>$D$12</f>
        <v>0.4</v>
      </c>
      <c r="F25" s="526">
        <f>D25*E25</f>
        <v>0.2016</v>
      </c>
      <c r="G25" s="527"/>
    </row>
    <row r="26" spans="2:11" s="414" customFormat="1" ht="14.85" customHeight="1">
      <c r="B26" s="523" t="s">
        <v>626</v>
      </c>
      <c r="C26" s="524">
        <f>1-C25</f>
        <v>0.30000000000000004</v>
      </c>
      <c r="D26" s="524">
        <f>$G$20*C26</f>
        <v>0.21600000000000003</v>
      </c>
      <c r="E26" s="528" t="s">
        <v>13</v>
      </c>
      <c r="F26" s="526">
        <f>D26</f>
        <v>0.21600000000000003</v>
      </c>
      <c r="G26" s="527"/>
    </row>
    <row r="27" spans="2:11" s="414" customFormat="1" ht="14.85" customHeight="1">
      <c r="B27" s="529" t="s">
        <v>169</v>
      </c>
      <c r="C27" s="530">
        <f>SUM(C25:C26)</f>
        <v>1</v>
      </c>
      <c r="D27" s="530">
        <f>SUM(D25:D26)</f>
        <v>0.72</v>
      </c>
      <c r="E27" s="531"/>
      <c r="F27" s="530">
        <f>SUM(F25:F26)</f>
        <v>0.41760000000000003</v>
      </c>
      <c r="G27" s="530">
        <f>D27-F27</f>
        <v>0.30239999999999995</v>
      </c>
      <c r="H27" s="343"/>
    </row>
    <row r="28" spans="2:11" s="414" customFormat="1" ht="14.85" customHeight="1">
      <c r="B28" s="516"/>
      <c r="C28" s="516"/>
      <c r="D28" s="517"/>
      <c r="E28" s="516"/>
      <c r="F28" s="517"/>
      <c r="G28" s="516"/>
    </row>
    <row r="29" spans="2:11" s="414" customFormat="1" ht="14.85" customHeight="1">
      <c r="B29" s="520" t="str">
        <f>"Probability of Different Exit Scenarios in "&amp;B$13</f>
        <v>Probability of Different Exit Scenarios in Phase II</v>
      </c>
      <c r="C29" s="532"/>
      <c r="D29" s="532"/>
      <c r="E29" s="532"/>
      <c r="F29" s="532"/>
      <c r="G29" s="532"/>
    </row>
    <row r="30" spans="2:11" s="414" customFormat="1" ht="14.85" customHeight="1">
      <c r="B30" s="522" t="s">
        <v>619</v>
      </c>
      <c r="C30" s="497" t="s">
        <v>620</v>
      </c>
      <c r="D30" s="498" t="s">
        <v>621</v>
      </c>
      <c r="E30" s="498" t="s">
        <v>622</v>
      </c>
      <c r="F30" s="498" t="s">
        <v>623</v>
      </c>
      <c r="G30" s="499" t="s">
        <v>624</v>
      </c>
    </row>
    <row r="31" spans="2:11" ht="14.85" customHeight="1">
      <c r="J31" s="503"/>
      <c r="K31" s="251"/>
    </row>
    <row r="32" spans="2:11" s="414" customFormat="1" ht="14.85" customHeight="1">
      <c r="B32" s="523" t="s">
        <v>625</v>
      </c>
      <c r="C32" s="526">
        <f>C13</f>
        <v>0.41799999999999998</v>
      </c>
      <c r="D32" s="524">
        <f>+C32*$G$27</f>
        <v>0.12640319999999997</v>
      </c>
      <c r="E32" s="526">
        <f>D13</f>
        <v>1</v>
      </c>
      <c r="F32" s="526">
        <f>D32*E32</f>
        <v>0.12640319999999997</v>
      </c>
      <c r="G32" s="527"/>
    </row>
    <row r="33" spans="2:12" s="414" customFormat="1" ht="14.85" customHeight="1">
      <c r="B33" s="523" t="s">
        <v>626</v>
      </c>
      <c r="C33" s="526">
        <f>1-C32</f>
        <v>0.58200000000000007</v>
      </c>
      <c r="D33" s="524">
        <f>+C33*$G$27</f>
        <v>0.17599679999999998</v>
      </c>
      <c r="E33" s="533" t="s">
        <v>13</v>
      </c>
      <c r="F33" s="526">
        <f>D33</f>
        <v>0.17599679999999998</v>
      </c>
      <c r="G33" s="527"/>
    </row>
    <row r="34" spans="2:12" s="414" customFormat="1" ht="14.85" customHeight="1">
      <c r="B34" s="529" t="s">
        <v>169</v>
      </c>
      <c r="C34" s="530">
        <f>SUM(C32:C33)</f>
        <v>1</v>
      </c>
      <c r="D34" s="530">
        <f>SUM(D32:D33)</f>
        <v>0.30239999999999995</v>
      </c>
      <c r="E34" s="531"/>
      <c r="F34" s="530">
        <f>SUM(F32:F33)</f>
        <v>0.30239999999999995</v>
      </c>
      <c r="G34" s="530">
        <f>+D34-F34</f>
        <v>0</v>
      </c>
    </row>
    <row r="35" spans="2:12" s="414" customFormat="1" ht="14.85" customHeight="1">
      <c r="B35" s="516"/>
      <c r="C35" s="534"/>
      <c r="D35" s="534"/>
      <c r="E35" s="535"/>
      <c r="F35" s="534"/>
      <c r="G35" s="534"/>
    </row>
    <row r="36" spans="2:12" s="414" customFormat="1" ht="14.85" customHeight="1">
      <c r="B36" s="520" t="s">
        <v>627</v>
      </c>
      <c r="C36" s="521"/>
      <c r="D36" s="521"/>
      <c r="E36" s="521"/>
      <c r="F36" s="521"/>
      <c r="G36" s="521"/>
    </row>
    <row r="37" spans="2:12" s="414" customFormat="1" ht="14.85" customHeight="1">
      <c r="B37" s="522" t="s">
        <v>628</v>
      </c>
      <c r="C37" s="536"/>
      <c r="D37" s="536" t="s">
        <v>629</v>
      </c>
      <c r="E37" s="536"/>
      <c r="F37" s="536" t="s">
        <v>630</v>
      </c>
      <c r="G37" s="537"/>
    </row>
    <row r="38" spans="2:12" ht="14.85" customHeight="1">
      <c r="J38" s="503"/>
      <c r="K38" s="251"/>
    </row>
    <row r="39" spans="2:12" s="414" customFormat="1" ht="14.85" customHeight="1">
      <c r="B39" s="538" t="s">
        <v>111</v>
      </c>
      <c r="C39" s="539" t="s">
        <v>112</v>
      </c>
      <c r="D39" s="538" t="s">
        <v>111</v>
      </c>
      <c r="E39" s="539" t="s">
        <v>112</v>
      </c>
      <c r="F39" s="540" t="str">
        <f>+D39</f>
        <v>High</v>
      </c>
      <c r="G39" s="539" t="str">
        <f>+E39</f>
        <v>Low</v>
      </c>
    </row>
    <row r="40" spans="2:12" s="414" customFormat="1" ht="14.85" customHeight="1">
      <c r="B40" s="541">
        <v>0.3</v>
      </c>
      <c r="C40" s="542">
        <f>1-B40</f>
        <v>0.7</v>
      </c>
      <c r="D40" s="541">
        <v>0.3</v>
      </c>
      <c r="E40" s="542">
        <f>1-D40</f>
        <v>0.7</v>
      </c>
      <c r="F40" s="541">
        <v>0.3</v>
      </c>
      <c r="G40" s="543">
        <f>1-F40</f>
        <v>0.7</v>
      </c>
    </row>
    <row r="41" spans="2:12" s="414" customFormat="1" ht="14.85" customHeight="1">
      <c r="B41" s="544"/>
      <c r="C41" s="512"/>
      <c r="D41" s="503"/>
      <c r="E41" s="512"/>
      <c r="F41" s="503"/>
      <c r="G41" s="512"/>
    </row>
    <row r="42" spans="2:12" s="414" customFormat="1" ht="14.85" customHeight="1">
      <c r="B42" s="520" t="s">
        <v>631</v>
      </c>
      <c r="C42" s="521"/>
      <c r="D42" s="521"/>
      <c r="E42" s="521"/>
      <c r="F42" s="521"/>
      <c r="G42" s="521"/>
    </row>
    <row r="43" spans="2:12" s="414" customFormat="1" ht="14.85" customHeight="1">
      <c r="B43" s="522" t="s">
        <v>632</v>
      </c>
      <c r="C43" s="536" t="s">
        <v>633</v>
      </c>
      <c r="D43" s="536" t="s">
        <v>634</v>
      </c>
      <c r="E43" s="536" t="s">
        <v>635</v>
      </c>
      <c r="F43" s="536" t="s">
        <v>636</v>
      </c>
      <c r="G43" s="545" t="s">
        <v>435</v>
      </c>
      <c r="J43" s="546" t="s">
        <v>1785</v>
      </c>
      <c r="K43" s="501" t="s">
        <v>1781</v>
      </c>
      <c r="L43" s="502"/>
    </row>
    <row r="44" spans="2:12" ht="14.85" customHeight="1">
      <c r="B44" s="466"/>
      <c r="C44" s="467"/>
      <c r="D44" s="467"/>
      <c r="E44" s="467"/>
      <c r="F44" s="467"/>
      <c r="G44" s="468"/>
      <c r="J44" s="503"/>
      <c r="K44" s="251"/>
    </row>
    <row r="45" spans="2:12" s="414" customFormat="1" ht="14.85" customHeight="1">
      <c r="B45" s="547" t="s">
        <v>637</v>
      </c>
      <c r="C45" s="503" t="str">
        <f>+B12</f>
        <v>Phase Ib</v>
      </c>
      <c r="D45" s="548">
        <v>42916</v>
      </c>
      <c r="E45" s="549" t="s">
        <v>111</v>
      </c>
      <c r="F45" s="509">
        <f>+E12*F25*B40</f>
        <v>6.0480000000000004E-3</v>
      </c>
      <c r="G45" s="550">
        <v>175000</v>
      </c>
      <c r="J45" s="512" t="str">
        <f>IFERROR(LEFT(B45,SEARCH("-",B45)-2),B45)</f>
        <v>IPO</v>
      </c>
      <c r="K45" s="510" t="s">
        <v>1386</v>
      </c>
      <c r="L45" s="511">
        <f>SUMIF($J$44:$J$57,K45,$F$44:$F$57)</f>
        <v>3.2800319999999994E-2</v>
      </c>
    </row>
    <row r="46" spans="2:12" s="414" customFormat="1" ht="14.85" customHeight="1">
      <c r="B46" s="547" t="str">
        <f>+B45</f>
        <v>IPO - Early</v>
      </c>
      <c r="C46" s="503" t="str">
        <f>+C45</f>
        <v>Phase Ib</v>
      </c>
      <c r="D46" s="548">
        <f>+D45</f>
        <v>42916</v>
      </c>
      <c r="E46" s="549" t="s">
        <v>112</v>
      </c>
      <c r="F46" s="509">
        <f>+E12*F25*C40</f>
        <v>1.4112E-2</v>
      </c>
      <c r="G46" s="550">
        <v>100000</v>
      </c>
      <c r="J46" s="512" t="str">
        <f t="shared" ref="J46:J57" si="1">IFERROR(LEFT(B46,SEARCH("-",B46)-2),B46)</f>
        <v>IPO</v>
      </c>
      <c r="K46" s="466" t="s">
        <v>987</v>
      </c>
      <c r="L46" s="513">
        <f t="shared" ref="L46:L47" si="2">SUMIF($J$44:$J$57,K46,$F$44:$F$57)</f>
        <v>0.37520287999999996</v>
      </c>
    </row>
    <row r="47" spans="2:12" s="414" customFormat="1" ht="14.85" customHeight="1">
      <c r="B47" s="547" t="s">
        <v>638</v>
      </c>
      <c r="C47" s="503" t="str">
        <f>+B13</f>
        <v>Phase II</v>
      </c>
      <c r="D47" s="548">
        <f>+G13</f>
        <v>43465</v>
      </c>
      <c r="E47" s="549" t="str">
        <f>+E45</f>
        <v>High</v>
      </c>
      <c r="F47" s="509">
        <f>+F32*B40*E13</f>
        <v>3.7920959999999991E-3</v>
      </c>
      <c r="G47" s="550">
        <v>200000</v>
      </c>
      <c r="J47" s="512" t="str">
        <f t="shared" si="1"/>
        <v>IPO</v>
      </c>
      <c r="K47" s="466" t="s">
        <v>639</v>
      </c>
      <c r="L47" s="515">
        <f t="shared" si="2"/>
        <v>0.59199679999999999</v>
      </c>
    </row>
    <row r="48" spans="2:12" s="414" customFormat="1" ht="14.85" customHeight="1">
      <c r="B48" s="547" t="str">
        <f>+B47</f>
        <v>IPO - Late</v>
      </c>
      <c r="C48" s="503" t="str">
        <f>+C47</f>
        <v>Phase II</v>
      </c>
      <c r="D48" s="548">
        <f>+D47</f>
        <v>43465</v>
      </c>
      <c r="E48" s="549" t="str">
        <f t="shared" ref="E48:E54" si="3">+E46</f>
        <v>Low</v>
      </c>
      <c r="F48" s="509">
        <f>+F32*C40*E13</f>
        <v>8.8482239999999983E-3</v>
      </c>
      <c r="G48" s="550">
        <v>150000</v>
      </c>
      <c r="J48" s="512" t="str">
        <f t="shared" si="1"/>
        <v>IPO</v>
      </c>
      <c r="K48" s="518"/>
      <c r="L48" s="519">
        <f>SUM(L45:L47)</f>
        <v>1</v>
      </c>
    </row>
    <row r="49" spans="1:10" s="414" customFormat="1" ht="14.85" customHeight="1">
      <c r="B49" s="547" t="s">
        <v>1782</v>
      </c>
      <c r="C49" s="503" t="str">
        <f>+B11</f>
        <v>Phase Ia</v>
      </c>
      <c r="D49" s="548">
        <v>42369</v>
      </c>
      <c r="E49" s="549" t="str">
        <f t="shared" si="3"/>
        <v>High</v>
      </c>
      <c r="F49" s="509">
        <f>+F18*F11*D40</f>
        <v>2.4000000000000004E-2</v>
      </c>
      <c r="G49" s="550">
        <v>200000</v>
      </c>
      <c r="J49" s="512" t="str">
        <f t="shared" si="1"/>
        <v>M&amp;A</v>
      </c>
    </row>
    <row r="50" spans="1:10" s="414" customFormat="1" ht="14.85" customHeight="1">
      <c r="B50" s="547" t="str">
        <f>+B49</f>
        <v>M&amp;A - Early</v>
      </c>
      <c r="C50" s="503" t="str">
        <f>+C49</f>
        <v>Phase Ia</v>
      </c>
      <c r="D50" s="548">
        <f>+D49</f>
        <v>42369</v>
      </c>
      <c r="E50" s="549" t="str">
        <f t="shared" si="3"/>
        <v>Low</v>
      </c>
      <c r="F50" s="509">
        <f>+F18*F11*E40</f>
        <v>5.6000000000000008E-2</v>
      </c>
      <c r="G50" s="550">
        <v>100000</v>
      </c>
      <c r="J50" s="512" t="str">
        <f t="shared" si="1"/>
        <v>M&amp;A</v>
      </c>
    </row>
    <row r="51" spans="1:10" s="414" customFormat="1" ht="14.85" customHeight="1">
      <c r="B51" s="547" t="s">
        <v>1783</v>
      </c>
      <c r="C51" s="503" t="str">
        <f>C45</f>
        <v>Phase Ib</v>
      </c>
      <c r="D51" s="548">
        <f>+G12</f>
        <v>42643</v>
      </c>
      <c r="E51" s="549" t="str">
        <f t="shared" si="3"/>
        <v>High</v>
      </c>
      <c r="F51" s="509">
        <f>F25*F12*D40</f>
        <v>5.4432000000000001E-2</v>
      </c>
      <c r="G51" s="550">
        <v>300000</v>
      </c>
      <c r="J51" s="512" t="str">
        <f t="shared" si="1"/>
        <v>M&amp;A</v>
      </c>
    </row>
    <row r="52" spans="1:10" s="414" customFormat="1" ht="14.85" customHeight="1">
      <c r="B52" s="547" t="str">
        <f>+B51</f>
        <v>M&amp;A - Mid</v>
      </c>
      <c r="C52" s="503" t="str">
        <f>+C51</f>
        <v>Phase Ib</v>
      </c>
      <c r="D52" s="548">
        <f>+D51</f>
        <v>42643</v>
      </c>
      <c r="E52" s="549" t="str">
        <f t="shared" si="3"/>
        <v>Low</v>
      </c>
      <c r="F52" s="509">
        <f>F25*F12*E40</f>
        <v>0.12700800000000001</v>
      </c>
      <c r="G52" s="550">
        <v>150000</v>
      </c>
      <c r="J52" s="512" t="str">
        <f t="shared" si="1"/>
        <v>M&amp;A</v>
      </c>
    </row>
    <row r="53" spans="1:10" s="414" customFormat="1" ht="14.85" customHeight="1">
      <c r="B53" s="547" t="s">
        <v>1784</v>
      </c>
      <c r="C53" s="503" t="str">
        <f>C47</f>
        <v>Phase II</v>
      </c>
      <c r="D53" s="548">
        <f>+G13</f>
        <v>43465</v>
      </c>
      <c r="E53" s="549" t="str">
        <f t="shared" si="3"/>
        <v>High</v>
      </c>
      <c r="F53" s="509">
        <f>F32*F13*F40</f>
        <v>3.4128863999999988E-2</v>
      </c>
      <c r="G53" s="550">
        <v>900000</v>
      </c>
      <c r="J53" s="512" t="str">
        <f t="shared" si="1"/>
        <v>M&amp;A</v>
      </c>
    </row>
    <row r="54" spans="1:10" s="414" customFormat="1" ht="14.85" customHeight="1">
      <c r="B54" s="547" t="str">
        <f>+B53</f>
        <v>M&amp;A - Late</v>
      </c>
      <c r="C54" s="503" t="str">
        <f>C53</f>
        <v>Phase II</v>
      </c>
      <c r="D54" s="548">
        <f>+D53</f>
        <v>43465</v>
      </c>
      <c r="E54" s="549" t="str">
        <f t="shared" si="3"/>
        <v>Low</v>
      </c>
      <c r="F54" s="509">
        <f>F32*F13*G40</f>
        <v>7.9634015999999974E-2</v>
      </c>
      <c r="G54" s="550">
        <v>450000</v>
      </c>
      <c r="J54" s="512" t="str">
        <f t="shared" si="1"/>
        <v>M&amp;A</v>
      </c>
    </row>
    <row r="55" spans="1:10" s="414" customFormat="1" ht="14.85" customHeight="1">
      <c r="B55" s="547" t="s">
        <v>639</v>
      </c>
      <c r="C55" s="503" t="str">
        <f>C49</f>
        <v>Phase Ia</v>
      </c>
      <c r="D55" s="548">
        <f>+G11</f>
        <v>42277</v>
      </c>
      <c r="E55" s="549" t="s">
        <v>640</v>
      </c>
      <c r="F55" s="509">
        <f>+F19</f>
        <v>0.19999999999999996</v>
      </c>
      <c r="G55" s="550">
        <v>35599.991249999999</v>
      </c>
      <c r="J55" s="512" t="str">
        <f t="shared" si="1"/>
        <v>Dissolution</v>
      </c>
    </row>
    <row r="56" spans="1:10" s="414" customFormat="1" ht="14.85" customHeight="1">
      <c r="B56" s="547" t="s">
        <v>639</v>
      </c>
      <c r="C56" s="503" t="str">
        <f>C52</f>
        <v>Phase Ib</v>
      </c>
      <c r="D56" s="548">
        <f>+G12</f>
        <v>42643</v>
      </c>
      <c r="E56" s="549" t="s">
        <v>640</v>
      </c>
      <c r="F56" s="509">
        <f>+F26</f>
        <v>0.21600000000000003</v>
      </c>
      <c r="G56" s="550">
        <v>35599.991249999999</v>
      </c>
      <c r="J56" s="512" t="str">
        <f t="shared" si="1"/>
        <v>Dissolution</v>
      </c>
    </row>
    <row r="57" spans="1:10" s="414" customFormat="1" ht="14.85" customHeight="1">
      <c r="B57" s="551" t="str">
        <f>+B56</f>
        <v>Dissolution</v>
      </c>
      <c r="C57" s="552" t="str">
        <f>C54</f>
        <v>Phase II</v>
      </c>
      <c r="D57" s="548">
        <f>+G13</f>
        <v>43465</v>
      </c>
      <c r="E57" s="553" t="s">
        <v>640</v>
      </c>
      <c r="F57" s="542">
        <f>+F33</f>
        <v>0.17599679999999998</v>
      </c>
      <c r="G57" s="554">
        <v>45599.991249999999</v>
      </c>
      <c r="J57" s="512" t="str">
        <f t="shared" si="1"/>
        <v>Dissolution</v>
      </c>
    </row>
    <row r="58" spans="1:10" s="414" customFormat="1" ht="14.85" customHeight="1">
      <c r="B58" s="555" t="s">
        <v>169</v>
      </c>
      <c r="C58" s="530"/>
      <c r="D58" s="530"/>
      <c r="E58" s="530"/>
      <c r="F58" s="540">
        <f>SUM(F45:F57)</f>
        <v>0.99999999999999989</v>
      </c>
      <c r="G58" s="556"/>
    </row>
    <row r="59" spans="1:10" s="414" customFormat="1" ht="14.85" customHeight="1">
      <c r="B59" s="544"/>
      <c r="C59" s="534"/>
      <c r="D59" s="534"/>
      <c r="E59" s="534"/>
      <c r="F59" s="534"/>
      <c r="G59" s="534"/>
    </row>
    <row r="60" spans="1:10" s="414" customFormat="1" ht="14.85" customHeight="1">
      <c r="B60" s="557" t="s">
        <v>86</v>
      </c>
      <c r="C60" s="512"/>
      <c r="D60" s="503"/>
      <c r="E60" s="512"/>
      <c r="F60" s="503"/>
      <c r="G60" s="512"/>
    </row>
    <row r="61" spans="1:10" s="414" customFormat="1" ht="14.85" customHeight="1">
      <c r="A61" s="456" t="s">
        <v>270</v>
      </c>
      <c r="B61" s="558" t="str">
        <f>"The probabilities of technical success are based on published success rates and guidance from Management. Refer to "&amp;PoTS!B3&amp;" for futher details."</f>
        <v>The probabilities of technical success are based on published success rates and guidance from Management. Refer to Exhibit B.3 for futher details.</v>
      </c>
      <c r="C61" s="512"/>
      <c r="D61" s="503"/>
      <c r="E61" s="512"/>
      <c r="F61" s="503"/>
      <c r="G61" s="512"/>
    </row>
    <row r="62" spans="1:10" s="414" customFormat="1" ht="14.85" customHeight="1"/>
    <row r="63" spans="1:10" s="414" customFormat="1" ht="14.85" customHeight="1"/>
    <row r="64" spans="1:10" s="414" customFormat="1" ht="14.85" customHeight="1">
      <c r="B64" s="494" t="s">
        <v>1909</v>
      </c>
    </row>
    <row r="65" spans="2:7" s="414" customFormat="1" ht="14.85" customHeight="1"/>
    <row r="66" spans="2:7" s="414" customFormat="1" ht="14.85" customHeight="1">
      <c r="B66" s="559" t="s">
        <v>1869</v>
      </c>
      <c r="G66" s="434" t="s">
        <v>1877</v>
      </c>
    </row>
    <row r="67" spans="2:7" s="414" customFormat="1" ht="14.85" customHeight="1">
      <c r="B67" s="560"/>
      <c r="C67" s="561" t="s">
        <v>1862</v>
      </c>
      <c r="D67" s="562" t="s">
        <v>1863</v>
      </c>
      <c r="E67" s="562" t="s">
        <v>1864</v>
      </c>
      <c r="F67" s="562" t="s">
        <v>611</v>
      </c>
      <c r="G67" s="563" t="s">
        <v>1865</v>
      </c>
    </row>
    <row r="68" spans="2:7" s="414" customFormat="1" ht="14.85" customHeight="1">
      <c r="B68" s="560"/>
      <c r="C68" s="560"/>
      <c r="D68" s="560"/>
      <c r="E68" s="560"/>
      <c r="F68" s="560"/>
      <c r="G68" s="560"/>
    </row>
    <row r="69" spans="2:7" s="414" customFormat="1" ht="14.85" customHeight="1">
      <c r="B69" s="564" t="s">
        <v>1787</v>
      </c>
      <c r="C69" s="565">
        <v>0.7</v>
      </c>
      <c r="D69" s="560"/>
      <c r="E69" s="560"/>
      <c r="F69" s="560"/>
      <c r="G69" s="560"/>
    </row>
    <row r="70" spans="2:7" s="414" customFormat="1" ht="14.85" customHeight="1">
      <c r="B70" s="566" t="s">
        <v>1866</v>
      </c>
      <c r="C70" s="565"/>
      <c r="D70" s="567">
        <f>C69*C69</f>
        <v>0.48999999999999994</v>
      </c>
      <c r="E70" s="568" t="s">
        <v>13</v>
      </c>
      <c r="F70" s="565">
        <v>0</v>
      </c>
      <c r="G70" s="567">
        <f>+SUM(D70:E70)*IFERROR((1-F70),1)</f>
        <v>0.48999999999999994</v>
      </c>
    </row>
    <row r="71" spans="2:7" s="414" customFormat="1" ht="14.85" customHeight="1">
      <c r="B71" s="566" t="s">
        <v>1867</v>
      </c>
      <c r="C71" s="565"/>
      <c r="D71" s="567">
        <f>(C69*(1-C69))*2</f>
        <v>0.42000000000000004</v>
      </c>
      <c r="E71" s="569" t="str">
        <f>+E70</f>
        <v>n/a</v>
      </c>
      <c r="F71" s="567">
        <f>+F70</f>
        <v>0</v>
      </c>
      <c r="G71" s="567">
        <f>+SUM(D71:E71)*(1-F71)</f>
        <v>0.42000000000000004</v>
      </c>
    </row>
    <row r="72" spans="2:7" s="414" customFormat="1" ht="14.85" customHeight="1">
      <c r="B72" s="566" t="s">
        <v>1868</v>
      </c>
      <c r="C72" s="565"/>
      <c r="D72" s="567">
        <f>(1-C69)*(1-C69)</f>
        <v>9.0000000000000024E-2</v>
      </c>
      <c r="E72" s="569" t="str">
        <f>+E71</f>
        <v>n/a</v>
      </c>
      <c r="F72" s="569" t="str">
        <f>E72</f>
        <v>n/a</v>
      </c>
      <c r="G72" s="565">
        <v>0</v>
      </c>
    </row>
    <row r="73" spans="2:7" s="414" customFormat="1" ht="14.85" customHeight="1">
      <c r="B73" s="564"/>
      <c r="C73" s="565"/>
      <c r="D73" s="560"/>
      <c r="E73" s="560"/>
      <c r="F73" s="560"/>
      <c r="G73" s="560"/>
    </row>
    <row r="74" spans="2:7" s="414" customFormat="1" ht="14.85" customHeight="1">
      <c r="B74" s="564" t="s">
        <v>641</v>
      </c>
      <c r="C74" s="565">
        <v>0.65</v>
      </c>
      <c r="D74" s="560"/>
      <c r="E74" s="560"/>
      <c r="F74" s="560"/>
      <c r="G74" s="560"/>
    </row>
    <row r="75" spans="2:7" s="414" customFormat="1" ht="14.85" customHeight="1">
      <c r="B75" s="566" t="str">
        <f>+B70</f>
        <v>Both Candidates Successful</v>
      </c>
      <c r="C75" s="570"/>
      <c r="D75" s="567">
        <f>G70*C74^2</f>
        <v>0.20702499999999999</v>
      </c>
      <c r="E75" s="571" t="str">
        <f>E70</f>
        <v>n/a</v>
      </c>
      <c r="F75" s="565">
        <v>0.5</v>
      </c>
      <c r="G75" s="567">
        <f>+SUM(D75:E75)*IFERROR((1-F75),1)</f>
        <v>0.10351249999999999</v>
      </c>
    </row>
    <row r="76" spans="2:7" ht="14.85" customHeight="1">
      <c r="B76" s="566" t="str">
        <f>+B71</f>
        <v>Only 1 Candidate is Successful</v>
      </c>
      <c r="C76" s="572"/>
      <c r="D76" s="567">
        <f>+G70*C74*(1-C74)*2</f>
        <v>0.22294999999999995</v>
      </c>
      <c r="E76" s="567">
        <f>+G71*C74</f>
        <v>0.27300000000000002</v>
      </c>
      <c r="F76" s="567">
        <f>+F75</f>
        <v>0.5</v>
      </c>
      <c r="G76" s="567">
        <f>+SUM(D76:E76)*(1-F76)</f>
        <v>0.247975</v>
      </c>
    </row>
    <row r="77" spans="2:7" ht="14.85" customHeight="1">
      <c r="B77" s="566" t="str">
        <f>+B72</f>
        <v>Both Candidates Fail</v>
      </c>
      <c r="C77" s="572"/>
      <c r="D77" s="567">
        <f>G70*(1-C74)^2</f>
        <v>6.0024999999999981E-2</v>
      </c>
      <c r="E77" s="567">
        <f>+G71*(1-C74)</f>
        <v>0.14699999999999999</v>
      </c>
      <c r="F77" s="569" t="str">
        <f>F72</f>
        <v>n/a</v>
      </c>
      <c r="G77" s="565">
        <v>0</v>
      </c>
    </row>
    <row r="78" spans="2:7" ht="14.85" customHeight="1">
      <c r="B78" s="573"/>
      <c r="C78" s="572"/>
      <c r="D78" s="560"/>
      <c r="E78" s="560"/>
      <c r="F78" s="560"/>
      <c r="G78" s="560"/>
    </row>
    <row r="79" spans="2:7" ht="14.85" customHeight="1">
      <c r="B79" s="564" t="s">
        <v>618</v>
      </c>
      <c r="C79" s="565">
        <v>0.6</v>
      </c>
      <c r="D79" s="560"/>
      <c r="E79" s="560"/>
      <c r="F79" s="560"/>
      <c r="G79" s="560"/>
    </row>
    <row r="80" spans="2:7" ht="14.85" customHeight="1">
      <c r="B80" s="566" t="str">
        <f>+B75</f>
        <v>Both Candidates Successful</v>
      </c>
      <c r="C80" s="574"/>
      <c r="D80" s="567">
        <f>G75*C79^2</f>
        <v>3.7264499999999999E-2</v>
      </c>
      <c r="E80" s="569" t="str">
        <f>+E75</f>
        <v>n/a</v>
      </c>
      <c r="F80" s="565">
        <v>1</v>
      </c>
      <c r="G80" s="567">
        <f>+SUM(D80:E80)*IFERROR((1-F80),1)</f>
        <v>0</v>
      </c>
    </row>
    <row r="81" spans="2:8" ht="14.85" customHeight="1">
      <c r="B81" s="566" t="str">
        <f>+B76</f>
        <v>Only 1 Candidate is Successful</v>
      </c>
      <c r="C81" s="574"/>
      <c r="D81" s="567">
        <f>+G75*C79*(1-C79)*2</f>
        <v>4.9686000000000001E-2</v>
      </c>
      <c r="E81" s="567">
        <f>+G76*C79</f>
        <v>0.148785</v>
      </c>
      <c r="F81" s="567">
        <f>+F80</f>
        <v>1</v>
      </c>
      <c r="G81" s="567">
        <f>+SUM(D81:E81)*(1-F81)</f>
        <v>0</v>
      </c>
    </row>
    <row r="82" spans="2:8" ht="14.85" customHeight="1">
      <c r="B82" s="566" t="str">
        <f>+B77</f>
        <v>Both Candidates Fail</v>
      </c>
      <c r="C82" s="574"/>
      <c r="D82" s="567">
        <f>G75*(1-C79)^2</f>
        <v>1.6562000000000004E-2</v>
      </c>
      <c r="E82" s="567">
        <f>+G76*(1-C79)</f>
        <v>9.919E-2</v>
      </c>
      <c r="F82" s="569" t="str">
        <f>F77</f>
        <v>n/a</v>
      </c>
      <c r="G82" s="575">
        <v>0</v>
      </c>
    </row>
    <row r="83" spans="2:8" ht="14.85" customHeight="1"/>
    <row r="84" spans="2:8" ht="14.85" customHeight="1"/>
    <row r="85" spans="2:8" ht="14.85" customHeight="1"/>
    <row r="86" spans="2:8" ht="14.85" customHeight="1"/>
    <row r="87" spans="2:8" ht="14.85" customHeight="1">
      <c r="B87" s="559" t="s">
        <v>1876</v>
      </c>
      <c r="G87" s="434" t="s">
        <v>1878</v>
      </c>
    </row>
    <row r="88" spans="2:8" ht="14.85" customHeight="1">
      <c r="B88" s="560"/>
      <c r="C88" s="576" t="s">
        <v>3477</v>
      </c>
      <c r="D88" s="577" t="s">
        <v>3478</v>
      </c>
      <c r="E88" s="577" t="s">
        <v>1863</v>
      </c>
      <c r="F88" s="577" t="s">
        <v>1864</v>
      </c>
      <c r="G88" s="577" t="s">
        <v>611</v>
      </c>
      <c r="H88" s="578" t="s">
        <v>1865</v>
      </c>
    </row>
    <row r="89" spans="2:8" ht="14.85" customHeight="1">
      <c r="B89" s="560"/>
      <c r="C89" s="560"/>
      <c r="D89" s="560"/>
      <c r="E89" s="560"/>
      <c r="F89" s="560"/>
      <c r="G89" s="560"/>
      <c r="H89" s="560"/>
    </row>
    <row r="90" spans="2:8" ht="14.85" customHeight="1">
      <c r="B90" s="579" t="s">
        <v>1870</v>
      </c>
      <c r="C90" s="580">
        <v>0.65</v>
      </c>
      <c r="D90" s="580">
        <v>0.7</v>
      </c>
      <c r="E90" s="560"/>
      <c r="F90" s="560"/>
      <c r="G90" s="560"/>
      <c r="H90" s="560"/>
    </row>
    <row r="91" spans="2:8" ht="14.85" customHeight="1">
      <c r="B91" s="581" t="s">
        <v>1871</v>
      </c>
      <c r="C91" s="572"/>
      <c r="D91" s="560"/>
      <c r="E91" s="582">
        <f>C90*D90*C83</f>
        <v>0</v>
      </c>
      <c r="F91" s="583" t="s">
        <v>13</v>
      </c>
      <c r="G91" s="584">
        <v>0</v>
      </c>
      <c r="H91" s="585">
        <f>+SUM(E91:F91)*IFERROR((1-G91),1)</f>
        <v>0</v>
      </c>
    </row>
    <row r="92" spans="2:8" ht="14.85" customHeight="1">
      <c r="B92" s="581" t="s">
        <v>1872</v>
      </c>
      <c r="C92" s="572"/>
      <c r="D92" s="560"/>
      <c r="E92" s="582">
        <f>C90*(1-D90)*C83</f>
        <v>0</v>
      </c>
      <c r="F92" s="586" t="str">
        <f>$F$16</f>
        <v>Wtd. Avg. Probability</v>
      </c>
      <c r="G92" s="587">
        <f>+$G$17</f>
        <v>0</v>
      </c>
      <c r="H92" s="587">
        <f>+SUM(E92:F92)*(1-G92)</f>
        <v>0</v>
      </c>
    </row>
    <row r="93" spans="2:8" ht="14.85" customHeight="1">
      <c r="B93" s="581" t="s">
        <v>1873</v>
      </c>
      <c r="C93" s="572"/>
      <c r="D93" s="560"/>
      <c r="E93" s="582">
        <f>D90*(1-C90)*C83</f>
        <v>0</v>
      </c>
      <c r="F93" s="586" t="str">
        <f>$F$16</f>
        <v>Wtd. Avg. Probability</v>
      </c>
      <c r="G93" s="587">
        <f>+$G$17</f>
        <v>0</v>
      </c>
      <c r="H93" s="587">
        <f>+SUM(E93:F93)*(1-G93)</f>
        <v>0</v>
      </c>
    </row>
    <row r="94" spans="2:8" ht="14.85" customHeight="1">
      <c r="B94" s="581" t="s">
        <v>1868</v>
      </c>
      <c r="C94" s="572"/>
      <c r="D94" s="560"/>
      <c r="E94" s="582">
        <f>(1-C90)*(1-D90)*C83</f>
        <v>0</v>
      </c>
      <c r="F94" s="586" t="str">
        <f>$F$16</f>
        <v>Wtd. Avg. Probability</v>
      </c>
      <c r="G94" s="587">
        <f>+$G$17</f>
        <v>0</v>
      </c>
      <c r="H94" s="587">
        <v>0</v>
      </c>
    </row>
    <row r="95" spans="2:8" ht="14.85" customHeight="1">
      <c r="B95" s="588"/>
      <c r="C95" s="572"/>
      <c r="D95" s="560"/>
      <c r="E95" s="560"/>
      <c r="F95" s="560"/>
      <c r="G95" s="560"/>
      <c r="H95" s="560"/>
    </row>
    <row r="96" spans="2:8" ht="14.85" customHeight="1">
      <c r="B96" s="579" t="s">
        <v>1874</v>
      </c>
      <c r="C96" s="580">
        <v>0.6</v>
      </c>
      <c r="D96" s="589">
        <f>+C90</f>
        <v>0.65</v>
      </c>
      <c r="E96" s="560"/>
      <c r="F96" s="560"/>
      <c r="G96" s="560"/>
      <c r="H96" s="560"/>
    </row>
    <row r="97" spans="2:8" ht="14.85" customHeight="1">
      <c r="B97" s="581" t="str">
        <f>B91</f>
        <v>Both Candidates are Successful</v>
      </c>
      <c r="C97" s="572"/>
      <c r="D97" s="560"/>
      <c r="E97" s="582">
        <f>H91*C96*D96</f>
        <v>0</v>
      </c>
      <c r="F97" s="586" t="str">
        <f>+F91</f>
        <v>n/a</v>
      </c>
      <c r="G97" s="580">
        <v>0</v>
      </c>
      <c r="H97" s="590">
        <f>+SUM(E97:F97)*IFERROR((1-G97),1)</f>
        <v>0</v>
      </c>
    </row>
    <row r="98" spans="2:8" ht="14.85" customHeight="1">
      <c r="B98" s="581" t="str">
        <f>B92</f>
        <v>Only Lead Candidate is Successful</v>
      </c>
      <c r="C98" s="572"/>
      <c r="D98" s="560"/>
      <c r="E98" s="582">
        <f>H91*C96*(1-D96)</f>
        <v>0</v>
      </c>
      <c r="F98" s="586">
        <f>H92*C96</f>
        <v>0</v>
      </c>
      <c r="G98" s="582">
        <f>G97</f>
        <v>0</v>
      </c>
      <c r="H98" s="582">
        <f>+SUM(E98:F98)*IFERROR((1-G98),1)</f>
        <v>0</v>
      </c>
    </row>
    <row r="99" spans="2:8" ht="14.85" customHeight="1">
      <c r="B99" s="581" t="str">
        <f>B93</f>
        <v>Only Second Indication is Successful</v>
      </c>
      <c r="C99" s="572"/>
      <c r="D99" s="560"/>
      <c r="E99" s="582">
        <f>H91*D96*(1-C96)</f>
        <v>0</v>
      </c>
      <c r="F99" s="582">
        <f>H93*D96</f>
        <v>0</v>
      </c>
      <c r="G99" s="582">
        <f>+G97</f>
        <v>0</v>
      </c>
      <c r="H99" s="582">
        <f>+SUM(E99:F99)*(1-G99)</f>
        <v>0</v>
      </c>
    </row>
    <row r="100" spans="2:8" ht="14.85" customHeight="1">
      <c r="B100" s="581" t="str">
        <f>B94</f>
        <v>Both Candidates Fail</v>
      </c>
      <c r="C100" s="572"/>
      <c r="D100" s="560"/>
      <c r="E100" s="582">
        <f>H91*(1-C96)*(1-D96)</f>
        <v>0</v>
      </c>
      <c r="F100" s="582">
        <f>+H92*(1-C96)+H93*(1-D96)</f>
        <v>0</v>
      </c>
      <c r="G100" s="586">
        <f>G94</f>
        <v>0</v>
      </c>
      <c r="H100" s="586">
        <v>0</v>
      </c>
    </row>
    <row r="101" spans="2:8" ht="14.85" customHeight="1">
      <c r="B101" s="588"/>
      <c r="C101" s="572"/>
      <c r="D101" s="560"/>
      <c r="E101" s="560"/>
      <c r="F101" s="560"/>
      <c r="G101" s="560"/>
      <c r="H101" s="560"/>
    </row>
    <row r="102" spans="2:8" ht="14.85" customHeight="1">
      <c r="B102" s="579" t="s">
        <v>1875</v>
      </c>
      <c r="C102" s="580">
        <v>0.35</v>
      </c>
      <c r="D102" s="589">
        <f>+C96</f>
        <v>0.6</v>
      </c>
      <c r="E102" s="560"/>
      <c r="F102" s="560"/>
      <c r="G102" s="560"/>
      <c r="H102" s="560"/>
    </row>
    <row r="103" spans="2:8" ht="14.85" customHeight="1">
      <c r="B103" s="581" t="str">
        <f>B91</f>
        <v>Both Candidates are Successful</v>
      </c>
      <c r="C103" s="572"/>
      <c r="D103" s="560"/>
      <c r="E103" s="582">
        <f>H97*C102*D102</f>
        <v>0</v>
      </c>
      <c r="F103" s="586" t="str">
        <f>+F91</f>
        <v>n/a</v>
      </c>
      <c r="G103" s="580">
        <v>1</v>
      </c>
      <c r="H103" s="582">
        <f>+SUM(E103:F103)*IFERROR((G103),1)</f>
        <v>0</v>
      </c>
    </row>
    <row r="104" spans="2:8" ht="14.85" customHeight="1">
      <c r="B104" s="581" t="str">
        <f>B92</f>
        <v>Only Lead Candidate is Successful</v>
      </c>
      <c r="C104" s="572"/>
      <c r="D104" s="560"/>
      <c r="E104" s="582">
        <f>H97*C102*(1-D102)</f>
        <v>0</v>
      </c>
      <c r="F104" s="582">
        <f>+H98*C102</f>
        <v>0</v>
      </c>
      <c r="G104" s="590">
        <f>G103</f>
        <v>1</v>
      </c>
      <c r="H104" s="582">
        <f t="shared" ref="H104:H106" si="4">+SUM(E104:F104)*IFERROR((G104),1)</f>
        <v>0</v>
      </c>
    </row>
    <row r="105" spans="2:8" ht="14.85" customHeight="1">
      <c r="B105" s="581" t="str">
        <f>B93</f>
        <v>Only Second Indication is Successful</v>
      </c>
      <c r="C105" s="572"/>
      <c r="D105" s="560"/>
      <c r="E105" s="582">
        <f>H97*D102*(1-C102)</f>
        <v>0</v>
      </c>
      <c r="F105" s="582">
        <f>+H99*D102</f>
        <v>0</v>
      </c>
      <c r="G105" s="582">
        <f>+G103</f>
        <v>1</v>
      </c>
      <c r="H105" s="582">
        <f t="shared" si="4"/>
        <v>0</v>
      </c>
    </row>
    <row r="106" spans="2:8" ht="14.85" customHeight="1">
      <c r="B106" s="581" t="str">
        <f>B94</f>
        <v>Both Candidates Fail</v>
      </c>
      <c r="C106" s="572"/>
      <c r="E106" s="582">
        <f>H97*(1-C102)*(1-D102)</f>
        <v>0</v>
      </c>
      <c r="F106" s="582">
        <f>+H98*(1-C102)+H99*(1-D102)</f>
        <v>0</v>
      </c>
      <c r="G106" s="586">
        <f>G94</f>
        <v>0</v>
      </c>
      <c r="H106" s="582">
        <f t="shared" si="4"/>
        <v>0</v>
      </c>
    </row>
    <row r="107" spans="2:8" ht="14.85" customHeight="1"/>
    <row r="108" spans="2:8" ht="14.85" customHeight="1"/>
    <row r="109" spans="2:8" ht="14.85" customHeight="1"/>
    <row r="110" spans="2:8" ht="14.85" customHeight="1"/>
    <row r="111" spans="2:8" ht="14.85" customHeight="1">
      <c r="B111" s="591" t="s">
        <v>1908</v>
      </c>
      <c r="G111" s="434" t="s">
        <v>1907</v>
      </c>
    </row>
    <row r="112" spans="2:8" ht="14.85" customHeight="1">
      <c r="B112" s="592" t="s">
        <v>1906</v>
      </c>
      <c r="C112" s="593" t="s">
        <v>1879</v>
      </c>
      <c r="D112" s="593" t="s">
        <v>611</v>
      </c>
      <c r="E112" s="593" t="s">
        <v>972</v>
      </c>
      <c r="F112" s="593" t="s">
        <v>612</v>
      </c>
      <c r="G112" s="594" t="s">
        <v>613</v>
      </c>
    </row>
    <row r="113" spans="2:8" ht="14.85" customHeight="1"/>
    <row r="114" spans="2:8" ht="14.85" customHeight="1">
      <c r="B114" s="250" t="s">
        <v>1787</v>
      </c>
      <c r="C114" s="514">
        <v>0.95</v>
      </c>
      <c r="D114" s="595" t="s">
        <v>13</v>
      </c>
      <c r="E114" s="595" t="s">
        <v>13</v>
      </c>
      <c r="F114" s="595" t="s">
        <v>13</v>
      </c>
      <c r="G114" s="596">
        <v>43281</v>
      </c>
    </row>
    <row r="115" spans="2:8" ht="14.85" customHeight="1">
      <c r="B115" s="504" t="s">
        <v>641</v>
      </c>
      <c r="C115" s="514">
        <v>0.65</v>
      </c>
      <c r="D115" s="597">
        <v>1</v>
      </c>
      <c r="E115" s="597">
        <v>0.1</v>
      </c>
      <c r="F115" s="506">
        <f>1-E115</f>
        <v>0.9</v>
      </c>
      <c r="G115" s="596">
        <v>43830</v>
      </c>
      <c r="H115" s="598"/>
    </row>
    <row r="116" spans="2:8" ht="14.85" customHeight="1">
      <c r="B116" s="516"/>
      <c r="C116" s="516"/>
      <c r="D116" s="516"/>
      <c r="E116" s="516"/>
      <c r="F116" s="517"/>
      <c r="G116" s="516"/>
      <c r="H116" s="517"/>
    </row>
    <row r="117" spans="2:8" ht="14.85" customHeight="1">
      <c r="B117" s="592" t="s">
        <v>1906</v>
      </c>
      <c r="C117" s="593" t="s">
        <v>1880</v>
      </c>
      <c r="D117" s="593" t="s">
        <v>1881</v>
      </c>
      <c r="E117" s="599"/>
      <c r="G117" s="516"/>
      <c r="H117" s="517"/>
    </row>
    <row r="118" spans="2:8" ht="14.85" customHeight="1">
      <c r="B118" s="600"/>
      <c r="C118" s="601"/>
      <c r="D118" s="601"/>
      <c r="E118" s="517"/>
      <c r="F118" s="414"/>
      <c r="G118" s="516"/>
      <c r="H118" s="517"/>
    </row>
    <row r="119" spans="2:8" ht="14.85" customHeight="1">
      <c r="B119" s="602" t="s">
        <v>1882</v>
      </c>
      <c r="C119" s="603" t="s">
        <v>1004</v>
      </c>
      <c r="D119" s="603" t="s">
        <v>1883</v>
      </c>
      <c r="F119" s="517"/>
      <c r="G119" s="516"/>
      <c r="H119" s="517"/>
    </row>
    <row r="120" spans="2:8" ht="14.85" customHeight="1">
      <c r="B120" s="250" t="s">
        <v>1004</v>
      </c>
      <c r="C120" s="514">
        <v>0.7</v>
      </c>
      <c r="D120" s="524">
        <f>C120-10%</f>
        <v>0.6</v>
      </c>
      <c r="F120" s="517"/>
      <c r="G120" s="516"/>
      <c r="H120" s="517"/>
    </row>
    <row r="121" spans="2:8" ht="14.85" customHeight="1">
      <c r="B121" s="504" t="s">
        <v>1787</v>
      </c>
      <c r="C121" s="514">
        <v>0.65</v>
      </c>
      <c r="D121" s="524">
        <f>+C121</f>
        <v>0.65</v>
      </c>
      <c r="F121" s="517"/>
      <c r="G121" s="516"/>
      <c r="H121" s="517"/>
    </row>
    <row r="122" spans="2:8" ht="14.85" customHeight="1">
      <c r="B122" s="504" t="s">
        <v>616</v>
      </c>
      <c r="C122" s="524">
        <f>SQRT(C115)</f>
        <v>0.80622577482985502</v>
      </c>
      <c r="D122" s="595" t="s">
        <v>13</v>
      </c>
      <c r="F122" s="517"/>
      <c r="G122" s="516"/>
      <c r="H122" s="517"/>
    </row>
    <row r="123" spans="2:8" ht="14.85" customHeight="1">
      <c r="B123" s="516"/>
      <c r="C123" s="516"/>
      <c r="D123" s="516"/>
      <c r="E123" s="516"/>
      <c r="F123" s="517"/>
      <c r="G123" s="516"/>
      <c r="H123" s="517"/>
    </row>
    <row r="124" spans="2:8" ht="14.85" customHeight="1">
      <c r="B124" s="520" t="str">
        <f>"Probability of Different Exit Scenarios in "&amp;B114</f>
        <v>Probability of Different Exit Scenarios in IND</v>
      </c>
      <c r="C124" s="521"/>
      <c r="D124" s="521"/>
      <c r="E124" s="521"/>
      <c r="F124" s="521"/>
      <c r="G124" s="521"/>
      <c r="H124" s="604"/>
    </row>
    <row r="125" spans="2:8" ht="14.85" customHeight="1">
      <c r="B125" s="592" t="s">
        <v>619</v>
      </c>
      <c r="C125" s="593" t="s">
        <v>620</v>
      </c>
      <c r="D125" s="593" t="s">
        <v>621</v>
      </c>
      <c r="E125" s="593" t="s">
        <v>622</v>
      </c>
      <c r="F125" s="593" t="s">
        <v>623</v>
      </c>
      <c r="G125" s="594" t="s">
        <v>624</v>
      </c>
      <c r="H125" s="414"/>
    </row>
    <row r="126" spans="2:8" ht="14.85" customHeight="1"/>
    <row r="127" spans="2:8" ht="14.85" customHeight="1">
      <c r="B127" s="523" t="s">
        <v>625</v>
      </c>
      <c r="C127" s="524">
        <f>C114</f>
        <v>0.95</v>
      </c>
      <c r="D127" s="524">
        <f>C127</f>
        <v>0.95</v>
      </c>
      <c r="E127" s="605" t="s">
        <v>13</v>
      </c>
      <c r="F127" s="528" t="s">
        <v>13</v>
      </c>
      <c r="G127" s="606"/>
      <c r="H127" s="414"/>
    </row>
    <row r="128" spans="2:8" ht="14.85" customHeight="1">
      <c r="B128" s="523" t="s">
        <v>626</v>
      </c>
      <c r="C128" s="524">
        <f>1-C127</f>
        <v>5.0000000000000044E-2</v>
      </c>
      <c r="D128" s="524">
        <f>C128</f>
        <v>5.0000000000000044E-2</v>
      </c>
      <c r="E128" s="528" t="s">
        <v>13</v>
      </c>
      <c r="F128" s="528" t="str">
        <f>F127</f>
        <v>n/a</v>
      </c>
      <c r="G128" s="606"/>
      <c r="H128" s="414"/>
    </row>
    <row r="129" spans="2:11" ht="14.85" customHeight="1">
      <c r="B129" s="607" t="s">
        <v>169</v>
      </c>
      <c r="C129" s="608">
        <f>SUM(C127:C128)</f>
        <v>1</v>
      </c>
      <c r="D129" s="608">
        <f>SUM(D127:D128)</f>
        <v>1</v>
      </c>
      <c r="E129" s="609"/>
      <c r="F129" s="608">
        <f>SUM(F127:F128)</f>
        <v>0</v>
      </c>
      <c r="G129" s="608">
        <f>+D129-F129</f>
        <v>1</v>
      </c>
      <c r="H129" s="414"/>
    </row>
    <row r="130" spans="2:11" ht="14.85" customHeight="1">
      <c r="B130" s="516"/>
      <c r="C130" s="516"/>
      <c r="D130" s="517"/>
      <c r="E130" s="516"/>
      <c r="F130" s="517"/>
      <c r="G130" s="516"/>
      <c r="H130" s="414"/>
    </row>
    <row r="131" spans="2:11" ht="14.85" customHeight="1">
      <c r="B131" s="520" t="str">
        <f>"Probability of Different Exit Scenarios in "&amp;B115</f>
        <v>Probability of Different Exit Scenarios in Phase I</v>
      </c>
      <c r="C131" s="521"/>
      <c r="D131" s="521"/>
      <c r="E131" s="521"/>
      <c r="F131" s="521"/>
      <c r="G131" s="521"/>
      <c r="H131" s="604"/>
    </row>
    <row r="132" spans="2:11" ht="14.85" customHeight="1">
      <c r="B132" s="592" t="s">
        <v>619</v>
      </c>
      <c r="C132" s="593" t="s">
        <v>620</v>
      </c>
      <c r="D132" s="593" t="s">
        <v>621</v>
      </c>
      <c r="E132" s="593" t="s">
        <v>622</v>
      </c>
      <c r="F132" s="593" t="s">
        <v>623</v>
      </c>
      <c r="G132" s="594" t="s">
        <v>624</v>
      </c>
      <c r="H132" s="414"/>
    </row>
    <row r="133" spans="2:11" ht="14.85" customHeight="1"/>
    <row r="134" spans="2:11" ht="14.85" customHeight="1">
      <c r="B134" s="523" t="s">
        <v>625</v>
      </c>
      <c r="C134" s="524">
        <f>+C115</f>
        <v>0.65</v>
      </c>
      <c r="D134" s="524">
        <f>$G$25*C134</f>
        <v>0</v>
      </c>
      <c r="E134" s="524">
        <f>$D$11</f>
        <v>0.1</v>
      </c>
      <c r="F134" s="526">
        <f>D134*E134</f>
        <v>0</v>
      </c>
      <c r="G134" s="606"/>
      <c r="H134" s="414"/>
    </row>
    <row r="135" spans="2:11" ht="14.85" customHeight="1">
      <c r="B135" s="523" t="s">
        <v>626</v>
      </c>
      <c r="C135" s="524">
        <f>1-C134</f>
        <v>0.35</v>
      </c>
      <c r="D135" s="524">
        <f>$G$25*C135</f>
        <v>0</v>
      </c>
      <c r="E135" s="528" t="s">
        <v>13</v>
      </c>
      <c r="F135" s="528">
        <f>D135</f>
        <v>0</v>
      </c>
      <c r="G135" s="606"/>
      <c r="H135" s="414"/>
    </row>
    <row r="136" spans="2:11" ht="14.85" customHeight="1">
      <c r="B136" s="607" t="s">
        <v>169</v>
      </c>
      <c r="C136" s="608">
        <f>SUM(C134:C135)</f>
        <v>1</v>
      </c>
      <c r="D136" s="608">
        <f>SUM(D134:D135)</f>
        <v>0</v>
      </c>
      <c r="E136" s="609"/>
      <c r="F136" s="608">
        <f>SUM(F134:F135)</f>
        <v>0</v>
      </c>
      <c r="G136" s="608">
        <f>+D136-F136</f>
        <v>0</v>
      </c>
      <c r="H136" s="414"/>
    </row>
    <row r="137" spans="2:11" ht="14.85" customHeight="1">
      <c r="B137" s="516"/>
      <c r="C137" s="516"/>
      <c r="D137" s="517"/>
      <c r="E137" s="516"/>
      <c r="F137" s="517"/>
      <c r="G137" s="516"/>
      <c r="H137" s="414"/>
    </row>
    <row r="138" spans="2:11" ht="14.85" customHeight="1">
      <c r="B138" s="610" t="s">
        <v>627</v>
      </c>
      <c r="C138" s="611"/>
      <c r="D138" s="604"/>
      <c r="E138" s="610" t="s">
        <v>627</v>
      </c>
      <c r="F138" s="612"/>
      <c r="G138" s="611"/>
      <c r="H138" s="604"/>
    </row>
    <row r="139" spans="2:11" ht="14.85" customHeight="1">
      <c r="B139" s="613" t="s">
        <v>1884</v>
      </c>
      <c r="C139" s="614"/>
      <c r="D139" s="512"/>
      <c r="E139" s="613" t="s">
        <v>1885</v>
      </c>
      <c r="F139" s="615"/>
      <c r="G139" s="614"/>
      <c r="H139" s="414"/>
    </row>
    <row r="140" spans="2:11" ht="14.85" customHeight="1">
      <c r="B140" s="466"/>
      <c r="C140" s="468"/>
      <c r="D140" s="467"/>
      <c r="E140" s="616"/>
      <c r="F140" s="617"/>
      <c r="G140" s="618"/>
    </row>
    <row r="141" spans="2:11" ht="14.85" customHeight="1">
      <c r="B141" s="619" t="s">
        <v>111</v>
      </c>
      <c r="C141" s="620" t="s">
        <v>112</v>
      </c>
      <c r="D141" s="512"/>
      <c r="E141" s="621" t="s">
        <v>111</v>
      </c>
      <c r="F141" s="622" t="s">
        <v>1886</v>
      </c>
      <c r="G141" s="623" t="s">
        <v>112</v>
      </c>
      <c r="H141" s="414"/>
    </row>
    <row r="142" spans="2:11" ht="14.85" customHeight="1">
      <c r="B142" s="624">
        <v>0.5</v>
      </c>
      <c r="C142" s="625">
        <f>1-B142</f>
        <v>0.5</v>
      </c>
      <c r="D142" s="512"/>
      <c r="E142" s="626">
        <f>MROUND(E143,5%)</f>
        <v>0.1</v>
      </c>
      <c r="F142" s="626">
        <f>MROUND(F143,5%)</f>
        <v>0.4</v>
      </c>
      <c r="G142" s="627">
        <f>1-SUM(E142:F142)</f>
        <v>0.5</v>
      </c>
      <c r="H142" s="628" t="s">
        <v>1887</v>
      </c>
    </row>
    <row r="143" spans="2:11" ht="14.85" customHeight="1">
      <c r="B143" s="629"/>
      <c r="C143" s="509"/>
      <c r="D143" s="512"/>
      <c r="E143" s="630">
        <f>E144/$K$144</f>
        <v>0.10365597841073727</v>
      </c>
      <c r="F143" s="630">
        <f>F144/$K$144</f>
        <v>0.40525070625221038</v>
      </c>
      <c r="G143" s="631">
        <f>G144/$K$144</f>
        <v>0.49109331533705242</v>
      </c>
      <c r="H143" s="523" t="s">
        <v>1888</v>
      </c>
    </row>
    <row r="144" spans="2:11" ht="14.85" customHeight="1">
      <c r="B144" s="629"/>
      <c r="C144" s="509"/>
      <c r="D144" s="512"/>
      <c r="E144" s="632">
        <f>C155</f>
        <v>8.8342491611646909E-2</v>
      </c>
      <c r="F144" s="633">
        <f>E155</f>
        <v>0.34538149816925007</v>
      </c>
      <c r="G144" s="634">
        <f>G155</f>
        <v>0.41854225637414294</v>
      </c>
      <c r="H144" s="635" t="s">
        <v>1889</v>
      </c>
      <c r="K144" s="333">
        <f>SUM(E144:G144)</f>
        <v>0.85226624615503987</v>
      </c>
    </row>
    <row r="145" spans="2:8" ht="14.85" customHeight="1">
      <c r="B145" s="414"/>
      <c r="C145" s="509"/>
      <c r="D145" s="512"/>
      <c r="E145" s="636">
        <v>3</v>
      </c>
      <c r="F145" s="637">
        <v>2</v>
      </c>
      <c r="G145" s="638">
        <v>1</v>
      </c>
      <c r="H145" s="639" t="s">
        <v>1890</v>
      </c>
    </row>
    <row r="146" spans="2:8" ht="14.85" customHeight="1">
      <c r="B146" s="414"/>
      <c r="C146" s="509"/>
      <c r="D146" s="414"/>
      <c r="E146" s="414"/>
      <c r="F146" s="414"/>
      <c r="G146" s="414"/>
      <c r="H146" s="639"/>
    </row>
    <row r="147" spans="2:8" ht="14.85" customHeight="1">
      <c r="B147" s="629"/>
      <c r="C147" s="509"/>
      <c r="D147" s="414"/>
      <c r="E147" s="640"/>
      <c r="F147" s="640"/>
      <c r="G147" s="640"/>
      <c r="H147" s="546"/>
    </row>
    <row r="148" spans="2:8" ht="14.85" customHeight="1">
      <c r="B148" s="641" t="s">
        <v>1891</v>
      </c>
      <c r="C148" s="642"/>
      <c r="D148" s="643"/>
      <c r="E148" s="644"/>
      <c r="F148" s="645"/>
      <c r="G148" s="646"/>
      <c r="H148" s="414"/>
    </row>
    <row r="149" spans="2:8" ht="14.85" customHeight="1">
      <c r="B149" s="647" t="s">
        <v>1892</v>
      </c>
      <c r="C149" s="648">
        <f>PRODUCT(C114:C115)</f>
        <v>0.61749999999999994</v>
      </c>
      <c r="D149" s="512" t="s">
        <v>1893</v>
      </c>
      <c r="E149" s="649"/>
      <c r="F149" s="512"/>
      <c r="G149" s="650"/>
      <c r="H149" s="414"/>
    </row>
    <row r="150" spans="2:8" ht="14.85" customHeight="1">
      <c r="B150" s="647" t="s">
        <v>1880</v>
      </c>
      <c r="C150" s="651">
        <f>C121*C122*C120</f>
        <v>0.366832727547584</v>
      </c>
      <c r="D150" s="512" t="s">
        <v>1894</v>
      </c>
      <c r="E150" s="649"/>
      <c r="F150" s="512"/>
      <c r="G150" s="650"/>
      <c r="H150" s="414"/>
    </row>
    <row r="151" spans="2:8" ht="14.85" customHeight="1">
      <c r="B151" s="652" t="s">
        <v>1881</v>
      </c>
      <c r="C151" s="653">
        <f>D121*D120</f>
        <v>0.39</v>
      </c>
      <c r="D151" s="654" t="s">
        <v>1895</v>
      </c>
      <c r="E151" s="655"/>
      <c r="F151" s="654"/>
      <c r="G151" s="656"/>
      <c r="H151" s="414"/>
    </row>
    <row r="152" spans="2:8" ht="14.85" customHeight="1"/>
    <row r="153" spans="2:8" ht="14.85" customHeight="1">
      <c r="B153" s="657" t="s">
        <v>1896</v>
      </c>
      <c r="C153" s="414"/>
      <c r="D153" s="414"/>
      <c r="E153" s="414"/>
      <c r="F153" s="414"/>
      <c r="G153" s="414"/>
      <c r="H153" s="414"/>
    </row>
    <row r="154" spans="2:8" ht="14.85" customHeight="1">
      <c r="B154" s="658"/>
      <c r="C154" s="659" t="s">
        <v>111</v>
      </c>
      <c r="D154" s="660"/>
      <c r="E154" s="661" t="s">
        <v>1886</v>
      </c>
      <c r="F154" s="662"/>
      <c r="G154" s="661" t="s">
        <v>112</v>
      </c>
      <c r="H154" s="414"/>
    </row>
    <row r="155" spans="2:8" ht="14.85" customHeight="1">
      <c r="B155" s="663" t="s">
        <v>621</v>
      </c>
      <c r="C155" s="642">
        <f>C149*C150*C151</f>
        <v>8.8342491611646909E-2</v>
      </c>
      <c r="D155" s="643"/>
      <c r="E155" s="646">
        <f>+E158+E164+E170</f>
        <v>0.34538149816925007</v>
      </c>
      <c r="F155" s="643"/>
      <c r="G155" s="646">
        <f>+G158+G164+G170</f>
        <v>0.41854225637414294</v>
      </c>
      <c r="H155" s="414"/>
    </row>
    <row r="156" spans="2:8" ht="14.85" customHeight="1">
      <c r="B156" s="504"/>
      <c r="C156" s="512"/>
      <c r="D156" s="512"/>
      <c r="E156" s="664"/>
      <c r="F156" s="516"/>
      <c r="G156" s="664"/>
      <c r="H156" s="414"/>
    </row>
    <row r="157" spans="2:8" ht="14.85" customHeight="1">
      <c r="B157" s="504"/>
      <c r="C157" s="512"/>
      <c r="D157" s="658"/>
      <c r="E157" s="665" t="s">
        <v>1897</v>
      </c>
      <c r="F157" s="607"/>
      <c r="G157" s="666" t="s">
        <v>1897</v>
      </c>
      <c r="H157" s="414"/>
    </row>
    <row r="158" spans="2:8" ht="14.85" customHeight="1">
      <c r="B158" s="546"/>
      <c r="C158" s="512"/>
      <c r="D158" s="667" t="s">
        <v>566</v>
      </c>
      <c r="E158" s="668">
        <f>+PRODUCT(E159:E161)</f>
        <v>0.13817671764898617</v>
      </c>
      <c r="F158" s="669"/>
      <c r="G158" s="670">
        <f>+PRODUCT(G159:G161)</f>
        <v>0.23849828235101375</v>
      </c>
      <c r="H158" s="414"/>
    </row>
    <row r="159" spans="2:8" ht="14.85" customHeight="1">
      <c r="B159" s="504"/>
      <c r="C159" s="512"/>
      <c r="D159" s="671" t="s">
        <v>1898</v>
      </c>
      <c r="E159" s="649">
        <f>+C149</f>
        <v>0.61749999999999994</v>
      </c>
      <c r="F159" s="672" t="s">
        <v>1898</v>
      </c>
      <c r="G159" s="650">
        <f>+C149</f>
        <v>0.61749999999999994</v>
      </c>
      <c r="H159" s="414"/>
    </row>
    <row r="160" spans="2:8" ht="14.85" customHeight="1">
      <c r="B160" s="512"/>
      <c r="C160" s="512"/>
      <c r="D160" s="671" t="s">
        <v>1899</v>
      </c>
      <c r="E160" s="649">
        <f>+C150</f>
        <v>0.366832727547584</v>
      </c>
      <c r="F160" s="672" t="s">
        <v>1900</v>
      </c>
      <c r="G160" s="673">
        <f>1-C150</f>
        <v>0.633167272452416</v>
      </c>
      <c r="H160" s="414"/>
    </row>
    <row r="161" spans="2:8" ht="14.85" customHeight="1">
      <c r="B161" s="467"/>
      <c r="C161" s="467"/>
      <c r="D161" s="466" t="s">
        <v>1901</v>
      </c>
      <c r="E161" s="674">
        <f>1-C151</f>
        <v>0.61</v>
      </c>
      <c r="F161" s="467" t="s">
        <v>1901</v>
      </c>
      <c r="G161" s="673">
        <f>1-C151</f>
        <v>0.61</v>
      </c>
      <c r="H161" s="414"/>
    </row>
    <row r="162" spans="2:8" ht="14.85" customHeight="1">
      <c r="B162" s="467"/>
      <c r="C162" s="467"/>
      <c r="D162" s="466"/>
      <c r="E162" s="674"/>
      <c r="F162" s="467"/>
      <c r="G162" s="673"/>
      <c r="H162" s="414"/>
    </row>
    <row r="163" spans="2:8" ht="14.85" customHeight="1">
      <c r="B163" s="467"/>
      <c r="C163" s="467"/>
      <c r="D163" s="466"/>
      <c r="E163" s="664" t="s">
        <v>1902</v>
      </c>
      <c r="F163" s="675"/>
      <c r="G163" s="676" t="s">
        <v>1902</v>
      </c>
      <c r="H163" s="414"/>
    </row>
    <row r="164" spans="2:8" ht="14.85" customHeight="1">
      <c r="B164" s="467"/>
      <c r="C164" s="467"/>
      <c r="D164" s="667" t="s">
        <v>566</v>
      </c>
      <c r="E164" s="668">
        <f>+PRODUCT(E165:E167)</f>
        <v>0.15248250838835306</v>
      </c>
      <c r="F164" s="677"/>
      <c r="G164" s="670">
        <f>+PRODUCT(G165:G167)</f>
        <v>8.5591246155040046E-2</v>
      </c>
      <c r="H164" s="414"/>
    </row>
    <row r="165" spans="2:8" ht="14.85" customHeight="1">
      <c r="B165" s="467"/>
      <c r="C165" s="467"/>
      <c r="D165" s="671" t="s">
        <v>1898</v>
      </c>
      <c r="E165" s="649">
        <f>+C149</f>
        <v>0.61749999999999994</v>
      </c>
      <c r="F165" s="672" t="s">
        <v>1903</v>
      </c>
      <c r="G165" s="650">
        <f>1-C149</f>
        <v>0.38250000000000006</v>
      </c>
      <c r="H165" s="414"/>
    </row>
    <row r="166" spans="2:8" ht="14.85" customHeight="1">
      <c r="B166" s="467"/>
      <c r="C166" s="467"/>
      <c r="D166" s="671" t="s">
        <v>1900</v>
      </c>
      <c r="E166" s="649">
        <f>1-C150</f>
        <v>0.633167272452416</v>
      </c>
      <c r="F166" s="672" t="s">
        <v>1899</v>
      </c>
      <c r="G166" s="650">
        <f>C150</f>
        <v>0.366832727547584</v>
      </c>
      <c r="H166" s="414"/>
    </row>
    <row r="167" spans="2:8" ht="14.85" customHeight="1">
      <c r="B167" s="467"/>
      <c r="C167" s="467"/>
      <c r="D167" s="466" t="s">
        <v>1904</v>
      </c>
      <c r="E167" s="674">
        <f>+C151</f>
        <v>0.39</v>
      </c>
      <c r="F167" s="467" t="s">
        <v>1901</v>
      </c>
      <c r="G167" s="673">
        <f>1-C151</f>
        <v>0.61</v>
      </c>
      <c r="H167" s="414"/>
    </row>
    <row r="168" spans="2:8" ht="14.85" customHeight="1">
      <c r="B168" s="467"/>
      <c r="C168" s="467"/>
      <c r="D168" s="466"/>
      <c r="E168" s="674"/>
      <c r="F168" s="467"/>
      <c r="G168" s="673"/>
      <c r="H168" s="414"/>
    </row>
    <row r="169" spans="2:8" ht="14.85" customHeight="1">
      <c r="B169" s="675"/>
      <c r="C169" s="675"/>
      <c r="D169" s="678"/>
      <c r="E169" s="664" t="s">
        <v>1905</v>
      </c>
      <c r="F169" s="675"/>
      <c r="G169" s="676" t="s">
        <v>1905</v>
      </c>
      <c r="H169" s="434"/>
    </row>
    <row r="170" spans="2:8" ht="14.85" customHeight="1">
      <c r="B170" s="467"/>
      <c r="C170" s="467"/>
      <c r="D170" s="667" t="s">
        <v>566</v>
      </c>
      <c r="E170" s="668">
        <f>+PRODUCT(E171:E173)</f>
        <v>5.4722272131910853E-2</v>
      </c>
      <c r="F170" s="677"/>
      <c r="G170" s="670">
        <f>+PRODUCT(G171:G173)</f>
        <v>9.445272786808917E-2</v>
      </c>
      <c r="H170" s="414"/>
    </row>
    <row r="171" spans="2:8" ht="14.85" customHeight="1">
      <c r="B171" s="467"/>
      <c r="C171" s="467"/>
      <c r="D171" s="671" t="s">
        <v>1903</v>
      </c>
      <c r="E171" s="649">
        <f>1-C149</f>
        <v>0.38250000000000006</v>
      </c>
      <c r="F171" s="672" t="s">
        <v>1903</v>
      </c>
      <c r="G171" s="650">
        <f>1-C149</f>
        <v>0.38250000000000006</v>
      </c>
      <c r="H171" s="414"/>
    </row>
    <row r="172" spans="2:8" ht="14.85" customHeight="1">
      <c r="B172" s="467"/>
      <c r="C172" s="467"/>
      <c r="D172" s="671" t="s">
        <v>1899</v>
      </c>
      <c r="E172" s="649">
        <f>+C150</f>
        <v>0.366832727547584</v>
      </c>
      <c r="F172" s="672" t="s">
        <v>1900</v>
      </c>
      <c r="G172" s="650">
        <f>1-C150</f>
        <v>0.633167272452416</v>
      </c>
      <c r="H172" s="414"/>
    </row>
    <row r="173" spans="2:8" ht="14.85" customHeight="1">
      <c r="B173" s="467"/>
      <c r="C173" s="467"/>
      <c r="D173" s="487" t="s">
        <v>1904</v>
      </c>
      <c r="E173" s="655">
        <f>+C151</f>
        <v>0.39</v>
      </c>
      <c r="F173" s="346" t="s">
        <v>1904</v>
      </c>
      <c r="G173" s="656">
        <f>C151</f>
        <v>0.39</v>
      </c>
      <c r="H173" s="414"/>
    </row>
    <row r="174" spans="2:8" ht="14.85" customHeight="1"/>
    <row r="175" spans="2:8" ht="14.85" customHeight="1"/>
    <row r="176" spans="2:8"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F5">
    <cfRule type="cellIs" dxfId="327" priority="9" stopIfTrue="1" operator="equal">
      <formula>"input"</formula>
    </cfRule>
  </conditionalFormatting>
  <conditionalFormatting sqref="G4:G5">
    <cfRule type="cellIs" dxfId="326" priority="1" stopIfTrue="1" operator="equal">
      <formula>"input"</formula>
    </cfRule>
  </conditionalFormatting>
  <conditionalFormatting sqref="G4:G5">
    <cfRule type="cellIs" dxfId="325" priority="2" stopIfTrue="1" operator="equal">
      <formula>"input"</formula>
    </cfRule>
  </conditionalFormatting>
  <pageMargins left="0.5" right="0.5" top="0.5" bottom="0.5" header="0.5" footer="0.5"/>
  <pageSetup scale="83" orientation="landscape" r:id="rId1"/>
  <rowBreaks count="1" manualBreakCount="1">
    <brk id="40" max="7" man="1"/>
  </rowBreaks>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J764"/>
  <sheetViews>
    <sheetView showGridLines="0" view="pageBreakPreview" zoomScale="80" zoomScaleNormal="100" zoomScaleSheetLayoutView="80" workbookViewId="0"/>
  </sheetViews>
  <sheetFormatPr defaultRowHeight="12.75"/>
  <cols>
    <col min="1" max="1" width="4.5" style="250" customWidth="1"/>
    <col min="2" max="6" width="28.1640625" style="250" customWidth="1"/>
    <col min="7" max="7" width="4.5" style="250" customWidth="1"/>
    <col min="8" max="8" width="27.5" style="250" hidden="1" customWidth="1"/>
    <col min="9" max="9" width="1.6640625" style="250" hidden="1" customWidth="1"/>
    <col min="10" max="10" width="0.1640625" style="250" hidden="1" customWidth="1"/>
    <col min="11" max="16384" width="9.33203125" style="250"/>
  </cols>
  <sheetData>
    <row r="1" spans="2:6" ht="13.5" thickBot="1"/>
    <row r="2" spans="2:6" ht="15" thickTop="1">
      <c r="B2" s="258" t="str">
        <f>'MASTER PubCo Inputs'!$C$5</f>
        <v>ABC, Inc.</v>
      </c>
      <c r="C2" s="258"/>
      <c r="D2" s="258"/>
      <c r="E2" s="258"/>
      <c r="F2" s="258"/>
    </row>
    <row r="3" spans="2:6" ht="14.25">
      <c r="B3" s="259" t="str">
        <f>VLOOKUP(B4,Outline!$E$8:$G$79,COLUMNS(Outline!$E$8:$G$8),FALSE)</f>
        <v>Exhibit B.3</v>
      </c>
      <c r="C3" s="259"/>
      <c r="D3" s="259"/>
      <c r="E3" s="259"/>
      <c r="F3" s="259"/>
    </row>
    <row r="4" spans="2:6" ht="15" thickBot="1">
      <c r="B4" s="924" t="s">
        <v>673</v>
      </c>
      <c r="C4" s="924"/>
      <c r="D4" s="924"/>
      <c r="E4" s="924"/>
      <c r="F4" s="924"/>
    </row>
    <row r="5" spans="2:6" ht="14.85" customHeight="1" thickTop="1"/>
    <row r="6" spans="2:6" s="560" customFormat="1" ht="14.85" customHeight="1">
      <c r="B6" s="679" t="s">
        <v>3479</v>
      </c>
      <c r="F6" s="680"/>
    </row>
    <row r="7" spans="2:6" s="560" customFormat="1" ht="14.85" customHeight="1">
      <c r="B7" s="681" t="s">
        <v>641</v>
      </c>
      <c r="C7" s="682" t="s">
        <v>618</v>
      </c>
      <c r="D7" s="682" t="s">
        <v>642</v>
      </c>
      <c r="E7" s="682" t="s">
        <v>643</v>
      </c>
      <c r="F7" s="683" t="s">
        <v>644</v>
      </c>
    </row>
    <row r="8" spans="2:6" s="560" customFormat="1" ht="14.85" customHeight="1">
      <c r="B8" s="684">
        <v>0.67</v>
      </c>
      <c r="C8" s="684">
        <v>0.41</v>
      </c>
      <c r="D8" s="684">
        <v>0.65</v>
      </c>
      <c r="E8" s="684">
        <v>0.83</v>
      </c>
      <c r="F8" s="685">
        <f>PRODUCT(B8:E8)</f>
        <v>0.14820065000000002</v>
      </c>
    </row>
    <row r="9" spans="2:6" s="560" customFormat="1" ht="14.85" customHeight="1">
      <c r="B9" s="686"/>
      <c r="C9" s="686"/>
      <c r="D9" s="687"/>
      <c r="E9" s="686"/>
      <c r="F9" s="687"/>
    </row>
    <row r="10" spans="2:6" s="560" customFormat="1" ht="14.85" customHeight="1">
      <c r="B10" s="688" t="s">
        <v>3480</v>
      </c>
      <c r="C10" s="689"/>
      <c r="F10" s="680"/>
    </row>
    <row r="11" spans="2:6" s="560" customFormat="1" ht="14.85" customHeight="1">
      <c r="B11" s="681" t="s">
        <v>645</v>
      </c>
      <c r="C11" s="682"/>
      <c r="D11" s="683"/>
      <c r="F11" s="680"/>
    </row>
    <row r="12" spans="2:6" s="560" customFormat="1" ht="14.85" customHeight="1">
      <c r="B12" s="690" t="s">
        <v>646</v>
      </c>
      <c r="C12" s="691" t="s">
        <v>647</v>
      </c>
      <c r="D12" s="691" t="s">
        <v>1003</v>
      </c>
      <c r="F12" s="680"/>
    </row>
    <row r="13" spans="2:6" s="560" customFormat="1" ht="14.85" customHeight="1">
      <c r="B13" s="692">
        <v>0.19</v>
      </c>
      <c r="C13" s="692">
        <v>0.09</v>
      </c>
      <c r="D13" s="692">
        <v>0.14499999999999999</v>
      </c>
      <c r="F13" s="680"/>
    </row>
    <row r="14" spans="2:6" s="560" customFormat="1" ht="14.85" customHeight="1">
      <c r="B14" s="692"/>
      <c r="C14" s="692"/>
      <c r="D14" s="692"/>
      <c r="F14" s="680"/>
    </row>
    <row r="15" spans="2:6" s="560" customFormat="1" ht="14.85" customHeight="1">
      <c r="B15" s="688" t="s">
        <v>3481</v>
      </c>
      <c r="C15" s="692"/>
      <c r="D15" s="692"/>
      <c r="F15" s="680"/>
    </row>
    <row r="16" spans="2:6" s="560" customFormat="1" ht="14.85" customHeight="1">
      <c r="B16" s="693" t="s">
        <v>1004</v>
      </c>
      <c r="C16" s="683" t="s">
        <v>1005</v>
      </c>
      <c r="D16" s="692"/>
      <c r="F16" s="680"/>
    </row>
    <row r="17" spans="2:8" s="560" customFormat="1" ht="14.85" customHeight="1">
      <c r="B17" s="684">
        <v>0.7</v>
      </c>
      <c r="C17" s="684">
        <v>0.65</v>
      </c>
      <c r="D17" s="692"/>
      <c r="F17" s="680"/>
    </row>
    <row r="18" spans="2:8" s="560" customFormat="1" ht="14.85" customHeight="1">
      <c r="B18" s="684"/>
      <c r="C18" s="684"/>
      <c r="D18" s="692"/>
      <c r="F18" s="680"/>
    </row>
    <row r="19" spans="2:8" s="560" customFormat="1" ht="14.85" customHeight="1">
      <c r="B19" s="694" t="s">
        <v>1006</v>
      </c>
      <c r="C19" s="692"/>
      <c r="D19" s="692"/>
      <c r="F19" s="680"/>
    </row>
    <row r="20" spans="2:8" s="560" customFormat="1" ht="14.85" customHeight="1">
      <c r="C20" s="692"/>
      <c r="D20" s="692"/>
      <c r="F20" s="680"/>
    </row>
    <row r="21" spans="2:8" s="560" customFormat="1" ht="14.85" customHeight="1">
      <c r="B21" s="679" t="s">
        <v>3482</v>
      </c>
      <c r="F21" s="680"/>
    </row>
    <row r="22" spans="2:8" s="560" customFormat="1" ht="14.85" customHeight="1">
      <c r="B22" s="693" t="s">
        <v>618</v>
      </c>
      <c r="C22" s="683" t="s">
        <v>642</v>
      </c>
      <c r="F22" s="680"/>
    </row>
    <row r="23" spans="2:8" s="560" customFormat="1" ht="14.85" customHeight="1">
      <c r="B23" s="684">
        <v>0.28999999999999998</v>
      </c>
      <c r="C23" s="684">
        <v>0.34</v>
      </c>
      <c r="F23" s="680"/>
    </row>
    <row r="24" spans="2:8" s="560" customFormat="1" ht="14.85" customHeight="1">
      <c r="B24" s="684"/>
      <c r="C24" s="684"/>
      <c r="D24" s="684"/>
      <c r="E24" s="684"/>
      <c r="F24" s="685"/>
    </row>
    <row r="25" spans="2:8" s="560" customFormat="1" ht="14.85" customHeight="1">
      <c r="B25" s="695" t="s">
        <v>3483</v>
      </c>
      <c r="C25" s="589"/>
      <c r="D25" s="589"/>
      <c r="E25" s="589"/>
      <c r="F25" s="696"/>
    </row>
    <row r="26" spans="2:8" s="560" customFormat="1" ht="14.85" customHeight="1">
      <c r="B26" s="681" t="s">
        <v>641</v>
      </c>
      <c r="C26" s="682" t="s">
        <v>618</v>
      </c>
      <c r="D26" s="697" t="s">
        <v>642</v>
      </c>
      <c r="E26" s="682" t="s">
        <v>643</v>
      </c>
      <c r="F26" s="680"/>
      <c r="G26" s="680"/>
      <c r="H26" s="680"/>
    </row>
    <row r="27" spans="2:8" s="560" customFormat="1" ht="14.85" customHeight="1">
      <c r="B27" s="698">
        <v>0.64400000000000002</v>
      </c>
      <c r="C27" s="698">
        <v>0.41799999999999998</v>
      </c>
      <c r="D27" s="698">
        <v>0.65400000000000003</v>
      </c>
      <c r="E27" s="699">
        <v>0.89700000000000002</v>
      </c>
      <c r="F27" s="680"/>
      <c r="G27" s="680"/>
      <c r="H27" s="680"/>
    </row>
    <row r="28" spans="2:8" s="560" customFormat="1" ht="14.85" customHeight="1">
      <c r="B28" s="589"/>
      <c r="C28" s="589"/>
      <c r="D28" s="680"/>
      <c r="E28" s="680"/>
      <c r="F28" s="680"/>
      <c r="G28" s="680"/>
      <c r="H28" s="680"/>
    </row>
    <row r="29" spans="2:8" s="560" customFormat="1" ht="14.85" customHeight="1">
      <c r="B29" s="695" t="s">
        <v>3484</v>
      </c>
      <c r="C29" s="589"/>
      <c r="D29" s="589"/>
      <c r="E29" s="589"/>
      <c r="F29" s="696"/>
    </row>
    <row r="30" spans="2:8" s="560" customFormat="1" ht="14.85" customHeight="1">
      <c r="B30" s="700" t="s">
        <v>641</v>
      </c>
      <c r="C30" s="701" t="s">
        <v>618</v>
      </c>
      <c r="D30" s="701" t="s">
        <v>642</v>
      </c>
      <c r="E30" s="702" t="s">
        <v>648</v>
      </c>
      <c r="F30" s="680"/>
    </row>
    <row r="31" spans="2:8" s="560" customFormat="1" ht="14.85" customHeight="1">
      <c r="B31" s="703">
        <v>0.78</v>
      </c>
      <c r="C31" s="704">
        <v>0.58974358974358976</v>
      </c>
      <c r="D31" s="703">
        <v>0.43478260869565216</v>
      </c>
      <c r="E31" s="444">
        <f>PRODUCT(B31:D31)</f>
        <v>0.2</v>
      </c>
      <c r="F31" s="680"/>
    </row>
    <row r="32" spans="2:8" s="560" customFormat="1" ht="14.85" customHeight="1">
      <c r="B32" s="698"/>
      <c r="C32" s="698"/>
      <c r="D32" s="698"/>
      <c r="E32" s="699"/>
      <c r="F32" s="705"/>
    </row>
    <row r="33" spans="2:6" s="560" customFormat="1" ht="14.85" customHeight="1">
      <c r="B33" s="695" t="s">
        <v>3485</v>
      </c>
      <c r="C33" s="589"/>
      <c r="D33" s="589"/>
      <c r="E33" s="589"/>
      <c r="F33" s="696"/>
    </row>
    <row r="34" spans="2:6" s="560" customFormat="1" ht="14.85" customHeight="1">
      <c r="B34" s="681" t="s">
        <v>641</v>
      </c>
      <c r="C34" s="682" t="s">
        <v>618</v>
      </c>
      <c r="D34" s="697" t="s">
        <v>642</v>
      </c>
      <c r="E34" s="682" t="s">
        <v>643</v>
      </c>
      <c r="F34" s="706" t="s">
        <v>648</v>
      </c>
    </row>
    <row r="35" spans="2:6" s="560" customFormat="1" ht="14.85" customHeight="1">
      <c r="B35" s="698">
        <v>0.628</v>
      </c>
      <c r="C35" s="698">
        <v>0.246</v>
      </c>
      <c r="D35" s="698">
        <v>0.40100000000000002</v>
      </c>
      <c r="E35" s="699">
        <v>0.82399999999999995</v>
      </c>
      <c r="F35" s="705">
        <f>PRODUCT(B35:E35)</f>
        <v>5.1046542911999997E-2</v>
      </c>
    </row>
    <row r="36" spans="2:6" s="560" customFormat="1" ht="14.85" customHeight="1">
      <c r="B36" s="698"/>
      <c r="C36" s="698"/>
      <c r="D36" s="698"/>
      <c r="E36" s="699"/>
      <c r="F36" s="705"/>
    </row>
    <row r="37" spans="2:6" s="560" customFormat="1" ht="14.85" customHeight="1">
      <c r="B37" s="695" t="s">
        <v>3486</v>
      </c>
      <c r="C37" s="589"/>
      <c r="D37" s="589"/>
      <c r="E37" s="589"/>
      <c r="F37" s="696"/>
    </row>
    <row r="38" spans="2:6" s="560" customFormat="1" ht="14.85" customHeight="1">
      <c r="B38" s="681" t="s">
        <v>641</v>
      </c>
      <c r="C38" s="682" t="s">
        <v>618</v>
      </c>
      <c r="D38" s="697" t="s">
        <v>642</v>
      </c>
      <c r="E38" s="706" t="s">
        <v>1007</v>
      </c>
      <c r="F38" s="680"/>
    </row>
    <row r="39" spans="2:6" s="560" customFormat="1" ht="14.85" customHeight="1">
      <c r="B39" s="698">
        <v>0.88</v>
      </c>
      <c r="C39" s="698">
        <v>0.73</v>
      </c>
      <c r="D39" s="698">
        <v>0.66</v>
      </c>
      <c r="E39" s="705">
        <f>PRODUCT(B39:D39)</f>
        <v>0.42398400000000003</v>
      </c>
      <c r="F39" s="680"/>
    </row>
    <row r="40" spans="2:6" s="560" customFormat="1" ht="14.85" customHeight="1">
      <c r="B40" s="698"/>
      <c r="C40" s="698"/>
      <c r="D40" s="698"/>
      <c r="E40" s="699"/>
      <c r="F40" s="705"/>
    </row>
    <row r="41" spans="2:6" s="560" customFormat="1" ht="14.85" customHeight="1">
      <c r="B41" s="695" t="s">
        <v>3487</v>
      </c>
      <c r="C41" s="589"/>
      <c r="D41" s="589"/>
      <c r="E41" s="589"/>
      <c r="F41" s="696"/>
    </row>
    <row r="42" spans="2:6" s="560" customFormat="1" ht="14.85" customHeight="1">
      <c r="B42" s="681" t="s">
        <v>641</v>
      </c>
      <c r="C42" s="682" t="s">
        <v>618</v>
      </c>
      <c r="D42" s="697" t="s">
        <v>642</v>
      </c>
      <c r="E42" s="682" t="s">
        <v>643</v>
      </c>
      <c r="F42" s="706" t="s">
        <v>648</v>
      </c>
    </row>
    <row r="43" spans="2:6" s="560" customFormat="1" ht="14.85" customHeight="1">
      <c r="B43" s="698">
        <v>0.75</v>
      </c>
      <c r="C43" s="698">
        <v>0.41599999999999998</v>
      </c>
      <c r="D43" s="698">
        <v>0.46700000000000003</v>
      </c>
      <c r="E43" s="699">
        <v>0.91700000000000004</v>
      </c>
      <c r="F43" s="705">
        <f>PRODUCT(B43:E43)</f>
        <v>0.13361056800000001</v>
      </c>
    </row>
    <row r="44" spans="2:6" s="560" customFormat="1" ht="14.85" customHeight="1">
      <c r="B44" s="698"/>
      <c r="C44" s="698"/>
      <c r="D44" s="698"/>
      <c r="E44" s="699"/>
      <c r="F44" s="705"/>
    </row>
    <row r="45" spans="2:6" s="560" customFormat="1" ht="14.85" customHeight="1">
      <c r="B45" s="695" t="s">
        <v>3488</v>
      </c>
      <c r="C45" s="589"/>
      <c r="D45" s="589"/>
      <c r="E45" s="589"/>
      <c r="F45" s="696"/>
    </row>
    <row r="46" spans="2:6" s="560" customFormat="1" ht="14.85" customHeight="1">
      <c r="B46" s="681" t="s">
        <v>641</v>
      </c>
      <c r="C46" s="682" t="s">
        <v>618</v>
      </c>
      <c r="D46" s="697" t="s">
        <v>642</v>
      </c>
      <c r="E46" s="682" t="s">
        <v>643</v>
      </c>
      <c r="F46" s="706" t="s">
        <v>648</v>
      </c>
    </row>
    <row r="47" spans="2:6" s="560" customFormat="1" ht="14.85" customHeight="1">
      <c r="B47" s="698">
        <v>0.76800000000000002</v>
      </c>
      <c r="C47" s="698">
        <v>0.59399999999999997</v>
      </c>
      <c r="D47" s="698">
        <v>0.57099999999999995</v>
      </c>
      <c r="E47" s="699">
        <v>0.26100000000000001</v>
      </c>
      <c r="F47" s="705">
        <f>PRODUCT(B47:E47)</f>
        <v>6.7986749951999992E-2</v>
      </c>
    </row>
    <row r="48" spans="2:6" s="560" customFormat="1" ht="14.85" customHeight="1">
      <c r="B48" s="698"/>
      <c r="C48" s="698"/>
      <c r="D48" s="698"/>
      <c r="E48" s="699"/>
      <c r="F48" s="705"/>
    </row>
    <row r="49" spans="2:6" s="560" customFormat="1" ht="14.85" customHeight="1">
      <c r="B49" s="695" t="s">
        <v>3489</v>
      </c>
      <c r="C49" s="589"/>
      <c r="D49" s="589"/>
      <c r="E49" s="589"/>
      <c r="F49" s="696"/>
    </row>
    <row r="50" spans="2:6" s="560" customFormat="1" ht="14.85" customHeight="1">
      <c r="B50" s="681" t="s">
        <v>641</v>
      </c>
      <c r="C50" s="682" t="s">
        <v>618</v>
      </c>
      <c r="D50" s="697" t="s">
        <v>642</v>
      </c>
      <c r="E50" s="682" t="s">
        <v>643</v>
      </c>
      <c r="F50" s="706" t="s">
        <v>648</v>
      </c>
    </row>
    <row r="51" spans="2:6" s="560" customFormat="1" ht="14.85" customHeight="1">
      <c r="B51" s="698">
        <v>0.63900000000000001</v>
      </c>
      <c r="C51" s="698">
        <v>0.28299999999999997</v>
      </c>
      <c r="D51" s="698">
        <v>0.45200000000000001</v>
      </c>
      <c r="E51" s="699">
        <v>0.81699999999999995</v>
      </c>
      <c r="F51" s="705">
        <f>PRODUCT(B51:E51)</f>
        <v>6.6780210707999998E-2</v>
      </c>
    </row>
    <row r="52" spans="2:6" s="560" customFormat="1" ht="14.85" customHeight="1">
      <c r="B52" s="698"/>
      <c r="C52" s="698"/>
      <c r="D52" s="698"/>
      <c r="E52" s="699"/>
      <c r="F52" s="705"/>
    </row>
    <row r="53" spans="2:6" s="560" customFormat="1" ht="14.85" customHeight="1">
      <c r="B53" s="695" t="s">
        <v>3490</v>
      </c>
      <c r="C53" s="589"/>
      <c r="D53" s="589"/>
      <c r="E53" s="589"/>
      <c r="F53" s="696"/>
    </row>
    <row r="54" spans="2:6" s="560" customFormat="1" ht="14.85" customHeight="1">
      <c r="B54" s="681" t="s">
        <v>641</v>
      </c>
      <c r="C54" s="682" t="s">
        <v>618</v>
      </c>
      <c r="D54" s="697" t="s">
        <v>642</v>
      </c>
      <c r="E54" s="682" t="s">
        <v>643</v>
      </c>
      <c r="F54" s="706" t="s">
        <v>648</v>
      </c>
    </row>
    <row r="55" spans="2:6" s="560" customFormat="1" ht="14.85" customHeight="1">
      <c r="B55" s="698">
        <v>0.68899999999999995</v>
      </c>
      <c r="C55" s="698">
        <v>0.42299999999999999</v>
      </c>
      <c r="D55" s="698">
        <v>0.54700000000000004</v>
      </c>
      <c r="E55" s="699">
        <v>0.82799999999999996</v>
      </c>
      <c r="F55" s="705">
        <f>PRODUCT(B55:E55)</f>
        <v>0.132001009452</v>
      </c>
    </row>
    <row r="56" spans="2:6" s="560" customFormat="1" ht="14.85" customHeight="1">
      <c r="B56" s="698"/>
      <c r="C56" s="698"/>
      <c r="D56" s="698"/>
      <c r="E56" s="699"/>
      <c r="F56" s="705"/>
    </row>
    <row r="57" spans="2:6" s="560" customFormat="1" ht="14.85" customHeight="1">
      <c r="B57" s="695" t="s">
        <v>3491</v>
      </c>
      <c r="C57" s="589"/>
      <c r="D57" s="589"/>
      <c r="E57" s="589"/>
      <c r="F57" s="696"/>
    </row>
    <row r="58" spans="2:6" s="560" customFormat="1" ht="14.85" customHeight="1">
      <c r="B58" s="681" t="s">
        <v>641</v>
      </c>
      <c r="C58" s="682" t="s">
        <v>618</v>
      </c>
      <c r="D58" s="697" t="s">
        <v>642</v>
      </c>
      <c r="E58" s="682" t="s">
        <v>643</v>
      </c>
      <c r="F58" s="706" t="s">
        <v>648</v>
      </c>
    </row>
    <row r="59" spans="2:6" s="560" customFormat="1" ht="14.85" customHeight="1">
      <c r="B59" s="698">
        <v>0.63</v>
      </c>
      <c r="C59" s="698">
        <v>0.38</v>
      </c>
      <c r="D59" s="698">
        <v>0.61</v>
      </c>
      <c r="E59" s="699">
        <v>0.91</v>
      </c>
      <c r="F59" s="705">
        <f>PRODUCT(B59:E59)</f>
        <v>0.13289094000000001</v>
      </c>
    </row>
    <row r="60" spans="2:6" s="560" customFormat="1" ht="14.85" customHeight="1">
      <c r="B60" s="698"/>
      <c r="C60" s="698"/>
      <c r="D60" s="698"/>
      <c r="E60" s="699"/>
      <c r="F60" s="705"/>
    </row>
    <row r="61" spans="2:6" s="560" customFormat="1" ht="14.85" customHeight="1">
      <c r="B61" s="695" t="s">
        <v>3492</v>
      </c>
      <c r="C61" s="589"/>
      <c r="D61" s="589"/>
      <c r="E61" s="589"/>
      <c r="F61" s="696"/>
    </row>
    <row r="62" spans="2:6" s="560" customFormat="1" ht="14.85" customHeight="1">
      <c r="B62" s="681" t="s">
        <v>641</v>
      </c>
      <c r="C62" s="682" t="s">
        <v>618</v>
      </c>
      <c r="D62" s="697" t="s">
        <v>642</v>
      </c>
      <c r="E62" s="682" t="s">
        <v>643</v>
      </c>
      <c r="F62" s="706" t="s">
        <v>648</v>
      </c>
    </row>
    <row r="63" spans="2:6" s="560" customFormat="1" ht="14.85" customHeight="1">
      <c r="B63" s="698">
        <v>0.84</v>
      </c>
      <c r="C63" s="698">
        <v>0.53</v>
      </c>
      <c r="D63" s="698">
        <v>0.74</v>
      </c>
      <c r="E63" s="699">
        <v>0.96</v>
      </c>
      <c r="F63" s="705">
        <f>PRODUCT(B63:E63)</f>
        <v>0.31627007999999995</v>
      </c>
    </row>
    <row r="64" spans="2:6" s="560" customFormat="1" ht="14.85" customHeight="1">
      <c r="B64" s="698"/>
      <c r="C64" s="698"/>
      <c r="D64" s="698"/>
      <c r="E64" s="699"/>
      <c r="F64" s="705"/>
    </row>
    <row r="65" spans="2:6" s="560" customFormat="1" ht="14.85" customHeight="1">
      <c r="B65" s="591" t="s">
        <v>3493</v>
      </c>
      <c r="C65" s="591"/>
      <c r="D65" s="591"/>
      <c r="E65" s="591"/>
      <c r="F65" s="591"/>
    </row>
    <row r="66" spans="2:6" s="560" customFormat="1" ht="14.85" customHeight="1">
      <c r="B66" s="707" t="s">
        <v>641</v>
      </c>
      <c r="C66" s="701" t="s">
        <v>618</v>
      </c>
      <c r="D66" s="708" t="s">
        <v>642</v>
      </c>
      <c r="E66" s="701" t="s">
        <v>643</v>
      </c>
      <c r="F66" s="702" t="s">
        <v>648</v>
      </c>
    </row>
    <row r="67" spans="2:6" s="560" customFormat="1" ht="14.85" customHeight="1">
      <c r="B67" s="629">
        <v>0.72599999999999998</v>
      </c>
      <c r="C67" s="629">
        <v>0.40300000000000002</v>
      </c>
      <c r="D67" s="629">
        <v>0.66700000000000004</v>
      </c>
      <c r="E67" s="709">
        <v>0.90600000000000003</v>
      </c>
      <c r="F67" s="710">
        <f>PRODUCT(B67:E67)</f>
        <v>0.17680547055600002</v>
      </c>
    </row>
    <row r="68" spans="2:6" s="560" customFormat="1" ht="14.85" customHeight="1">
      <c r="B68" s="698"/>
      <c r="C68" s="698"/>
      <c r="D68" s="698"/>
      <c r="E68" s="699"/>
      <c r="F68" s="705"/>
    </row>
    <row r="69" spans="2:6" s="560" customFormat="1" ht="14.85" customHeight="1">
      <c r="B69" s="694" t="s">
        <v>1008</v>
      </c>
      <c r="C69" s="698"/>
      <c r="D69" s="698"/>
      <c r="E69" s="699"/>
      <c r="F69" s="705"/>
    </row>
    <row r="70" spans="2:6" s="560" customFormat="1" ht="14.85" customHeight="1">
      <c r="B70" s="698"/>
      <c r="C70" s="698"/>
      <c r="D70" s="698"/>
      <c r="E70" s="699"/>
      <c r="F70" s="705"/>
    </row>
    <row r="71" spans="2:6" s="560" customFormat="1" ht="14.85" customHeight="1">
      <c r="B71" s="695" t="s">
        <v>3494</v>
      </c>
      <c r="C71" s="589"/>
      <c r="D71" s="589"/>
      <c r="E71" s="589"/>
      <c r="F71" s="696"/>
    </row>
    <row r="72" spans="2:6" s="560" customFormat="1" ht="14.85" customHeight="1">
      <c r="B72" s="693" t="s">
        <v>618</v>
      </c>
      <c r="C72" s="697" t="s">
        <v>642</v>
      </c>
      <c r="D72" s="682" t="s">
        <v>643</v>
      </c>
      <c r="E72" s="706" t="s">
        <v>1009</v>
      </c>
      <c r="F72" s="680"/>
    </row>
    <row r="73" spans="2:6" s="560" customFormat="1" ht="14.85" customHeight="1">
      <c r="B73" s="698">
        <v>0.75</v>
      </c>
      <c r="C73" s="698">
        <v>0.5</v>
      </c>
      <c r="D73" s="699">
        <v>0.36</v>
      </c>
      <c r="E73" s="705">
        <f>PRODUCT(B73:D73)</f>
        <v>0.13500000000000001</v>
      </c>
      <c r="F73" s="680"/>
    </row>
    <row r="74" spans="2:6" s="560" customFormat="1" ht="14.85" customHeight="1">
      <c r="B74" s="698"/>
      <c r="C74" s="698"/>
      <c r="D74" s="698"/>
      <c r="E74" s="699"/>
      <c r="F74" s="705"/>
    </row>
    <row r="75" spans="2:6" s="560" customFormat="1" ht="14.85" customHeight="1">
      <c r="B75" s="695" t="s">
        <v>3495</v>
      </c>
      <c r="C75" s="589"/>
      <c r="D75" s="589"/>
      <c r="E75" s="589"/>
      <c r="F75" s="696"/>
    </row>
    <row r="76" spans="2:6" s="560" customFormat="1" ht="14.85" customHeight="1">
      <c r="B76" s="693" t="s">
        <v>618</v>
      </c>
      <c r="C76" s="697" t="s">
        <v>642</v>
      </c>
      <c r="D76" s="682" t="s">
        <v>643</v>
      </c>
      <c r="E76" s="706" t="s">
        <v>1009</v>
      </c>
      <c r="F76" s="680"/>
    </row>
    <row r="77" spans="2:6" s="560" customFormat="1" ht="14.85" customHeight="1">
      <c r="B77" s="698">
        <v>0.83</v>
      </c>
      <c r="C77" s="698">
        <v>0.56000000000000005</v>
      </c>
      <c r="D77" s="699">
        <v>0.44</v>
      </c>
      <c r="E77" s="705">
        <f>PRODUCT(B77:D77)</f>
        <v>0.20451200000000003</v>
      </c>
      <c r="F77" s="680"/>
    </row>
    <row r="78" spans="2:6" s="560" customFormat="1" ht="14.85" customHeight="1">
      <c r="B78" s="698"/>
      <c r="C78" s="698"/>
      <c r="D78" s="699"/>
      <c r="E78" s="705"/>
      <c r="F78" s="680"/>
    </row>
    <row r="79" spans="2:6" s="560" customFormat="1" ht="14.85" customHeight="1">
      <c r="B79" s="695" t="s">
        <v>3496</v>
      </c>
      <c r="C79" s="589"/>
      <c r="D79" s="589"/>
      <c r="E79" s="589"/>
      <c r="F79" s="696"/>
    </row>
    <row r="80" spans="2:6" s="560" customFormat="1" ht="14.85" customHeight="1">
      <c r="B80" s="681" t="s">
        <v>641</v>
      </c>
      <c r="C80" s="682" t="s">
        <v>618</v>
      </c>
      <c r="D80" s="697" t="s">
        <v>642</v>
      </c>
      <c r="E80" s="706" t="s">
        <v>1007</v>
      </c>
      <c r="F80" s="680"/>
    </row>
    <row r="81" spans="2:7" s="560" customFormat="1" ht="14.85" customHeight="1">
      <c r="B81" s="698">
        <v>0.86</v>
      </c>
      <c r="C81" s="698">
        <v>0.62</v>
      </c>
      <c r="D81" s="698">
        <v>0.94</v>
      </c>
      <c r="E81" s="705">
        <f>PRODUCT(B81:D81)</f>
        <v>0.50120799999999999</v>
      </c>
      <c r="F81" s="680"/>
    </row>
    <row r="82" spans="2:7" s="560" customFormat="1" ht="14.85" customHeight="1">
      <c r="B82" s="698"/>
      <c r="C82" s="698"/>
      <c r="D82" s="698"/>
      <c r="E82" s="699"/>
      <c r="F82" s="705"/>
    </row>
    <row r="83" spans="2:7" s="560" customFormat="1" ht="14.85" customHeight="1">
      <c r="B83" s="694" t="s">
        <v>1010</v>
      </c>
      <c r="C83" s="698"/>
      <c r="D83" s="698"/>
      <c r="E83" s="699"/>
      <c r="F83" s="705"/>
    </row>
    <row r="84" spans="2:7" s="560" customFormat="1" ht="14.85" customHeight="1">
      <c r="B84" s="698"/>
      <c r="C84" s="698"/>
      <c r="D84" s="698"/>
      <c r="E84" s="699"/>
      <c r="F84" s="705"/>
    </row>
    <row r="85" spans="2:7" s="560" customFormat="1" ht="14.85" customHeight="1">
      <c r="B85" s="679" t="s">
        <v>3497</v>
      </c>
      <c r="F85" s="680"/>
    </row>
    <row r="86" spans="2:7" s="560" customFormat="1" ht="14.85" customHeight="1">
      <c r="B86" s="693" t="s">
        <v>618</v>
      </c>
      <c r="C86" s="683" t="s">
        <v>642</v>
      </c>
      <c r="E86" s="684"/>
      <c r="F86" s="684"/>
      <c r="G86" s="684"/>
    </row>
    <row r="87" spans="2:7" s="560" customFormat="1" ht="14.85" customHeight="1">
      <c r="B87" s="684">
        <v>0.41</v>
      </c>
      <c r="C87" s="684">
        <v>0.55000000000000004</v>
      </c>
      <c r="E87" s="684"/>
      <c r="F87" s="684"/>
      <c r="G87" s="684"/>
    </row>
    <row r="88" spans="2:7" s="560" customFormat="1" ht="14.85" customHeight="1">
      <c r="B88" s="692"/>
      <c r="C88" s="692"/>
      <c r="D88" s="692"/>
      <c r="F88" s="680"/>
    </row>
    <row r="89" spans="2:7" s="560" customFormat="1" ht="14.85" customHeight="1">
      <c r="B89" s="695" t="s">
        <v>3498</v>
      </c>
      <c r="C89" s="695"/>
      <c r="D89" s="695"/>
      <c r="E89" s="695"/>
      <c r="F89" s="711"/>
    </row>
    <row r="90" spans="2:7" s="560" customFormat="1" ht="14.85" customHeight="1">
      <c r="B90" s="681" t="s">
        <v>641</v>
      </c>
      <c r="C90" s="682" t="s">
        <v>618</v>
      </c>
      <c r="D90" s="697" t="s">
        <v>642</v>
      </c>
      <c r="E90" s="682" t="s">
        <v>643</v>
      </c>
      <c r="F90" s="706" t="s">
        <v>648</v>
      </c>
    </row>
    <row r="91" spans="2:7" s="560" customFormat="1" ht="14.85" customHeight="1">
      <c r="B91" s="698">
        <v>0.70799999999999996</v>
      </c>
      <c r="C91" s="698">
        <v>0.51200000000000001</v>
      </c>
      <c r="D91" s="698">
        <v>0.79900000000000004</v>
      </c>
      <c r="E91" s="699">
        <v>0.96899999999999997</v>
      </c>
      <c r="F91" s="705">
        <f>PRODUCT(B91:E91)</f>
        <v>0.28065564057600001</v>
      </c>
    </row>
    <row r="92" spans="2:7" s="560" customFormat="1" ht="14.85" customHeight="1">
      <c r="B92" s="698"/>
      <c r="C92" s="698"/>
      <c r="D92" s="698"/>
      <c r="E92" s="699"/>
      <c r="F92" s="705"/>
    </row>
    <row r="93" spans="2:7" s="560" customFormat="1" ht="14.85" customHeight="1">
      <c r="B93" s="695" t="s">
        <v>3499</v>
      </c>
      <c r="C93" s="589"/>
      <c r="D93" s="589"/>
      <c r="E93" s="589"/>
      <c r="F93" s="696"/>
    </row>
    <row r="94" spans="2:7" s="560" customFormat="1" ht="14.85" customHeight="1">
      <c r="B94" s="681" t="s">
        <v>641</v>
      </c>
      <c r="C94" s="682" t="s">
        <v>618</v>
      </c>
      <c r="D94" s="697" t="s">
        <v>642</v>
      </c>
      <c r="E94" s="682" t="s">
        <v>643</v>
      </c>
      <c r="F94" s="706" t="s">
        <v>648</v>
      </c>
    </row>
    <row r="95" spans="2:7" s="560" customFormat="1" ht="14.85" customHeight="1">
      <c r="B95" s="698">
        <v>0.69499999999999995</v>
      </c>
      <c r="C95" s="698">
        <v>0.42699999999999999</v>
      </c>
      <c r="D95" s="698">
        <v>0.72699999999999998</v>
      </c>
      <c r="E95" s="699">
        <v>0.88700000000000001</v>
      </c>
      <c r="F95" s="705">
        <f>PRODUCT(B95:E95)</f>
        <v>0.19136861348499995</v>
      </c>
    </row>
    <row r="96" spans="2:7" s="560" customFormat="1" ht="14.85" customHeight="1">
      <c r="B96" s="698"/>
      <c r="C96" s="698"/>
      <c r="D96" s="698"/>
      <c r="E96" s="699"/>
      <c r="F96" s="705"/>
    </row>
    <row r="97" spans="1:10" s="560" customFormat="1" ht="14.85" customHeight="1">
      <c r="B97" s="695" t="s">
        <v>3500</v>
      </c>
      <c r="C97" s="589"/>
      <c r="D97" s="589"/>
      <c r="E97" s="589"/>
      <c r="F97" s="696"/>
    </row>
    <row r="98" spans="1:10" s="560" customFormat="1" ht="14.85" customHeight="1">
      <c r="B98" s="681" t="s">
        <v>641</v>
      </c>
      <c r="C98" s="682" t="s">
        <v>618</v>
      </c>
      <c r="D98" s="697" t="s">
        <v>642</v>
      </c>
      <c r="E98" s="682" t="s">
        <v>643</v>
      </c>
      <c r="F98" s="706" t="s">
        <v>648</v>
      </c>
    </row>
    <row r="99" spans="1:10" s="560" customFormat="1" ht="14.85" customHeight="1">
      <c r="B99" s="698">
        <v>0.65800000000000003</v>
      </c>
      <c r="C99" s="698">
        <v>0.45900000000000002</v>
      </c>
      <c r="D99" s="698">
        <v>0.65300000000000002</v>
      </c>
      <c r="E99" s="699">
        <v>0.84899999999999998</v>
      </c>
      <c r="F99" s="705">
        <f>PRODUCT(B99:E99)</f>
        <v>0.16744009073400001</v>
      </c>
    </row>
    <row r="100" spans="1:10" s="560" customFormat="1" ht="14.85" customHeight="1">
      <c r="B100" s="698"/>
      <c r="C100" s="698"/>
      <c r="D100" s="698"/>
      <c r="E100" s="699"/>
      <c r="F100" s="705"/>
    </row>
    <row r="101" spans="1:10" s="560" customFormat="1" ht="14.85" customHeight="1">
      <c r="B101" s="695" t="s">
        <v>3501</v>
      </c>
      <c r="C101" s="589"/>
      <c r="D101" s="589"/>
      <c r="E101" s="589"/>
      <c r="F101" s="696"/>
    </row>
    <row r="102" spans="1:10" s="560" customFormat="1" ht="14.85" customHeight="1">
      <c r="B102" s="681" t="s">
        <v>641</v>
      </c>
      <c r="C102" s="682" t="s">
        <v>618</v>
      </c>
      <c r="D102" s="697" t="s">
        <v>642</v>
      </c>
      <c r="E102" s="682" t="s">
        <v>643</v>
      </c>
      <c r="F102" s="706" t="s">
        <v>648</v>
      </c>
    </row>
    <row r="103" spans="1:10" s="560" customFormat="1" ht="14.85" customHeight="1">
      <c r="B103" s="698">
        <v>0.66900000000000004</v>
      </c>
      <c r="C103" s="698">
        <v>0.45900000000000002</v>
      </c>
      <c r="D103" s="698">
        <v>0.69699999999999995</v>
      </c>
      <c r="E103" s="699">
        <v>0.9</v>
      </c>
      <c r="F103" s="705">
        <f>PRODUCT(B103:E103)</f>
        <v>0.19262563830000001</v>
      </c>
    </row>
    <row r="104" spans="1:10" s="560" customFormat="1" ht="14.85" customHeight="1">
      <c r="B104" s="698"/>
      <c r="C104" s="698"/>
      <c r="D104" s="698"/>
      <c r="E104" s="699"/>
      <c r="F104" s="705"/>
    </row>
    <row r="105" spans="1:10" s="560" customFormat="1" ht="14.85" customHeight="1">
      <c r="B105" s="695" t="s">
        <v>1786</v>
      </c>
      <c r="C105" s="589"/>
      <c r="D105" s="589"/>
      <c r="E105" s="589"/>
      <c r="F105" s="705"/>
    </row>
    <row r="106" spans="1:10" s="560" customFormat="1" ht="14.85" customHeight="1">
      <c r="B106" s="681" t="s">
        <v>1787</v>
      </c>
      <c r="C106" s="682" t="s">
        <v>641</v>
      </c>
      <c r="D106" s="697" t="s">
        <v>618</v>
      </c>
      <c r="E106" s="712" t="s">
        <v>642</v>
      </c>
      <c r="F106" s="705"/>
    </row>
    <row r="107" spans="1:10" s="560" customFormat="1" ht="14.85" customHeight="1">
      <c r="B107" s="713">
        <v>0.95</v>
      </c>
      <c r="C107" s="713">
        <v>0.75</v>
      </c>
      <c r="D107" s="713">
        <v>0.6</v>
      </c>
      <c r="E107" s="713">
        <v>0.5</v>
      </c>
      <c r="F107" s="714" t="s">
        <v>1788</v>
      </c>
    </row>
    <row r="108" spans="1:10" s="560" customFormat="1" ht="14.85" customHeight="1">
      <c r="B108" s="698"/>
      <c r="C108" s="698"/>
      <c r="D108" s="698"/>
      <c r="E108" s="699"/>
      <c r="F108" s="705"/>
    </row>
    <row r="109" spans="1:10" s="560" customFormat="1" ht="14.85" customHeight="1">
      <c r="B109" s="715" t="s">
        <v>86</v>
      </c>
      <c r="F109" s="680"/>
    </row>
    <row r="110" spans="1:10" s="560" customFormat="1" ht="14.85" customHeight="1">
      <c r="A110" s="716" t="s">
        <v>270</v>
      </c>
      <c r="B110" s="2082" t="s">
        <v>1011</v>
      </c>
      <c r="C110" s="2082"/>
      <c r="D110" s="2082"/>
      <c r="E110" s="2082"/>
      <c r="F110" s="2082"/>
      <c r="G110" s="2082"/>
      <c r="H110" s="2082"/>
      <c r="I110" s="2082"/>
      <c r="J110" s="2082"/>
    </row>
    <row r="111" spans="1:10" s="560" customFormat="1" ht="14.85" customHeight="1">
      <c r="A111" s="716" t="s">
        <v>269</v>
      </c>
      <c r="B111" s="2082" t="s">
        <v>1002</v>
      </c>
      <c r="C111" s="2082"/>
      <c r="D111" s="2082"/>
      <c r="E111" s="2082"/>
      <c r="F111" s="2082"/>
      <c r="G111" s="2082"/>
      <c r="H111" s="2082"/>
      <c r="I111" s="2082"/>
      <c r="J111" s="2082"/>
    </row>
    <row r="112" spans="1:10" s="560" customFormat="1" ht="14.85" customHeight="1">
      <c r="A112" s="717" t="s">
        <v>308</v>
      </c>
      <c r="B112" s="2082" t="s">
        <v>1012</v>
      </c>
      <c r="C112" s="2082"/>
      <c r="D112" s="2082"/>
      <c r="E112" s="2082"/>
      <c r="F112" s="2082"/>
      <c r="G112" s="2082"/>
      <c r="H112" s="2082"/>
      <c r="I112" s="2082"/>
      <c r="J112" s="2082"/>
    </row>
    <row r="113" spans="1:10" s="560" customFormat="1" ht="14.85" customHeight="1">
      <c r="A113" s="716" t="s">
        <v>309</v>
      </c>
      <c r="B113" s="2082" t="s">
        <v>1013</v>
      </c>
      <c r="C113" s="2082"/>
      <c r="D113" s="2082"/>
      <c r="E113" s="2082"/>
      <c r="F113" s="2082"/>
      <c r="G113" s="2082"/>
      <c r="H113" s="2082"/>
      <c r="I113" s="2082"/>
      <c r="J113" s="2082"/>
    </row>
    <row r="114" spans="1:10" s="560" customFormat="1" ht="14.85" customHeight="1">
      <c r="A114" s="716" t="s">
        <v>310</v>
      </c>
      <c r="B114" s="2082" t="s">
        <v>1014</v>
      </c>
      <c r="C114" s="2082"/>
      <c r="D114" s="2082"/>
      <c r="E114" s="2082"/>
      <c r="F114" s="2082"/>
      <c r="G114" s="2082"/>
      <c r="H114" s="2082"/>
      <c r="I114" s="2082"/>
      <c r="J114" s="2082"/>
    </row>
    <row r="115" spans="1:10" s="560" customFormat="1" ht="14.85" customHeight="1">
      <c r="A115" s="716" t="s">
        <v>335</v>
      </c>
      <c r="B115" s="2082" t="s">
        <v>1015</v>
      </c>
      <c r="C115" s="2082"/>
      <c r="D115" s="2082"/>
      <c r="E115" s="2082"/>
      <c r="F115" s="2082"/>
      <c r="G115" s="2082"/>
      <c r="H115" s="2082"/>
      <c r="I115" s="2082"/>
      <c r="J115" s="2082"/>
    </row>
    <row r="116" spans="1:10" s="560" customFormat="1" ht="14.85" customHeight="1">
      <c r="A116" s="716" t="s">
        <v>336</v>
      </c>
      <c r="B116" s="2082" t="s">
        <v>1016</v>
      </c>
      <c r="C116" s="2082"/>
      <c r="D116" s="2082"/>
      <c r="E116" s="2082"/>
      <c r="F116" s="2082"/>
      <c r="G116" s="2082"/>
      <c r="H116" s="2082"/>
      <c r="I116" s="2082"/>
      <c r="J116" s="2082"/>
    </row>
    <row r="117" spans="1:10" s="560" customFormat="1" ht="14.85" customHeight="1">
      <c r="A117" s="716" t="s">
        <v>337</v>
      </c>
      <c r="B117" s="2082" t="s">
        <v>1017</v>
      </c>
      <c r="C117" s="2082"/>
      <c r="D117" s="2082"/>
      <c r="E117" s="2082"/>
      <c r="F117" s="2082"/>
      <c r="G117" s="2082"/>
      <c r="H117" s="2082"/>
      <c r="I117" s="2082"/>
      <c r="J117" s="2082"/>
    </row>
    <row r="118" spans="1:10" s="560" customFormat="1" ht="14.85" customHeight="1">
      <c r="A118" s="716" t="s">
        <v>338</v>
      </c>
      <c r="B118" s="2082" t="s">
        <v>1018</v>
      </c>
      <c r="C118" s="2082"/>
      <c r="D118" s="2082"/>
      <c r="E118" s="2082"/>
      <c r="F118" s="2082"/>
      <c r="G118" s="2082"/>
      <c r="H118" s="2082"/>
      <c r="I118" s="2082"/>
      <c r="J118" s="2082"/>
    </row>
    <row r="119" spans="1:10" s="560" customFormat="1" ht="14.85" customHeight="1">
      <c r="A119" s="716" t="s">
        <v>1019</v>
      </c>
      <c r="B119" s="2083" t="s">
        <v>1020</v>
      </c>
      <c r="C119" s="2082"/>
      <c r="D119" s="2082"/>
      <c r="E119" s="2082"/>
      <c r="F119" s="2082"/>
      <c r="G119" s="2082"/>
      <c r="H119" s="2082"/>
      <c r="I119" s="2082"/>
      <c r="J119" s="2082"/>
    </row>
    <row r="120" spans="1:10" ht="14.85" customHeight="1"/>
    <row r="121" spans="1:10" ht="14.85" customHeight="1"/>
    <row r="122" spans="1:10" ht="14.85" customHeight="1"/>
    <row r="123" spans="1:10" ht="14.85" customHeight="1"/>
    <row r="124" spans="1:10" ht="14.85" customHeight="1"/>
    <row r="125" spans="1:10" ht="14.85" customHeight="1"/>
    <row r="126" spans="1:10" ht="14.85" customHeight="1"/>
    <row r="127" spans="1:10" ht="14.85" customHeight="1"/>
    <row r="128" spans="1:10"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0">
    <mergeCell ref="B116:J116"/>
    <mergeCell ref="B117:J117"/>
    <mergeCell ref="B118:J118"/>
    <mergeCell ref="B119:J119"/>
    <mergeCell ref="B110:J110"/>
    <mergeCell ref="B111:J111"/>
    <mergeCell ref="B112:J112"/>
    <mergeCell ref="B113:J113"/>
    <mergeCell ref="B114:J114"/>
    <mergeCell ref="B115:J115"/>
  </mergeCells>
  <conditionalFormatting sqref="B4:F4">
    <cfRule type="cellIs" dxfId="324" priority="1" stopIfTrue="1" operator="equal">
      <formula>"input"</formula>
    </cfRule>
  </conditionalFormatting>
  <pageMargins left="0.5" right="0.5" top="0.5" bottom="0.5" header="0.5" footer="0.5"/>
  <pageSetup fitToWidth="0" fitToHeight="0" orientation="landscape" r:id="rId1"/>
  <rowBreaks count="3" manualBreakCount="3">
    <brk id="40" max="6" man="1"/>
    <brk id="68" max="6" man="1"/>
    <brk id="96" max="6" man="1"/>
  </row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Y764"/>
  <sheetViews>
    <sheetView showGridLines="0" view="pageBreakPreview" zoomScale="80" zoomScaleNormal="85" zoomScaleSheetLayoutView="80" workbookViewId="0"/>
  </sheetViews>
  <sheetFormatPr defaultRowHeight="12.75" outlineLevelRow="1" outlineLevelCol="1"/>
  <cols>
    <col min="1" max="1" width="4.5" style="250" customWidth="1"/>
    <col min="2" max="2" width="52.5" style="250" customWidth="1"/>
    <col min="3" max="3" width="2.83203125" style="250" customWidth="1"/>
    <col min="4" max="9" width="18.1640625" style="250" customWidth="1"/>
    <col min="10" max="18" width="18.1640625" style="250" hidden="1" customWidth="1" outlineLevel="1"/>
    <col min="19" max="19" width="18.1640625" style="250" customWidth="1" collapsed="1"/>
    <col min="20" max="20" width="4.5" style="250" customWidth="1"/>
    <col min="21" max="21" width="16.83203125" style="250" bestFit="1" customWidth="1"/>
    <col min="22" max="22" width="1.83203125" style="250" customWidth="1"/>
    <col min="23" max="23" width="21.6640625" style="275" bestFit="1" customWidth="1"/>
    <col min="24" max="16384" width="9.33203125" style="250"/>
  </cols>
  <sheetData>
    <row r="1" spans="2:23" ht="10.7" customHeight="1" thickBot="1"/>
    <row r="2" spans="2:23" ht="16.5" customHeight="1" thickTop="1">
      <c r="B2" s="258" t="str">
        <f>'MASTER PubCo Inputs'!$C$5</f>
        <v>ABC, Inc.</v>
      </c>
      <c r="C2" s="258"/>
      <c r="D2" s="258"/>
      <c r="E2" s="258"/>
      <c r="F2" s="258"/>
      <c r="G2" s="258"/>
      <c r="H2" s="258"/>
      <c r="I2" s="258"/>
      <c r="J2" s="258"/>
      <c r="K2" s="258"/>
      <c r="L2" s="258"/>
      <c r="M2" s="258"/>
      <c r="N2" s="258"/>
      <c r="O2" s="258"/>
      <c r="P2" s="258"/>
      <c r="Q2" s="258"/>
      <c r="R2" s="258"/>
      <c r="S2" s="258"/>
    </row>
    <row r="3" spans="2:23" ht="15.75" customHeight="1">
      <c r="B3" s="259" t="str">
        <f>VLOOKUP(B4,Outline!$E$8:$G$79,COLUMNS(Outline!$E$8:$G$8),FALSE)</f>
        <v>Exhibit B.4</v>
      </c>
      <c r="C3" s="259"/>
      <c r="D3" s="259"/>
      <c r="E3" s="259"/>
      <c r="F3" s="259"/>
      <c r="G3" s="259"/>
      <c r="H3" s="259"/>
      <c r="I3" s="259"/>
      <c r="J3" s="259"/>
      <c r="K3" s="259"/>
      <c r="L3" s="259"/>
      <c r="M3" s="259"/>
      <c r="N3" s="259"/>
      <c r="O3" s="259"/>
      <c r="P3" s="259"/>
      <c r="Q3" s="259"/>
      <c r="R3" s="259"/>
      <c r="S3" s="259"/>
    </row>
    <row r="4" spans="2:23" ht="16.5" customHeight="1" thickBot="1">
      <c r="B4" s="924" t="s">
        <v>674</v>
      </c>
      <c r="C4" s="924"/>
      <c r="D4" s="924"/>
      <c r="E4" s="924"/>
      <c r="F4" s="924"/>
      <c r="G4" s="924"/>
      <c r="H4" s="924"/>
      <c r="I4" s="924"/>
      <c r="J4" s="925"/>
      <c r="K4" s="925"/>
      <c r="L4" s="925"/>
      <c r="M4" s="925"/>
      <c r="N4" s="925"/>
      <c r="O4" s="925"/>
      <c r="P4" s="925"/>
      <c r="Q4" s="925"/>
      <c r="R4" s="925"/>
      <c r="S4" s="925" t="str">
        <f>+'MASTER PubCo Inputs'!$C$20</f>
        <v>(in thousands of USD and shares, except price per share)</v>
      </c>
    </row>
    <row r="5" spans="2:23" s="467" customFormat="1" ht="14.85" customHeight="1" thickTop="1">
      <c r="B5" s="250"/>
      <c r="C5" s="250"/>
      <c r="D5" s="250"/>
      <c r="E5" s="250"/>
      <c r="F5" s="250"/>
      <c r="G5" s="250"/>
      <c r="H5" s="250"/>
      <c r="I5" s="250"/>
      <c r="J5" s="250"/>
      <c r="K5" s="250"/>
      <c r="L5" s="250"/>
      <c r="M5" s="250"/>
      <c r="N5" s="250"/>
      <c r="O5" s="250"/>
      <c r="P5" s="250"/>
      <c r="Q5" s="250"/>
      <c r="R5" s="250"/>
      <c r="S5" s="250"/>
      <c r="T5" s="250"/>
      <c r="U5" s="250"/>
      <c r="W5" s="718"/>
    </row>
    <row r="6" spans="2:23" s="467" customFormat="1" ht="14.85" customHeight="1">
      <c r="B6" s="250"/>
      <c r="C6" s="250"/>
      <c r="D6" s="250"/>
      <c r="E6" s="250"/>
      <c r="F6" s="250"/>
      <c r="G6" s="250"/>
      <c r="H6" s="250"/>
      <c r="I6" s="250"/>
      <c r="J6" s="250"/>
      <c r="K6" s="250"/>
      <c r="L6" s="250"/>
      <c r="M6" s="250"/>
      <c r="N6" s="250"/>
      <c r="O6" s="250"/>
      <c r="P6" s="250"/>
      <c r="Q6" s="250"/>
      <c r="R6" s="250"/>
      <c r="S6" s="250"/>
      <c r="T6" s="250"/>
      <c r="W6" s="718"/>
    </row>
    <row r="7" spans="2:23" ht="14.85" customHeight="1">
      <c r="B7" s="719" t="s">
        <v>401</v>
      </c>
      <c r="C7" s="720"/>
      <c r="D7" s="720"/>
      <c r="E7" s="721" t="s">
        <v>70</v>
      </c>
      <c r="F7" s="720"/>
      <c r="G7" s="720"/>
      <c r="H7" s="720"/>
      <c r="I7" s="720"/>
      <c r="J7" s="720"/>
      <c r="K7" s="720"/>
      <c r="L7" s="720"/>
      <c r="M7" s="720"/>
      <c r="N7" s="720"/>
      <c r="O7" s="720"/>
      <c r="P7" s="720"/>
      <c r="Q7" s="720"/>
      <c r="R7" s="720"/>
      <c r="S7" s="722"/>
    </row>
    <row r="8" spans="2:23" s="724" customFormat="1" ht="14.85" customHeight="1">
      <c r="B8" s="723"/>
      <c r="C8" s="723"/>
      <c r="D8" s="723"/>
      <c r="E8" s="723"/>
      <c r="F8" s="723"/>
      <c r="G8" s="723"/>
      <c r="H8" s="723"/>
      <c r="I8" s="723"/>
      <c r="J8" s="723"/>
      <c r="K8" s="723"/>
      <c r="L8" s="723"/>
      <c r="M8" s="723"/>
      <c r="N8" s="723"/>
      <c r="O8" s="723"/>
      <c r="P8" s="723"/>
      <c r="Q8" s="723"/>
      <c r="R8" s="723"/>
      <c r="S8" s="723"/>
      <c r="W8" s="725"/>
    </row>
    <row r="9" spans="2:23" ht="14.85" customHeight="1">
      <c r="B9" s="250" t="s">
        <v>399</v>
      </c>
      <c r="C9" s="726"/>
      <c r="D9" s="727">
        <f>'OPM 2'!P7</f>
        <v>100000</v>
      </c>
      <c r="E9" s="360" t="s">
        <v>2573</v>
      </c>
    </row>
    <row r="10" spans="2:23" ht="14.85" customHeight="1">
      <c r="B10" s="250" t="s">
        <v>400</v>
      </c>
      <c r="D10" s="728">
        <v>2</v>
      </c>
      <c r="E10" s="360" t="s">
        <v>2572</v>
      </c>
    </row>
    <row r="11" spans="2:23" ht="14.85" customHeight="1">
      <c r="B11" s="724" t="s">
        <v>74</v>
      </c>
      <c r="C11" s="729"/>
      <c r="D11" s="730">
        <f>'Asset Vol_OPM'!$Q$48</f>
        <v>0.31</v>
      </c>
      <c r="E11" s="360" t="str">
        <f>'Asset Vol_OPM'!$B$3</f>
        <v>Exhibit H.2</v>
      </c>
      <c r="G11" s="731"/>
    </row>
    <row r="12" spans="2:23" ht="14.85" customHeight="1">
      <c r="B12" s="250" t="s">
        <v>72</v>
      </c>
      <c r="C12" s="729"/>
      <c r="D12" s="732">
        <f>'Risk-Free Rates'!E27</f>
        <v>1.11E-2</v>
      </c>
      <c r="E12" s="360" t="str">
        <f>'Risk-Free Rates'!B3</f>
        <v>Exhibit H.9</v>
      </c>
      <c r="G12" s="731"/>
    </row>
    <row r="13" spans="2:23" ht="14.85" customHeight="1">
      <c r="B13" s="250" t="s">
        <v>73</v>
      </c>
      <c r="D13" s="733">
        <v>0</v>
      </c>
      <c r="E13" s="360" t="s">
        <v>2572</v>
      </c>
      <c r="G13" s="731"/>
    </row>
    <row r="14" spans="2:23" ht="14.85" customHeight="1">
      <c r="D14" s="439" t="s">
        <v>784</v>
      </c>
      <c r="E14" s="359"/>
      <c r="F14" s="359"/>
      <c r="G14" s="731"/>
    </row>
    <row r="15" spans="2:23" ht="14.85" customHeight="1">
      <c r="D15" s="734">
        <v>1</v>
      </c>
      <c r="E15" s="735">
        <f>D15+1</f>
        <v>2</v>
      </c>
      <c r="F15" s="735">
        <f t="shared" ref="F15:S15" si="0">E15+1</f>
        <v>3</v>
      </c>
      <c r="G15" s="735">
        <f t="shared" si="0"/>
        <v>4</v>
      </c>
      <c r="H15" s="735">
        <f t="shared" si="0"/>
        <v>5</v>
      </c>
      <c r="I15" s="735">
        <f t="shared" si="0"/>
        <v>6</v>
      </c>
      <c r="J15" s="735">
        <f t="shared" si="0"/>
        <v>7</v>
      </c>
      <c r="K15" s="735">
        <f t="shared" si="0"/>
        <v>8</v>
      </c>
      <c r="L15" s="735">
        <f t="shared" si="0"/>
        <v>9</v>
      </c>
      <c r="M15" s="735">
        <f t="shared" si="0"/>
        <v>10</v>
      </c>
      <c r="N15" s="735">
        <f t="shared" si="0"/>
        <v>11</v>
      </c>
      <c r="O15" s="735">
        <f t="shared" si="0"/>
        <v>12</v>
      </c>
      <c r="P15" s="735">
        <f t="shared" si="0"/>
        <v>13</v>
      </c>
      <c r="Q15" s="735">
        <f t="shared" si="0"/>
        <v>14</v>
      </c>
      <c r="R15" s="735">
        <f t="shared" si="0"/>
        <v>15</v>
      </c>
      <c r="S15" s="736">
        <f t="shared" si="0"/>
        <v>16</v>
      </c>
    </row>
    <row r="16" spans="2:23" s="272" customFormat="1" ht="14.85" customHeight="1">
      <c r="B16" s="737" t="s">
        <v>402</v>
      </c>
      <c r="D16" s="738" t="s">
        <v>403</v>
      </c>
      <c r="E16" s="498" t="s">
        <v>405</v>
      </c>
      <c r="F16" s="498" t="s">
        <v>406</v>
      </c>
      <c r="G16" s="498" t="s">
        <v>407</v>
      </c>
      <c r="H16" s="498" t="s">
        <v>408</v>
      </c>
      <c r="I16" s="498" t="s">
        <v>409</v>
      </c>
      <c r="J16" s="498" t="s">
        <v>409</v>
      </c>
      <c r="K16" s="498" t="s">
        <v>409</v>
      </c>
      <c r="L16" s="498" t="s">
        <v>409</v>
      </c>
      <c r="M16" s="498" t="s">
        <v>409</v>
      </c>
      <c r="N16" s="498" t="s">
        <v>409</v>
      </c>
      <c r="O16" s="498" t="s">
        <v>409</v>
      </c>
      <c r="P16" s="498" t="s">
        <v>409</v>
      </c>
      <c r="Q16" s="498" t="s">
        <v>409</v>
      </c>
      <c r="R16" s="498" t="s">
        <v>409</v>
      </c>
      <c r="S16" s="739" t="s">
        <v>409</v>
      </c>
      <c r="U16" s="740"/>
      <c r="W16" s="347"/>
    </row>
    <row r="17" spans="2:23" ht="14.85" customHeight="1"/>
    <row r="18" spans="2:23" ht="14.85" customHeight="1">
      <c r="B18" s="253" t="s">
        <v>411</v>
      </c>
      <c r="W18" s="382" t="str">
        <f>B18</f>
        <v>Liquidation Preference</v>
      </c>
    </row>
    <row r="19" spans="2:23" ht="14.85" customHeight="1">
      <c r="B19" s="328" t="str">
        <f>'Cap Table'!$D$7</f>
        <v>Series A</v>
      </c>
      <c r="D19" s="381">
        <v>0</v>
      </c>
      <c r="E19" s="381">
        <v>0</v>
      </c>
      <c r="F19" s="381">
        <v>0</v>
      </c>
      <c r="G19" s="381">
        <v>0</v>
      </c>
      <c r="H19" s="381">
        <f>W19</f>
        <v>250</v>
      </c>
      <c r="I19" s="381"/>
      <c r="J19" s="381"/>
      <c r="K19" s="381"/>
      <c r="L19" s="381"/>
      <c r="M19" s="381"/>
      <c r="N19" s="381"/>
      <c r="O19" s="381"/>
      <c r="P19" s="381"/>
      <c r="Q19" s="381"/>
      <c r="R19" s="381"/>
      <c r="S19" s="381"/>
      <c r="U19" s="331"/>
      <c r="W19" s="741">
        <f>'Econ Rights'!$D$16</f>
        <v>250</v>
      </c>
    </row>
    <row r="20" spans="2:23" ht="14.85" customHeight="1">
      <c r="B20" s="328" t="str">
        <f>'Cap Table'!$E$7</f>
        <v>Series B</v>
      </c>
      <c r="D20" s="381">
        <v>0</v>
      </c>
      <c r="E20" s="381">
        <v>0</v>
      </c>
      <c r="F20" s="381">
        <v>0</v>
      </c>
      <c r="G20" s="381">
        <f>W20</f>
        <v>243</v>
      </c>
      <c r="H20" s="381">
        <f t="shared" ref="F20:H23" si="1">G20</f>
        <v>243</v>
      </c>
      <c r="I20" s="381"/>
      <c r="J20" s="381"/>
      <c r="K20" s="381"/>
      <c r="L20" s="381"/>
      <c r="M20" s="381"/>
      <c r="N20" s="381"/>
      <c r="O20" s="381"/>
      <c r="P20" s="381"/>
      <c r="Q20" s="381"/>
      <c r="R20" s="381"/>
      <c r="S20" s="381"/>
      <c r="W20" s="741">
        <f>'Econ Rights'!$E$16</f>
        <v>243</v>
      </c>
    </row>
    <row r="21" spans="2:23" ht="14.85" customHeight="1">
      <c r="B21" s="328" t="str">
        <f>'Cap Table'!$F$7</f>
        <v>Series C</v>
      </c>
      <c r="D21" s="381">
        <v>0</v>
      </c>
      <c r="E21" s="381">
        <v>0</v>
      </c>
      <c r="F21" s="381">
        <f>W21</f>
        <v>261</v>
      </c>
      <c r="G21" s="381">
        <f t="shared" si="1"/>
        <v>261</v>
      </c>
      <c r="H21" s="381">
        <f t="shared" si="1"/>
        <v>261</v>
      </c>
      <c r="I21" s="381"/>
      <c r="J21" s="381"/>
      <c r="K21" s="381"/>
      <c r="L21" s="381"/>
      <c r="M21" s="381"/>
      <c r="N21" s="381"/>
      <c r="O21" s="381"/>
      <c r="P21" s="381"/>
      <c r="Q21" s="381"/>
      <c r="R21" s="381"/>
      <c r="S21" s="381"/>
      <c r="W21" s="741">
        <f>'Econ Rights'!$F$16</f>
        <v>261</v>
      </c>
    </row>
    <row r="22" spans="2:23" ht="14.85" customHeight="1">
      <c r="B22" s="328" t="str">
        <f>'Cap Table'!$G$7</f>
        <v>Series D</v>
      </c>
      <c r="D22" s="381">
        <v>0</v>
      </c>
      <c r="E22" s="381">
        <f>W22</f>
        <v>264</v>
      </c>
      <c r="F22" s="381">
        <f t="shared" si="1"/>
        <v>264</v>
      </c>
      <c r="G22" s="381">
        <f t="shared" si="1"/>
        <v>264</v>
      </c>
      <c r="H22" s="381">
        <f t="shared" si="1"/>
        <v>264</v>
      </c>
      <c r="I22" s="381"/>
      <c r="J22" s="381"/>
      <c r="K22" s="381"/>
      <c r="L22" s="381"/>
      <c r="M22" s="381"/>
      <c r="N22" s="381"/>
      <c r="O22" s="381"/>
      <c r="P22" s="381"/>
      <c r="Q22" s="381"/>
      <c r="R22" s="381"/>
      <c r="S22" s="381"/>
      <c r="W22" s="741">
        <f>'Econ Rights'!$G$16</f>
        <v>264</v>
      </c>
    </row>
    <row r="23" spans="2:23" ht="14.85" customHeight="1">
      <c r="B23" s="328" t="str">
        <f>'Cap Table'!$H$7</f>
        <v>Series E</v>
      </c>
      <c r="D23" s="381">
        <f>W23</f>
        <v>216</v>
      </c>
      <c r="E23" s="381">
        <f>D23</f>
        <v>216</v>
      </c>
      <c r="F23" s="381">
        <f t="shared" si="1"/>
        <v>216</v>
      </c>
      <c r="G23" s="381">
        <f t="shared" si="1"/>
        <v>216</v>
      </c>
      <c r="H23" s="381">
        <f t="shared" si="1"/>
        <v>216</v>
      </c>
      <c r="I23" s="381"/>
      <c r="J23" s="381"/>
      <c r="K23" s="381"/>
      <c r="L23" s="381"/>
      <c r="M23" s="381"/>
      <c r="N23" s="381"/>
      <c r="O23" s="381"/>
      <c r="P23" s="381"/>
      <c r="Q23" s="381"/>
      <c r="R23" s="381"/>
      <c r="S23" s="381"/>
      <c r="W23" s="741">
        <f>'Econ Rights'!$H$16</f>
        <v>216</v>
      </c>
    </row>
    <row r="24" spans="2:23" ht="14.85" customHeight="1">
      <c r="B24" s="328" t="str">
        <f>'Cap Table'!$I$7</f>
        <v>Series F</v>
      </c>
      <c r="D24" s="381">
        <v>0</v>
      </c>
      <c r="E24" s="381">
        <v>0</v>
      </c>
      <c r="F24" s="381">
        <v>0</v>
      </c>
      <c r="G24" s="381">
        <v>0</v>
      </c>
      <c r="H24" s="381">
        <v>0</v>
      </c>
      <c r="I24" s="381"/>
      <c r="J24" s="381"/>
      <c r="K24" s="381"/>
      <c r="L24" s="381"/>
      <c r="M24" s="381"/>
      <c r="N24" s="381"/>
      <c r="O24" s="381"/>
      <c r="P24" s="381"/>
      <c r="Q24" s="381"/>
      <c r="R24" s="381"/>
      <c r="S24" s="381"/>
      <c r="W24" s="741">
        <f>'Econ Rights'!$I$16</f>
        <v>200</v>
      </c>
    </row>
    <row r="25" spans="2:23" ht="14.85" customHeight="1">
      <c r="B25" s="328" t="str">
        <f>'Cap Table'!$J$7</f>
        <v>Series G</v>
      </c>
      <c r="D25" s="381">
        <v>0</v>
      </c>
      <c r="E25" s="381">
        <v>0</v>
      </c>
      <c r="F25" s="381">
        <v>0</v>
      </c>
      <c r="G25" s="381">
        <v>0</v>
      </c>
      <c r="H25" s="381">
        <v>0</v>
      </c>
      <c r="I25" s="381"/>
      <c r="J25" s="381"/>
      <c r="K25" s="381"/>
      <c r="L25" s="381"/>
      <c r="M25" s="381"/>
      <c r="N25" s="381"/>
      <c r="O25" s="381"/>
      <c r="P25" s="381"/>
      <c r="Q25" s="381"/>
      <c r="R25" s="381"/>
      <c r="S25" s="381"/>
      <c r="W25" s="741">
        <f>'Econ Rights'!$J$16</f>
        <v>259</v>
      </c>
    </row>
    <row r="26" spans="2:23" ht="14.85" customHeight="1">
      <c r="B26" s="413" t="str">
        <f t="shared" ref="B26:B32" si="2">+$B19&amp;" Warrants"</f>
        <v>Series A Warrants</v>
      </c>
      <c r="D26" s="381"/>
      <c r="E26" s="381"/>
      <c r="F26" s="381"/>
      <c r="G26" s="381"/>
      <c r="H26" s="381"/>
      <c r="I26" s="381"/>
      <c r="J26" s="381"/>
      <c r="K26" s="381"/>
      <c r="L26" s="381"/>
      <c r="M26" s="381"/>
      <c r="N26" s="381"/>
      <c r="O26" s="381"/>
      <c r="P26" s="381"/>
      <c r="Q26" s="381"/>
      <c r="R26" s="381"/>
      <c r="S26" s="381"/>
      <c r="U26" s="742" t="s">
        <v>651</v>
      </c>
      <c r="W26" s="250"/>
    </row>
    <row r="27" spans="2:23" ht="14.85" customHeight="1">
      <c r="B27" s="413" t="str">
        <f t="shared" si="2"/>
        <v>Series B Warrants</v>
      </c>
      <c r="D27" s="381"/>
      <c r="E27" s="381"/>
      <c r="F27" s="381"/>
      <c r="G27" s="381"/>
      <c r="H27" s="381"/>
      <c r="I27" s="381"/>
      <c r="J27" s="381"/>
      <c r="K27" s="381"/>
      <c r="L27" s="381"/>
      <c r="M27" s="381"/>
      <c r="N27" s="381"/>
      <c r="O27" s="381"/>
      <c r="P27" s="381"/>
      <c r="Q27" s="381"/>
      <c r="R27" s="381"/>
      <c r="S27" s="381"/>
      <c r="U27" s="742" t="s">
        <v>651</v>
      </c>
      <c r="W27" s="743"/>
    </row>
    <row r="28" spans="2:23" ht="14.85" customHeight="1">
      <c r="B28" s="413" t="str">
        <f t="shared" si="2"/>
        <v>Series C Warrants</v>
      </c>
      <c r="D28" s="381"/>
      <c r="E28" s="381"/>
      <c r="F28" s="381"/>
      <c r="G28" s="381"/>
      <c r="H28" s="381"/>
      <c r="I28" s="381"/>
      <c r="J28" s="381"/>
      <c r="K28" s="381"/>
      <c r="L28" s="381"/>
      <c r="M28" s="381"/>
      <c r="N28" s="381"/>
      <c r="O28" s="381"/>
      <c r="P28" s="381"/>
      <c r="Q28" s="381"/>
      <c r="R28" s="381"/>
      <c r="S28" s="381"/>
      <c r="U28" s="742" t="s">
        <v>651</v>
      </c>
      <c r="W28" s="744"/>
    </row>
    <row r="29" spans="2:23" ht="14.85" customHeight="1">
      <c r="B29" s="413" t="str">
        <f t="shared" si="2"/>
        <v>Series D Warrants</v>
      </c>
      <c r="D29" s="381"/>
      <c r="E29" s="381"/>
      <c r="F29" s="381"/>
      <c r="G29" s="381"/>
      <c r="H29" s="381"/>
      <c r="I29" s="381"/>
      <c r="J29" s="381"/>
      <c r="K29" s="381"/>
      <c r="L29" s="381"/>
      <c r="M29" s="381"/>
      <c r="N29" s="381"/>
      <c r="O29" s="381"/>
      <c r="P29" s="381"/>
      <c r="Q29" s="381"/>
      <c r="R29" s="381"/>
      <c r="S29" s="381"/>
      <c r="U29" s="742" t="s">
        <v>651</v>
      </c>
      <c r="W29" s="744"/>
    </row>
    <row r="30" spans="2:23" ht="14.85" customHeight="1">
      <c r="B30" s="413" t="str">
        <f t="shared" si="2"/>
        <v>Series E Warrants</v>
      </c>
      <c r="D30" s="381"/>
      <c r="E30" s="381"/>
      <c r="F30" s="381"/>
      <c r="G30" s="381"/>
      <c r="H30" s="381"/>
      <c r="I30" s="381"/>
      <c r="J30" s="381"/>
      <c r="K30" s="381"/>
      <c r="L30" s="381"/>
      <c r="M30" s="381"/>
      <c r="N30" s="381"/>
      <c r="O30" s="381"/>
      <c r="P30" s="381"/>
      <c r="Q30" s="381"/>
      <c r="R30" s="381"/>
      <c r="S30" s="381"/>
      <c r="U30" s="742" t="s">
        <v>651</v>
      </c>
      <c r="W30" s="744"/>
    </row>
    <row r="31" spans="2:23" ht="14.85" customHeight="1">
      <c r="B31" s="413" t="str">
        <f t="shared" si="2"/>
        <v>Series F Warrants</v>
      </c>
      <c r="D31" s="381"/>
      <c r="E31" s="381"/>
      <c r="F31" s="381"/>
      <c r="G31" s="381"/>
      <c r="H31" s="381"/>
      <c r="I31" s="381"/>
      <c r="J31" s="381"/>
      <c r="K31" s="381"/>
      <c r="L31" s="381"/>
      <c r="M31" s="381"/>
      <c r="N31" s="381"/>
      <c r="O31" s="381"/>
      <c r="P31" s="381"/>
      <c r="Q31" s="381"/>
      <c r="R31" s="381"/>
      <c r="S31" s="381"/>
      <c r="U31" s="742" t="s">
        <v>651</v>
      </c>
      <c r="W31" s="744"/>
    </row>
    <row r="32" spans="2:23" ht="14.85" customHeight="1">
      <c r="B32" s="413" t="str">
        <f t="shared" si="2"/>
        <v>Series G Warrants</v>
      </c>
      <c r="D32" s="381"/>
      <c r="E32" s="381"/>
      <c r="F32" s="381"/>
      <c r="G32" s="381"/>
      <c r="H32" s="381"/>
      <c r="I32" s="381"/>
      <c r="J32" s="381"/>
      <c r="K32" s="381"/>
      <c r="L32" s="381"/>
      <c r="M32" s="381"/>
      <c r="N32" s="381"/>
      <c r="O32" s="381"/>
      <c r="P32" s="381"/>
      <c r="Q32" s="381"/>
      <c r="R32" s="381"/>
      <c r="S32" s="381"/>
      <c r="U32" s="742" t="s">
        <v>651</v>
      </c>
      <c r="W32" s="745"/>
    </row>
    <row r="33" spans="2:23" ht="14.85" customHeight="1">
      <c r="B33" s="346"/>
      <c r="C33" s="346"/>
      <c r="D33" s="346"/>
      <c r="E33" s="346"/>
      <c r="F33" s="346"/>
      <c r="G33" s="346"/>
      <c r="H33" s="346"/>
      <c r="I33" s="346"/>
      <c r="J33" s="346"/>
      <c r="K33" s="346"/>
      <c r="L33" s="346"/>
      <c r="M33" s="346"/>
      <c r="N33" s="346"/>
      <c r="O33" s="346"/>
      <c r="P33" s="346"/>
      <c r="Q33" s="346"/>
      <c r="R33" s="346"/>
      <c r="S33" s="346"/>
      <c r="W33" s="746"/>
    </row>
    <row r="34" spans="2:23" ht="14.85" customHeight="1">
      <c r="B34" s="382" t="s">
        <v>574</v>
      </c>
      <c r="D34" s="412">
        <f t="shared" ref="D34:S34" si="3">SUM(D19:D25)</f>
        <v>216</v>
      </c>
      <c r="E34" s="412">
        <f t="shared" si="3"/>
        <v>480</v>
      </c>
      <c r="F34" s="412">
        <f t="shared" si="3"/>
        <v>741</v>
      </c>
      <c r="G34" s="412">
        <f t="shared" si="3"/>
        <v>984</v>
      </c>
      <c r="H34" s="412">
        <f t="shared" si="3"/>
        <v>1234</v>
      </c>
      <c r="I34" s="412">
        <f t="shared" si="3"/>
        <v>0</v>
      </c>
      <c r="J34" s="412">
        <f t="shared" si="3"/>
        <v>0</v>
      </c>
      <c r="K34" s="412">
        <f t="shared" si="3"/>
        <v>0</v>
      </c>
      <c r="L34" s="412">
        <f t="shared" si="3"/>
        <v>0</v>
      </c>
      <c r="M34" s="412">
        <f t="shared" si="3"/>
        <v>0</v>
      </c>
      <c r="N34" s="412">
        <f t="shared" si="3"/>
        <v>0</v>
      </c>
      <c r="O34" s="412">
        <f t="shared" si="3"/>
        <v>0</v>
      </c>
      <c r="P34" s="412">
        <f t="shared" si="3"/>
        <v>0</v>
      </c>
      <c r="Q34" s="412">
        <f t="shared" si="3"/>
        <v>0</v>
      </c>
      <c r="R34" s="412">
        <f t="shared" si="3"/>
        <v>0</v>
      </c>
      <c r="S34" s="412">
        <f t="shared" si="3"/>
        <v>0</v>
      </c>
    </row>
    <row r="35" spans="2:23" ht="14.85" customHeight="1" outlineLevel="1"/>
    <row r="36" spans="2:23" ht="14.85" customHeight="1" outlineLevel="1">
      <c r="B36" s="253" t="s">
        <v>650</v>
      </c>
      <c r="W36" s="382" t="str">
        <f>B36</f>
        <v>Capped Value</v>
      </c>
    </row>
    <row r="37" spans="2:23" ht="14.85" customHeight="1" outlineLevel="1">
      <c r="B37" s="328" t="str">
        <f>'Cap Table'!$D$7</f>
        <v>Series A</v>
      </c>
      <c r="D37" s="345"/>
      <c r="E37" s="345"/>
      <c r="F37" s="345"/>
      <c r="G37" s="345"/>
      <c r="H37" s="345"/>
      <c r="I37" s="345"/>
      <c r="J37" s="345"/>
      <c r="K37" s="345"/>
      <c r="L37" s="345"/>
      <c r="M37" s="345"/>
      <c r="N37" s="345"/>
      <c r="O37" s="345"/>
      <c r="P37" s="345"/>
      <c r="Q37" s="345"/>
      <c r="R37" s="345"/>
      <c r="S37" s="345"/>
      <c r="U37" s="742" t="s">
        <v>651</v>
      </c>
      <c r="W37" s="743"/>
    </row>
    <row r="38" spans="2:23" ht="14.85" customHeight="1" outlineLevel="1">
      <c r="B38" s="328" t="str">
        <f>'Cap Table'!$E$7</f>
        <v>Series B</v>
      </c>
      <c r="D38" s="345"/>
      <c r="E38" s="345"/>
      <c r="F38" s="345"/>
      <c r="G38" s="345"/>
      <c r="H38" s="345"/>
      <c r="I38" s="345"/>
      <c r="J38" s="345"/>
      <c r="K38" s="345"/>
      <c r="L38" s="345"/>
      <c r="M38" s="345"/>
      <c r="N38" s="345"/>
      <c r="O38" s="345"/>
      <c r="P38" s="345"/>
      <c r="Q38" s="345"/>
      <c r="R38" s="345"/>
      <c r="S38" s="345"/>
      <c r="U38" s="742" t="s">
        <v>651</v>
      </c>
      <c r="W38" s="744"/>
    </row>
    <row r="39" spans="2:23" ht="14.85" customHeight="1" outlineLevel="1">
      <c r="B39" s="328" t="str">
        <f>'Cap Table'!$F$7</f>
        <v>Series C</v>
      </c>
      <c r="D39" s="345"/>
      <c r="E39" s="345"/>
      <c r="F39" s="345"/>
      <c r="G39" s="345"/>
      <c r="H39" s="345"/>
      <c r="I39" s="345"/>
      <c r="J39" s="345"/>
      <c r="K39" s="345"/>
      <c r="L39" s="345"/>
      <c r="M39" s="345"/>
      <c r="N39" s="345"/>
      <c r="O39" s="345"/>
      <c r="P39" s="345"/>
      <c r="Q39" s="345"/>
      <c r="R39" s="345"/>
      <c r="S39" s="345"/>
      <c r="U39" s="742" t="s">
        <v>651</v>
      </c>
      <c r="W39" s="744"/>
    </row>
    <row r="40" spans="2:23" ht="14.85" customHeight="1" outlineLevel="1">
      <c r="B40" s="328" t="str">
        <f>'Cap Table'!$G$7</f>
        <v>Series D</v>
      </c>
      <c r="D40" s="345"/>
      <c r="E40" s="345"/>
      <c r="F40" s="345"/>
      <c r="G40" s="345"/>
      <c r="H40" s="345"/>
      <c r="I40" s="345"/>
      <c r="J40" s="345"/>
      <c r="K40" s="345"/>
      <c r="L40" s="345"/>
      <c r="M40" s="345"/>
      <c r="N40" s="345"/>
      <c r="O40" s="345"/>
      <c r="P40" s="345"/>
      <c r="Q40" s="345"/>
      <c r="R40" s="345"/>
      <c r="S40" s="345"/>
      <c r="U40" s="742" t="s">
        <v>651</v>
      </c>
      <c r="W40" s="744"/>
    </row>
    <row r="41" spans="2:23" ht="14.85" customHeight="1" outlineLevel="1">
      <c r="B41" s="328" t="str">
        <f>'Cap Table'!$H$7</f>
        <v>Series E</v>
      </c>
      <c r="D41" s="345"/>
      <c r="E41" s="345"/>
      <c r="F41" s="345"/>
      <c r="G41" s="345"/>
      <c r="H41" s="345"/>
      <c r="I41" s="345"/>
      <c r="J41" s="345"/>
      <c r="K41" s="345"/>
      <c r="L41" s="345"/>
      <c r="M41" s="345"/>
      <c r="N41" s="345"/>
      <c r="O41" s="345"/>
      <c r="P41" s="345"/>
      <c r="Q41" s="345"/>
      <c r="R41" s="345"/>
      <c r="S41" s="345"/>
      <c r="U41" s="742" t="s">
        <v>651</v>
      </c>
      <c r="W41" s="744"/>
    </row>
    <row r="42" spans="2:23" ht="14.85" customHeight="1" outlineLevel="1">
      <c r="B42" s="328" t="str">
        <f>'Cap Table'!$I$7</f>
        <v>Series F</v>
      </c>
      <c r="D42" s="345"/>
      <c r="E42" s="345"/>
      <c r="F42" s="345"/>
      <c r="G42" s="345"/>
      <c r="H42" s="345"/>
      <c r="I42" s="345"/>
      <c r="J42" s="345"/>
      <c r="K42" s="345"/>
      <c r="L42" s="345"/>
      <c r="M42" s="345"/>
      <c r="N42" s="345"/>
      <c r="O42" s="345"/>
      <c r="P42" s="345"/>
      <c r="Q42" s="345"/>
      <c r="R42" s="345"/>
      <c r="S42" s="345"/>
      <c r="U42" s="742" t="s">
        <v>651</v>
      </c>
      <c r="W42" s="744"/>
    </row>
    <row r="43" spans="2:23" ht="14.85" customHeight="1" outlineLevel="1">
      <c r="B43" s="328" t="str">
        <f>'Cap Table'!$J$7</f>
        <v>Series G</v>
      </c>
      <c r="D43" s="345"/>
      <c r="E43" s="345"/>
      <c r="F43" s="345"/>
      <c r="G43" s="345"/>
      <c r="H43" s="345"/>
      <c r="I43" s="345"/>
      <c r="J43" s="345"/>
      <c r="K43" s="345"/>
      <c r="L43" s="345"/>
      <c r="M43" s="345"/>
      <c r="N43" s="345"/>
      <c r="O43" s="345"/>
      <c r="P43" s="345"/>
      <c r="Q43" s="345"/>
      <c r="R43" s="345"/>
      <c r="S43" s="345"/>
      <c r="U43" s="742" t="s">
        <v>651</v>
      </c>
      <c r="W43" s="744"/>
    </row>
    <row r="44" spans="2:23" ht="14.85" customHeight="1" outlineLevel="1">
      <c r="B44" s="413" t="str">
        <f t="shared" ref="B44:B50" si="4">+$B37&amp;" Warrants"</f>
        <v>Series A Warrants</v>
      </c>
      <c r="D44" s="345"/>
      <c r="E44" s="345"/>
      <c r="F44" s="345"/>
      <c r="G44" s="345"/>
      <c r="H44" s="345"/>
      <c r="I44" s="345"/>
      <c r="J44" s="345"/>
      <c r="K44" s="345"/>
      <c r="L44" s="345"/>
      <c r="M44" s="345"/>
      <c r="N44" s="345"/>
      <c r="O44" s="345"/>
      <c r="P44" s="345"/>
      <c r="Q44" s="345"/>
      <c r="R44" s="345"/>
      <c r="S44" s="345"/>
      <c r="U44" s="742" t="s">
        <v>651</v>
      </c>
      <c r="W44" s="744"/>
    </row>
    <row r="45" spans="2:23" ht="14.85" customHeight="1" outlineLevel="1">
      <c r="B45" s="413" t="str">
        <f t="shared" si="4"/>
        <v>Series B Warrants</v>
      </c>
      <c r="D45" s="345"/>
      <c r="E45" s="345"/>
      <c r="F45" s="345"/>
      <c r="G45" s="345"/>
      <c r="H45" s="345"/>
      <c r="I45" s="345"/>
      <c r="J45" s="345"/>
      <c r="K45" s="345"/>
      <c r="L45" s="345"/>
      <c r="M45" s="345"/>
      <c r="N45" s="345"/>
      <c r="O45" s="345"/>
      <c r="P45" s="345"/>
      <c r="Q45" s="345"/>
      <c r="R45" s="345"/>
      <c r="S45" s="345"/>
      <c r="U45" s="742" t="s">
        <v>651</v>
      </c>
      <c r="W45" s="744"/>
    </row>
    <row r="46" spans="2:23" ht="14.85" customHeight="1" outlineLevel="1">
      <c r="B46" s="413" t="str">
        <f t="shared" si="4"/>
        <v>Series C Warrants</v>
      </c>
      <c r="D46" s="345"/>
      <c r="E46" s="345"/>
      <c r="F46" s="345"/>
      <c r="G46" s="345"/>
      <c r="H46" s="345"/>
      <c r="I46" s="345"/>
      <c r="J46" s="345"/>
      <c r="K46" s="345"/>
      <c r="L46" s="345"/>
      <c r="M46" s="345"/>
      <c r="N46" s="345"/>
      <c r="O46" s="345"/>
      <c r="P46" s="345"/>
      <c r="Q46" s="345"/>
      <c r="R46" s="345"/>
      <c r="S46" s="345"/>
      <c r="U46" s="742" t="s">
        <v>651</v>
      </c>
      <c r="W46" s="744"/>
    </row>
    <row r="47" spans="2:23" ht="14.85" customHeight="1" outlineLevel="1">
      <c r="B47" s="413" t="str">
        <f t="shared" si="4"/>
        <v>Series D Warrants</v>
      </c>
      <c r="D47" s="345"/>
      <c r="E47" s="345"/>
      <c r="F47" s="345"/>
      <c r="G47" s="345"/>
      <c r="H47" s="345"/>
      <c r="I47" s="345"/>
      <c r="J47" s="345"/>
      <c r="K47" s="345"/>
      <c r="L47" s="345"/>
      <c r="M47" s="345"/>
      <c r="N47" s="345"/>
      <c r="O47" s="345"/>
      <c r="P47" s="345"/>
      <c r="Q47" s="345"/>
      <c r="R47" s="345"/>
      <c r="S47" s="345"/>
      <c r="U47" s="742" t="s">
        <v>651</v>
      </c>
      <c r="W47" s="744"/>
    </row>
    <row r="48" spans="2:23" ht="14.85" customHeight="1" outlineLevel="1">
      <c r="B48" s="413" t="str">
        <f t="shared" si="4"/>
        <v>Series E Warrants</v>
      </c>
      <c r="D48" s="345"/>
      <c r="E48" s="345"/>
      <c r="F48" s="345"/>
      <c r="G48" s="345"/>
      <c r="H48" s="345"/>
      <c r="I48" s="345"/>
      <c r="J48" s="345"/>
      <c r="K48" s="345"/>
      <c r="L48" s="345"/>
      <c r="M48" s="345"/>
      <c r="N48" s="345"/>
      <c r="O48" s="345"/>
      <c r="P48" s="345"/>
      <c r="Q48" s="345"/>
      <c r="R48" s="345"/>
      <c r="S48" s="345"/>
      <c r="U48" s="742" t="s">
        <v>651</v>
      </c>
      <c r="W48" s="744"/>
    </row>
    <row r="49" spans="2:25" ht="14.85" customHeight="1" outlineLevel="1">
      <c r="B49" s="413" t="str">
        <f t="shared" si="4"/>
        <v>Series F Warrants</v>
      </c>
      <c r="D49" s="345"/>
      <c r="E49" s="345"/>
      <c r="F49" s="345"/>
      <c r="G49" s="345"/>
      <c r="H49" s="345"/>
      <c r="I49" s="345"/>
      <c r="J49" s="345"/>
      <c r="K49" s="345"/>
      <c r="L49" s="345"/>
      <c r="M49" s="345"/>
      <c r="N49" s="345"/>
      <c r="O49" s="345"/>
      <c r="P49" s="345"/>
      <c r="Q49" s="345"/>
      <c r="R49" s="345"/>
      <c r="S49" s="345"/>
      <c r="U49" s="742" t="s">
        <v>651</v>
      </c>
      <c r="W49" s="744"/>
    </row>
    <row r="50" spans="2:25" ht="14.85" customHeight="1" outlineLevel="1">
      <c r="B50" s="413" t="str">
        <f t="shared" si="4"/>
        <v>Series G Warrants</v>
      </c>
      <c r="D50" s="345"/>
      <c r="E50" s="345"/>
      <c r="F50" s="345"/>
      <c r="G50" s="345"/>
      <c r="H50" s="345"/>
      <c r="I50" s="345"/>
      <c r="J50" s="345"/>
      <c r="K50" s="345"/>
      <c r="L50" s="345"/>
      <c r="M50" s="345"/>
      <c r="N50" s="345"/>
      <c r="O50" s="345"/>
      <c r="P50" s="345"/>
      <c r="Q50" s="345"/>
      <c r="R50" s="345"/>
      <c r="S50" s="345"/>
      <c r="U50" s="742" t="s">
        <v>651</v>
      </c>
      <c r="W50" s="745"/>
    </row>
    <row r="51" spans="2:25" ht="14.85" customHeight="1" outlineLevel="1">
      <c r="B51" s="346"/>
      <c r="C51" s="346"/>
      <c r="D51" s="346"/>
      <c r="E51" s="346"/>
      <c r="F51" s="346"/>
      <c r="G51" s="346"/>
      <c r="H51" s="346"/>
      <c r="I51" s="346"/>
      <c r="J51" s="346"/>
      <c r="K51" s="346"/>
      <c r="L51" s="346"/>
      <c r="M51" s="346"/>
      <c r="N51" s="346"/>
      <c r="O51" s="346"/>
      <c r="P51" s="346"/>
      <c r="Q51" s="346"/>
      <c r="R51" s="346"/>
      <c r="S51" s="346"/>
      <c r="W51" s="746"/>
    </row>
    <row r="52" spans="2:25" ht="14.85" customHeight="1" outlineLevel="1">
      <c r="B52" s="382" t="s">
        <v>169</v>
      </c>
      <c r="D52" s="412">
        <f t="shared" ref="D52:S52" si="5">SUM(D37:D43)</f>
        <v>0</v>
      </c>
      <c r="E52" s="412">
        <f t="shared" si="5"/>
        <v>0</v>
      </c>
      <c r="F52" s="412">
        <f t="shared" si="5"/>
        <v>0</v>
      </c>
      <c r="G52" s="412">
        <f t="shared" si="5"/>
        <v>0</v>
      </c>
      <c r="H52" s="412">
        <f t="shared" si="5"/>
        <v>0</v>
      </c>
      <c r="I52" s="412">
        <f t="shared" si="5"/>
        <v>0</v>
      </c>
      <c r="J52" s="412">
        <f t="shared" si="5"/>
        <v>0</v>
      </c>
      <c r="K52" s="412">
        <f t="shared" si="5"/>
        <v>0</v>
      </c>
      <c r="L52" s="412">
        <f t="shared" si="5"/>
        <v>0</v>
      </c>
      <c r="M52" s="412">
        <f t="shared" si="5"/>
        <v>0</v>
      </c>
      <c r="N52" s="412">
        <f t="shared" si="5"/>
        <v>0</v>
      </c>
      <c r="O52" s="412">
        <f t="shared" si="5"/>
        <v>0</v>
      </c>
      <c r="P52" s="412">
        <f t="shared" si="5"/>
        <v>0</v>
      </c>
      <c r="Q52" s="412">
        <f t="shared" si="5"/>
        <v>0</v>
      </c>
      <c r="R52" s="412">
        <f t="shared" si="5"/>
        <v>0</v>
      </c>
      <c r="S52" s="412">
        <f t="shared" si="5"/>
        <v>0</v>
      </c>
    </row>
    <row r="53" spans="2:25" ht="14.85" customHeight="1"/>
    <row r="54" spans="2:25" ht="14.85" customHeight="1">
      <c r="B54" s="434" t="s">
        <v>577</v>
      </c>
      <c r="W54" s="382" t="str">
        <f>+B54</f>
        <v>Shares Outstanding / Converted to Common Stock</v>
      </c>
    </row>
    <row r="55" spans="2:25" ht="14.85" customHeight="1">
      <c r="B55" s="413" t="str">
        <f t="shared" ref="B55:B61" si="6">+$B19</f>
        <v>Series A</v>
      </c>
      <c r="D55" s="381"/>
      <c r="E55" s="381"/>
      <c r="F55" s="381"/>
      <c r="G55" s="381"/>
      <c r="H55" s="381"/>
      <c r="I55" s="381"/>
      <c r="J55" s="381"/>
      <c r="K55" s="381"/>
      <c r="L55" s="381"/>
      <c r="M55" s="381"/>
      <c r="N55" s="381"/>
      <c r="O55" s="381"/>
      <c r="P55" s="381"/>
      <c r="Q55" s="381"/>
      <c r="R55" s="381"/>
      <c r="S55" s="381"/>
      <c r="W55" s="741">
        <f>+'Cap Table'!$D$13*'Cap Table'!$D$21</f>
        <v>10</v>
      </c>
    </row>
    <row r="56" spans="2:25" ht="14.85" customHeight="1">
      <c r="B56" s="413" t="str">
        <f t="shared" si="6"/>
        <v>Series B</v>
      </c>
      <c r="D56" s="381"/>
      <c r="E56" s="381"/>
      <c r="F56" s="381"/>
      <c r="G56" s="381"/>
      <c r="H56" s="381"/>
      <c r="I56" s="381"/>
      <c r="J56" s="381"/>
      <c r="K56" s="381"/>
      <c r="L56" s="381"/>
      <c r="M56" s="381"/>
      <c r="N56" s="381"/>
      <c r="O56" s="381"/>
      <c r="P56" s="381"/>
      <c r="Q56" s="381"/>
      <c r="R56" s="381"/>
      <c r="S56" s="381"/>
      <c r="W56" s="741">
        <f ca="1">+'Cap Table'!$E$13*'Cap Table'!$E$21</f>
        <v>99</v>
      </c>
    </row>
    <row r="57" spans="2:25" ht="14.85" customHeight="1">
      <c r="B57" s="413" t="str">
        <f t="shared" si="6"/>
        <v>Series C</v>
      </c>
      <c r="D57" s="381"/>
      <c r="E57" s="381"/>
      <c r="F57" s="381"/>
      <c r="G57" s="381"/>
      <c r="H57" s="381"/>
      <c r="I57" s="381"/>
      <c r="J57" s="381"/>
      <c r="K57" s="381"/>
      <c r="L57" s="381"/>
      <c r="M57" s="381"/>
      <c r="N57" s="381"/>
      <c r="O57" s="381"/>
      <c r="P57" s="381"/>
      <c r="Q57" s="381"/>
      <c r="R57" s="381"/>
      <c r="S57" s="381"/>
      <c r="W57" s="741">
        <f ca="1">+'Cap Table'!$F$13*'Cap Table'!$F$21</f>
        <v>88</v>
      </c>
    </row>
    <row r="58" spans="2:25" ht="14.85" customHeight="1">
      <c r="B58" s="413" t="str">
        <f t="shared" si="6"/>
        <v>Series D</v>
      </c>
      <c r="D58" s="381"/>
      <c r="E58" s="381"/>
      <c r="F58" s="381"/>
      <c r="G58" s="381"/>
      <c r="H58" s="381"/>
      <c r="I58" s="381"/>
      <c r="J58" s="381"/>
      <c r="K58" s="381"/>
      <c r="L58" s="381"/>
      <c r="M58" s="381"/>
      <c r="N58" s="381"/>
      <c r="O58" s="381"/>
      <c r="P58" s="381"/>
      <c r="Q58" s="381"/>
      <c r="R58" s="381"/>
      <c r="S58" s="381"/>
      <c r="W58" s="741">
        <f ca="1">+'Cap Table'!$G$13*'Cap Table'!$G$21</f>
        <v>54</v>
      </c>
    </row>
    <row r="59" spans="2:25" ht="14.85" customHeight="1">
      <c r="B59" s="413" t="str">
        <f t="shared" si="6"/>
        <v>Series E</v>
      </c>
      <c r="D59" s="381"/>
      <c r="E59" s="381"/>
      <c r="F59" s="381"/>
      <c r="G59" s="381"/>
      <c r="H59" s="381"/>
      <c r="I59" s="381"/>
      <c r="J59" s="381"/>
      <c r="K59" s="381"/>
      <c r="L59" s="381"/>
      <c r="M59" s="381"/>
      <c r="N59" s="381"/>
      <c r="O59" s="381"/>
      <c r="P59" s="381"/>
      <c r="Q59" s="381"/>
      <c r="R59" s="381"/>
      <c r="S59" s="381"/>
      <c r="W59" s="741">
        <f ca="1">+'Cap Table'!$H$13*'Cap Table'!$H$21</f>
        <v>100</v>
      </c>
    </row>
    <row r="60" spans="2:25" ht="14.85" customHeight="1">
      <c r="B60" s="413" t="str">
        <f t="shared" si="6"/>
        <v>Series F</v>
      </c>
      <c r="D60" s="381"/>
      <c r="E60" s="381"/>
      <c r="F60" s="381"/>
      <c r="G60" s="381"/>
      <c r="H60" s="381"/>
      <c r="I60" s="381"/>
      <c r="J60" s="381"/>
      <c r="K60" s="381"/>
      <c r="L60" s="381"/>
      <c r="M60" s="381"/>
      <c r="N60" s="381"/>
      <c r="O60" s="381"/>
      <c r="P60" s="381"/>
      <c r="Q60" s="381"/>
      <c r="R60" s="381"/>
      <c r="S60" s="381"/>
      <c r="W60" s="741">
        <f ca="1">+'Cap Table'!$I$13*'Cap Table'!$I$21</f>
        <v>66</v>
      </c>
    </row>
    <row r="61" spans="2:25" ht="14.85" customHeight="1">
      <c r="B61" s="413" t="str">
        <f t="shared" si="6"/>
        <v>Series G</v>
      </c>
      <c r="D61" s="381"/>
      <c r="E61" s="381"/>
      <c r="F61" s="381"/>
      <c r="G61" s="381"/>
      <c r="H61" s="381"/>
      <c r="I61" s="381"/>
      <c r="J61" s="381"/>
      <c r="K61" s="381"/>
      <c r="L61" s="381"/>
      <c r="M61" s="381"/>
      <c r="N61" s="381"/>
      <c r="O61" s="381"/>
      <c r="P61" s="381"/>
      <c r="Q61" s="381"/>
      <c r="R61" s="381"/>
      <c r="S61" s="381"/>
      <c r="W61" s="741">
        <f ca="1">+'Cap Table'!$J$13*'Cap Table'!$J$21</f>
        <v>98</v>
      </c>
      <c r="Y61" s="253" t="s">
        <v>770</v>
      </c>
    </row>
    <row r="62" spans="2:25" ht="14.85" customHeight="1">
      <c r="B62" s="413" t="str">
        <f t="shared" ref="B62:B68" si="7">+$B55&amp;" Warrants"</f>
        <v>Series A Warrants</v>
      </c>
      <c r="D62" s="381"/>
      <c r="E62" s="381"/>
      <c r="F62" s="381"/>
      <c r="G62" s="381"/>
      <c r="H62" s="381"/>
      <c r="I62" s="381"/>
      <c r="J62" s="381"/>
      <c r="K62" s="381"/>
      <c r="L62" s="381"/>
      <c r="M62" s="381"/>
      <c r="N62" s="381"/>
      <c r="O62" s="381"/>
      <c r="P62" s="381"/>
      <c r="Q62" s="381"/>
      <c r="R62" s="381"/>
      <c r="S62" s="381"/>
      <c r="W62" s="741">
        <f ca="1">+'Cap Table'!$D$15*'Cap Table'!$D$21</f>
        <v>12</v>
      </c>
      <c r="Y62" s="747">
        <f>'Cap Table'!E42</f>
        <v>0</v>
      </c>
    </row>
    <row r="63" spans="2:25" ht="14.85" customHeight="1">
      <c r="B63" s="413" t="str">
        <f t="shared" si="7"/>
        <v>Series B Warrants</v>
      </c>
      <c r="D63" s="381"/>
      <c r="E63" s="381"/>
      <c r="F63" s="381"/>
      <c r="G63" s="381"/>
      <c r="H63" s="381"/>
      <c r="I63" s="381"/>
      <c r="J63" s="381"/>
      <c r="K63" s="381"/>
      <c r="L63" s="381"/>
      <c r="M63" s="381"/>
      <c r="N63" s="381"/>
      <c r="O63" s="381"/>
      <c r="P63" s="381"/>
      <c r="Q63" s="381"/>
      <c r="R63" s="381"/>
      <c r="S63" s="381"/>
      <c r="W63" s="741">
        <f ca="1">+'Cap Table'!$E$15*'Cap Table'!$E$21</f>
        <v>10</v>
      </c>
      <c r="Y63" s="748">
        <f>'Cap Table'!E43</f>
        <v>0</v>
      </c>
    </row>
    <row r="64" spans="2:25" ht="14.85" customHeight="1">
      <c r="B64" s="413" t="str">
        <f t="shared" si="7"/>
        <v>Series C Warrants</v>
      </c>
      <c r="D64" s="381"/>
      <c r="E64" s="381"/>
      <c r="F64" s="381"/>
      <c r="G64" s="381"/>
      <c r="H64" s="381"/>
      <c r="I64" s="381"/>
      <c r="J64" s="381"/>
      <c r="K64" s="381"/>
      <c r="L64" s="381"/>
      <c r="M64" s="381"/>
      <c r="N64" s="381"/>
      <c r="O64" s="381"/>
      <c r="P64" s="381"/>
      <c r="Q64" s="381"/>
      <c r="R64" s="381"/>
      <c r="S64" s="381"/>
      <c r="W64" s="741">
        <f ca="1">+'Cap Table'!$F$15*'Cap Table'!$F$21</f>
        <v>17</v>
      </c>
      <c r="Y64" s="748">
        <f>'Cap Table'!E44</f>
        <v>0</v>
      </c>
    </row>
    <row r="65" spans="2:25" ht="14.85" customHeight="1">
      <c r="B65" s="413" t="str">
        <f t="shared" si="7"/>
        <v>Series D Warrants</v>
      </c>
      <c r="D65" s="381"/>
      <c r="E65" s="381"/>
      <c r="F65" s="381"/>
      <c r="G65" s="381"/>
      <c r="H65" s="381"/>
      <c r="I65" s="381"/>
      <c r="J65" s="381"/>
      <c r="K65" s="381"/>
      <c r="L65" s="381"/>
      <c r="M65" s="381"/>
      <c r="N65" s="381"/>
      <c r="O65" s="381"/>
      <c r="P65" s="381"/>
      <c r="Q65" s="381"/>
      <c r="R65" s="381"/>
      <c r="S65" s="381"/>
      <c r="W65" s="741">
        <f ca="1">+'Cap Table'!$G$15*'Cap Table'!$G$21</f>
        <v>14</v>
      </c>
      <c r="Y65" s="748">
        <f>'Cap Table'!E45</f>
        <v>0</v>
      </c>
    </row>
    <row r="66" spans="2:25" ht="14.85" customHeight="1">
      <c r="B66" s="413" t="str">
        <f t="shared" si="7"/>
        <v>Series E Warrants</v>
      </c>
      <c r="D66" s="381"/>
      <c r="E66" s="381"/>
      <c r="F66" s="381"/>
      <c r="G66" s="381"/>
      <c r="H66" s="381"/>
      <c r="I66" s="381"/>
      <c r="J66" s="381"/>
      <c r="K66" s="381"/>
      <c r="L66" s="381"/>
      <c r="M66" s="381"/>
      <c r="N66" s="381"/>
      <c r="O66" s="381"/>
      <c r="P66" s="381"/>
      <c r="Q66" s="381"/>
      <c r="R66" s="381"/>
      <c r="S66" s="381"/>
      <c r="W66" s="741">
        <f ca="1">+'Cap Table'!$H$15*'Cap Table'!$H$21</f>
        <v>19</v>
      </c>
      <c r="Y66" s="748">
        <f>'Cap Table'!E46</f>
        <v>0</v>
      </c>
    </row>
    <row r="67" spans="2:25" ht="14.85" customHeight="1">
      <c r="B67" s="413" t="str">
        <f t="shared" si="7"/>
        <v>Series F Warrants</v>
      </c>
      <c r="D67" s="381"/>
      <c r="E67" s="381"/>
      <c r="F67" s="381"/>
      <c r="G67" s="381"/>
      <c r="H67" s="381"/>
      <c r="I67" s="381"/>
      <c r="J67" s="381"/>
      <c r="K67" s="381"/>
      <c r="L67" s="381"/>
      <c r="M67" s="381"/>
      <c r="N67" s="381"/>
      <c r="O67" s="381"/>
      <c r="P67" s="381"/>
      <c r="Q67" s="381"/>
      <c r="R67" s="381"/>
      <c r="S67" s="381"/>
      <c r="W67" s="741">
        <f ca="1">+'Cap Table'!$I$15*'Cap Table'!$I$21</f>
        <v>15</v>
      </c>
      <c r="Y67" s="748">
        <f>'Cap Table'!E47</f>
        <v>0</v>
      </c>
    </row>
    <row r="68" spans="2:25" ht="14.85" customHeight="1">
      <c r="B68" s="413" t="str">
        <f t="shared" si="7"/>
        <v>Series G Warrants</v>
      </c>
      <c r="D68" s="381"/>
      <c r="E68" s="381"/>
      <c r="F68" s="381"/>
      <c r="G68" s="381"/>
      <c r="H68" s="381"/>
      <c r="I68" s="381"/>
      <c r="J68" s="381"/>
      <c r="K68" s="381"/>
      <c r="L68" s="381"/>
      <c r="M68" s="381"/>
      <c r="N68" s="381"/>
      <c r="O68" s="381"/>
      <c r="P68" s="381"/>
      <c r="Q68" s="381"/>
      <c r="R68" s="381"/>
      <c r="S68" s="381"/>
      <c r="W68" s="741">
        <f ca="1">+'Cap Table'!$J$15*'Cap Table'!$J$21</f>
        <v>11</v>
      </c>
      <c r="Y68" s="748">
        <f>'Cap Table'!E48</f>
        <v>0</v>
      </c>
    </row>
    <row r="69" spans="2:25" ht="14.85" customHeight="1">
      <c r="B69" s="419" t="str">
        <f>'Cap Table'!$B27</f>
        <v>Options/Warrants at $2.00 Strike Price</v>
      </c>
      <c r="D69" s="381"/>
      <c r="E69" s="381"/>
      <c r="F69" s="381"/>
      <c r="G69" s="381"/>
      <c r="H69" s="381"/>
      <c r="I69" s="381"/>
      <c r="J69" s="381"/>
      <c r="K69" s="381"/>
      <c r="L69" s="381"/>
      <c r="M69" s="381"/>
      <c r="N69" s="381"/>
      <c r="O69" s="381"/>
      <c r="P69" s="381"/>
      <c r="Q69" s="381"/>
      <c r="R69" s="381"/>
      <c r="S69" s="381"/>
      <c r="W69" s="741">
        <f>+'Cap Table'!$D27</f>
        <v>79</v>
      </c>
      <c r="Y69" s="748">
        <f>'Cap Table'!E27</f>
        <v>2</v>
      </c>
    </row>
    <row r="70" spans="2:25" ht="14.85" customHeight="1">
      <c r="B70" s="419" t="str">
        <f>'Cap Table'!$B28</f>
        <v>Options/Warrants at $0.00 Strike Price</v>
      </c>
      <c r="D70" s="381"/>
      <c r="E70" s="381"/>
      <c r="F70" s="381"/>
      <c r="G70" s="381"/>
      <c r="H70" s="381"/>
      <c r="I70" s="381"/>
      <c r="J70" s="381"/>
      <c r="K70" s="381"/>
      <c r="L70" s="381"/>
      <c r="M70" s="381"/>
      <c r="N70" s="381"/>
      <c r="O70" s="381"/>
      <c r="P70" s="381"/>
      <c r="Q70" s="381"/>
      <c r="R70" s="381"/>
      <c r="S70" s="381"/>
      <c r="W70" s="741">
        <f>+'Cap Table'!$D28</f>
        <v>0</v>
      </c>
      <c r="Y70" s="748">
        <f>'Cap Table'!E28</f>
        <v>0</v>
      </c>
    </row>
    <row r="71" spans="2:25" ht="14.85" customHeight="1">
      <c r="B71" s="419" t="str">
        <f>'Cap Table'!$B29</f>
        <v>Options/Warrants at $0.00 Strike Price</v>
      </c>
      <c r="D71" s="381"/>
      <c r="E71" s="381"/>
      <c r="F71" s="381"/>
      <c r="G71" s="381"/>
      <c r="H71" s="381"/>
      <c r="I71" s="381"/>
      <c r="J71" s="381"/>
      <c r="K71" s="381"/>
      <c r="L71" s="381"/>
      <c r="M71" s="381"/>
      <c r="N71" s="381"/>
      <c r="O71" s="381"/>
      <c r="P71" s="381"/>
      <c r="Q71" s="381"/>
      <c r="R71" s="381"/>
      <c r="S71" s="381"/>
      <c r="W71" s="741">
        <f>+'Cap Table'!$D29</f>
        <v>0</v>
      </c>
      <c r="Y71" s="748">
        <f>'Cap Table'!E29</f>
        <v>0</v>
      </c>
    </row>
    <row r="72" spans="2:25" ht="14.85" customHeight="1">
      <c r="B72" s="419" t="str">
        <f>'Cap Table'!$B30</f>
        <v>Options/Warrants at $0.00 Strike Price</v>
      </c>
      <c r="D72" s="381"/>
      <c r="E72" s="381"/>
      <c r="F72" s="381"/>
      <c r="G72" s="381"/>
      <c r="H72" s="381"/>
      <c r="I72" s="381"/>
      <c r="J72" s="381"/>
      <c r="K72" s="381"/>
      <c r="L72" s="381"/>
      <c r="M72" s="381"/>
      <c r="N72" s="381"/>
      <c r="O72" s="381"/>
      <c r="P72" s="381"/>
      <c r="Q72" s="381"/>
      <c r="R72" s="381"/>
      <c r="S72" s="381"/>
      <c r="W72" s="741">
        <f>+'Cap Table'!$D30</f>
        <v>0</v>
      </c>
      <c r="Y72" s="748">
        <f>'Cap Table'!E30</f>
        <v>0</v>
      </c>
    </row>
    <row r="73" spans="2:25" ht="14.85" customHeight="1">
      <c r="B73" s="419" t="str">
        <f>'Cap Table'!$B31</f>
        <v>Options/Warrants at $0.00 Strike Price</v>
      </c>
      <c r="D73" s="381"/>
      <c r="E73" s="381"/>
      <c r="F73" s="381"/>
      <c r="G73" s="381"/>
      <c r="H73" s="381"/>
      <c r="I73" s="381"/>
      <c r="J73" s="381"/>
      <c r="K73" s="381"/>
      <c r="L73" s="381"/>
      <c r="M73" s="381"/>
      <c r="N73" s="381"/>
      <c r="O73" s="381"/>
      <c r="P73" s="381"/>
      <c r="Q73" s="381"/>
      <c r="R73" s="381"/>
      <c r="S73" s="381"/>
      <c r="W73" s="741">
        <f>+'Cap Table'!$D31</f>
        <v>0</v>
      </c>
      <c r="Y73" s="748">
        <f>'Cap Table'!E31</f>
        <v>0</v>
      </c>
    </row>
    <row r="74" spans="2:25" ht="14.85" customHeight="1">
      <c r="B74" s="419" t="str">
        <f>'Cap Table'!$B32</f>
        <v>Options/Warrants at $0.00 Strike Price</v>
      </c>
      <c r="D74" s="381"/>
      <c r="E74" s="381"/>
      <c r="F74" s="381"/>
      <c r="G74" s="381"/>
      <c r="H74" s="381"/>
      <c r="I74" s="381"/>
      <c r="J74" s="381"/>
      <c r="K74" s="381"/>
      <c r="L74" s="381"/>
      <c r="M74" s="381"/>
      <c r="N74" s="381"/>
      <c r="O74" s="381"/>
      <c r="P74" s="381"/>
      <c r="Q74" s="381"/>
      <c r="R74" s="381"/>
      <c r="S74" s="381"/>
      <c r="W74" s="741">
        <f>+'Cap Table'!$D32</f>
        <v>0</v>
      </c>
      <c r="Y74" s="748">
        <f>'Cap Table'!E32</f>
        <v>0</v>
      </c>
    </row>
    <row r="75" spans="2:25" ht="14.85" customHeight="1">
      <c r="B75" s="419" t="str">
        <f>'Cap Table'!$B33</f>
        <v>Options/Warrants at $0.00 Strike Price</v>
      </c>
      <c r="D75" s="381"/>
      <c r="E75" s="381"/>
      <c r="F75" s="381"/>
      <c r="G75" s="381"/>
      <c r="H75" s="381"/>
      <c r="I75" s="381"/>
      <c r="J75" s="381"/>
      <c r="K75" s="381"/>
      <c r="L75" s="381"/>
      <c r="M75" s="381"/>
      <c r="N75" s="381"/>
      <c r="O75" s="381"/>
      <c r="P75" s="381"/>
      <c r="Q75" s="381"/>
      <c r="R75" s="381"/>
      <c r="S75" s="381"/>
      <c r="W75" s="741">
        <f>+'Cap Table'!$D33</f>
        <v>0</v>
      </c>
      <c r="Y75" s="748">
        <f>'Cap Table'!E33</f>
        <v>0</v>
      </c>
    </row>
    <row r="76" spans="2:25" ht="14.85" customHeight="1">
      <c r="B76" s="419" t="str">
        <f>'Cap Table'!$B34</f>
        <v>Options/Warrants at $0.00 Strike Price</v>
      </c>
      <c r="D76" s="381"/>
      <c r="E76" s="381"/>
      <c r="F76" s="381"/>
      <c r="G76" s="381"/>
      <c r="H76" s="381"/>
      <c r="I76" s="381"/>
      <c r="J76" s="381"/>
      <c r="K76" s="381"/>
      <c r="L76" s="381"/>
      <c r="M76" s="381"/>
      <c r="N76" s="381"/>
      <c r="O76" s="381"/>
      <c r="P76" s="381"/>
      <c r="Q76" s="381"/>
      <c r="R76" s="381"/>
      <c r="S76" s="381"/>
      <c r="W76" s="741">
        <f>+'Cap Table'!$D34</f>
        <v>0</v>
      </c>
      <c r="Y76" s="748">
        <f>'Cap Table'!E34</f>
        <v>0</v>
      </c>
    </row>
    <row r="77" spans="2:25" ht="14.85" customHeight="1">
      <c r="B77" s="419" t="str">
        <f>'Cap Table'!$B35</f>
        <v>Options/Warrants at $0.00 Strike Price</v>
      </c>
      <c r="D77" s="381"/>
      <c r="E77" s="381"/>
      <c r="F77" s="381"/>
      <c r="G77" s="381"/>
      <c r="H77" s="381"/>
      <c r="I77" s="381"/>
      <c r="J77" s="381"/>
      <c r="K77" s="381"/>
      <c r="L77" s="381"/>
      <c r="M77" s="381"/>
      <c r="N77" s="381"/>
      <c r="O77" s="381"/>
      <c r="P77" s="381"/>
      <c r="Q77" s="381"/>
      <c r="R77" s="381"/>
      <c r="S77" s="381"/>
      <c r="W77" s="741">
        <f>+'Cap Table'!$D35</f>
        <v>0</v>
      </c>
      <c r="Y77" s="748">
        <f>'Cap Table'!E35</f>
        <v>0</v>
      </c>
    </row>
    <row r="78" spans="2:25" ht="14.85" customHeight="1">
      <c r="B78" s="419" t="str">
        <f>'Cap Table'!$B36</f>
        <v>Expected Options Grant</v>
      </c>
      <c r="D78" s="381"/>
      <c r="E78" s="381"/>
      <c r="F78" s="381"/>
      <c r="G78" s="381"/>
      <c r="H78" s="381"/>
      <c r="I78" s="381"/>
      <c r="J78" s="381"/>
      <c r="K78" s="381"/>
      <c r="L78" s="381"/>
      <c r="M78" s="381"/>
      <c r="N78" s="381"/>
      <c r="O78" s="381"/>
      <c r="P78" s="381"/>
      <c r="Q78" s="381"/>
      <c r="R78" s="381"/>
      <c r="S78" s="381"/>
      <c r="W78" s="741">
        <f>+'Cap Table'!$D36</f>
        <v>14</v>
      </c>
      <c r="Y78" s="748">
        <f>'Cap Table'!E36</f>
        <v>0</v>
      </c>
    </row>
    <row r="79" spans="2:25" ht="14.85" customHeight="1">
      <c r="B79" s="420" t="str">
        <f>'Cap Table'!$K7 &amp;" Stock"</f>
        <v>Common Stock</v>
      </c>
      <c r="D79" s="381"/>
      <c r="E79" s="381"/>
      <c r="F79" s="381"/>
      <c r="G79" s="381"/>
      <c r="H79" s="381"/>
      <c r="I79" s="381"/>
      <c r="J79" s="381"/>
      <c r="K79" s="381"/>
      <c r="L79" s="381"/>
      <c r="M79" s="381"/>
      <c r="N79" s="381"/>
      <c r="O79" s="381"/>
      <c r="P79" s="381"/>
      <c r="Q79" s="381"/>
      <c r="R79" s="381"/>
      <c r="S79" s="381"/>
      <c r="W79" s="741">
        <f ca="1">+'Cap Table'!K13</f>
        <v>64</v>
      </c>
      <c r="Y79" s="478"/>
    </row>
    <row r="80" spans="2:25" ht="14.85" customHeight="1" thickBot="1">
      <c r="B80" s="346"/>
      <c r="C80" s="346"/>
      <c r="D80" s="346"/>
      <c r="E80" s="346"/>
      <c r="F80" s="346"/>
      <c r="G80" s="346"/>
      <c r="H80" s="346"/>
      <c r="I80" s="346"/>
      <c r="J80" s="346"/>
      <c r="K80" s="346"/>
      <c r="L80" s="346"/>
      <c r="M80" s="346"/>
      <c r="N80" s="346"/>
      <c r="O80" s="346"/>
      <c r="P80" s="346"/>
      <c r="Q80" s="346"/>
      <c r="R80" s="346"/>
      <c r="S80" s="346"/>
      <c r="W80" s="749"/>
    </row>
    <row r="81" spans="1:23" ht="14.85" customHeight="1" thickBot="1">
      <c r="B81" s="382" t="s">
        <v>2544</v>
      </c>
      <c r="D81" s="412">
        <f t="shared" ref="D81:S81" si="8">SUM(D55:D79)</f>
        <v>0</v>
      </c>
      <c r="E81" s="412">
        <f t="shared" si="8"/>
        <v>0</v>
      </c>
      <c r="F81" s="412">
        <f t="shared" si="8"/>
        <v>0</v>
      </c>
      <c r="G81" s="412">
        <f t="shared" si="8"/>
        <v>0</v>
      </c>
      <c r="H81" s="412">
        <f t="shared" si="8"/>
        <v>0</v>
      </c>
      <c r="I81" s="412">
        <f t="shared" si="8"/>
        <v>0</v>
      </c>
      <c r="J81" s="412">
        <f t="shared" si="8"/>
        <v>0</v>
      </c>
      <c r="K81" s="412">
        <f t="shared" si="8"/>
        <v>0</v>
      </c>
      <c r="L81" s="412">
        <f t="shared" si="8"/>
        <v>0</v>
      </c>
      <c r="M81" s="412">
        <f t="shared" si="8"/>
        <v>0</v>
      </c>
      <c r="N81" s="412">
        <f t="shared" si="8"/>
        <v>0</v>
      </c>
      <c r="O81" s="412">
        <f t="shared" si="8"/>
        <v>0</v>
      </c>
      <c r="P81" s="412">
        <f t="shared" si="8"/>
        <v>0</v>
      </c>
      <c r="Q81" s="412">
        <f t="shared" si="8"/>
        <v>0</v>
      </c>
      <c r="R81" s="412">
        <f t="shared" si="8"/>
        <v>0</v>
      </c>
      <c r="S81" s="412">
        <f t="shared" si="8"/>
        <v>0</v>
      </c>
      <c r="U81" s="750" t="str">
        <f ca="1">IF(W81&lt;&gt;('Cap Table'!M23-'Cap Table'!M17+W78),"ERROR","")</f>
        <v/>
      </c>
      <c r="W81" s="412">
        <f ca="1">SUM(W55:W79)</f>
        <v>770</v>
      </c>
    </row>
    <row r="82" spans="1:23" ht="14.85" customHeight="1"/>
    <row r="83" spans="1:23" ht="14.85" customHeight="1">
      <c r="B83" s="328" t="s">
        <v>413</v>
      </c>
      <c r="D83" s="751"/>
      <c r="E83" s="751"/>
      <c r="F83" s="751"/>
      <c r="G83" s="751"/>
      <c r="H83" s="751"/>
      <c r="I83" s="751"/>
      <c r="J83" s="751"/>
      <c r="K83" s="751"/>
      <c r="L83" s="751"/>
      <c r="M83" s="751"/>
      <c r="N83" s="751"/>
      <c r="O83" s="751"/>
      <c r="P83" s="751"/>
      <c r="Q83" s="751"/>
      <c r="R83" s="751"/>
      <c r="S83" s="751"/>
    </row>
    <row r="84" spans="1:23" ht="14.85" customHeight="1">
      <c r="B84" s="346"/>
      <c r="C84" s="346"/>
      <c r="D84" s="346"/>
      <c r="E84" s="346"/>
      <c r="F84" s="346"/>
      <c r="G84" s="346"/>
      <c r="H84" s="346"/>
      <c r="I84" s="346"/>
      <c r="J84" s="346"/>
      <c r="K84" s="346"/>
      <c r="L84" s="346"/>
      <c r="M84" s="346"/>
      <c r="N84" s="346"/>
      <c r="O84" s="346"/>
      <c r="P84" s="346"/>
      <c r="Q84" s="346"/>
      <c r="R84" s="346"/>
      <c r="S84" s="346"/>
    </row>
    <row r="85" spans="1:23" ht="14.85" customHeight="1">
      <c r="B85" s="675" t="s">
        <v>2545</v>
      </c>
      <c r="C85" s="467"/>
      <c r="D85" s="752">
        <f>D81*D83</f>
        <v>0</v>
      </c>
      <c r="E85" s="752">
        <f t="shared" ref="E85:S85" si="9">E81*E83</f>
        <v>0</v>
      </c>
      <c r="F85" s="752">
        <f t="shared" si="9"/>
        <v>0</v>
      </c>
      <c r="G85" s="752">
        <f t="shared" si="9"/>
        <v>0</v>
      </c>
      <c r="H85" s="752">
        <f t="shared" si="9"/>
        <v>0</v>
      </c>
      <c r="I85" s="752">
        <f t="shared" si="9"/>
        <v>0</v>
      </c>
      <c r="J85" s="752">
        <f t="shared" si="9"/>
        <v>0</v>
      </c>
      <c r="K85" s="752">
        <f t="shared" si="9"/>
        <v>0</v>
      </c>
      <c r="L85" s="752">
        <f t="shared" si="9"/>
        <v>0</v>
      </c>
      <c r="M85" s="752">
        <f t="shared" si="9"/>
        <v>0</v>
      </c>
      <c r="N85" s="752">
        <f t="shared" si="9"/>
        <v>0</v>
      </c>
      <c r="O85" s="752">
        <f t="shared" si="9"/>
        <v>0</v>
      </c>
      <c r="P85" s="752">
        <f t="shared" si="9"/>
        <v>0</v>
      </c>
      <c r="Q85" s="752">
        <f t="shared" si="9"/>
        <v>0</v>
      </c>
      <c r="R85" s="752">
        <f t="shared" si="9"/>
        <v>0</v>
      </c>
      <c r="S85" s="752">
        <f t="shared" si="9"/>
        <v>0</v>
      </c>
    </row>
    <row r="86" spans="1:23" ht="14.85" customHeight="1"/>
    <row r="87" spans="1:23" ht="14.85" customHeight="1">
      <c r="B87" s="328" t="s">
        <v>414</v>
      </c>
      <c r="D87" s="753">
        <f>-SUMPRODUCT(D62:D78,$Y$62:$Y$78)</f>
        <v>0</v>
      </c>
      <c r="E87" s="753">
        <f t="shared" ref="E87:S87" si="10">-SUMPRODUCT(E62:E78,$Y$62:$Y$78)</f>
        <v>0</v>
      </c>
      <c r="F87" s="753">
        <f t="shared" si="10"/>
        <v>0</v>
      </c>
      <c r="G87" s="753">
        <f t="shared" si="10"/>
        <v>0</v>
      </c>
      <c r="H87" s="753">
        <f t="shared" si="10"/>
        <v>0</v>
      </c>
      <c r="I87" s="753">
        <f t="shared" si="10"/>
        <v>0</v>
      </c>
      <c r="J87" s="753">
        <f t="shared" si="10"/>
        <v>0</v>
      </c>
      <c r="K87" s="753">
        <f t="shared" si="10"/>
        <v>0</v>
      </c>
      <c r="L87" s="753">
        <f t="shared" si="10"/>
        <v>0</v>
      </c>
      <c r="M87" s="753">
        <f t="shared" si="10"/>
        <v>0</v>
      </c>
      <c r="N87" s="753">
        <f t="shared" si="10"/>
        <v>0</v>
      </c>
      <c r="O87" s="753">
        <f t="shared" si="10"/>
        <v>0</v>
      </c>
      <c r="P87" s="753">
        <f t="shared" si="10"/>
        <v>0</v>
      </c>
      <c r="Q87" s="753">
        <f t="shared" si="10"/>
        <v>0</v>
      </c>
      <c r="R87" s="753">
        <f t="shared" si="10"/>
        <v>0</v>
      </c>
      <c r="S87" s="753">
        <f t="shared" si="10"/>
        <v>0</v>
      </c>
    </row>
    <row r="88" spans="1:23" ht="14.85" customHeight="1">
      <c r="B88" s="346"/>
      <c r="C88" s="346"/>
      <c r="D88" s="346"/>
      <c r="E88" s="346"/>
      <c r="F88" s="346"/>
      <c r="G88" s="346"/>
      <c r="H88" s="346"/>
      <c r="I88" s="346"/>
      <c r="J88" s="346"/>
      <c r="K88" s="346"/>
      <c r="L88" s="346"/>
      <c r="M88" s="346"/>
      <c r="N88" s="346"/>
      <c r="O88" s="346"/>
      <c r="P88" s="346"/>
      <c r="Q88" s="346"/>
      <c r="R88" s="346"/>
      <c r="S88" s="346"/>
    </row>
    <row r="89" spans="1:23" ht="14.85" customHeight="1">
      <c r="B89" s="382" t="s">
        <v>415</v>
      </c>
      <c r="D89" s="752">
        <f>SUM(D85:D87)+D34</f>
        <v>216</v>
      </c>
      <c r="E89" s="752">
        <f t="shared" ref="E89:S89" si="11">SUM(E85:E87)+E34</f>
        <v>480</v>
      </c>
      <c r="F89" s="752">
        <f t="shared" si="11"/>
        <v>741</v>
      </c>
      <c r="G89" s="752">
        <f t="shared" si="11"/>
        <v>984</v>
      </c>
      <c r="H89" s="752">
        <f t="shared" si="11"/>
        <v>1234</v>
      </c>
      <c r="I89" s="752">
        <f t="shared" si="11"/>
        <v>0</v>
      </c>
      <c r="J89" s="752">
        <f t="shared" si="11"/>
        <v>0</v>
      </c>
      <c r="K89" s="752">
        <f t="shared" si="11"/>
        <v>0</v>
      </c>
      <c r="L89" s="752">
        <f t="shared" si="11"/>
        <v>0</v>
      </c>
      <c r="M89" s="752">
        <f t="shared" si="11"/>
        <v>0</v>
      </c>
      <c r="N89" s="752">
        <f t="shared" si="11"/>
        <v>0</v>
      </c>
      <c r="O89" s="752">
        <f t="shared" si="11"/>
        <v>0</v>
      </c>
      <c r="P89" s="752">
        <f t="shared" si="11"/>
        <v>0</v>
      </c>
      <c r="Q89" s="752">
        <f t="shared" si="11"/>
        <v>0</v>
      </c>
      <c r="R89" s="752">
        <f t="shared" si="11"/>
        <v>0</v>
      </c>
      <c r="S89" s="752">
        <f t="shared" si="11"/>
        <v>0</v>
      </c>
    </row>
    <row r="90" spans="1:23" ht="14.85" customHeight="1">
      <c r="B90" s="382"/>
      <c r="D90" s="412"/>
      <c r="E90" s="412"/>
      <c r="F90" s="412"/>
      <c r="G90" s="412"/>
      <c r="H90" s="412"/>
      <c r="I90" s="412"/>
      <c r="J90" s="412"/>
      <c r="K90" s="412"/>
      <c r="L90" s="412"/>
      <c r="M90" s="412"/>
      <c r="N90" s="412"/>
      <c r="O90" s="412"/>
      <c r="P90" s="412"/>
      <c r="Q90" s="412"/>
      <c r="R90" s="412"/>
      <c r="S90" s="412"/>
    </row>
    <row r="91" spans="1:23" ht="14.85" customHeight="1"/>
    <row r="92" spans="1:23" s="272" customFormat="1" ht="14.85" customHeight="1">
      <c r="A92" s="754"/>
      <c r="B92" s="755" t="s">
        <v>417</v>
      </c>
      <c r="D92" s="756">
        <f>D$15</f>
        <v>1</v>
      </c>
      <c r="E92" s="757">
        <f t="shared" ref="E92:S92" si="12">E$15</f>
        <v>2</v>
      </c>
      <c r="F92" s="757">
        <f t="shared" si="12"/>
        <v>3</v>
      </c>
      <c r="G92" s="757">
        <f t="shared" si="12"/>
        <v>4</v>
      </c>
      <c r="H92" s="757">
        <f t="shared" si="12"/>
        <v>5</v>
      </c>
      <c r="I92" s="757">
        <f t="shared" si="12"/>
        <v>6</v>
      </c>
      <c r="J92" s="757">
        <f t="shared" si="12"/>
        <v>7</v>
      </c>
      <c r="K92" s="757">
        <f t="shared" si="12"/>
        <v>8</v>
      </c>
      <c r="L92" s="757">
        <f t="shared" si="12"/>
        <v>9</v>
      </c>
      <c r="M92" s="757">
        <f t="shared" si="12"/>
        <v>10</v>
      </c>
      <c r="N92" s="757">
        <f t="shared" si="12"/>
        <v>11</v>
      </c>
      <c r="O92" s="757">
        <f t="shared" si="12"/>
        <v>12</v>
      </c>
      <c r="P92" s="757">
        <f t="shared" si="12"/>
        <v>13</v>
      </c>
      <c r="Q92" s="757">
        <f t="shared" si="12"/>
        <v>14</v>
      </c>
      <c r="R92" s="757">
        <f t="shared" si="12"/>
        <v>15</v>
      </c>
      <c r="S92" s="758">
        <f t="shared" si="12"/>
        <v>16</v>
      </c>
      <c r="W92" s="347"/>
    </row>
    <row r="93" spans="1:23" ht="14.85" customHeight="1"/>
    <row r="94" spans="1:23" ht="14.85" customHeight="1">
      <c r="B94" s="250" t="s">
        <v>418</v>
      </c>
      <c r="D94" s="759">
        <v>1E-10</v>
      </c>
      <c r="E94" s="759">
        <f>D95</f>
        <v>216</v>
      </c>
      <c r="F94" s="759">
        <f t="shared" ref="F94:S94" si="13">E95</f>
        <v>480</v>
      </c>
      <c r="G94" s="759">
        <f t="shared" si="13"/>
        <v>741</v>
      </c>
      <c r="H94" s="759">
        <f t="shared" si="13"/>
        <v>984</v>
      </c>
      <c r="I94" s="759" t="str">
        <f t="shared" si="13"/>
        <v>n/a</v>
      </c>
      <c r="J94" s="759" t="str">
        <f t="shared" si="13"/>
        <v>n/a</v>
      </c>
      <c r="K94" s="759" t="str">
        <f t="shared" si="13"/>
        <v>n/a</v>
      </c>
      <c r="L94" s="759" t="str">
        <f t="shared" si="13"/>
        <v>n/a</v>
      </c>
      <c r="M94" s="759" t="str">
        <f t="shared" si="13"/>
        <v>n/a</v>
      </c>
      <c r="N94" s="759" t="str">
        <f t="shared" si="13"/>
        <v>n/a</v>
      </c>
      <c r="O94" s="759" t="str">
        <f t="shared" si="13"/>
        <v>n/a</v>
      </c>
      <c r="P94" s="759" t="str">
        <f t="shared" si="13"/>
        <v>n/a</v>
      </c>
      <c r="Q94" s="759" t="str">
        <f t="shared" si="13"/>
        <v>n/a</v>
      </c>
      <c r="R94" s="759" t="str">
        <f t="shared" si="13"/>
        <v>n/a</v>
      </c>
      <c r="S94" s="759" t="str">
        <f t="shared" si="13"/>
        <v>n/a</v>
      </c>
    </row>
    <row r="95" spans="1:23" ht="14.85" customHeight="1">
      <c r="B95" s="250" t="s">
        <v>419</v>
      </c>
      <c r="D95" s="759">
        <f>D89</f>
        <v>216</v>
      </c>
      <c r="E95" s="759">
        <f>IF(F89=0,"n/a",IF(D95=E89,F89,E89))</f>
        <v>480</v>
      </c>
      <c r="F95" s="759">
        <f t="shared" ref="F95:S95" si="14">IF(G89=0,"n/a",IF(E95=F89,G89,F89))</f>
        <v>741</v>
      </c>
      <c r="G95" s="759">
        <f t="shared" si="14"/>
        <v>984</v>
      </c>
      <c r="H95" s="759" t="str">
        <f t="shared" si="14"/>
        <v>n/a</v>
      </c>
      <c r="I95" s="759" t="str">
        <f t="shared" si="14"/>
        <v>n/a</v>
      </c>
      <c r="J95" s="759" t="str">
        <f t="shared" si="14"/>
        <v>n/a</v>
      </c>
      <c r="K95" s="759" t="str">
        <f t="shared" si="14"/>
        <v>n/a</v>
      </c>
      <c r="L95" s="759" t="str">
        <f t="shared" si="14"/>
        <v>n/a</v>
      </c>
      <c r="M95" s="759" t="str">
        <f t="shared" si="14"/>
        <v>n/a</v>
      </c>
      <c r="N95" s="759" t="str">
        <f t="shared" si="14"/>
        <v>n/a</v>
      </c>
      <c r="O95" s="759" t="str">
        <f t="shared" si="14"/>
        <v>n/a</v>
      </c>
      <c r="P95" s="759" t="str">
        <f t="shared" si="14"/>
        <v>n/a</v>
      </c>
      <c r="Q95" s="759" t="str">
        <f t="shared" si="14"/>
        <v>n/a</v>
      </c>
      <c r="R95" s="759" t="str">
        <f t="shared" si="14"/>
        <v>n/a</v>
      </c>
      <c r="S95" s="759" t="str">
        <f t="shared" si="14"/>
        <v>n/a</v>
      </c>
    </row>
    <row r="96" spans="1:23" ht="14.85" customHeight="1"/>
    <row r="97" spans="2:23" ht="14.85" customHeight="1" outlineLevel="1">
      <c r="B97" s="250" t="s">
        <v>423</v>
      </c>
      <c r="D97" s="331">
        <f>(LN($D$9/D94)+($D$12+$D$11^2/2)*$D$10)/($D$11*SQRT($D$10))</f>
        <v>79.052431403037318</v>
      </c>
      <c r="E97" s="331">
        <f>(LN($D$9/E94)+($D$12+$D$11^2/2)*$D$10)/($D$11*SQRT($D$10))</f>
        <v>14.269750280487104</v>
      </c>
      <c r="F97" s="331">
        <f t="shared" ref="F97:S97" si="15">(LN($D$9/F94)+($D$12+$D$11^2/2)*$D$10)/($D$11*SQRT($D$10))</f>
        <v>12.448362516534736</v>
      </c>
      <c r="G97" s="331">
        <f t="shared" si="15"/>
        <v>11.457923701800945</v>
      </c>
      <c r="H97" s="331">
        <f t="shared" si="15"/>
        <v>10.810977401882679</v>
      </c>
      <c r="I97" s="331" t="e">
        <f t="shared" si="15"/>
        <v>#VALUE!</v>
      </c>
      <c r="J97" s="331" t="e">
        <f t="shared" si="15"/>
        <v>#VALUE!</v>
      </c>
      <c r="K97" s="331" t="e">
        <f t="shared" si="15"/>
        <v>#VALUE!</v>
      </c>
      <c r="L97" s="331" t="e">
        <f t="shared" si="15"/>
        <v>#VALUE!</v>
      </c>
      <c r="M97" s="331" t="e">
        <f t="shared" si="15"/>
        <v>#VALUE!</v>
      </c>
      <c r="N97" s="331" t="e">
        <f t="shared" si="15"/>
        <v>#VALUE!</v>
      </c>
      <c r="O97" s="331" t="e">
        <f t="shared" si="15"/>
        <v>#VALUE!</v>
      </c>
      <c r="P97" s="331" t="e">
        <f t="shared" si="15"/>
        <v>#VALUE!</v>
      </c>
      <c r="Q97" s="331" t="e">
        <f t="shared" si="15"/>
        <v>#VALUE!</v>
      </c>
      <c r="R97" s="331" t="e">
        <f t="shared" si="15"/>
        <v>#VALUE!</v>
      </c>
      <c r="S97" s="331" t="e">
        <f t="shared" si="15"/>
        <v>#VALUE!</v>
      </c>
    </row>
    <row r="98" spans="2:23" ht="14.85" customHeight="1" outlineLevel="1">
      <c r="B98" s="250" t="s">
        <v>425</v>
      </c>
      <c r="D98" s="331">
        <f>D97-$D$11*SQRT($D$10)</f>
        <v>78.614025198701654</v>
      </c>
      <c r="E98" s="331">
        <f t="shared" ref="E98:S98" si="16">E97-$D$11*SQRT($D$10)</f>
        <v>13.831344076151444</v>
      </c>
      <c r="F98" s="331">
        <f t="shared" si="16"/>
        <v>12.009956312199076</v>
      </c>
      <c r="G98" s="331">
        <f t="shared" si="16"/>
        <v>11.019517497465285</v>
      </c>
      <c r="H98" s="331">
        <f t="shared" si="16"/>
        <v>10.372571197547019</v>
      </c>
      <c r="I98" s="331" t="e">
        <f t="shared" si="16"/>
        <v>#VALUE!</v>
      </c>
      <c r="J98" s="331" t="e">
        <f t="shared" si="16"/>
        <v>#VALUE!</v>
      </c>
      <c r="K98" s="331" t="e">
        <f t="shared" si="16"/>
        <v>#VALUE!</v>
      </c>
      <c r="L98" s="331" t="e">
        <f t="shared" si="16"/>
        <v>#VALUE!</v>
      </c>
      <c r="M98" s="331" t="e">
        <f t="shared" si="16"/>
        <v>#VALUE!</v>
      </c>
      <c r="N98" s="331" t="e">
        <f t="shared" si="16"/>
        <v>#VALUE!</v>
      </c>
      <c r="O98" s="331" t="e">
        <f t="shared" si="16"/>
        <v>#VALUE!</v>
      </c>
      <c r="P98" s="331" t="e">
        <f t="shared" si="16"/>
        <v>#VALUE!</v>
      </c>
      <c r="Q98" s="331" t="e">
        <f t="shared" si="16"/>
        <v>#VALUE!</v>
      </c>
      <c r="R98" s="331" t="e">
        <f t="shared" si="16"/>
        <v>#VALUE!</v>
      </c>
      <c r="S98" s="331" t="e">
        <f t="shared" si="16"/>
        <v>#VALUE!</v>
      </c>
    </row>
    <row r="99" spans="2:23" ht="14.85" customHeight="1" outlineLevel="1">
      <c r="D99" s="331"/>
      <c r="E99" s="331"/>
      <c r="F99" s="331"/>
      <c r="G99" s="331"/>
      <c r="H99" s="331"/>
      <c r="I99" s="331"/>
      <c r="J99" s="331"/>
      <c r="K99" s="331"/>
      <c r="L99" s="331"/>
      <c r="M99" s="331"/>
      <c r="N99" s="331"/>
      <c r="O99" s="331"/>
      <c r="P99" s="331"/>
      <c r="Q99" s="331"/>
      <c r="R99" s="331"/>
      <c r="S99" s="331"/>
    </row>
    <row r="100" spans="2:23" ht="14.85" customHeight="1" outlineLevel="1">
      <c r="B100" s="250" t="s">
        <v>424</v>
      </c>
      <c r="D100" s="331">
        <f>(LN($D$9/D95)+($D$12+$D$11^2/2)*$D$10)/($D$11*SQRT($D$10))</f>
        <v>14.269750280487104</v>
      </c>
      <c r="E100" s="759">
        <f>IF(E95="n/a","n/a",(LN($D$9/E95)+($D$12+$D$11^2/2)*$D$10)/($D$11*SQRT($D$10)))</f>
        <v>12.448362516534736</v>
      </c>
      <c r="F100" s="759">
        <f t="shared" ref="F100:S100" si="17">IF(F95="n/a","n/a",(LN($D$9/F95)+($D$12+$D$11^2/2)*$D$10)/($D$11*SQRT($D$10)))</f>
        <v>11.457923701800945</v>
      </c>
      <c r="G100" s="759">
        <f t="shared" si="17"/>
        <v>10.810977401882679</v>
      </c>
      <c r="H100" s="759" t="str">
        <f t="shared" si="17"/>
        <v>n/a</v>
      </c>
      <c r="I100" s="759" t="str">
        <f t="shared" si="17"/>
        <v>n/a</v>
      </c>
      <c r="J100" s="759" t="str">
        <f t="shared" si="17"/>
        <v>n/a</v>
      </c>
      <c r="K100" s="759" t="str">
        <f t="shared" si="17"/>
        <v>n/a</v>
      </c>
      <c r="L100" s="759" t="str">
        <f t="shared" si="17"/>
        <v>n/a</v>
      </c>
      <c r="M100" s="759" t="str">
        <f t="shared" si="17"/>
        <v>n/a</v>
      </c>
      <c r="N100" s="759" t="str">
        <f t="shared" si="17"/>
        <v>n/a</v>
      </c>
      <c r="O100" s="759" t="str">
        <f t="shared" si="17"/>
        <v>n/a</v>
      </c>
      <c r="P100" s="759" t="str">
        <f t="shared" si="17"/>
        <v>n/a</v>
      </c>
      <c r="Q100" s="759" t="str">
        <f t="shared" si="17"/>
        <v>n/a</v>
      </c>
      <c r="R100" s="759" t="str">
        <f t="shared" si="17"/>
        <v>n/a</v>
      </c>
      <c r="S100" s="759" t="str">
        <f t="shared" si="17"/>
        <v>n/a</v>
      </c>
    </row>
    <row r="101" spans="2:23" ht="14.85" customHeight="1" outlineLevel="1">
      <c r="B101" s="250" t="s">
        <v>426</v>
      </c>
      <c r="D101" s="331">
        <f>D100-$D$11*SQRT($D$10)</f>
        <v>13.831344076151444</v>
      </c>
      <c r="E101" s="759">
        <f>IF(E95="n/a","n/a",E100-$D$11*SQRT($D$10))</f>
        <v>12.009956312199076</v>
      </c>
      <c r="F101" s="759">
        <f t="shared" ref="F101:S101" si="18">IF(F95="n/a","n/a",F100-$D$11*SQRT($D$10))</f>
        <v>11.019517497465285</v>
      </c>
      <c r="G101" s="759">
        <f t="shared" si="18"/>
        <v>10.372571197547019</v>
      </c>
      <c r="H101" s="759" t="str">
        <f t="shared" si="18"/>
        <v>n/a</v>
      </c>
      <c r="I101" s="759" t="str">
        <f t="shared" si="18"/>
        <v>n/a</v>
      </c>
      <c r="J101" s="759" t="str">
        <f t="shared" si="18"/>
        <v>n/a</v>
      </c>
      <c r="K101" s="759" t="str">
        <f t="shared" si="18"/>
        <v>n/a</v>
      </c>
      <c r="L101" s="759" t="str">
        <f t="shared" si="18"/>
        <v>n/a</v>
      </c>
      <c r="M101" s="759" t="str">
        <f t="shared" si="18"/>
        <v>n/a</v>
      </c>
      <c r="N101" s="759" t="str">
        <f t="shared" si="18"/>
        <v>n/a</v>
      </c>
      <c r="O101" s="759" t="str">
        <f t="shared" si="18"/>
        <v>n/a</v>
      </c>
      <c r="P101" s="759" t="str">
        <f t="shared" si="18"/>
        <v>n/a</v>
      </c>
      <c r="Q101" s="759" t="str">
        <f t="shared" si="18"/>
        <v>n/a</v>
      </c>
      <c r="R101" s="759" t="str">
        <f t="shared" si="18"/>
        <v>n/a</v>
      </c>
      <c r="S101" s="759" t="str">
        <f t="shared" si="18"/>
        <v>n/a</v>
      </c>
    </row>
    <row r="102" spans="2:23" ht="14.85" customHeight="1" outlineLevel="1">
      <c r="D102" s="331"/>
      <c r="E102" s="331"/>
      <c r="F102" s="331"/>
      <c r="G102" s="331"/>
      <c r="H102" s="331"/>
      <c r="I102" s="331"/>
      <c r="J102" s="331"/>
      <c r="K102" s="331"/>
      <c r="L102" s="331"/>
      <c r="M102" s="331"/>
      <c r="N102" s="331"/>
      <c r="O102" s="331"/>
      <c r="P102" s="331"/>
      <c r="Q102" s="331"/>
      <c r="R102" s="331"/>
      <c r="S102" s="331"/>
    </row>
    <row r="103" spans="2:23" ht="14.85" customHeight="1">
      <c r="B103" s="250" t="s">
        <v>420</v>
      </c>
      <c r="D103" s="331">
        <f>$D$9*NORMSDIST(D97)-D94*EXP(-$D$12*$D$10)*NORMSDIST(D98)</f>
        <v>99999.999999999898</v>
      </c>
      <c r="E103" s="331">
        <f t="shared" ref="E103:S103" si="19">$D$9*NORMSDIST(E97)-E94*EXP(-$D$12*$D$10)*NORMSDIST(E98)</f>
        <v>99788.742364981372</v>
      </c>
      <c r="F103" s="331">
        <f t="shared" si="19"/>
        <v>99530.538588847499</v>
      </c>
      <c r="G103" s="331">
        <f t="shared" si="19"/>
        <v>99275.268946533339</v>
      </c>
      <c r="H103" s="331">
        <f t="shared" si="19"/>
        <v>99037.604107137377</v>
      </c>
      <c r="I103" s="331" t="e">
        <f t="shared" si="19"/>
        <v>#VALUE!</v>
      </c>
      <c r="J103" s="331" t="e">
        <f t="shared" si="19"/>
        <v>#VALUE!</v>
      </c>
      <c r="K103" s="331" t="e">
        <f t="shared" si="19"/>
        <v>#VALUE!</v>
      </c>
      <c r="L103" s="331" t="e">
        <f t="shared" si="19"/>
        <v>#VALUE!</v>
      </c>
      <c r="M103" s="331" t="e">
        <f t="shared" si="19"/>
        <v>#VALUE!</v>
      </c>
      <c r="N103" s="331" t="e">
        <f t="shared" si="19"/>
        <v>#VALUE!</v>
      </c>
      <c r="O103" s="331" t="e">
        <f t="shared" si="19"/>
        <v>#VALUE!</v>
      </c>
      <c r="P103" s="331" t="e">
        <f t="shared" si="19"/>
        <v>#VALUE!</v>
      </c>
      <c r="Q103" s="331" t="e">
        <f t="shared" si="19"/>
        <v>#VALUE!</v>
      </c>
      <c r="R103" s="331" t="e">
        <f t="shared" si="19"/>
        <v>#VALUE!</v>
      </c>
      <c r="S103" s="331" t="e">
        <f t="shared" si="19"/>
        <v>#VALUE!</v>
      </c>
    </row>
    <row r="104" spans="2:23" ht="14.85" customHeight="1">
      <c r="B104" s="250" t="s">
        <v>421</v>
      </c>
      <c r="D104" s="331">
        <f>$D$9*NORMSDIST(D100)-D95*EXP(-$D$12*$D$10)*NORMSDIST(D101)</f>
        <v>99788.742364981372</v>
      </c>
      <c r="E104" s="759">
        <f>IF(E95="n/a","n/a",$D$9*NORMSDIST(E100)-E95*EXP(-$D$12*$D$10)*NORMSDIST(E101))</f>
        <v>99530.538588847499</v>
      </c>
      <c r="F104" s="759">
        <f t="shared" ref="F104:S104" si="20">IF(F95="n/a","n/a",$D$9*NORMSDIST(F100)-F95*EXP(-$D$12*$D$10)*NORMSDIST(F101))</f>
        <v>99275.268946533339</v>
      </c>
      <c r="G104" s="759">
        <f t="shared" si="20"/>
        <v>99037.604107137377</v>
      </c>
      <c r="H104" s="759" t="str">
        <f t="shared" si="20"/>
        <v>n/a</v>
      </c>
      <c r="I104" s="759" t="str">
        <f t="shared" si="20"/>
        <v>n/a</v>
      </c>
      <c r="J104" s="759" t="str">
        <f t="shared" si="20"/>
        <v>n/a</v>
      </c>
      <c r="K104" s="759" t="str">
        <f t="shared" si="20"/>
        <v>n/a</v>
      </c>
      <c r="L104" s="759" t="str">
        <f t="shared" si="20"/>
        <v>n/a</v>
      </c>
      <c r="M104" s="759" t="str">
        <f t="shared" si="20"/>
        <v>n/a</v>
      </c>
      <c r="N104" s="759" t="str">
        <f t="shared" si="20"/>
        <v>n/a</v>
      </c>
      <c r="O104" s="759" t="str">
        <f t="shared" si="20"/>
        <v>n/a</v>
      </c>
      <c r="P104" s="759" t="str">
        <f t="shared" si="20"/>
        <v>n/a</v>
      </c>
      <c r="Q104" s="759" t="str">
        <f t="shared" si="20"/>
        <v>n/a</v>
      </c>
      <c r="R104" s="759" t="str">
        <f t="shared" si="20"/>
        <v>n/a</v>
      </c>
      <c r="S104" s="759" t="str">
        <f t="shared" si="20"/>
        <v>n/a</v>
      </c>
    </row>
    <row r="105" spans="2:23" ht="14.85" customHeight="1"/>
    <row r="106" spans="2:23" ht="14.85" customHeight="1">
      <c r="B106" s="253" t="s">
        <v>422</v>
      </c>
      <c r="C106" s="253"/>
      <c r="D106" s="752">
        <f>D103-D104</f>
        <v>211.25763501852634</v>
      </c>
      <c r="E106" s="752">
        <f>IF(E95="n/a",E103,E103-E104)</f>
        <v>258.20377613387245</v>
      </c>
      <c r="F106" s="752">
        <f t="shared" ref="F106:S106" si="21">IF(F95="n/a",F103,F103-F104)</f>
        <v>255.26964231416059</v>
      </c>
      <c r="G106" s="752">
        <f t="shared" si="21"/>
        <v>237.66483939596219</v>
      </c>
      <c r="H106" s="752">
        <f t="shared" si="21"/>
        <v>99037.604107137377</v>
      </c>
      <c r="I106" s="752" t="e">
        <f t="shared" si="21"/>
        <v>#VALUE!</v>
      </c>
      <c r="J106" s="752" t="e">
        <f t="shared" si="21"/>
        <v>#VALUE!</v>
      </c>
      <c r="K106" s="752" t="e">
        <f t="shared" si="21"/>
        <v>#VALUE!</v>
      </c>
      <c r="L106" s="752" t="e">
        <f t="shared" si="21"/>
        <v>#VALUE!</v>
      </c>
      <c r="M106" s="752" t="e">
        <f t="shared" si="21"/>
        <v>#VALUE!</v>
      </c>
      <c r="N106" s="752" t="e">
        <f t="shared" si="21"/>
        <v>#VALUE!</v>
      </c>
      <c r="O106" s="752" t="e">
        <f t="shared" si="21"/>
        <v>#VALUE!</v>
      </c>
      <c r="P106" s="752" t="e">
        <f t="shared" si="21"/>
        <v>#VALUE!</v>
      </c>
      <c r="Q106" s="752" t="e">
        <f t="shared" si="21"/>
        <v>#VALUE!</v>
      </c>
      <c r="R106" s="752" t="e">
        <f t="shared" si="21"/>
        <v>#VALUE!</v>
      </c>
      <c r="S106" s="752" t="e">
        <f t="shared" si="21"/>
        <v>#VALUE!</v>
      </c>
    </row>
    <row r="107" spans="2:23" ht="14.85" customHeight="1"/>
    <row r="108" spans="2:23" s="272" customFormat="1" ht="14.85" customHeight="1">
      <c r="B108" s="755" t="s">
        <v>416</v>
      </c>
      <c r="D108" s="756">
        <f>D$15</f>
        <v>1</v>
      </c>
      <c r="E108" s="757">
        <f t="shared" ref="E108:S108" si="22">E$15</f>
        <v>2</v>
      </c>
      <c r="F108" s="757">
        <f t="shared" si="22"/>
        <v>3</v>
      </c>
      <c r="G108" s="757">
        <f t="shared" si="22"/>
        <v>4</v>
      </c>
      <c r="H108" s="757">
        <f t="shared" si="22"/>
        <v>5</v>
      </c>
      <c r="I108" s="757">
        <f t="shared" si="22"/>
        <v>6</v>
      </c>
      <c r="J108" s="757">
        <f t="shared" si="22"/>
        <v>7</v>
      </c>
      <c r="K108" s="757">
        <f t="shared" si="22"/>
        <v>8</v>
      </c>
      <c r="L108" s="757">
        <f t="shared" si="22"/>
        <v>9</v>
      </c>
      <c r="M108" s="757">
        <f t="shared" si="22"/>
        <v>10</v>
      </c>
      <c r="N108" s="757">
        <f t="shared" si="22"/>
        <v>11</v>
      </c>
      <c r="O108" s="757">
        <f t="shared" si="22"/>
        <v>12</v>
      </c>
      <c r="P108" s="757">
        <f t="shared" si="22"/>
        <v>13</v>
      </c>
      <c r="Q108" s="757">
        <f t="shared" si="22"/>
        <v>14</v>
      </c>
      <c r="R108" s="757">
        <f t="shared" si="22"/>
        <v>15</v>
      </c>
      <c r="S108" s="758">
        <f t="shared" si="22"/>
        <v>16</v>
      </c>
      <c r="W108" s="347"/>
    </row>
    <row r="109" spans="2:23" ht="14.85" customHeight="1"/>
    <row r="110" spans="2:23" ht="14.85" customHeight="1">
      <c r="D110" s="760" t="s">
        <v>410</v>
      </c>
      <c r="E110" s="760" t="s">
        <v>410</v>
      </c>
      <c r="F110" s="760" t="s">
        <v>410</v>
      </c>
      <c r="G110" s="760" t="s">
        <v>410</v>
      </c>
      <c r="H110" s="760" t="s">
        <v>410</v>
      </c>
      <c r="I110" s="760" t="s">
        <v>324</v>
      </c>
      <c r="J110" s="760" t="s">
        <v>324</v>
      </c>
      <c r="K110" s="760" t="s">
        <v>324</v>
      </c>
      <c r="L110" s="760" t="s">
        <v>324</v>
      </c>
      <c r="M110" s="760" t="s">
        <v>324</v>
      </c>
      <c r="N110" s="760" t="s">
        <v>324</v>
      </c>
      <c r="O110" s="760" t="s">
        <v>324</v>
      </c>
      <c r="P110" s="760" t="s">
        <v>324</v>
      </c>
      <c r="Q110" s="760" t="s">
        <v>324</v>
      </c>
      <c r="R110" s="760" t="s">
        <v>324</v>
      </c>
      <c r="S110" s="760" t="s">
        <v>324</v>
      </c>
    </row>
    <row r="111" spans="2:23" ht="14.85" customHeight="1"/>
    <row r="112" spans="2:23" ht="14.85" customHeight="1">
      <c r="B112" s="413" t="str">
        <f t="shared" ref="B112:B118" si="23">B55</f>
        <v>Series A</v>
      </c>
      <c r="D112" s="381"/>
      <c r="E112" s="381"/>
      <c r="F112" s="381"/>
      <c r="G112" s="381"/>
      <c r="H112" s="381"/>
      <c r="I112" s="381"/>
      <c r="J112" s="381"/>
      <c r="K112" s="381"/>
      <c r="L112" s="381"/>
      <c r="M112" s="381"/>
      <c r="N112" s="381"/>
      <c r="O112" s="381"/>
      <c r="P112" s="381"/>
      <c r="Q112" s="381"/>
      <c r="R112" s="381"/>
      <c r="S112" s="381"/>
    </row>
    <row r="113" spans="2:19" ht="14.85" customHeight="1">
      <c r="B113" s="413" t="str">
        <f t="shared" si="23"/>
        <v>Series B</v>
      </c>
      <c r="D113" s="381"/>
      <c r="E113" s="381"/>
      <c r="F113" s="381"/>
      <c r="G113" s="381"/>
      <c r="H113" s="381"/>
      <c r="I113" s="381"/>
      <c r="J113" s="381"/>
      <c r="K113" s="381"/>
      <c r="L113" s="381"/>
      <c r="M113" s="381"/>
      <c r="N113" s="381"/>
      <c r="O113" s="381"/>
      <c r="P113" s="381"/>
      <c r="Q113" s="381"/>
      <c r="R113" s="381"/>
      <c r="S113" s="381"/>
    </row>
    <row r="114" spans="2:19" ht="14.85" customHeight="1">
      <c r="B114" s="413" t="str">
        <f t="shared" si="23"/>
        <v>Series C</v>
      </c>
      <c r="D114" s="381"/>
      <c r="E114" s="381"/>
      <c r="F114" s="381"/>
      <c r="G114" s="381"/>
      <c r="H114" s="381"/>
      <c r="I114" s="381"/>
      <c r="J114" s="381"/>
      <c r="K114" s="381"/>
      <c r="L114" s="381"/>
      <c r="M114" s="381"/>
      <c r="N114" s="381"/>
      <c r="O114" s="381"/>
      <c r="P114" s="381"/>
      <c r="Q114" s="381"/>
      <c r="R114" s="381"/>
      <c r="S114" s="381"/>
    </row>
    <row r="115" spans="2:19" ht="14.85" customHeight="1">
      <c r="B115" s="413" t="str">
        <f t="shared" si="23"/>
        <v>Series D</v>
      </c>
      <c r="D115" s="381"/>
      <c r="E115" s="381"/>
      <c r="F115" s="381"/>
      <c r="G115" s="381"/>
      <c r="H115" s="381"/>
      <c r="I115" s="381"/>
      <c r="J115" s="381"/>
      <c r="K115" s="381"/>
      <c r="L115" s="381"/>
      <c r="M115" s="381"/>
      <c r="N115" s="381"/>
      <c r="O115" s="381"/>
      <c r="P115" s="381"/>
      <c r="Q115" s="381"/>
      <c r="R115" s="381"/>
      <c r="S115" s="381"/>
    </row>
    <row r="116" spans="2:19" ht="14.85" customHeight="1">
      <c r="B116" s="413" t="str">
        <f t="shared" si="23"/>
        <v>Series E</v>
      </c>
      <c r="D116" s="381"/>
      <c r="E116" s="381"/>
      <c r="F116" s="381"/>
      <c r="G116" s="381"/>
      <c r="H116" s="381"/>
      <c r="I116" s="381"/>
      <c r="J116" s="381"/>
      <c r="K116" s="381"/>
      <c r="L116" s="381"/>
      <c r="M116" s="381"/>
      <c r="N116" s="381"/>
      <c r="O116" s="381"/>
      <c r="P116" s="381"/>
      <c r="Q116" s="381"/>
      <c r="R116" s="381"/>
      <c r="S116" s="381"/>
    </row>
    <row r="117" spans="2:19" ht="14.85" customHeight="1">
      <c r="B117" s="413" t="str">
        <f t="shared" si="23"/>
        <v>Series F</v>
      </c>
      <c r="D117" s="381"/>
      <c r="E117" s="381"/>
      <c r="F117" s="381"/>
      <c r="G117" s="381"/>
      <c r="H117" s="381"/>
      <c r="I117" s="381"/>
      <c r="J117" s="381"/>
      <c r="K117" s="381"/>
      <c r="L117" s="381"/>
      <c r="M117" s="381"/>
      <c r="N117" s="381"/>
      <c r="O117" s="381"/>
      <c r="P117" s="381"/>
      <c r="Q117" s="381"/>
      <c r="R117" s="381"/>
      <c r="S117" s="381"/>
    </row>
    <row r="118" spans="2:19" ht="14.85" customHeight="1">
      <c r="B118" s="413" t="str">
        <f t="shared" si="23"/>
        <v>Series G</v>
      </c>
      <c r="D118" s="381"/>
      <c r="E118" s="381"/>
      <c r="F118" s="381"/>
      <c r="G118" s="381"/>
      <c r="H118" s="381"/>
      <c r="I118" s="381"/>
      <c r="J118" s="381"/>
      <c r="K118" s="381"/>
      <c r="L118" s="381"/>
      <c r="M118" s="381"/>
      <c r="N118" s="381"/>
      <c r="O118" s="381"/>
      <c r="P118" s="381"/>
      <c r="Q118" s="381"/>
      <c r="R118" s="381"/>
      <c r="S118" s="381"/>
    </row>
    <row r="119" spans="2:19" ht="14.85" customHeight="1">
      <c r="B119" s="413" t="str">
        <f t="shared" ref="B119:B125" si="24">+$B112&amp;" Warrants"</f>
        <v>Series A Warrants</v>
      </c>
      <c r="D119" s="381"/>
      <c r="E119" s="381"/>
      <c r="F119" s="381"/>
      <c r="G119" s="381"/>
      <c r="H119" s="381"/>
      <c r="I119" s="381"/>
      <c r="J119" s="381"/>
      <c r="K119" s="381"/>
      <c r="L119" s="381"/>
      <c r="M119" s="381"/>
      <c r="N119" s="381"/>
      <c r="O119" s="381"/>
      <c r="P119" s="381"/>
      <c r="Q119" s="381"/>
      <c r="R119" s="381"/>
      <c r="S119" s="381"/>
    </row>
    <row r="120" spans="2:19" ht="14.85" customHeight="1">
      <c r="B120" s="413" t="str">
        <f t="shared" si="24"/>
        <v>Series B Warrants</v>
      </c>
      <c r="D120" s="381"/>
      <c r="E120" s="381"/>
      <c r="F120" s="381"/>
      <c r="G120" s="381"/>
      <c r="H120" s="381"/>
      <c r="I120" s="381"/>
      <c r="J120" s="381"/>
      <c r="K120" s="381"/>
      <c r="L120" s="381"/>
      <c r="M120" s="381"/>
      <c r="N120" s="381"/>
      <c r="O120" s="381"/>
      <c r="P120" s="381"/>
      <c r="Q120" s="381"/>
      <c r="R120" s="381"/>
      <c r="S120" s="381"/>
    </row>
    <row r="121" spans="2:19" ht="14.85" customHeight="1">
      <c r="B121" s="413" t="str">
        <f t="shared" si="24"/>
        <v>Series C Warrants</v>
      </c>
      <c r="D121" s="381"/>
      <c r="E121" s="381"/>
      <c r="F121" s="381"/>
      <c r="G121" s="381"/>
      <c r="H121" s="381"/>
      <c r="I121" s="381"/>
      <c r="J121" s="381"/>
      <c r="K121" s="381"/>
      <c r="L121" s="381"/>
      <c r="M121" s="381"/>
      <c r="N121" s="381"/>
      <c r="O121" s="381"/>
      <c r="P121" s="381"/>
      <c r="Q121" s="381"/>
      <c r="R121" s="381"/>
      <c r="S121" s="381"/>
    </row>
    <row r="122" spans="2:19" ht="14.85" customHeight="1">
      <c r="B122" s="413" t="str">
        <f t="shared" si="24"/>
        <v>Series D Warrants</v>
      </c>
      <c r="D122" s="381"/>
      <c r="E122" s="381"/>
      <c r="F122" s="381"/>
      <c r="G122" s="381"/>
      <c r="H122" s="381"/>
      <c r="I122" s="381"/>
      <c r="J122" s="381"/>
      <c r="K122" s="381"/>
      <c r="L122" s="381"/>
      <c r="M122" s="381"/>
      <c r="N122" s="381"/>
      <c r="O122" s="381"/>
      <c r="P122" s="381"/>
      <c r="Q122" s="381"/>
      <c r="R122" s="381"/>
      <c r="S122" s="381"/>
    </row>
    <row r="123" spans="2:19" ht="14.85" customHeight="1">
      <c r="B123" s="413" t="str">
        <f t="shared" si="24"/>
        <v>Series E Warrants</v>
      </c>
      <c r="D123" s="381"/>
      <c r="E123" s="381"/>
      <c r="F123" s="381"/>
      <c r="G123" s="381"/>
      <c r="H123" s="381"/>
      <c r="I123" s="381"/>
      <c r="J123" s="381"/>
      <c r="K123" s="381"/>
      <c r="L123" s="381"/>
      <c r="M123" s="381"/>
      <c r="N123" s="381"/>
      <c r="O123" s="381"/>
      <c r="P123" s="381"/>
      <c r="Q123" s="381"/>
      <c r="R123" s="381"/>
      <c r="S123" s="381"/>
    </row>
    <row r="124" spans="2:19" ht="14.85" customHeight="1">
      <c r="B124" s="413" t="str">
        <f t="shared" si="24"/>
        <v>Series F Warrants</v>
      </c>
      <c r="D124" s="381"/>
      <c r="E124" s="381"/>
      <c r="F124" s="381"/>
      <c r="G124" s="381"/>
      <c r="H124" s="381"/>
      <c r="I124" s="381"/>
      <c r="J124" s="381"/>
      <c r="K124" s="381"/>
      <c r="L124" s="381"/>
      <c r="M124" s="381"/>
      <c r="N124" s="381"/>
      <c r="O124" s="381"/>
      <c r="P124" s="381"/>
      <c r="Q124" s="381"/>
      <c r="R124" s="381"/>
      <c r="S124" s="381"/>
    </row>
    <row r="125" spans="2:19" ht="14.85" customHeight="1">
      <c r="B125" s="413" t="str">
        <f t="shared" si="24"/>
        <v>Series G Warrants</v>
      </c>
      <c r="D125" s="381"/>
      <c r="E125" s="381"/>
      <c r="F125" s="381"/>
      <c r="G125" s="381"/>
      <c r="H125" s="381"/>
      <c r="I125" s="381"/>
      <c r="J125" s="381"/>
      <c r="K125" s="381"/>
      <c r="L125" s="381"/>
      <c r="M125" s="381"/>
      <c r="N125" s="381"/>
      <c r="O125" s="381"/>
      <c r="P125" s="381"/>
      <c r="Q125" s="381"/>
      <c r="R125" s="381"/>
      <c r="S125" s="381"/>
    </row>
    <row r="126" spans="2:19" ht="14.85" customHeight="1">
      <c r="B126" s="413" t="str">
        <f t="shared" ref="B126:B136" si="25">B69</f>
        <v>Options/Warrants at $2.00 Strike Price</v>
      </c>
      <c r="D126" s="381"/>
      <c r="E126" s="381"/>
      <c r="F126" s="381"/>
      <c r="G126" s="381"/>
      <c r="H126" s="381"/>
      <c r="I126" s="381"/>
      <c r="J126" s="381"/>
      <c r="K126" s="381"/>
      <c r="L126" s="381"/>
      <c r="M126" s="381"/>
      <c r="N126" s="381"/>
      <c r="O126" s="381"/>
      <c r="P126" s="381"/>
      <c r="Q126" s="381"/>
      <c r="R126" s="381"/>
      <c r="S126" s="381"/>
    </row>
    <row r="127" spans="2:19" ht="14.85" customHeight="1">
      <c r="B127" s="413" t="str">
        <f t="shared" si="25"/>
        <v>Options/Warrants at $0.00 Strike Price</v>
      </c>
      <c r="D127" s="381"/>
      <c r="E127" s="381"/>
      <c r="F127" s="381"/>
      <c r="G127" s="381"/>
      <c r="H127" s="381"/>
      <c r="I127" s="381"/>
      <c r="J127" s="381"/>
      <c r="K127" s="381"/>
      <c r="L127" s="381"/>
      <c r="M127" s="381"/>
      <c r="N127" s="381"/>
      <c r="O127" s="381"/>
      <c r="P127" s="381"/>
      <c r="Q127" s="381"/>
      <c r="R127" s="381"/>
      <c r="S127" s="381"/>
    </row>
    <row r="128" spans="2:19" ht="14.85" customHeight="1">
      <c r="B128" s="413" t="str">
        <f t="shared" si="25"/>
        <v>Options/Warrants at $0.00 Strike Price</v>
      </c>
      <c r="D128" s="381"/>
      <c r="E128" s="381"/>
      <c r="F128" s="381"/>
      <c r="G128" s="381"/>
      <c r="H128" s="381"/>
      <c r="I128" s="381"/>
      <c r="J128" s="381"/>
      <c r="K128" s="381"/>
      <c r="L128" s="381"/>
      <c r="M128" s="381"/>
      <c r="N128" s="381"/>
      <c r="O128" s="381"/>
      <c r="P128" s="381"/>
      <c r="Q128" s="381"/>
      <c r="R128" s="381"/>
      <c r="S128" s="381"/>
    </row>
    <row r="129" spans="2:19" ht="14.85" customHeight="1">
      <c r="B129" s="413" t="str">
        <f t="shared" si="25"/>
        <v>Options/Warrants at $0.00 Strike Price</v>
      </c>
      <c r="D129" s="381"/>
      <c r="E129" s="381"/>
      <c r="F129" s="381"/>
      <c r="G129" s="381"/>
      <c r="H129" s="381"/>
      <c r="I129" s="381"/>
      <c r="J129" s="381"/>
      <c r="K129" s="381"/>
      <c r="L129" s="381"/>
      <c r="M129" s="381"/>
      <c r="N129" s="381"/>
      <c r="O129" s="381"/>
      <c r="P129" s="381"/>
      <c r="Q129" s="381"/>
      <c r="R129" s="381"/>
      <c r="S129" s="381"/>
    </row>
    <row r="130" spans="2:19" ht="14.85" customHeight="1">
      <c r="B130" s="413" t="str">
        <f t="shared" si="25"/>
        <v>Options/Warrants at $0.00 Strike Price</v>
      </c>
      <c r="D130" s="381"/>
      <c r="E130" s="381"/>
      <c r="F130" s="381"/>
      <c r="G130" s="381"/>
      <c r="H130" s="381"/>
      <c r="I130" s="381"/>
      <c r="J130" s="381"/>
      <c r="K130" s="381"/>
      <c r="L130" s="381"/>
      <c r="M130" s="381"/>
      <c r="N130" s="381"/>
      <c r="O130" s="381"/>
      <c r="P130" s="381"/>
      <c r="Q130" s="381"/>
      <c r="R130" s="381"/>
      <c r="S130" s="381"/>
    </row>
    <row r="131" spans="2:19" ht="14.85" customHeight="1">
      <c r="B131" s="413" t="str">
        <f t="shared" si="25"/>
        <v>Options/Warrants at $0.00 Strike Price</v>
      </c>
      <c r="D131" s="381"/>
      <c r="E131" s="381"/>
      <c r="F131" s="381"/>
      <c r="G131" s="381"/>
      <c r="H131" s="381"/>
      <c r="I131" s="381"/>
      <c r="J131" s="381"/>
      <c r="K131" s="381"/>
      <c r="L131" s="381"/>
      <c r="M131" s="381"/>
      <c r="N131" s="381"/>
      <c r="O131" s="381"/>
      <c r="P131" s="381"/>
      <c r="Q131" s="381"/>
      <c r="R131" s="381"/>
      <c r="S131" s="381"/>
    </row>
    <row r="132" spans="2:19" ht="14.85" customHeight="1">
      <c r="B132" s="413" t="str">
        <f t="shared" si="25"/>
        <v>Options/Warrants at $0.00 Strike Price</v>
      </c>
      <c r="D132" s="381"/>
      <c r="E132" s="381"/>
      <c r="F132" s="381"/>
      <c r="G132" s="381"/>
      <c r="H132" s="381"/>
      <c r="I132" s="381"/>
      <c r="J132" s="381"/>
      <c r="K132" s="381"/>
      <c r="L132" s="381"/>
      <c r="M132" s="381"/>
      <c r="N132" s="381"/>
      <c r="O132" s="381"/>
      <c r="P132" s="381"/>
      <c r="Q132" s="381"/>
      <c r="R132" s="381"/>
      <c r="S132" s="381"/>
    </row>
    <row r="133" spans="2:19" ht="14.85" customHeight="1">
      <c r="B133" s="413" t="str">
        <f t="shared" si="25"/>
        <v>Options/Warrants at $0.00 Strike Price</v>
      </c>
      <c r="D133" s="381"/>
      <c r="E133" s="381"/>
      <c r="F133" s="381"/>
      <c r="G133" s="381"/>
      <c r="H133" s="381"/>
      <c r="I133" s="381"/>
      <c r="J133" s="381"/>
      <c r="K133" s="381"/>
      <c r="L133" s="381"/>
      <c r="M133" s="381"/>
      <c r="N133" s="381"/>
      <c r="O133" s="381"/>
      <c r="P133" s="381"/>
      <c r="Q133" s="381"/>
      <c r="R133" s="381"/>
      <c r="S133" s="381"/>
    </row>
    <row r="134" spans="2:19" ht="14.85" customHeight="1">
      <c r="B134" s="413" t="str">
        <f t="shared" si="25"/>
        <v>Options/Warrants at $0.00 Strike Price</v>
      </c>
      <c r="D134" s="381"/>
      <c r="E134" s="381"/>
      <c r="F134" s="381"/>
      <c r="G134" s="381"/>
      <c r="H134" s="381"/>
      <c r="I134" s="381"/>
      <c r="J134" s="381"/>
      <c r="K134" s="381"/>
      <c r="L134" s="381"/>
      <c r="M134" s="381"/>
      <c r="N134" s="381"/>
      <c r="O134" s="381"/>
      <c r="P134" s="381"/>
      <c r="Q134" s="381"/>
      <c r="R134" s="381"/>
      <c r="S134" s="381"/>
    </row>
    <row r="135" spans="2:19" ht="14.85" customHeight="1">
      <c r="B135" s="419" t="str">
        <f>B78</f>
        <v>Expected Options Grant</v>
      </c>
      <c r="D135" s="381"/>
      <c r="E135" s="381"/>
      <c r="F135" s="381"/>
      <c r="G135" s="381"/>
      <c r="H135" s="381"/>
      <c r="I135" s="381"/>
      <c r="J135" s="381"/>
      <c r="K135" s="381"/>
      <c r="L135" s="381"/>
      <c r="M135" s="381"/>
      <c r="N135" s="381"/>
      <c r="O135" s="381"/>
      <c r="P135" s="381"/>
      <c r="Q135" s="381"/>
      <c r="R135" s="381"/>
      <c r="S135" s="381"/>
    </row>
    <row r="136" spans="2:19" ht="14.85" customHeight="1">
      <c r="B136" s="413" t="str">
        <f t="shared" si="25"/>
        <v>Common Stock</v>
      </c>
      <c r="D136" s="381"/>
      <c r="E136" s="381"/>
      <c r="F136" s="381"/>
      <c r="G136" s="381"/>
      <c r="H136" s="381"/>
      <c r="I136" s="381"/>
      <c r="J136" s="381"/>
      <c r="K136" s="381"/>
      <c r="L136" s="381"/>
      <c r="M136" s="381"/>
      <c r="N136" s="381"/>
      <c r="O136" s="381"/>
      <c r="P136" s="381"/>
      <c r="Q136" s="381"/>
      <c r="R136" s="381"/>
      <c r="S136" s="381"/>
    </row>
    <row r="137" spans="2:19" ht="14.85" customHeight="1">
      <c r="B137" s="346"/>
      <c r="C137" s="346"/>
      <c r="D137" s="346"/>
      <c r="E137" s="346"/>
      <c r="F137" s="346"/>
      <c r="G137" s="346"/>
      <c r="H137" s="346"/>
      <c r="I137" s="346"/>
      <c r="J137" s="346"/>
      <c r="K137" s="346"/>
      <c r="L137" s="346"/>
      <c r="M137" s="346"/>
      <c r="N137" s="346"/>
      <c r="O137" s="346"/>
      <c r="P137" s="346"/>
      <c r="Q137" s="346"/>
      <c r="R137" s="346"/>
      <c r="S137" s="346"/>
    </row>
    <row r="138" spans="2:19" ht="14.85" customHeight="1">
      <c r="B138" s="382" t="s">
        <v>2546</v>
      </c>
      <c r="D138" s="412">
        <f t="shared" ref="D138:S138" si="26">SUM(D112:D136)</f>
        <v>0</v>
      </c>
      <c r="E138" s="412">
        <f t="shared" si="26"/>
        <v>0</v>
      </c>
      <c r="F138" s="412">
        <f t="shared" si="26"/>
        <v>0</v>
      </c>
      <c r="G138" s="412">
        <f t="shared" si="26"/>
        <v>0</v>
      </c>
      <c r="H138" s="412">
        <f t="shared" si="26"/>
        <v>0</v>
      </c>
      <c r="I138" s="412">
        <f t="shared" si="26"/>
        <v>0</v>
      </c>
      <c r="J138" s="412">
        <f t="shared" si="26"/>
        <v>0</v>
      </c>
      <c r="K138" s="412">
        <f t="shared" si="26"/>
        <v>0</v>
      </c>
      <c r="L138" s="412">
        <f t="shared" si="26"/>
        <v>0</v>
      </c>
      <c r="M138" s="412">
        <f t="shared" si="26"/>
        <v>0</v>
      </c>
      <c r="N138" s="412">
        <f t="shared" si="26"/>
        <v>0</v>
      </c>
      <c r="O138" s="412">
        <f t="shared" si="26"/>
        <v>0</v>
      </c>
      <c r="P138" s="412">
        <f t="shared" si="26"/>
        <v>0</v>
      </c>
      <c r="Q138" s="412">
        <f t="shared" si="26"/>
        <v>0</v>
      </c>
      <c r="R138" s="412">
        <f t="shared" si="26"/>
        <v>0</v>
      </c>
      <c r="S138" s="412">
        <f t="shared" si="26"/>
        <v>0</v>
      </c>
    </row>
    <row r="139" spans="2:19" ht="14.85" customHeight="1"/>
    <row r="140" spans="2:19" ht="14.85" customHeight="1">
      <c r="B140" s="755" t="s">
        <v>2576</v>
      </c>
      <c r="C140" s="272"/>
      <c r="D140" s="756">
        <f>D$15</f>
        <v>1</v>
      </c>
      <c r="E140" s="757">
        <f t="shared" ref="E140:S140" si="27">E$15</f>
        <v>2</v>
      </c>
      <c r="F140" s="757">
        <f t="shared" si="27"/>
        <v>3</v>
      </c>
      <c r="G140" s="757">
        <f t="shared" si="27"/>
        <v>4</v>
      </c>
      <c r="H140" s="757">
        <f t="shared" si="27"/>
        <v>5</v>
      </c>
      <c r="I140" s="757">
        <f t="shared" si="27"/>
        <v>6</v>
      </c>
      <c r="J140" s="757">
        <f t="shared" si="27"/>
        <v>7</v>
      </c>
      <c r="K140" s="757">
        <f t="shared" si="27"/>
        <v>8</v>
      </c>
      <c r="L140" s="757">
        <f t="shared" si="27"/>
        <v>9</v>
      </c>
      <c r="M140" s="757">
        <f t="shared" si="27"/>
        <v>10</v>
      </c>
      <c r="N140" s="757">
        <f t="shared" si="27"/>
        <v>11</v>
      </c>
      <c r="O140" s="757">
        <f t="shared" si="27"/>
        <v>12</v>
      </c>
      <c r="P140" s="757">
        <f t="shared" si="27"/>
        <v>13</v>
      </c>
      <c r="Q140" s="757">
        <f t="shared" si="27"/>
        <v>14</v>
      </c>
      <c r="R140" s="757">
        <f t="shared" si="27"/>
        <v>15</v>
      </c>
      <c r="S140" s="758">
        <f t="shared" si="27"/>
        <v>16</v>
      </c>
    </row>
    <row r="141" spans="2:19" ht="14.85" customHeight="1"/>
    <row r="142" spans="2:19" ht="14.85" customHeight="1">
      <c r="B142" s="328" t="str">
        <f>B112</f>
        <v>Series A</v>
      </c>
      <c r="D142" s="458" t="e">
        <f>D112/D$138</f>
        <v>#DIV/0!</v>
      </c>
      <c r="E142" s="458" t="e">
        <f t="shared" ref="E142:S142" si="28">E112/E$138</f>
        <v>#DIV/0!</v>
      </c>
      <c r="F142" s="458" t="e">
        <f t="shared" si="28"/>
        <v>#DIV/0!</v>
      </c>
      <c r="G142" s="458" t="e">
        <f t="shared" si="28"/>
        <v>#DIV/0!</v>
      </c>
      <c r="H142" s="458" t="e">
        <f t="shared" si="28"/>
        <v>#DIV/0!</v>
      </c>
      <c r="I142" s="458" t="e">
        <f t="shared" si="28"/>
        <v>#DIV/0!</v>
      </c>
      <c r="J142" s="458" t="e">
        <f t="shared" si="28"/>
        <v>#DIV/0!</v>
      </c>
      <c r="K142" s="458" t="e">
        <f t="shared" si="28"/>
        <v>#DIV/0!</v>
      </c>
      <c r="L142" s="458" t="e">
        <f t="shared" si="28"/>
        <v>#DIV/0!</v>
      </c>
      <c r="M142" s="458" t="e">
        <f t="shared" si="28"/>
        <v>#DIV/0!</v>
      </c>
      <c r="N142" s="458" t="e">
        <f t="shared" si="28"/>
        <v>#DIV/0!</v>
      </c>
      <c r="O142" s="458" t="e">
        <f t="shared" si="28"/>
        <v>#DIV/0!</v>
      </c>
      <c r="P142" s="458" t="e">
        <f t="shared" si="28"/>
        <v>#DIV/0!</v>
      </c>
      <c r="Q142" s="458" t="e">
        <f t="shared" si="28"/>
        <v>#DIV/0!</v>
      </c>
      <c r="R142" s="458" t="e">
        <f t="shared" si="28"/>
        <v>#DIV/0!</v>
      </c>
      <c r="S142" s="458" t="e">
        <f t="shared" si="28"/>
        <v>#DIV/0!</v>
      </c>
    </row>
    <row r="143" spans="2:19" ht="14.85" customHeight="1">
      <c r="B143" s="328" t="str">
        <f t="shared" ref="B143:B166" si="29">B113</f>
        <v>Series B</v>
      </c>
      <c r="D143" s="458" t="e">
        <f t="shared" ref="D143:S143" si="30">D113/D$138</f>
        <v>#DIV/0!</v>
      </c>
      <c r="E143" s="458" t="e">
        <f t="shared" si="30"/>
        <v>#DIV/0!</v>
      </c>
      <c r="F143" s="458" t="e">
        <f t="shared" si="30"/>
        <v>#DIV/0!</v>
      </c>
      <c r="G143" s="458" t="e">
        <f t="shared" si="30"/>
        <v>#DIV/0!</v>
      </c>
      <c r="H143" s="458" t="e">
        <f t="shared" si="30"/>
        <v>#DIV/0!</v>
      </c>
      <c r="I143" s="458" t="e">
        <f t="shared" si="30"/>
        <v>#DIV/0!</v>
      </c>
      <c r="J143" s="458" t="e">
        <f t="shared" si="30"/>
        <v>#DIV/0!</v>
      </c>
      <c r="K143" s="458" t="e">
        <f t="shared" si="30"/>
        <v>#DIV/0!</v>
      </c>
      <c r="L143" s="458" t="e">
        <f t="shared" si="30"/>
        <v>#DIV/0!</v>
      </c>
      <c r="M143" s="458" t="e">
        <f t="shared" si="30"/>
        <v>#DIV/0!</v>
      </c>
      <c r="N143" s="458" t="e">
        <f t="shared" si="30"/>
        <v>#DIV/0!</v>
      </c>
      <c r="O143" s="458" t="e">
        <f t="shared" si="30"/>
        <v>#DIV/0!</v>
      </c>
      <c r="P143" s="458" t="e">
        <f t="shared" si="30"/>
        <v>#DIV/0!</v>
      </c>
      <c r="Q143" s="458" t="e">
        <f t="shared" si="30"/>
        <v>#DIV/0!</v>
      </c>
      <c r="R143" s="458" t="e">
        <f t="shared" si="30"/>
        <v>#DIV/0!</v>
      </c>
      <c r="S143" s="458" t="e">
        <f t="shared" si="30"/>
        <v>#DIV/0!</v>
      </c>
    </row>
    <row r="144" spans="2:19" ht="14.85" customHeight="1">
      <c r="B144" s="328" t="str">
        <f t="shared" si="29"/>
        <v>Series C</v>
      </c>
      <c r="D144" s="458" t="e">
        <f t="shared" ref="D144:S144" si="31">D114/D$138</f>
        <v>#DIV/0!</v>
      </c>
      <c r="E144" s="458" t="e">
        <f t="shared" si="31"/>
        <v>#DIV/0!</v>
      </c>
      <c r="F144" s="458" t="e">
        <f t="shared" si="31"/>
        <v>#DIV/0!</v>
      </c>
      <c r="G144" s="458" t="e">
        <f t="shared" si="31"/>
        <v>#DIV/0!</v>
      </c>
      <c r="H144" s="458" t="e">
        <f t="shared" si="31"/>
        <v>#DIV/0!</v>
      </c>
      <c r="I144" s="458" t="e">
        <f t="shared" si="31"/>
        <v>#DIV/0!</v>
      </c>
      <c r="J144" s="458" t="e">
        <f t="shared" si="31"/>
        <v>#DIV/0!</v>
      </c>
      <c r="K144" s="458" t="e">
        <f t="shared" si="31"/>
        <v>#DIV/0!</v>
      </c>
      <c r="L144" s="458" t="e">
        <f t="shared" si="31"/>
        <v>#DIV/0!</v>
      </c>
      <c r="M144" s="458" t="e">
        <f t="shared" si="31"/>
        <v>#DIV/0!</v>
      </c>
      <c r="N144" s="458" t="e">
        <f t="shared" si="31"/>
        <v>#DIV/0!</v>
      </c>
      <c r="O144" s="458" t="e">
        <f t="shared" si="31"/>
        <v>#DIV/0!</v>
      </c>
      <c r="P144" s="458" t="e">
        <f t="shared" si="31"/>
        <v>#DIV/0!</v>
      </c>
      <c r="Q144" s="458" t="e">
        <f t="shared" si="31"/>
        <v>#DIV/0!</v>
      </c>
      <c r="R144" s="458" t="e">
        <f t="shared" si="31"/>
        <v>#DIV/0!</v>
      </c>
      <c r="S144" s="458" t="e">
        <f t="shared" si="31"/>
        <v>#DIV/0!</v>
      </c>
    </row>
    <row r="145" spans="2:19" ht="14.85" customHeight="1">
      <c r="B145" s="328" t="str">
        <f t="shared" si="29"/>
        <v>Series D</v>
      </c>
      <c r="D145" s="458" t="e">
        <f t="shared" ref="D145:S145" si="32">D115/D$138</f>
        <v>#DIV/0!</v>
      </c>
      <c r="E145" s="458" t="e">
        <f t="shared" si="32"/>
        <v>#DIV/0!</v>
      </c>
      <c r="F145" s="458" t="e">
        <f t="shared" si="32"/>
        <v>#DIV/0!</v>
      </c>
      <c r="G145" s="458" t="e">
        <f t="shared" si="32"/>
        <v>#DIV/0!</v>
      </c>
      <c r="H145" s="458" t="e">
        <f t="shared" si="32"/>
        <v>#DIV/0!</v>
      </c>
      <c r="I145" s="458" t="e">
        <f t="shared" si="32"/>
        <v>#DIV/0!</v>
      </c>
      <c r="J145" s="458" t="e">
        <f t="shared" si="32"/>
        <v>#DIV/0!</v>
      </c>
      <c r="K145" s="458" t="e">
        <f t="shared" si="32"/>
        <v>#DIV/0!</v>
      </c>
      <c r="L145" s="458" t="e">
        <f t="shared" si="32"/>
        <v>#DIV/0!</v>
      </c>
      <c r="M145" s="458" t="e">
        <f t="shared" si="32"/>
        <v>#DIV/0!</v>
      </c>
      <c r="N145" s="458" t="e">
        <f t="shared" si="32"/>
        <v>#DIV/0!</v>
      </c>
      <c r="O145" s="458" t="e">
        <f t="shared" si="32"/>
        <v>#DIV/0!</v>
      </c>
      <c r="P145" s="458" t="e">
        <f t="shared" si="32"/>
        <v>#DIV/0!</v>
      </c>
      <c r="Q145" s="458" t="e">
        <f t="shared" si="32"/>
        <v>#DIV/0!</v>
      </c>
      <c r="R145" s="458" t="e">
        <f t="shared" si="32"/>
        <v>#DIV/0!</v>
      </c>
      <c r="S145" s="458" t="e">
        <f t="shared" si="32"/>
        <v>#DIV/0!</v>
      </c>
    </row>
    <row r="146" spans="2:19" ht="14.85" customHeight="1">
      <c r="B146" s="328" t="str">
        <f t="shared" si="29"/>
        <v>Series E</v>
      </c>
      <c r="D146" s="458" t="e">
        <f t="shared" ref="D146:S146" si="33">D116/D$138</f>
        <v>#DIV/0!</v>
      </c>
      <c r="E146" s="458" t="e">
        <f t="shared" si="33"/>
        <v>#DIV/0!</v>
      </c>
      <c r="F146" s="458" t="e">
        <f t="shared" si="33"/>
        <v>#DIV/0!</v>
      </c>
      <c r="G146" s="458" t="e">
        <f t="shared" si="33"/>
        <v>#DIV/0!</v>
      </c>
      <c r="H146" s="458" t="e">
        <f t="shared" si="33"/>
        <v>#DIV/0!</v>
      </c>
      <c r="I146" s="458" t="e">
        <f t="shared" si="33"/>
        <v>#DIV/0!</v>
      </c>
      <c r="J146" s="458" t="e">
        <f t="shared" si="33"/>
        <v>#DIV/0!</v>
      </c>
      <c r="K146" s="458" t="e">
        <f t="shared" si="33"/>
        <v>#DIV/0!</v>
      </c>
      <c r="L146" s="458" t="e">
        <f t="shared" si="33"/>
        <v>#DIV/0!</v>
      </c>
      <c r="M146" s="458" t="e">
        <f t="shared" si="33"/>
        <v>#DIV/0!</v>
      </c>
      <c r="N146" s="458" t="e">
        <f t="shared" si="33"/>
        <v>#DIV/0!</v>
      </c>
      <c r="O146" s="458" t="e">
        <f t="shared" si="33"/>
        <v>#DIV/0!</v>
      </c>
      <c r="P146" s="458" t="e">
        <f t="shared" si="33"/>
        <v>#DIV/0!</v>
      </c>
      <c r="Q146" s="458" t="e">
        <f t="shared" si="33"/>
        <v>#DIV/0!</v>
      </c>
      <c r="R146" s="458" t="e">
        <f t="shared" si="33"/>
        <v>#DIV/0!</v>
      </c>
      <c r="S146" s="458" t="e">
        <f t="shared" si="33"/>
        <v>#DIV/0!</v>
      </c>
    </row>
    <row r="147" spans="2:19" ht="14.85" customHeight="1">
      <c r="B147" s="328" t="str">
        <f t="shared" si="29"/>
        <v>Series F</v>
      </c>
      <c r="D147" s="458" t="e">
        <f t="shared" ref="D147:S147" si="34">D117/D$138</f>
        <v>#DIV/0!</v>
      </c>
      <c r="E147" s="458" t="e">
        <f t="shared" si="34"/>
        <v>#DIV/0!</v>
      </c>
      <c r="F147" s="458" t="e">
        <f t="shared" si="34"/>
        <v>#DIV/0!</v>
      </c>
      <c r="G147" s="458" t="e">
        <f t="shared" si="34"/>
        <v>#DIV/0!</v>
      </c>
      <c r="H147" s="458" t="e">
        <f t="shared" si="34"/>
        <v>#DIV/0!</v>
      </c>
      <c r="I147" s="458" t="e">
        <f t="shared" si="34"/>
        <v>#DIV/0!</v>
      </c>
      <c r="J147" s="458" t="e">
        <f t="shared" si="34"/>
        <v>#DIV/0!</v>
      </c>
      <c r="K147" s="458" t="e">
        <f t="shared" si="34"/>
        <v>#DIV/0!</v>
      </c>
      <c r="L147" s="458" t="e">
        <f t="shared" si="34"/>
        <v>#DIV/0!</v>
      </c>
      <c r="M147" s="458" t="e">
        <f t="shared" si="34"/>
        <v>#DIV/0!</v>
      </c>
      <c r="N147" s="458" t="e">
        <f t="shared" si="34"/>
        <v>#DIV/0!</v>
      </c>
      <c r="O147" s="458" t="e">
        <f t="shared" si="34"/>
        <v>#DIV/0!</v>
      </c>
      <c r="P147" s="458" t="e">
        <f t="shared" si="34"/>
        <v>#DIV/0!</v>
      </c>
      <c r="Q147" s="458" t="e">
        <f t="shared" si="34"/>
        <v>#DIV/0!</v>
      </c>
      <c r="R147" s="458" t="e">
        <f t="shared" si="34"/>
        <v>#DIV/0!</v>
      </c>
      <c r="S147" s="458" t="e">
        <f t="shared" si="34"/>
        <v>#DIV/0!</v>
      </c>
    </row>
    <row r="148" spans="2:19" ht="14.85" customHeight="1">
      <c r="B148" s="328" t="str">
        <f t="shared" si="29"/>
        <v>Series G</v>
      </c>
      <c r="D148" s="458" t="e">
        <f t="shared" ref="D148:S148" si="35">D118/D$138</f>
        <v>#DIV/0!</v>
      </c>
      <c r="E148" s="458" t="e">
        <f t="shared" si="35"/>
        <v>#DIV/0!</v>
      </c>
      <c r="F148" s="458" t="e">
        <f t="shared" si="35"/>
        <v>#DIV/0!</v>
      </c>
      <c r="G148" s="458" t="e">
        <f t="shared" si="35"/>
        <v>#DIV/0!</v>
      </c>
      <c r="H148" s="458" t="e">
        <f t="shared" si="35"/>
        <v>#DIV/0!</v>
      </c>
      <c r="I148" s="458" t="e">
        <f t="shared" si="35"/>
        <v>#DIV/0!</v>
      </c>
      <c r="J148" s="458" t="e">
        <f t="shared" si="35"/>
        <v>#DIV/0!</v>
      </c>
      <c r="K148" s="458" t="e">
        <f t="shared" si="35"/>
        <v>#DIV/0!</v>
      </c>
      <c r="L148" s="458" t="e">
        <f t="shared" si="35"/>
        <v>#DIV/0!</v>
      </c>
      <c r="M148" s="458" t="e">
        <f t="shared" si="35"/>
        <v>#DIV/0!</v>
      </c>
      <c r="N148" s="458" t="e">
        <f t="shared" si="35"/>
        <v>#DIV/0!</v>
      </c>
      <c r="O148" s="458" t="e">
        <f t="shared" si="35"/>
        <v>#DIV/0!</v>
      </c>
      <c r="P148" s="458" t="e">
        <f t="shared" si="35"/>
        <v>#DIV/0!</v>
      </c>
      <c r="Q148" s="458" t="e">
        <f t="shared" si="35"/>
        <v>#DIV/0!</v>
      </c>
      <c r="R148" s="458" t="e">
        <f t="shared" si="35"/>
        <v>#DIV/0!</v>
      </c>
      <c r="S148" s="458" t="e">
        <f t="shared" si="35"/>
        <v>#DIV/0!</v>
      </c>
    </row>
    <row r="149" spans="2:19" ht="14.85" customHeight="1">
      <c r="B149" s="328" t="str">
        <f t="shared" si="29"/>
        <v>Series A Warrants</v>
      </c>
      <c r="D149" s="458" t="e">
        <f t="shared" ref="D149:S149" si="36">D119/D$138</f>
        <v>#DIV/0!</v>
      </c>
      <c r="E149" s="458" t="e">
        <f t="shared" si="36"/>
        <v>#DIV/0!</v>
      </c>
      <c r="F149" s="458" t="e">
        <f t="shared" si="36"/>
        <v>#DIV/0!</v>
      </c>
      <c r="G149" s="458" t="e">
        <f t="shared" si="36"/>
        <v>#DIV/0!</v>
      </c>
      <c r="H149" s="458" t="e">
        <f t="shared" si="36"/>
        <v>#DIV/0!</v>
      </c>
      <c r="I149" s="458" t="e">
        <f t="shared" si="36"/>
        <v>#DIV/0!</v>
      </c>
      <c r="J149" s="458" t="e">
        <f t="shared" si="36"/>
        <v>#DIV/0!</v>
      </c>
      <c r="K149" s="458" t="e">
        <f t="shared" si="36"/>
        <v>#DIV/0!</v>
      </c>
      <c r="L149" s="458" t="e">
        <f t="shared" si="36"/>
        <v>#DIV/0!</v>
      </c>
      <c r="M149" s="458" t="e">
        <f t="shared" si="36"/>
        <v>#DIV/0!</v>
      </c>
      <c r="N149" s="458" t="e">
        <f t="shared" si="36"/>
        <v>#DIV/0!</v>
      </c>
      <c r="O149" s="458" t="e">
        <f t="shared" si="36"/>
        <v>#DIV/0!</v>
      </c>
      <c r="P149" s="458" t="e">
        <f t="shared" si="36"/>
        <v>#DIV/0!</v>
      </c>
      <c r="Q149" s="458" t="e">
        <f t="shared" si="36"/>
        <v>#DIV/0!</v>
      </c>
      <c r="R149" s="458" t="e">
        <f t="shared" si="36"/>
        <v>#DIV/0!</v>
      </c>
      <c r="S149" s="458" t="e">
        <f t="shared" si="36"/>
        <v>#DIV/0!</v>
      </c>
    </row>
    <row r="150" spans="2:19" ht="14.85" customHeight="1">
      <c r="B150" s="328" t="str">
        <f t="shared" si="29"/>
        <v>Series B Warrants</v>
      </c>
      <c r="D150" s="458" t="e">
        <f t="shared" ref="D150:S150" si="37">D120/D$138</f>
        <v>#DIV/0!</v>
      </c>
      <c r="E150" s="458" t="e">
        <f t="shared" si="37"/>
        <v>#DIV/0!</v>
      </c>
      <c r="F150" s="458" t="e">
        <f t="shared" si="37"/>
        <v>#DIV/0!</v>
      </c>
      <c r="G150" s="458" t="e">
        <f t="shared" si="37"/>
        <v>#DIV/0!</v>
      </c>
      <c r="H150" s="458" t="e">
        <f t="shared" si="37"/>
        <v>#DIV/0!</v>
      </c>
      <c r="I150" s="458" t="e">
        <f t="shared" si="37"/>
        <v>#DIV/0!</v>
      </c>
      <c r="J150" s="458" t="e">
        <f t="shared" si="37"/>
        <v>#DIV/0!</v>
      </c>
      <c r="K150" s="458" t="e">
        <f t="shared" si="37"/>
        <v>#DIV/0!</v>
      </c>
      <c r="L150" s="458" t="e">
        <f t="shared" si="37"/>
        <v>#DIV/0!</v>
      </c>
      <c r="M150" s="458" t="e">
        <f t="shared" si="37"/>
        <v>#DIV/0!</v>
      </c>
      <c r="N150" s="458" t="e">
        <f t="shared" si="37"/>
        <v>#DIV/0!</v>
      </c>
      <c r="O150" s="458" t="e">
        <f t="shared" si="37"/>
        <v>#DIV/0!</v>
      </c>
      <c r="P150" s="458" t="e">
        <f t="shared" si="37"/>
        <v>#DIV/0!</v>
      </c>
      <c r="Q150" s="458" t="e">
        <f t="shared" si="37"/>
        <v>#DIV/0!</v>
      </c>
      <c r="R150" s="458" t="e">
        <f t="shared" si="37"/>
        <v>#DIV/0!</v>
      </c>
      <c r="S150" s="458" t="e">
        <f t="shared" si="37"/>
        <v>#DIV/0!</v>
      </c>
    </row>
    <row r="151" spans="2:19" ht="14.85" customHeight="1">
      <c r="B151" s="328" t="str">
        <f t="shared" si="29"/>
        <v>Series C Warrants</v>
      </c>
      <c r="D151" s="458" t="e">
        <f t="shared" ref="D151:S151" si="38">D121/D$138</f>
        <v>#DIV/0!</v>
      </c>
      <c r="E151" s="458" t="e">
        <f t="shared" si="38"/>
        <v>#DIV/0!</v>
      </c>
      <c r="F151" s="458" t="e">
        <f t="shared" si="38"/>
        <v>#DIV/0!</v>
      </c>
      <c r="G151" s="458" t="e">
        <f t="shared" si="38"/>
        <v>#DIV/0!</v>
      </c>
      <c r="H151" s="458" t="e">
        <f t="shared" si="38"/>
        <v>#DIV/0!</v>
      </c>
      <c r="I151" s="458" t="e">
        <f t="shared" si="38"/>
        <v>#DIV/0!</v>
      </c>
      <c r="J151" s="458" t="e">
        <f t="shared" si="38"/>
        <v>#DIV/0!</v>
      </c>
      <c r="K151" s="458" t="e">
        <f t="shared" si="38"/>
        <v>#DIV/0!</v>
      </c>
      <c r="L151" s="458" t="e">
        <f t="shared" si="38"/>
        <v>#DIV/0!</v>
      </c>
      <c r="M151" s="458" t="e">
        <f t="shared" si="38"/>
        <v>#DIV/0!</v>
      </c>
      <c r="N151" s="458" t="e">
        <f t="shared" si="38"/>
        <v>#DIV/0!</v>
      </c>
      <c r="O151" s="458" t="e">
        <f t="shared" si="38"/>
        <v>#DIV/0!</v>
      </c>
      <c r="P151" s="458" t="e">
        <f t="shared" si="38"/>
        <v>#DIV/0!</v>
      </c>
      <c r="Q151" s="458" t="e">
        <f t="shared" si="38"/>
        <v>#DIV/0!</v>
      </c>
      <c r="R151" s="458" t="e">
        <f t="shared" si="38"/>
        <v>#DIV/0!</v>
      </c>
      <c r="S151" s="458" t="e">
        <f t="shared" si="38"/>
        <v>#DIV/0!</v>
      </c>
    </row>
    <row r="152" spans="2:19" ht="14.85" customHeight="1">
      <c r="B152" s="328" t="str">
        <f t="shared" si="29"/>
        <v>Series D Warrants</v>
      </c>
      <c r="D152" s="458" t="e">
        <f t="shared" ref="D152:S152" si="39">D122/D$138</f>
        <v>#DIV/0!</v>
      </c>
      <c r="E152" s="458" t="e">
        <f t="shared" si="39"/>
        <v>#DIV/0!</v>
      </c>
      <c r="F152" s="458" t="e">
        <f t="shared" si="39"/>
        <v>#DIV/0!</v>
      </c>
      <c r="G152" s="458" t="e">
        <f t="shared" si="39"/>
        <v>#DIV/0!</v>
      </c>
      <c r="H152" s="458" t="e">
        <f t="shared" si="39"/>
        <v>#DIV/0!</v>
      </c>
      <c r="I152" s="458" t="e">
        <f t="shared" si="39"/>
        <v>#DIV/0!</v>
      </c>
      <c r="J152" s="458" t="e">
        <f t="shared" si="39"/>
        <v>#DIV/0!</v>
      </c>
      <c r="K152" s="458" t="e">
        <f t="shared" si="39"/>
        <v>#DIV/0!</v>
      </c>
      <c r="L152" s="458" t="e">
        <f t="shared" si="39"/>
        <v>#DIV/0!</v>
      </c>
      <c r="M152" s="458" t="e">
        <f t="shared" si="39"/>
        <v>#DIV/0!</v>
      </c>
      <c r="N152" s="458" t="e">
        <f t="shared" si="39"/>
        <v>#DIV/0!</v>
      </c>
      <c r="O152" s="458" t="e">
        <f t="shared" si="39"/>
        <v>#DIV/0!</v>
      </c>
      <c r="P152" s="458" t="e">
        <f t="shared" si="39"/>
        <v>#DIV/0!</v>
      </c>
      <c r="Q152" s="458" t="e">
        <f t="shared" si="39"/>
        <v>#DIV/0!</v>
      </c>
      <c r="R152" s="458" t="e">
        <f t="shared" si="39"/>
        <v>#DIV/0!</v>
      </c>
      <c r="S152" s="458" t="e">
        <f t="shared" si="39"/>
        <v>#DIV/0!</v>
      </c>
    </row>
    <row r="153" spans="2:19" ht="14.85" customHeight="1">
      <c r="B153" s="328" t="str">
        <f t="shared" si="29"/>
        <v>Series E Warrants</v>
      </c>
      <c r="D153" s="458" t="e">
        <f t="shared" ref="D153:S153" si="40">D123/D$138</f>
        <v>#DIV/0!</v>
      </c>
      <c r="E153" s="458" t="e">
        <f t="shared" si="40"/>
        <v>#DIV/0!</v>
      </c>
      <c r="F153" s="458" t="e">
        <f t="shared" si="40"/>
        <v>#DIV/0!</v>
      </c>
      <c r="G153" s="458" t="e">
        <f t="shared" si="40"/>
        <v>#DIV/0!</v>
      </c>
      <c r="H153" s="458" t="e">
        <f t="shared" si="40"/>
        <v>#DIV/0!</v>
      </c>
      <c r="I153" s="458" t="e">
        <f t="shared" si="40"/>
        <v>#DIV/0!</v>
      </c>
      <c r="J153" s="458" t="e">
        <f t="shared" si="40"/>
        <v>#DIV/0!</v>
      </c>
      <c r="K153" s="458" t="e">
        <f t="shared" si="40"/>
        <v>#DIV/0!</v>
      </c>
      <c r="L153" s="458" t="e">
        <f t="shared" si="40"/>
        <v>#DIV/0!</v>
      </c>
      <c r="M153" s="458" t="e">
        <f t="shared" si="40"/>
        <v>#DIV/0!</v>
      </c>
      <c r="N153" s="458" t="e">
        <f t="shared" si="40"/>
        <v>#DIV/0!</v>
      </c>
      <c r="O153" s="458" t="e">
        <f t="shared" si="40"/>
        <v>#DIV/0!</v>
      </c>
      <c r="P153" s="458" t="e">
        <f t="shared" si="40"/>
        <v>#DIV/0!</v>
      </c>
      <c r="Q153" s="458" t="e">
        <f t="shared" si="40"/>
        <v>#DIV/0!</v>
      </c>
      <c r="R153" s="458" t="e">
        <f t="shared" si="40"/>
        <v>#DIV/0!</v>
      </c>
      <c r="S153" s="458" t="e">
        <f t="shared" si="40"/>
        <v>#DIV/0!</v>
      </c>
    </row>
    <row r="154" spans="2:19" ht="14.85" customHeight="1">
      <c r="B154" s="328" t="str">
        <f t="shared" si="29"/>
        <v>Series F Warrants</v>
      </c>
      <c r="D154" s="458" t="e">
        <f t="shared" ref="D154:S154" si="41">D124/D$138</f>
        <v>#DIV/0!</v>
      </c>
      <c r="E154" s="458" t="e">
        <f t="shared" si="41"/>
        <v>#DIV/0!</v>
      </c>
      <c r="F154" s="458" t="e">
        <f t="shared" si="41"/>
        <v>#DIV/0!</v>
      </c>
      <c r="G154" s="458" t="e">
        <f t="shared" si="41"/>
        <v>#DIV/0!</v>
      </c>
      <c r="H154" s="458" t="e">
        <f t="shared" si="41"/>
        <v>#DIV/0!</v>
      </c>
      <c r="I154" s="458" t="e">
        <f t="shared" si="41"/>
        <v>#DIV/0!</v>
      </c>
      <c r="J154" s="458" t="e">
        <f t="shared" si="41"/>
        <v>#DIV/0!</v>
      </c>
      <c r="K154" s="458" t="e">
        <f t="shared" si="41"/>
        <v>#DIV/0!</v>
      </c>
      <c r="L154" s="458" t="e">
        <f t="shared" si="41"/>
        <v>#DIV/0!</v>
      </c>
      <c r="M154" s="458" t="e">
        <f t="shared" si="41"/>
        <v>#DIV/0!</v>
      </c>
      <c r="N154" s="458" t="e">
        <f t="shared" si="41"/>
        <v>#DIV/0!</v>
      </c>
      <c r="O154" s="458" t="e">
        <f t="shared" si="41"/>
        <v>#DIV/0!</v>
      </c>
      <c r="P154" s="458" t="e">
        <f t="shared" si="41"/>
        <v>#DIV/0!</v>
      </c>
      <c r="Q154" s="458" t="e">
        <f t="shared" si="41"/>
        <v>#DIV/0!</v>
      </c>
      <c r="R154" s="458" t="e">
        <f t="shared" si="41"/>
        <v>#DIV/0!</v>
      </c>
      <c r="S154" s="458" t="e">
        <f t="shared" si="41"/>
        <v>#DIV/0!</v>
      </c>
    </row>
    <row r="155" spans="2:19" ht="14.85" customHeight="1">
      <c r="B155" s="328" t="str">
        <f t="shared" si="29"/>
        <v>Series G Warrants</v>
      </c>
      <c r="D155" s="458" t="e">
        <f t="shared" ref="D155:S155" si="42">D125/D$138</f>
        <v>#DIV/0!</v>
      </c>
      <c r="E155" s="458" t="e">
        <f t="shared" si="42"/>
        <v>#DIV/0!</v>
      </c>
      <c r="F155" s="458" t="e">
        <f t="shared" si="42"/>
        <v>#DIV/0!</v>
      </c>
      <c r="G155" s="458" t="e">
        <f t="shared" si="42"/>
        <v>#DIV/0!</v>
      </c>
      <c r="H155" s="458" t="e">
        <f t="shared" si="42"/>
        <v>#DIV/0!</v>
      </c>
      <c r="I155" s="458" t="e">
        <f t="shared" si="42"/>
        <v>#DIV/0!</v>
      </c>
      <c r="J155" s="458" t="e">
        <f t="shared" si="42"/>
        <v>#DIV/0!</v>
      </c>
      <c r="K155" s="458" t="e">
        <f t="shared" si="42"/>
        <v>#DIV/0!</v>
      </c>
      <c r="L155" s="458" t="e">
        <f t="shared" si="42"/>
        <v>#DIV/0!</v>
      </c>
      <c r="M155" s="458" t="e">
        <f t="shared" si="42"/>
        <v>#DIV/0!</v>
      </c>
      <c r="N155" s="458" t="e">
        <f t="shared" si="42"/>
        <v>#DIV/0!</v>
      </c>
      <c r="O155" s="458" t="e">
        <f t="shared" si="42"/>
        <v>#DIV/0!</v>
      </c>
      <c r="P155" s="458" t="e">
        <f t="shared" si="42"/>
        <v>#DIV/0!</v>
      </c>
      <c r="Q155" s="458" t="e">
        <f t="shared" si="42"/>
        <v>#DIV/0!</v>
      </c>
      <c r="R155" s="458" t="e">
        <f t="shared" si="42"/>
        <v>#DIV/0!</v>
      </c>
      <c r="S155" s="458" t="e">
        <f t="shared" si="42"/>
        <v>#DIV/0!</v>
      </c>
    </row>
    <row r="156" spans="2:19" ht="14.85" customHeight="1">
      <c r="B156" s="328" t="str">
        <f t="shared" si="29"/>
        <v>Options/Warrants at $2.00 Strike Price</v>
      </c>
      <c r="D156" s="458" t="e">
        <f t="shared" ref="D156:S156" si="43">D126/D$138</f>
        <v>#DIV/0!</v>
      </c>
      <c r="E156" s="458" t="e">
        <f t="shared" si="43"/>
        <v>#DIV/0!</v>
      </c>
      <c r="F156" s="458" t="e">
        <f t="shared" si="43"/>
        <v>#DIV/0!</v>
      </c>
      <c r="G156" s="458" t="e">
        <f t="shared" si="43"/>
        <v>#DIV/0!</v>
      </c>
      <c r="H156" s="458" t="e">
        <f t="shared" si="43"/>
        <v>#DIV/0!</v>
      </c>
      <c r="I156" s="458" t="e">
        <f t="shared" si="43"/>
        <v>#DIV/0!</v>
      </c>
      <c r="J156" s="458" t="e">
        <f t="shared" si="43"/>
        <v>#DIV/0!</v>
      </c>
      <c r="K156" s="458" t="e">
        <f t="shared" si="43"/>
        <v>#DIV/0!</v>
      </c>
      <c r="L156" s="458" t="e">
        <f t="shared" si="43"/>
        <v>#DIV/0!</v>
      </c>
      <c r="M156" s="458" t="e">
        <f t="shared" si="43"/>
        <v>#DIV/0!</v>
      </c>
      <c r="N156" s="458" t="e">
        <f t="shared" si="43"/>
        <v>#DIV/0!</v>
      </c>
      <c r="O156" s="458" t="e">
        <f t="shared" si="43"/>
        <v>#DIV/0!</v>
      </c>
      <c r="P156" s="458" t="e">
        <f t="shared" si="43"/>
        <v>#DIV/0!</v>
      </c>
      <c r="Q156" s="458" t="e">
        <f t="shared" si="43"/>
        <v>#DIV/0!</v>
      </c>
      <c r="R156" s="458" t="e">
        <f t="shared" si="43"/>
        <v>#DIV/0!</v>
      </c>
      <c r="S156" s="458" t="e">
        <f t="shared" si="43"/>
        <v>#DIV/0!</v>
      </c>
    </row>
    <row r="157" spans="2:19" ht="14.85" customHeight="1">
      <c r="B157" s="328" t="str">
        <f t="shared" si="29"/>
        <v>Options/Warrants at $0.00 Strike Price</v>
      </c>
      <c r="D157" s="458" t="e">
        <f t="shared" ref="D157:S157" si="44">D127/D$138</f>
        <v>#DIV/0!</v>
      </c>
      <c r="E157" s="458" t="e">
        <f t="shared" si="44"/>
        <v>#DIV/0!</v>
      </c>
      <c r="F157" s="458" t="e">
        <f t="shared" si="44"/>
        <v>#DIV/0!</v>
      </c>
      <c r="G157" s="458" t="e">
        <f t="shared" si="44"/>
        <v>#DIV/0!</v>
      </c>
      <c r="H157" s="458" t="e">
        <f t="shared" si="44"/>
        <v>#DIV/0!</v>
      </c>
      <c r="I157" s="458" t="e">
        <f t="shared" si="44"/>
        <v>#DIV/0!</v>
      </c>
      <c r="J157" s="458" t="e">
        <f t="shared" si="44"/>
        <v>#DIV/0!</v>
      </c>
      <c r="K157" s="458" t="e">
        <f t="shared" si="44"/>
        <v>#DIV/0!</v>
      </c>
      <c r="L157" s="458" t="e">
        <f t="shared" si="44"/>
        <v>#DIV/0!</v>
      </c>
      <c r="M157" s="458" t="e">
        <f t="shared" si="44"/>
        <v>#DIV/0!</v>
      </c>
      <c r="N157" s="458" t="e">
        <f t="shared" si="44"/>
        <v>#DIV/0!</v>
      </c>
      <c r="O157" s="458" t="e">
        <f t="shared" si="44"/>
        <v>#DIV/0!</v>
      </c>
      <c r="P157" s="458" t="e">
        <f t="shared" si="44"/>
        <v>#DIV/0!</v>
      </c>
      <c r="Q157" s="458" t="e">
        <f t="shared" si="44"/>
        <v>#DIV/0!</v>
      </c>
      <c r="R157" s="458" t="e">
        <f t="shared" si="44"/>
        <v>#DIV/0!</v>
      </c>
      <c r="S157" s="458" t="e">
        <f t="shared" si="44"/>
        <v>#DIV/0!</v>
      </c>
    </row>
    <row r="158" spans="2:19" ht="14.85" customHeight="1">
      <c r="B158" s="328" t="str">
        <f t="shared" si="29"/>
        <v>Options/Warrants at $0.00 Strike Price</v>
      </c>
      <c r="D158" s="458" t="e">
        <f t="shared" ref="D158:S158" si="45">D128/D$138</f>
        <v>#DIV/0!</v>
      </c>
      <c r="E158" s="458" t="e">
        <f t="shared" si="45"/>
        <v>#DIV/0!</v>
      </c>
      <c r="F158" s="458" t="e">
        <f t="shared" si="45"/>
        <v>#DIV/0!</v>
      </c>
      <c r="G158" s="458" t="e">
        <f t="shared" si="45"/>
        <v>#DIV/0!</v>
      </c>
      <c r="H158" s="458" t="e">
        <f t="shared" si="45"/>
        <v>#DIV/0!</v>
      </c>
      <c r="I158" s="458" t="e">
        <f t="shared" si="45"/>
        <v>#DIV/0!</v>
      </c>
      <c r="J158" s="458" t="e">
        <f t="shared" si="45"/>
        <v>#DIV/0!</v>
      </c>
      <c r="K158" s="458" t="e">
        <f t="shared" si="45"/>
        <v>#DIV/0!</v>
      </c>
      <c r="L158" s="458" t="e">
        <f t="shared" si="45"/>
        <v>#DIV/0!</v>
      </c>
      <c r="M158" s="458" t="e">
        <f t="shared" si="45"/>
        <v>#DIV/0!</v>
      </c>
      <c r="N158" s="458" t="e">
        <f t="shared" si="45"/>
        <v>#DIV/0!</v>
      </c>
      <c r="O158" s="458" t="e">
        <f t="shared" si="45"/>
        <v>#DIV/0!</v>
      </c>
      <c r="P158" s="458" t="e">
        <f t="shared" si="45"/>
        <v>#DIV/0!</v>
      </c>
      <c r="Q158" s="458" t="e">
        <f t="shared" si="45"/>
        <v>#DIV/0!</v>
      </c>
      <c r="R158" s="458" t="e">
        <f t="shared" si="45"/>
        <v>#DIV/0!</v>
      </c>
      <c r="S158" s="458" t="e">
        <f t="shared" si="45"/>
        <v>#DIV/0!</v>
      </c>
    </row>
    <row r="159" spans="2:19" ht="14.85" customHeight="1">
      <c r="B159" s="328" t="str">
        <f t="shared" si="29"/>
        <v>Options/Warrants at $0.00 Strike Price</v>
      </c>
      <c r="D159" s="458" t="e">
        <f t="shared" ref="D159:S159" si="46">D129/D$138</f>
        <v>#DIV/0!</v>
      </c>
      <c r="E159" s="458" t="e">
        <f t="shared" si="46"/>
        <v>#DIV/0!</v>
      </c>
      <c r="F159" s="458" t="e">
        <f t="shared" si="46"/>
        <v>#DIV/0!</v>
      </c>
      <c r="G159" s="458" t="e">
        <f t="shared" si="46"/>
        <v>#DIV/0!</v>
      </c>
      <c r="H159" s="458" t="e">
        <f t="shared" si="46"/>
        <v>#DIV/0!</v>
      </c>
      <c r="I159" s="458" t="e">
        <f t="shared" si="46"/>
        <v>#DIV/0!</v>
      </c>
      <c r="J159" s="458" t="e">
        <f t="shared" si="46"/>
        <v>#DIV/0!</v>
      </c>
      <c r="K159" s="458" t="e">
        <f t="shared" si="46"/>
        <v>#DIV/0!</v>
      </c>
      <c r="L159" s="458" t="e">
        <f t="shared" si="46"/>
        <v>#DIV/0!</v>
      </c>
      <c r="M159" s="458" t="e">
        <f t="shared" si="46"/>
        <v>#DIV/0!</v>
      </c>
      <c r="N159" s="458" t="e">
        <f t="shared" si="46"/>
        <v>#DIV/0!</v>
      </c>
      <c r="O159" s="458" t="e">
        <f t="shared" si="46"/>
        <v>#DIV/0!</v>
      </c>
      <c r="P159" s="458" t="e">
        <f t="shared" si="46"/>
        <v>#DIV/0!</v>
      </c>
      <c r="Q159" s="458" t="e">
        <f t="shared" si="46"/>
        <v>#DIV/0!</v>
      </c>
      <c r="R159" s="458" t="e">
        <f t="shared" si="46"/>
        <v>#DIV/0!</v>
      </c>
      <c r="S159" s="458" t="e">
        <f t="shared" si="46"/>
        <v>#DIV/0!</v>
      </c>
    </row>
    <row r="160" spans="2:19" ht="14.85" customHeight="1">
      <c r="B160" s="328" t="str">
        <f t="shared" si="29"/>
        <v>Options/Warrants at $0.00 Strike Price</v>
      </c>
      <c r="D160" s="458" t="e">
        <f t="shared" ref="D160:S160" si="47">D130/D$138</f>
        <v>#DIV/0!</v>
      </c>
      <c r="E160" s="458" t="e">
        <f t="shared" si="47"/>
        <v>#DIV/0!</v>
      </c>
      <c r="F160" s="458" t="e">
        <f t="shared" si="47"/>
        <v>#DIV/0!</v>
      </c>
      <c r="G160" s="458" t="e">
        <f t="shared" si="47"/>
        <v>#DIV/0!</v>
      </c>
      <c r="H160" s="458" t="e">
        <f t="shared" si="47"/>
        <v>#DIV/0!</v>
      </c>
      <c r="I160" s="458" t="e">
        <f t="shared" si="47"/>
        <v>#DIV/0!</v>
      </c>
      <c r="J160" s="458" t="e">
        <f t="shared" si="47"/>
        <v>#DIV/0!</v>
      </c>
      <c r="K160" s="458" t="e">
        <f t="shared" si="47"/>
        <v>#DIV/0!</v>
      </c>
      <c r="L160" s="458" t="e">
        <f t="shared" si="47"/>
        <v>#DIV/0!</v>
      </c>
      <c r="M160" s="458" t="e">
        <f t="shared" si="47"/>
        <v>#DIV/0!</v>
      </c>
      <c r="N160" s="458" t="e">
        <f t="shared" si="47"/>
        <v>#DIV/0!</v>
      </c>
      <c r="O160" s="458" t="e">
        <f t="shared" si="47"/>
        <v>#DIV/0!</v>
      </c>
      <c r="P160" s="458" t="e">
        <f t="shared" si="47"/>
        <v>#DIV/0!</v>
      </c>
      <c r="Q160" s="458" t="e">
        <f t="shared" si="47"/>
        <v>#DIV/0!</v>
      </c>
      <c r="R160" s="458" t="e">
        <f t="shared" si="47"/>
        <v>#DIV/0!</v>
      </c>
      <c r="S160" s="458" t="e">
        <f t="shared" si="47"/>
        <v>#DIV/0!</v>
      </c>
    </row>
    <row r="161" spans="2:23" ht="14.85" customHeight="1">
      <c r="B161" s="328" t="str">
        <f t="shared" si="29"/>
        <v>Options/Warrants at $0.00 Strike Price</v>
      </c>
      <c r="D161" s="458" t="e">
        <f t="shared" ref="D161:S161" si="48">D131/D$138</f>
        <v>#DIV/0!</v>
      </c>
      <c r="E161" s="458" t="e">
        <f t="shared" si="48"/>
        <v>#DIV/0!</v>
      </c>
      <c r="F161" s="458" t="e">
        <f t="shared" si="48"/>
        <v>#DIV/0!</v>
      </c>
      <c r="G161" s="458" t="e">
        <f t="shared" si="48"/>
        <v>#DIV/0!</v>
      </c>
      <c r="H161" s="458" t="e">
        <f t="shared" si="48"/>
        <v>#DIV/0!</v>
      </c>
      <c r="I161" s="458" t="e">
        <f t="shared" si="48"/>
        <v>#DIV/0!</v>
      </c>
      <c r="J161" s="458" t="e">
        <f t="shared" si="48"/>
        <v>#DIV/0!</v>
      </c>
      <c r="K161" s="458" t="e">
        <f t="shared" si="48"/>
        <v>#DIV/0!</v>
      </c>
      <c r="L161" s="458" t="e">
        <f t="shared" si="48"/>
        <v>#DIV/0!</v>
      </c>
      <c r="M161" s="458" t="e">
        <f t="shared" si="48"/>
        <v>#DIV/0!</v>
      </c>
      <c r="N161" s="458" t="e">
        <f t="shared" si="48"/>
        <v>#DIV/0!</v>
      </c>
      <c r="O161" s="458" t="e">
        <f t="shared" si="48"/>
        <v>#DIV/0!</v>
      </c>
      <c r="P161" s="458" t="e">
        <f t="shared" si="48"/>
        <v>#DIV/0!</v>
      </c>
      <c r="Q161" s="458" t="e">
        <f t="shared" si="48"/>
        <v>#DIV/0!</v>
      </c>
      <c r="R161" s="458" t="e">
        <f t="shared" si="48"/>
        <v>#DIV/0!</v>
      </c>
      <c r="S161" s="458" t="e">
        <f t="shared" si="48"/>
        <v>#DIV/0!</v>
      </c>
    </row>
    <row r="162" spans="2:23" ht="14.85" customHeight="1">
      <c r="B162" s="328" t="str">
        <f t="shared" si="29"/>
        <v>Options/Warrants at $0.00 Strike Price</v>
      </c>
      <c r="D162" s="458" t="e">
        <f t="shared" ref="D162:S162" si="49">D132/D$138</f>
        <v>#DIV/0!</v>
      </c>
      <c r="E162" s="458" t="e">
        <f t="shared" si="49"/>
        <v>#DIV/0!</v>
      </c>
      <c r="F162" s="458" t="e">
        <f t="shared" si="49"/>
        <v>#DIV/0!</v>
      </c>
      <c r="G162" s="458" t="e">
        <f t="shared" si="49"/>
        <v>#DIV/0!</v>
      </c>
      <c r="H162" s="458" t="e">
        <f t="shared" si="49"/>
        <v>#DIV/0!</v>
      </c>
      <c r="I162" s="458" t="e">
        <f t="shared" si="49"/>
        <v>#DIV/0!</v>
      </c>
      <c r="J162" s="458" t="e">
        <f t="shared" si="49"/>
        <v>#DIV/0!</v>
      </c>
      <c r="K162" s="458" t="e">
        <f t="shared" si="49"/>
        <v>#DIV/0!</v>
      </c>
      <c r="L162" s="458" t="e">
        <f t="shared" si="49"/>
        <v>#DIV/0!</v>
      </c>
      <c r="M162" s="458" t="e">
        <f t="shared" si="49"/>
        <v>#DIV/0!</v>
      </c>
      <c r="N162" s="458" t="e">
        <f t="shared" si="49"/>
        <v>#DIV/0!</v>
      </c>
      <c r="O162" s="458" t="e">
        <f t="shared" si="49"/>
        <v>#DIV/0!</v>
      </c>
      <c r="P162" s="458" t="e">
        <f t="shared" si="49"/>
        <v>#DIV/0!</v>
      </c>
      <c r="Q162" s="458" t="e">
        <f t="shared" si="49"/>
        <v>#DIV/0!</v>
      </c>
      <c r="R162" s="458" t="e">
        <f t="shared" si="49"/>
        <v>#DIV/0!</v>
      </c>
      <c r="S162" s="458" t="e">
        <f t="shared" si="49"/>
        <v>#DIV/0!</v>
      </c>
    </row>
    <row r="163" spans="2:23" ht="14.85" customHeight="1">
      <c r="B163" s="328" t="str">
        <f t="shared" si="29"/>
        <v>Options/Warrants at $0.00 Strike Price</v>
      </c>
      <c r="D163" s="458" t="e">
        <f t="shared" ref="D163:S163" si="50">D133/D$138</f>
        <v>#DIV/0!</v>
      </c>
      <c r="E163" s="458" t="e">
        <f t="shared" si="50"/>
        <v>#DIV/0!</v>
      </c>
      <c r="F163" s="458" t="e">
        <f t="shared" si="50"/>
        <v>#DIV/0!</v>
      </c>
      <c r="G163" s="458" t="e">
        <f t="shared" si="50"/>
        <v>#DIV/0!</v>
      </c>
      <c r="H163" s="458" t="e">
        <f t="shared" si="50"/>
        <v>#DIV/0!</v>
      </c>
      <c r="I163" s="458" t="e">
        <f t="shared" si="50"/>
        <v>#DIV/0!</v>
      </c>
      <c r="J163" s="458" t="e">
        <f t="shared" si="50"/>
        <v>#DIV/0!</v>
      </c>
      <c r="K163" s="458" t="e">
        <f t="shared" si="50"/>
        <v>#DIV/0!</v>
      </c>
      <c r="L163" s="458" t="e">
        <f t="shared" si="50"/>
        <v>#DIV/0!</v>
      </c>
      <c r="M163" s="458" t="e">
        <f t="shared" si="50"/>
        <v>#DIV/0!</v>
      </c>
      <c r="N163" s="458" t="e">
        <f t="shared" si="50"/>
        <v>#DIV/0!</v>
      </c>
      <c r="O163" s="458" t="e">
        <f t="shared" si="50"/>
        <v>#DIV/0!</v>
      </c>
      <c r="P163" s="458" t="e">
        <f t="shared" si="50"/>
        <v>#DIV/0!</v>
      </c>
      <c r="Q163" s="458" t="e">
        <f t="shared" si="50"/>
        <v>#DIV/0!</v>
      </c>
      <c r="R163" s="458" t="e">
        <f t="shared" si="50"/>
        <v>#DIV/0!</v>
      </c>
      <c r="S163" s="458" t="e">
        <f t="shared" si="50"/>
        <v>#DIV/0!</v>
      </c>
    </row>
    <row r="164" spans="2:23" ht="14.85" customHeight="1">
      <c r="B164" s="328" t="str">
        <f t="shared" si="29"/>
        <v>Options/Warrants at $0.00 Strike Price</v>
      </c>
      <c r="D164" s="458" t="e">
        <f t="shared" ref="D164:S164" si="51">D134/D$138</f>
        <v>#DIV/0!</v>
      </c>
      <c r="E164" s="458" t="e">
        <f t="shared" si="51"/>
        <v>#DIV/0!</v>
      </c>
      <c r="F164" s="458" t="e">
        <f t="shared" si="51"/>
        <v>#DIV/0!</v>
      </c>
      <c r="G164" s="458" t="e">
        <f t="shared" si="51"/>
        <v>#DIV/0!</v>
      </c>
      <c r="H164" s="458" t="e">
        <f t="shared" si="51"/>
        <v>#DIV/0!</v>
      </c>
      <c r="I164" s="458" t="e">
        <f t="shared" si="51"/>
        <v>#DIV/0!</v>
      </c>
      <c r="J164" s="458" t="e">
        <f t="shared" si="51"/>
        <v>#DIV/0!</v>
      </c>
      <c r="K164" s="458" t="e">
        <f t="shared" si="51"/>
        <v>#DIV/0!</v>
      </c>
      <c r="L164" s="458" t="e">
        <f t="shared" si="51"/>
        <v>#DIV/0!</v>
      </c>
      <c r="M164" s="458" t="e">
        <f t="shared" si="51"/>
        <v>#DIV/0!</v>
      </c>
      <c r="N164" s="458" t="e">
        <f t="shared" si="51"/>
        <v>#DIV/0!</v>
      </c>
      <c r="O164" s="458" t="e">
        <f t="shared" si="51"/>
        <v>#DIV/0!</v>
      </c>
      <c r="P164" s="458" t="e">
        <f t="shared" si="51"/>
        <v>#DIV/0!</v>
      </c>
      <c r="Q164" s="458" t="e">
        <f t="shared" si="51"/>
        <v>#DIV/0!</v>
      </c>
      <c r="R164" s="458" t="e">
        <f t="shared" si="51"/>
        <v>#DIV/0!</v>
      </c>
      <c r="S164" s="458" t="e">
        <f t="shared" si="51"/>
        <v>#DIV/0!</v>
      </c>
    </row>
    <row r="165" spans="2:23" ht="14.85" customHeight="1">
      <c r="B165" s="328" t="str">
        <f t="shared" si="29"/>
        <v>Expected Options Grant</v>
      </c>
      <c r="D165" s="458" t="e">
        <f t="shared" ref="D165:S165" si="52">D135/D$138</f>
        <v>#DIV/0!</v>
      </c>
      <c r="E165" s="458" t="e">
        <f t="shared" si="52"/>
        <v>#DIV/0!</v>
      </c>
      <c r="F165" s="458" t="e">
        <f t="shared" si="52"/>
        <v>#DIV/0!</v>
      </c>
      <c r="G165" s="458" t="e">
        <f t="shared" si="52"/>
        <v>#DIV/0!</v>
      </c>
      <c r="H165" s="458" t="e">
        <f t="shared" si="52"/>
        <v>#DIV/0!</v>
      </c>
      <c r="I165" s="458" t="e">
        <f t="shared" si="52"/>
        <v>#DIV/0!</v>
      </c>
      <c r="J165" s="458" t="e">
        <f t="shared" si="52"/>
        <v>#DIV/0!</v>
      </c>
      <c r="K165" s="458" t="e">
        <f t="shared" si="52"/>
        <v>#DIV/0!</v>
      </c>
      <c r="L165" s="458" t="e">
        <f t="shared" si="52"/>
        <v>#DIV/0!</v>
      </c>
      <c r="M165" s="458" t="e">
        <f t="shared" si="52"/>
        <v>#DIV/0!</v>
      </c>
      <c r="N165" s="458" t="e">
        <f t="shared" si="52"/>
        <v>#DIV/0!</v>
      </c>
      <c r="O165" s="458" t="e">
        <f t="shared" si="52"/>
        <v>#DIV/0!</v>
      </c>
      <c r="P165" s="458" t="e">
        <f t="shared" si="52"/>
        <v>#DIV/0!</v>
      </c>
      <c r="Q165" s="458" t="e">
        <f t="shared" si="52"/>
        <v>#DIV/0!</v>
      </c>
      <c r="R165" s="458" t="e">
        <f t="shared" si="52"/>
        <v>#DIV/0!</v>
      </c>
      <c r="S165" s="458" t="e">
        <f t="shared" si="52"/>
        <v>#DIV/0!</v>
      </c>
    </row>
    <row r="166" spans="2:23" ht="14.85" customHeight="1">
      <c r="B166" s="328" t="str">
        <f t="shared" si="29"/>
        <v>Common Stock</v>
      </c>
      <c r="D166" s="458" t="e">
        <f t="shared" ref="D166:S166" si="53">D136/D$138</f>
        <v>#DIV/0!</v>
      </c>
      <c r="E166" s="458" t="e">
        <f t="shared" si="53"/>
        <v>#DIV/0!</v>
      </c>
      <c r="F166" s="458" t="e">
        <f t="shared" si="53"/>
        <v>#DIV/0!</v>
      </c>
      <c r="G166" s="458" t="e">
        <f t="shared" si="53"/>
        <v>#DIV/0!</v>
      </c>
      <c r="H166" s="458" t="e">
        <f t="shared" si="53"/>
        <v>#DIV/0!</v>
      </c>
      <c r="I166" s="458" t="e">
        <f t="shared" si="53"/>
        <v>#DIV/0!</v>
      </c>
      <c r="J166" s="458" t="e">
        <f t="shared" si="53"/>
        <v>#DIV/0!</v>
      </c>
      <c r="K166" s="458" t="e">
        <f t="shared" si="53"/>
        <v>#DIV/0!</v>
      </c>
      <c r="L166" s="458" t="e">
        <f t="shared" si="53"/>
        <v>#DIV/0!</v>
      </c>
      <c r="M166" s="458" t="e">
        <f t="shared" si="53"/>
        <v>#DIV/0!</v>
      </c>
      <c r="N166" s="458" t="e">
        <f t="shared" si="53"/>
        <v>#DIV/0!</v>
      </c>
      <c r="O166" s="458" t="e">
        <f t="shared" si="53"/>
        <v>#DIV/0!</v>
      </c>
      <c r="P166" s="458" t="e">
        <f t="shared" si="53"/>
        <v>#DIV/0!</v>
      </c>
      <c r="Q166" s="458" t="e">
        <f t="shared" si="53"/>
        <v>#DIV/0!</v>
      </c>
      <c r="R166" s="458" t="e">
        <f t="shared" si="53"/>
        <v>#DIV/0!</v>
      </c>
      <c r="S166" s="458" t="e">
        <f t="shared" si="53"/>
        <v>#DIV/0!</v>
      </c>
    </row>
    <row r="167" spans="2:23" ht="14.85" customHeight="1">
      <c r="B167" s="761"/>
      <c r="C167" s="761"/>
      <c r="D167" s="346"/>
      <c r="E167" s="346"/>
      <c r="F167" s="346"/>
      <c r="G167" s="346"/>
      <c r="H167" s="346"/>
      <c r="I167" s="346"/>
      <c r="J167" s="346"/>
      <c r="K167" s="346"/>
      <c r="L167" s="346"/>
      <c r="M167" s="346"/>
      <c r="N167" s="346"/>
      <c r="O167" s="346"/>
      <c r="P167" s="346"/>
      <c r="Q167" s="346"/>
      <c r="R167" s="346"/>
      <c r="S167" s="346"/>
    </row>
    <row r="168" spans="2:23" ht="14.85" customHeight="1">
      <c r="B168" s="253" t="s">
        <v>2577</v>
      </c>
      <c r="D168" s="412" t="e">
        <f t="shared" ref="D168:S168" si="54">SUM(D142:D166)</f>
        <v>#DIV/0!</v>
      </c>
      <c r="E168" s="412" t="e">
        <f t="shared" si="54"/>
        <v>#DIV/0!</v>
      </c>
      <c r="F168" s="412" t="e">
        <f t="shared" si="54"/>
        <v>#DIV/0!</v>
      </c>
      <c r="G168" s="412" t="e">
        <f t="shared" si="54"/>
        <v>#DIV/0!</v>
      </c>
      <c r="H168" s="412" t="e">
        <f t="shared" si="54"/>
        <v>#DIV/0!</v>
      </c>
      <c r="I168" s="412" t="e">
        <f t="shared" si="54"/>
        <v>#DIV/0!</v>
      </c>
      <c r="J168" s="412" t="e">
        <f t="shared" si="54"/>
        <v>#DIV/0!</v>
      </c>
      <c r="K168" s="412" t="e">
        <f t="shared" si="54"/>
        <v>#DIV/0!</v>
      </c>
      <c r="L168" s="412" t="e">
        <f t="shared" si="54"/>
        <v>#DIV/0!</v>
      </c>
      <c r="M168" s="412" t="e">
        <f t="shared" si="54"/>
        <v>#DIV/0!</v>
      </c>
      <c r="N168" s="412" t="e">
        <f t="shared" si="54"/>
        <v>#DIV/0!</v>
      </c>
      <c r="O168" s="412" t="e">
        <f t="shared" si="54"/>
        <v>#DIV/0!</v>
      </c>
      <c r="P168" s="412" t="e">
        <f t="shared" si="54"/>
        <v>#DIV/0!</v>
      </c>
      <c r="Q168" s="412" t="e">
        <f t="shared" si="54"/>
        <v>#DIV/0!</v>
      </c>
      <c r="R168" s="412" t="e">
        <f t="shared" si="54"/>
        <v>#DIV/0!</v>
      </c>
      <c r="S168" s="412" t="e">
        <f t="shared" si="54"/>
        <v>#DIV/0!</v>
      </c>
    </row>
    <row r="169" spans="2:23" ht="14.85" customHeight="1">
      <c r="B169" s="253"/>
      <c r="D169" s="412"/>
      <c r="E169" s="412"/>
      <c r="F169" s="412"/>
      <c r="G169" s="412"/>
      <c r="H169" s="412"/>
      <c r="I169" s="412"/>
      <c r="J169" s="412"/>
      <c r="K169" s="412"/>
      <c r="L169" s="412"/>
      <c r="M169" s="412"/>
      <c r="N169" s="412"/>
      <c r="O169" s="412"/>
      <c r="P169" s="412"/>
      <c r="Q169" s="412"/>
      <c r="R169" s="412"/>
      <c r="S169" s="412"/>
    </row>
    <row r="170" spans="2:23" s="272" customFormat="1" ht="14.85" customHeight="1">
      <c r="B170" s="755" t="s">
        <v>427</v>
      </c>
      <c r="D170" s="756">
        <f>D$15</f>
        <v>1</v>
      </c>
      <c r="E170" s="757">
        <f t="shared" ref="E170:S170" si="55">E$15</f>
        <v>2</v>
      </c>
      <c r="F170" s="757">
        <f t="shared" si="55"/>
        <v>3</v>
      </c>
      <c r="G170" s="757">
        <f t="shared" si="55"/>
        <v>4</v>
      </c>
      <c r="H170" s="757">
        <f t="shared" si="55"/>
        <v>5</v>
      </c>
      <c r="I170" s="757">
        <f t="shared" si="55"/>
        <v>6</v>
      </c>
      <c r="J170" s="757">
        <f t="shared" si="55"/>
        <v>7</v>
      </c>
      <c r="K170" s="757">
        <f t="shared" si="55"/>
        <v>8</v>
      </c>
      <c r="L170" s="757">
        <f t="shared" si="55"/>
        <v>9</v>
      </c>
      <c r="M170" s="757">
        <f t="shared" si="55"/>
        <v>10</v>
      </c>
      <c r="N170" s="757">
        <f t="shared" si="55"/>
        <v>11</v>
      </c>
      <c r="O170" s="757">
        <f t="shared" si="55"/>
        <v>12</v>
      </c>
      <c r="P170" s="757">
        <f t="shared" si="55"/>
        <v>13</v>
      </c>
      <c r="Q170" s="757">
        <f t="shared" si="55"/>
        <v>14</v>
      </c>
      <c r="R170" s="757">
        <f t="shared" si="55"/>
        <v>15</v>
      </c>
      <c r="S170" s="758">
        <f t="shared" si="55"/>
        <v>16</v>
      </c>
      <c r="U170" s="762" t="s">
        <v>169</v>
      </c>
      <c r="W170" s="347"/>
    </row>
    <row r="171" spans="2:23" ht="14.85" customHeight="1"/>
    <row r="172" spans="2:23" ht="14.85" customHeight="1">
      <c r="B172" s="328" t="str">
        <f t="shared" ref="B172:B178" si="56">B112</f>
        <v>Series A</v>
      </c>
      <c r="D172" s="763" t="e">
        <f>D$106*D112/D$138</f>
        <v>#DIV/0!</v>
      </c>
      <c r="E172" s="763" t="e">
        <f t="shared" ref="E172:S172" si="57">E$106*E112/E$138</f>
        <v>#DIV/0!</v>
      </c>
      <c r="F172" s="763" t="e">
        <f t="shared" si="57"/>
        <v>#DIV/0!</v>
      </c>
      <c r="G172" s="763" t="e">
        <f t="shared" si="57"/>
        <v>#DIV/0!</v>
      </c>
      <c r="H172" s="763" t="e">
        <f t="shared" si="57"/>
        <v>#DIV/0!</v>
      </c>
      <c r="I172" s="763" t="e">
        <f t="shared" si="57"/>
        <v>#VALUE!</v>
      </c>
      <c r="J172" s="763" t="e">
        <f t="shared" si="57"/>
        <v>#VALUE!</v>
      </c>
      <c r="K172" s="763" t="e">
        <f t="shared" si="57"/>
        <v>#VALUE!</v>
      </c>
      <c r="L172" s="763" t="e">
        <f t="shared" si="57"/>
        <v>#VALUE!</v>
      </c>
      <c r="M172" s="763" t="e">
        <f t="shared" si="57"/>
        <v>#VALUE!</v>
      </c>
      <c r="N172" s="763" t="e">
        <f t="shared" si="57"/>
        <v>#VALUE!</v>
      </c>
      <c r="O172" s="763" t="e">
        <f t="shared" si="57"/>
        <v>#VALUE!</v>
      </c>
      <c r="P172" s="763" t="e">
        <f t="shared" si="57"/>
        <v>#VALUE!</v>
      </c>
      <c r="Q172" s="763" t="e">
        <f t="shared" si="57"/>
        <v>#VALUE!</v>
      </c>
      <c r="R172" s="763" t="e">
        <f t="shared" si="57"/>
        <v>#VALUE!</v>
      </c>
      <c r="S172" s="763" t="e">
        <f t="shared" si="57"/>
        <v>#VALUE!</v>
      </c>
      <c r="U172" s="331" t="e">
        <f>SUM(D172:S172)</f>
        <v>#DIV/0!</v>
      </c>
    </row>
    <row r="173" spans="2:23" ht="14.85" customHeight="1">
      <c r="B173" s="328" t="str">
        <f t="shared" si="56"/>
        <v>Series B</v>
      </c>
      <c r="D173" s="331" t="e">
        <f t="shared" ref="D173:S173" si="58">D$106*D113/D$138</f>
        <v>#DIV/0!</v>
      </c>
      <c r="E173" s="331" t="e">
        <f t="shared" si="58"/>
        <v>#DIV/0!</v>
      </c>
      <c r="F173" s="331" t="e">
        <f t="shared" si="58"/>
        <v>#DIV/0!</v>
      </c>
      <c r="G173" s="331" t="e">
        <f t="shared" si="58"/>
        <v>#DIV/0!</v>
      </c>
      <c r="H173" s="331" t="e">
        <f t="shared" si="58"/>
        <v>#DIV/0!</v>
      </c>
      <c r="I173" s="331" t="e">
        <f t="shared" si="58"/>
        <v>#VALUE!</v>
      </c>
      <c r="J173" s="331" t="e">
        <f t="shared" si="58"/>
        <v>#VALUE!</v>
      </c>
      <c r="K173" s="331" t="e">
        <f t="shared" si="58"/>
        <v>#VALUE!</v>
      </c>
      <c r="L173" s="331" t="e">
        <f t="shared" si="58"/>
        <v>#VALUE!</v>
      </c>
      <c r="M173" s="331" t="e">
        <f t="shared" si="58"/>
        <v>#VALUE!</v>
      </c>
      <c r="N173" s="331" t="e">
        <f t="shared" si="58"/>
        <v>#VALUE!</v>
      </c>
      <c r="O173" s="331" t="e">
        <f t="shared" si="58"/>
        <v>#VALUE!</v>
      </c>
      <c r="P173" s="331" t="e">
        <f t="shared" si="58"/>
        <v>#VALUE!</v>
      </c>
      <c r="Q173" s="331" t="e">
        <f t="shared" si="58"/>
        <v>#VALUE!</v>
      </c>
      <c r="R173" s="331" t="e">
        <f t="shared" si="58"/>
        <v>#VALUE!</v>
      </c>
      <c r="S173" s="331" t="e">
        <f t="shared" si="58"/>
        <v>#VALUE!</v>
      </c>
      <c r="U173" s="331" t="e">
        <f t="shared" ref="U173:U192" si="59">SUM(D173:S173)</f>
        <v>#DIV/0!</v>
      </c>
    </row>
    <row r="174" spans="2:23" ht="14.85" customHeight="1">
      <c r="B174" s="328" t="str">
        <f t="shared" si="56"/>
        <v>Series C</v>
      </c>
      <c r="D174" s="331" t="e">
        <f t="shared" ref="D174:S174" si="60">D$106*D114/D$138</f>
        <v>#DIV/0!</v>
      </c>
      <c r="E174" s="331" t="e">
        <f t="shared" si="60"/>
        <v>#DIV/0!</v>
      </c>
      <c r="F174" s="331" t="e">
        <f t="shared" si="60"/>
        <v>#DIV/0!</v>
      </c>
      <c r="G174" s="331" t="e">
        <f t="shared" si="60"/>
        <v>#DIV/0!</v>
      </c>
      <c r="H174" s="331" t="e">
        <f t="shared" si="60"/>
        <v>#DIV/0!</v>
      </c>
      <c r="I174" s="331" t="e">
        <f t="shared" si="60"/>
        <v>#VALUE!</v>
      </c>
      <c r="J174" s="331" t="e">
        <f t="shared" si="60"/>
        <v>#VALUE!</v>
      </c>
      <c r="K174" s="331" t="e">
        <f t="shared" si="60"/>
        <v>#VALUE!</v>
      </c>
      <c r="L174" s="331" t="e">
        <f t="shared" si="60"/>
        <v>#VALUE!</v>
      </c>
      <c r="M174" s="331" t="e">
        <f t="shared" si="60"/>
        <v>#VALUE!</v>
      </c>
      <c r="N174" s="331" t="e">
        <f t="shared" si="60"/>
        <v>#VALUE!</v>
      </c>
      <c r="O174" s="331" t="e">
        <f t="shared" si="60"/>
        <v>#VALUE!</v>
      </c>
      <c r="P174" s="331" t="e">
        <f t="shared" si="60"/>
        <v>#VALUE!</v>
      </c>
      <c r="Q174" s="331" t="e">
        <f t="shared" si="60"/>
        <v>#VALUE!</v>
      </c>
      <c r="R174" s="331" t="e">
        <f t="shared" si="60"/>
        <v>#VALUE!</v>
      </c>
      <c r="S174" s="331" t="e">
        <f t="shared" si="60"/>
        <v>#VALUE!</v>
      </c>
      <c r="U174" s="331" t="e">
        <f t="shared" si="59"/>
        <v>#DIV/0!</v>
      </c>
    </row>
    <row r="175" spans="2:23" ht="14.85" customHeight="1">
      <c r="B175" s="328" t="str">
        <f t="shared" si="56"/>
        <v>Series D</v>
      </c>
      <c r="D175" s="331" t="e">
        <f t="shared" ref="D175:S175" si="61">D$106*D115/D$138</f>
        <v>#DIV/0!</v>
      </c>
      <c r="E175" s="331" t="e">
        <f t="shared" si="61"/>
        <v>#DIV/0!</v>
      </c>
      <c r="F175" s="331" t="e">
        <f t="shared" si="61"/>
        <v>#DIV/0!</v>
      </c>
      <c r="G175" s="331" t="e">
        <f t="shared" si="61"/>
        <v>#DIV/0!</v>
      </c>
      <c r="H175" s="331" t="e">
        <f t="shared" si="61"/>
        <v>#DIV/0!</v>
      </c>
      <c r="I175" s="331" t="e">
        <f t="shared" si="61"/>
        <v>#VALUE!</v>
      </c>
      <c r="J175" s="331" t="e">
        <f t="shared" si="61"/>
        <v>#VALUE!</v>
      </c>
      <c r="K175" s="331" t="e">
        <f t="shared" si="61"/>
        <v>#VALUE!</v>
      </c>
      <c r="L175" s="331" t="e">
        <f t="shared" si="61"/>
        <v>#VALUE!</v>
      </c>
      <c r="M175" s="331" t="e">
        <f t="shared" si="61"/>
        <v>#VALUE!</v>
      </c>
      <c r="N175" s="331" t="e">
        <f t="shared" si="61"/>
        <v>#VALUE!</v>
      </c>
      <c r="O175" s="331" t="e">
        <f t="shared" si="61"/>
        <v>#VALUE!</v>
      </c>
      <c r="P175" s="331" t="e">
        <f t="shared" si="61"/>
        <v>#VALUE!</v>
      </c>
      <c r="Q175" s="331" t="e">
        <f t="shared" si="61"/>
        <v>#VALUE!</v>
      </c>
      <c r="R175" s="331" t="e">
        <f t="shared" si="61"/>
        <v>#VALUE!</v>
      </c>
      <c r="S175" s="331" t="e">
        <f t="shared" si="61"/>
        <v>#VALUE!</v>
      </c>
      <c r="U175" s="331" t="e">
        <f t="shared" si="59"/>
        <v>#DIV/0!</v>
      </c>
    </row>
    <row r="176" spans="2:23" ht="14.85" customHeight="1">
      <c r="B176" s="328" t="str">
        <f t="shared" si="56"/>
        <v>Series E</v>
      </c>
      <c r="D176" s="331" t="e">
        <f t="shared" ref="D176:S176" si="62">D$106*D116/D$138</f>
        <v>#DIV/0!</v>
      </c>
      <c r="E176" s="331" t="e">
        <f t="shared" si="62"/>
        <v>#DIV/0!</v>
      </c>
      <c r="F176" s="331" t="e">
        <f t="shared" si="62"/>
        <v>#DIV/0!</v>
      </c>
      <c r="G176" s="331" t="e">
        <f t="shared" si="62"/>
        <v>#DIV/0!</v>
      </c>
      <c r="H176" s="331" t="e">
        <f t="shared" si="62"/>
        <v>#DIV/0!</v>
      </c>
      <c r="I176" s="331" t="e">
        <f t="shared" si="62"/>
        <v>#VALUE!</v>
      </c>
      <c r="J176" s="331" t="e">
        <f t="shared" si="62"/>
        <v>#VALUE!</v>
      </c>
      <c r="K176" s="331" t="e">
        <f t="shared" si="62"/>
        <v>#VALUE!</v>
      </c>
      <c r="L176" s="331" t="e">
        <f t="shared" si="62"/>
        <v>#VALUE!</v>
      </c>
      <c r="M176" s="331" t="e">
        <f t="shared" si="62"/>
        <v>#VALUE!</v>
      </c>
      <c r="N176" s="331" t="e">
        <f t="shared" si="62"/>
        <v>#VALUE!</v>
      </c>
      <c r="O176" s="331" t="e">
        <f t="shared" si="62"/>
        <v>#VALUE!</v>
      </c>
      <c r="P176" s="331" t="e">
        <f t="shared" si="62"/>
        <v>#VALUE!</v>
      </c>
      <c r="Q176" s="331" t="e">
        <f t="shared" si="62"/>
        <v>#VALUE!</v>
      </c>
      <c r="R176" s="331" t="e">
        <f t="shared" si="62"/>
        <v>#VALUE!</v>
      </c>
      <c r="S176" s="331" t="e">
        <f t="shared" si="62"/>
        <v>#VALUE!</v>
      </c>
      <c r="U176" s="331" t="e">
        <f t="shared" si="59"/>
        <v>#DIV/0!</v>
      </c>
    </row>
    <row r="177" spans="2:21" ht="14.85" customHeight="1">
      <c r="B177" s="328" t="str">
        <f t="shared" si="56"/>
        <v>Series F</v>
      </c>
      <c r="D177" s="331" t="e">
        <f t="shared" ref="D177:S177" si="63">D$106*D117/D$138</f>
        <v>#DIV/0!</v>
      </c>
      <c r="E177" s="331" t="e">
        <f t="shared" si="63"/>
        <v>#DIV/0!</v>
      </c>
      <c r="F177" s="331" t="e">
        <f t="shared" si="63"/>
        <v>#DIV/0!</v>
      </c>
      <c r="G177" s="331" t="e">
        <f t="shared" si="63"/>
        <v>#DIV/0!</v>
      </c>
      <c r="H177" s="331" t="e">
        <f t="shared" si="63"/>
        <v>#DIV/0!</v>
      </c>
      <c r="I177" s="331" t="e">
        <f t="shared" si="63"/>
        <v>#VALUE!</v>
      </c>
      <c r="J177" s="331" t="e">
        <f t="shared" si="63"/>
        <v>#VALUE!</v>
      </c>
      <c r="K177" s="331" t="e">
        <f t="shared" si="63"/>
        <v>#VALUE!</v>
      </c>
      <c r="L177" s="331" t="e">
        <f t="shared" si="63"/>
        <v>#VALUE!</v>
      </c>
      <c r="M177" s="331" t="e">
        <f t="shared" si="63"/>
        <v>#VALUE!</v>
      </c>
      <c r="N177" s="331" t="e">
        <f t="shared" si="63"/>
        <v>#VALUE!</v>
      </c>
      <c r="O177" s="331" t="e">
        <f t="shared" si="63"/>
        <v>#VALUE!</v>
      </c>
      <c r="P177" s="331" t="e">
        <f t="shared" si="63"/>
        <v>#VALUE!</v>
      </c>
      <c r="Q177" s="331" t="e">
        <f t="shared" si="63"/>
        <v>#VALUE!</v>
      </c>
      <c r="R177" s="331" t="e">
        <f t="shared" si="63"/>
        <v>#VALUE!</v>
      </c>
      <c r="S177" s="331" t="e">
        <f t="shared" si="63"/>
        <v>#VALUE!</v>
      </c>
      <c r="U177" s="331" t="e">
        <f t="shared" si="59"/>
        <v>#DIV/0!</v>
      </c>
    </row>
    <row r="178" spans="2:21" ht="14.85" customHeight="1">
      <c r="B178" s="328" t="str">
        <f t="shared" si="56"/>
        <v>Series G</v>
      </c>
      <c r="D178" s="331" t="e">
        <f t="shared" ref="D178:S178" si="64">D$106*D118/D$138</f>
        <v>#DIV/0!</v>
      </c>
      <c r="E178" s="331" t="e">
        <f t="shared" si="64"/>
        <v>#DIV/0!</v>
      </c>
      <c r="F178" s="331" t="e">
        <f t="shared" si="64"/>
        <v>#DIV/0!</v>
      </c>
      <c r="G178" s="331" t="e">
        <f t="shared" si="64"/>
        <v>#DIV/0!</v>
      </c>
      <c r="H178" s="331" t="e">
        <f t="shared" si="64"/>
        <v>#DIV/0!</v>
      </c>
      <c r="I178" s="331" t="e">
        <f t="shared" si="64"/>
        <v>#VALUE!</v>
      </c>
      <c r="J178" s="331" t="e">
        <f t="shared" si="64"/>
        <v>#VALUE!</v>
      </c>
      <c r="K178" s="331" t="e">
        <f t="shared" si="64"/>
        <v>#VALUE!</v>
      </c>
      <c r="L178" s="331" t="e">
        <f t="shared" si="64"/>
        <v>#VALUE!</v>
      </c>
      <c r="M178" s="331" t="e">
        <f t="shared" si="64"/>
        <v>#VALUE!</v>
      </c>
      <c r="N178" s="331" t="e">
        <f t="shared" si="64"/>
        <v>#VALUE!</v>
      </c>
      <c r="O178" s="331" t="e">
        <f t="shared" si="64"/>
        <v>#VALUE!</v>
      </c>
      <c r="P178" s="331" t="e">
        <f t="shared" si="64"/>
        <v>#VALUE!</v>
      </c>
      <c r="Q178" s="331" t="e">
        <f t="shared" si="64"/>
        <v>#VALUE!</v>
      </c>
      <c r="R178" s="331" t="e">
        <f t="shared" si="64"/>
        <v>#VALUE!</v>
      </c>
      <c r="S178" s="331" t="e">
        <f t="shared" si="64"/>
        <v>#VALUE!</v>
      </c>
      <c r="U178" s="331" t="e">
        <f t="shared" si="59"/>
        <v>#DIV/0!</v>
      </c>
    </row>
    <row r="179" spans="2:21" ht="14.85" customHeight="1">
      <c r="B179" s="413" t="str">
        <f t="shared" ref="B179:B185" si="65">+$B172&amp;" Warrants"</f>
        <v>Series A Warrants</v>
      </c>
      <c r="D179" s="331" t="e">
        <f t="shared" ref="D179:S179" si="66">D$106*D119/D$138</f>
        <v>#DIV/0!</v>
      </c>
      <c r="E179" s="331" t="e">
        <f t="shared" si="66"/>
        <v>#DIV/0!</v>
      </c>
      <c r="F179" s="331" t="e">
        <f t="shared" si="66"/>
        <v>#DIV/0!</v>
      </c>
      <c r="G179" s="331" t="e">
        <f t="shared" si="66"/>
        <v>#DIV/0!</v>
      </c>
      <c r="H179" s="331" t="e">
        <f t="shared" si="66"/>
        <v>#DIV/0!</v>
      </c>
      <c r="I179" s="331" t="e">
        <f t="shared" si="66"/>
        <v>#VALUE!</v>
      </c>
      <c r="J179" s="331" t="e">
        <f t="shared" si="66"/>
        <v>#VALUE!</v>
      </c>
      <c r="K179" s="331" t="e">
        <f t="shared" si="66"/>
        <v>#VALUE!</v>
      </c>
      <c r="L179" s="331" t="e">
        <f t="shared" si="66"/>
        <v>#VALUE!</v>
      </c>
      <c r="M179" s="331" t="e">
        <f t="shared" si="66"/>
        <v>#VALUE!</v>
      </c>
      <c r="N179" s="331" t="e">
        <f t="shared" si="66"/>
        <v>#VALUE!</v>
      </c>
      <c r="O179" s="331" t="e">
        <f t="shared" si="66"/>
        <v>#VALUE!</v>
      </c>
      <c r="P179" s="331" t="e">
        <f t="shared" si="66"/>
        <v>#VALUE!</v>
      </c>
      <c r="Q179" s="331" t="e">
        <f t="shared" si="66"/>
        <v>#VALUE!</v>
      </c>
      <c r="R179" s="331" t="e">
        <f t="shared" si="66"/>
        <v>#VALUE!</v>
      </c>
      <c r="S179" s="331" t="e">
        <f t="shared" si="66"/>
        <v>#VALUE!</v>
      </c>
      <c r="U179" s="331" t="e">
        <f t="shared" si="59"/>
        <v>#DIV/0!</v>
      </c>
    </row>
    <row r="180" spans="2:21" ht="14.85" customHeight="1">
      <c r="B180" s="413" t="str">
        <f t="shared" si="65"/>
        <v>Series B Warrants</v>
      </c>
      <c r="D180" s="331" t="e">
        <f t="shared" ref="D180:S180" si="67">D$106*D120/D$138</f>
        <v>#DIV/0!</v>
      </c>
      <c r="E180" s="331" t="e">
        <f t="shared" si="67"/>
        <v>#DIV/0!</v>
      </c>
      <c r="F180" s="331" t="e">
        <f t="shared" si="67"/>
        <v>#DIV/0!</v>
      </c>
      <c r="G180" s="331" t="e">
        <f t="shared" si="67"/>
        <v>#DIV/0!</v>
      </c>
      <c r="H180" s="331" t="e">
        <f t="shared" si="67"/>
        <v>#DIV/0!</v>
      </c>
      <c r="I180" s="331" t="e">
        <f t="shared" si="67"/>
        <v>#VALUE!</v>
      </c>
      <c r="J180" s="331" t="e">
        <f t="shared" si="67"/>
        <v>#VALUE!</v>
      </c>
      <c r="K180" s="331" t="e">
        <f t="shared" si="67"/>
        <v>#VALUE!</v>
      </c>
      <c r="L180" s="331" t="e">
        <f t="shared" si="67"/>
        <v>#VALUE!</v>
      </c>
      <c r="M180" s="331" t="e">
        <f t="shared" si="67"/>
        <v>#VALUE!</v>
      </c>
      <c r="N180" s="331" t="e">
        <f t="shared" si="67"/>
        <v>#VALUE!</v>
      </c>
      <c r="O180" s="331" t="e">
        <f t="shared" si="67"/>
        <v>#VALUE!</v>
      </c>
      <c r="P180" s="331" t="e">
        <f t="shared" si="67"/>
        <v>#VALUE!</v>
      </c>
      <c r="Q180" s="331" t="e">
        <f t="shared" si="67"/>
        <v>#VALUE!</v>
      </c>
      <c r="R180" s="331" t="e">
        <f t="shared" si="67"/>
        <v>#VALUE!</v>
      </c>
      <c r="S180" s="331" t="e">
        <f t="shared" si="67"/>
        <v>#VALUE!</v>
      </c>
      <c r="U180" s="331" t="e">
        <f t="shared" si="59"/>
        <v>#DIV/0!</v>
      </c>
    </row>
    <row r="181" spans="2:21" ht="14.85" customHeight="1">
      <c r="B181" s="413" t="str">
        <f t="shared" si="65"/>
        <v>Series C Warrants</v>
      </c>
      <c r="D181" s="331" t="e">
        <f t="shared" ref="D181:S181" si="68">D$106*D121/D$138</f>
        <v>#DIV/0!</v>
      </c>
      <c r="E181" s="331" t="e">
        <f t="shared" si="68"/>
        <v>#DIV/0!</v>
      </c>
      <c r="F181" s="331" t="e">
        <f t="shared" si="68"/>
        <v>#DIV/0!</v>
      </c>
      <c r="G181" s="331" t="e">
        <f t="shared" si="68"/>
        <v>#DIV/0!</v>
      </c>
      <c r="H181" s="331" t="e">
        <f t="shared" si="68"/>
        <v>#DIV/0!</v>
      </c>
      <c r="I181" s="331" t="e">
        <f t="shared" si="68"/>
        <v>#VALUE!</v>
      </c>
      <c r="J181" s="331" t="e">
        <f t="shared" si="68"/>
        <v>#VALUE!</v>
      </c>
      <c r="K181" s="331" t="e">
        <f t="shared" si="68"/>
        <v>#VALUE!</v>
      </c>
      <c r="L181" s="331" t="e">
        <f t="shared" si="68"/>
        <v>#VALUE!</v>
      </c>
      <c r="M181" s="331" t="e">
        <f t="shared" si="68"/>
        <v>#VALUE!</v>
      </c>
      <c r="N181" s="331" t="e">
        <f t="shared" si="68"/>
        <v>#VALUE!</v>
      </c>
      <c r="O181" s="331" t="e">
        <f t="shared" si="68"/>
        <v>#VALUE!</v>
      </c>
      <c r="P181" s="331" t="e">
        <f t="shared" si="68"/>
        <v>#VALUE!</v>
      </c>
      <c r="Q181" s="331" t="e">
        <f t="shared" si="68"/>
        <v>#VALUE!</v>
      </c>
      <c r="R181" s="331" t="e">
        <f t="shared" si="68"/>
        <v>#VALUE!</v>
      </c>
      <c r="S181" s="331" t="e">
        <f t="shared" si="68"/>
        <v>#VALUE!</v>
      </c>
      <c r="U181" s="331" t="e">
        <f t="shared" si="59"/>
        <v>#DIV/0!</v>
      </c>
    </row>
    <row r="182" spans="2:21" ht="14.85" customHeight="1">
      <c r="B182" s="413" t="str">
        <f t="shared" si="65"/>
        <v>Series D Warrants</v>
      </c>
      <c r="D182" s="331" t="e">
        <f t="shared" ref="D182:S182" si="69">D$106*D122/D$138</f>
        <v>#DIV/0!</v>
      </c>
      <c r="E182" s="331" t="e">
        <f t="shared" si="69"/>
        <v>#DIV/0!</v>
      </c>
      <c r="F182" s="331" t="e">
        <f t="shared" si="69"/>
        <v>#DIV/0!</v>
      </c>
      <c r="G182" s="331" t="e">
        <f t="shared" si="69"/>
        <v>#DIV/0!</v>
      </c>
      <c r="H182" s="331" t="e">
        <f t="shared" si="69"/>
        <v>#DIV/0!</v>
      </c>
      <c r="I182" s="331" t="e">
        <f t="shared" si="69"/>
        <v>#VALUE!</v>
      </c>
      <c r="J182" s="331" t="e">
        <f t="shared" si="69"/>
        <v>#VALUE!</v>
      </c>
      <c r="K182" s="331" t="e">
        <f t="shared" si="69"/>
        <v>#VALUE!</v>
      </c>
      <c r="L182" s="331" t="e">
        <f t="shared" si="69"/>
        <v>#VALUE!</v>
      </c>
      <c r="M182" s="331" t="e">
        <f t="shared" si="69"/>
        <v>#VALUE!</v>
      </c>
      <c r="N182" s="331" t="e">
        <f t="shared" si="69"/>
        <v>#VALUE!</v>
      </c>
      <c r="O182" s="331" t="e">
        <f t="shared" si="69"/>
        <v>#VALUE!</v>
      </c>
      <c r="P182" s="331" t="e">
        <f t="shared" si="69"/>
        <v>#VALUE!</v>
      </c>
      <c r="Q182" s="331" t="e">
        <f t="shared" si="69"/>
        <v>#VALUE!</v>
      </c>
      <c r="R182" s="331" t="e">
        <f t="shared" si="69"/>
        <v>#VALUE!</v>
      </c>
      <c r="S182" s="331" t="e">
        <f t="shared" si="69"/>
        <v>#VALUE!</v>
      </c>
      <c r="U182" s="331" t="e">
        <f t="shared" si="59"/>
        <v>#DIV/0!</v>
      </c>
    </row>
    <row r="183" spans="2:21" ht="14.85" customHeight="1">
      <c r="B183" s="413" t="str">
        <f t="shared" si="65"/>
        <v>Series E Warrants</v>
      </c>
      <c r="D183" s="331" t="e">
        <f t="shared" ref="D183:S183" si="70">D$106*D123/D$138</f>
        <v>#DIV/0!</v>
      </c>
      <c r="E183" s="331" t="e">
        <f t="shared" si="70"/>
        <v>#DIV/0!</v>
      </c>
      <c r="F183" s="331" t="e">
        <f t="shared" si="70"/>
        <v>#DIV/0!</v>
      </c>
      <c r="G183" s="331" t="e">
        <f t="shared" si="70"/>
        <v>#DIV/0!</v>
      </c>
      <c r="H183" s="331" t="e">
        <f t="shared" si="70"/>
        <v>#DIV/0!</v>
      </c>
      <c r="I183" s="331" t="e">
        <f t="shared" si="70"/>
        <v>#VALUE!</v>
      </c>
      <c r="J183" s="331" t="e">
        <f t="shared" si="70"/>
        <v>#VALUE!</v>
      </c>
      <c r="K183" s="331" t="e">
        <f t="shared" si="70"/>
        <v>#VALUE!</v>
      </c>
      <c r="L183" s="331" t="e">
        <f t="shared" si="70"/>
        <v>#VALUE!</v>
      </c>
      <c r="M183" s="331" t="e">
        <f t="shared" si="70"/>
        <v>#VALUE!</v>
      </c>
      <c r="N183" s="331" t="e">
        <f t="shared" si="70"/>
        <v>#VALUE!</v>
      </c>
      <c r="O183" s="331" t="e">
        <f t="shared" si="70"/>
        <v>#VALUE!</v>
      </c>
      <c r="P183" s="331" t="e">
        <f t="shared" si="70"/>
        <v>#VALUE!</v>
      </c>
      <c r="Q183" s="331" t="e">
        <f t="shared" si="70"/>
        <v>#VALUE!</v>
      </c>
      <c r="R183" s="331" t="e">
        <f t="shared" si="70"/>
        <v>#VALUE!</v>
      </c>
      <c r="S183" s="331" t="e">
        <f t="shared" si="70"/>
        <v>#VALUE!</v>
      </c>
      <c r="U183" s="331" t="e">
        <f t="shared" si="59"/>
        <v>#DIV/0!</v>
      </c>
    </row>
    <row r="184" spans="2:21" ht="14.85" customHeight="1">
      <c r="B184" s="413" t="str">
        <f t="shared" si="65"/>
        <v>Series F Warrants</v>
      </c>
      <c r="D184" s="331" t="e">
        <f t="shared" ref="D184:S184" si="71">D$106*D124/D$138</f>
        <v>#DIV/0!</v>
      </c>
      <c r="E184" s="331" t="e">
        <f t="shared" si="71"/>
        <v>#DIV/0!</v>
      </c>
      <c r="F184" s="331" t="e">
        <f t="shared" si="71"/>
        <v>#DIV/0!</v>
      </c>
      <c r="G184" s="331" t="e">
        <f t="shared" si="71"/>
        <v>#DIV/0!</v>
      </c>
      <c r="H184" s="331" t="e">
        <f t="shared" si="71"/>
        <v>#DIV/0!</v>
      </c>
      <c r="I184" s="331" t="e">
        <f t="shared" si="71"/>
        <v>#VALUE!</v>
      </c>
      <c r="J184" s="331" t="e">
        <f t="shared" si="71"/>
        <v>#VALUE!</v>
      </c>
      <c r="K184" s="331" t="e">
        <f t="shared" si="71"/>
        <v>#VALUE!</v>
      </c>
      <c r="L184" s="331" t="e">
        <f t="shared" si="71"/>
        <v>#VALUE!</v>
      </c>
      <c r="M184" s="331" t="e">
        <f t="shared" si="71"/>
        <v>#VALUE!</v>
      </c>
      <c r="N184" s="331" t="e">
        <f t="shared" si="71"/>
        <v>#VALUE!</v>
      </c>
      <c r="O184" s="331" t="e">
        <f t="shared" si="71"/>
        <v>#VALUE!</v>
      </c>
      <c r="P184" s="331" t="e">
        <f t="shared" si="71"/>
        <v>#VALUE!</v>
      </c>
      <c r="Q184" s="331" t="e">
        <f t="shared" si="71"/>
        <v>#VALUE!</v>
      </c>
      <c r="R184" s="331" t="e">
        <f t="shared" si="71"/>
        <v>#VALUE!</v>
      </c>
      <c r="S184" s="331" t="e">
        <f t="shared" si="71"/>
        <v>#VALUE!</v>
      </c>
      <c r="U184" s="331" t="e">
        <f t="shared" si="59"/>
        <v>#DIV/0!</v>
      </c>
    </row>
    <row r="185" spans="2:21" ht="14.85" customHeight="1">
      <c r="B185" s="413" t="str">
        <f t="shared" si="65"/>
        <v>Series G Warrants</v>
      </c>
      <c r="D185" s="331" t="e">
        <f t="shared" ref="D185:S185" si="72">D$106*D125/D$138</f>
        <v>#DIV/0!</v>
      </c>
      <c r="E185" s="331" t="e">
        <f t="shared" si="72"/>
        <v>#DIV/0!</v>
      </c>
      <c r="F185" s="331" t="e">
        <f t="shared" si="72"/>
        <v>#DIV/0!</v>
      </c>
      <c r="G185" s="331" t="e">
        <f t="shared" si="72"/>
        <v>#DIV/0!</v>
      </c>
      <c r="H185" s="331" t="e">
        <f t="shared" si="72"/>
        <v>#DIV/0!</v>
      </c>
      <c r="I185" s="331" t="e">
        <f t="shared" si="72"/>
        <v>#VALUE!</v>
      </c>
      <c r="J185" s="331" t="e">
        <f t="shared" si="72"/>
        <v>#VALUE!</v>
      </c>
      <c r="K185" s="331" t="e">
        <f t="shared" si="72"/>
        <v>#VALUE!</v>
      </c>
      <c r="L185" s="331" t="e">
        <f t="shared" si="72"/>
        <v>#VALUE!</v>
      </c>
      <c r="M185" s="331" t="e">
        <f t="shared" si="72"/>
        <v>#VALUE!</v>
      </c>
      <c r="N185" s="331" t="e">
        <f t="shared" si="72"/>
        <v>#VALUE!</v>
      </c>
      <c r="O185" s="331" t="e">
        <f t="shared" si="72"/>
        <v>#VALUE!</v>
      </c>
      <c r="P185" s="331" t="e">
        <f t="shared" si="72"/>
        <v>#VALUE!</v>
      </c>
      <c r="Q185" s="331" t="e">
        <f t="shared" si="72"/>
        <v>#VALUE!</v>
      </c>
      <c r="R185" s="331" t="e">
        <f t="shared" si="72"/>
        <v>#VALUE!</v>
      </c>
      <c r="S185" s="331" t="e">
        <f t="shared" si="72"/>
        <v>#VALUE!</v>
      </c>
      <c r="U185" s="331" t="e">
        <f t="shared" si="59"/>
        <v>#DIV/0!</v>
      </c>
    </row>
    <row r="186" spans="2:21" ht="14.85" customHeight="1">
      <c r="B186" s="328" t="str">
        <f t="shared" ref="B186:B196" si="73">B126</f>
        <v>Options/Warrants at $2.00 Strike Price</v>
      </c>
      <c r="D186" s="331" t="e">
        <f t="shared" ref="D186:S186" si="74">D$106*D126/D$138</f>
        <v>#DIV/0!</v>
      </c>
      <c r="E186" s="331" t="e">
        <f t="shared" si="74"/>
        <v>#DIV/0!</v>
      </c>
      <c r="F186" s="331" t="e">
        <f t="shared" si="74"/>
        <v>#DIV/0!</v>
      </c>
      <c r="G186" s="331" t="e">
        <f t="shared" si="74"/>
        <v>#DIV/0!</v>
      </c>
      <c r="H186" s="331" t="e">
        <f t="shared" si="74"/>
        <v>#DIV/0!</v>
      </c>
      <c r="I186" s="331" t="e">
        <f t="shared" si="74"/>
        <v>#VALUE!</v>
      </c>
      <c r="J186" s="331" t="e">
        <f t="shared" si="74"/>
        <v>#VALUE!</v>
      </c>
      <c r="K186" s="331" t="e">
        <f t="shared" si="74"/>
        <v>#VALUE!</v>
      </c>
      <c r="L186" s="331" t="e">
        <f t="shared" si="74"/>
        <v>#VALUE!</v>
      </c>
      <c r="M186" s="331" t="e">
        <f t="shared" si="74"/>
        <v>#VALUE!</v>
      </c>
      <c r="N186" s="331" t="e">
        <f t="shared" si="74"/>
        <v>#VALUE!</v>
      </c>
      <c r="O186" s="331" t="e">
        <f t="shared" si="74"/>
        <v>#VALUE!</v>
      </c>
      <c r="P186" s="331" t="e">
        <f t="shared" si="74"/>
        <v>#VALUE!</v>
      </c>
      <c r="Q186" s="331" t="e">
        <f t="shared" si="74"/>
        <v>#VALUE!</v>
      </c>
      <c r="R186" s="331" t="e">
        <f t="shared" si="74"/>
        <v>#VALUE!</v>
      </c>
      <c r="S186" s="331" t="e">
        <f t="shared" si="74"/>
        <v>#VALUE!</v>
      </c>
      <c r="U186" s="331" t="e">
        <f t="shared" si="59"/>
        <v>#DIV/0!</v>
      </c>
    </row>
    <row r="187" spans="2:21" ht="14.85" customHeight="1">
      <c r="B187" s="328" t="str">
        <f t="shared" si="73"/>
        <v>Options/Warrants at $0.00 Strike Price</v>
      </c>
      <c r="D187" s="331" t="e">
        <f t="shared" ref="D187:S187" si="75">D$106*D127/D$138</f>
        <v>#DIV/0!</v>
      </c>
      <c r="E187" s="331" t="e">
        <f t="shared" si="75"/>
        <v>#DIV/0!</v>
      </c>
      <c r="F187" s="331" t="e">
        <f t="shared" si="75"/>
        <v>#DIV/0!</v>
      </c>
      <c r="G187" s="331" t="e">
        <f t="shared" si="75"/>
        <v>#DIV/0!</v>
      </c>
      <c r="H187" s="331" t="e">
        <f t="shared" si="75"/>
        <v>#DIV/0!</v>
      </c>
      <c r="I187" s="331" t="e">
        <f t="shared" si="75"/>
        <v>#VALUE!</v>
      </c>
      <c r="J187" s="331" t="e">
        <f t="shared" si="75"/>
        <v>#VALUE!</v>
      </c>
      <c r="K187" s="331" t="e">
        <f t="shared" si="75"/>
        <v>#VALUE!</v>
      </c>
      <c r="L187" s="331" t="e">
        <f t="shared" si="75"/>
        <v>#VALUE!</v>
      </c>
      <c r="M187" s="331" t="e">
        <f t="shared" si="75"/>
        <v>#VALUE!</v>
      </c>
      <c r="N187" s="331" t="e">
        <f t="shared" si="75"/>
        <v>#VALUE!</v>
      </c>
      <c r="O187" s="331" t="e">
        <f t="shared" si="75"/>
        <v>#VALUE!</v>
      </c>
      <c r="P187" s="331" t="e">
        <f t="shared" si="75"/>
        <v>#VALUE!</v>
      </c>
      <c r="Q187" s="331" t="e">
        <f t="shared" si="75"/>
        <v>#VALUE!</v>
      </c>
      <c r="R187" s="331" t="e">
        <f t="shared" si="75"/>
        <v>#VALUE!</v>
      </c>
      <c r="S187" s="331" t="e">
        <f t="shared" si="75"/>
        <v>#VALUE!</v>
      </c>
      <c r="U187" s="331" t="e">
        <f t="shared" si="59"/>
        <v>#DIV/0!</v>
      </c>
    </row>
    <row r="188" spans="2:21" ht="14.85" customHeight="1">
      <c r="B188" s="328" t="str">
        <f t="shared" si="73"/>
        <v>Options/Warrants at $0.00 Strike Price</v>
      </c>
      <c r="D188" s="331" t="e">
        <f t="shared" ref="D188:S188" si="76">D$106*D128/D$138</f>
        <v>#DIV/0!</v>
      </c>
      <c r="E188" s="331" t="e">
        <f t="shared" si="76"/>
        <v>#DIV/0!</v>
      </c>
      <c r="F188" s="331" t="e">
        <f t="shared" si="76"/>
        <v>#DIV/0!</v>
      </c>
      <c r="G188" s="331" t="e">
        <f t="shared" si="76"/>
        <v>#DIV/0!</v>
      </c>
      <c r="H188" s="331" t="e">
        <f t="shared" si="76"/>
        <v>#DIV/0!</v>
      </c>
      <c r="I188" s="331" t="e">
        <f t="shared" si="76"/>
        <v>#VALUE!</v>
      </c>
      <c r="J188" s="331" t="e">
        <f t="shared" si="76"/>
        <v>#VALUE!</v>
      </c>
      <c r="K188" s="331" t="e">
        <f t="shared" si="76"/>
        <v>#VALUE!</v>
      </c>
      <c r="L188" s="331" t="e">
        <f t="shared" si="76"/>
        <v>#VALUE!</v>
      </c>
      <c r="M188" s="331" t="e">
        <f t="shared" si="76"/>
        <v>#VALUE!</v>
      </c>
      <c r="N188" s="331" t="e">
        <f t="shared" si="76"/>
        <v>#VALUE!</v>
      </c>
      <c r="O188" s="331" t="e">
        <f t="shared" si="76"/>
        <v>#VALUE!</v>
      </c>
      <c r="P188" s="331" t="e">
        <f t="shared" si="76"/>
        <v>#VALUE!</v>
      </c>
      <c r="Q188" s="331" t="e">
        <f t="shared" si="76"/>
        <v>#VALUE!</v>
      </c>
      <c r="R188" s="331" t="e">
        <f t="shared" si="76"/>
        <v>#VALUE!</v>
      </c>
      <c r="S188" s="331" t="e">
        <f t="shared" si="76"/>
        <v>#VALUE!</v>
      </c>
      <c r="U188" s="331" t="e">
        <f t="shared" si="59"/>
        <v>#DIV/0!</v>
      </c>
    </row>
    <row r="189" spans="2:21" ht="14.85" customHeight="1">
      <c r="B189" s="328" t="str">
        <f t="shared" si="73"/>
        <v>Options/Warrants at $0.00 Strike Price</v>
      </c>
      <c r="D189" s="331" t="e">
        <f t="shared" ref="D189:S189" si="77">D$106*D129/D$138</f>
        <v>#DIV/0!</v>
      </c>
      <c r="E189" s="331" t="e">
        <f t="shared" si="77"/>
        <v>#DIV/0!</v>
      </c>
      <c r="F189" s="331" t="e">
        <f t="shared" si="77"/>
        <v>#DIV/0!</v>
      </c>
      <c r="G189" s="331" t="e">
        <f t="shared" si="77"/>
        <v>#DIV/0!</v>
      </c>
      <c r="H189" s="331" t="e">
        <f t="shared" si="77"/>
        <v>#DIV/0!</v>
      </c>
      <c r="I189" s="331" t="e">
        <f t="shared" si="77"/>
        <v>#VALUE!</v>
      </c>
      <c r="J189" s="331" t="e">
        <f t="shared" si="77"/>
        <v>#VALUE!</v>
      </c>
      <c r="K189" s="331" t="e">
        <f t="shared" si="77"/>
        <v>#VALUE!</v>
      </c>
      <c r="L189" s="331" t="e">
        <f t="shared" si="77"/>
        <v>#VALUE!</v>
      </c>
      <c r="M189" s="331" t="e">
        <f t="shared" si="77"/>
        <v>#VALUE!</v>
      </c>
      <c r="N189" s="331" t="e">
        <f t="shared" si="77"/>
        <v>#VALUE!</v>
      </c>
      <c r="O189" s="331" t="e">
        <f t="shared" si="77"/>
        <v>#VALUE!</v>
      </c>
      <c r="P189" s="331" t="e">
        <f t="shared" si="77"/>
        <v>#VALUE!</v>
      </c>
      <c r="Q189" s="331" t="e">
        <f t="shared" si="77"/>
        <v>#VALUE!</v>
      </c>
      <c r="R189" s="331" t="e">
        <f t="shared" si="77"/>
        <v>#VALUE!</v>
      </c>
      <c r="S189" s="331" t="e">
        <f t="shared" si="77"/>
        <v>#VALUE!</v>
      </c>
      <c r="U189" s="331" t="e">
        <f t="shared" si="59"/>
        <v>#DIV/0!</v>
      </c>
    </row>
    <row r="190" spans="2:21" ht="14.85" customHeight="1">
      <c r="B190" s="328" t="str">
        <f t="shared" si="73"/>
        <v>Options/Warrants at $0.00 Strike Price</v>
      </c>
      <c r="D190" s="331" t="e">
        <f t="shared" ref="D190:S190" si="78">D$106*D130/D$138</f>
        <v>#DIV/0!</v>
      </c>
      <c r="E190" s="331" t="e">
        <f t="shared" si="78"/>
        <v>#DIV/0!</v>
      </c>
      <c r="F190" s="331" t="e">
        <f t="shared" si="78"/>
        <v>#DIV/0!</v>
      </c>
      <c r="G190" s="331" t="e">
        <f t="shared" si="78"/>
        <v>#DIV/0!</v>
      </c>
      <c r="H190" s="331" t="e">
        <f t="shared" si="78"/>
        <v>#DIV/0!</v>
      </c>
      <c r="I190" s="331" t="e">
        <f t="shared" si="78"/>
        <v>#VALUE!</v>
      </c>
      <c r="J190" s="331" t="e">
        <f t="shared" si="78"/>
        <v>#VALUE!</v>
      </c>
      <c r="K190" s="331" t="e">
        <f t="shared" si="78"/>
        <v>#VALUE!</v>
      </c>
      <c r="L190" s="331" t="e">
        <f t="shared" si="78"/>
        <v>#VALUE!</v>
      </c>
      <c r="M190" s="331" t="e">
        <f t="shared" si="78"/>
        <v>#VALUE!</v>
      </c>
      <c r="N190" s="331" t="e">
        <f t="shared" si="78"/>
        <v>#VALUE!</v>
      </c>
      <c r="O190" s="331" t="e">
        <f t="shared" si="78"/>
        <v>#VALUE!</v>
      </c>
      <c r="P190" s="331" t="e">
        <f t="shared" si="78"/>
        <v>#VALUE!</v>
      </c>
      <c r="Q190" s="331" t="e">
        <f t="shared" si="78"/>
        <v>#VALUE!</v>
      </c>
      <c r="R190" s="331" t="e">
        <f t="shared" si="78"/>
        <v>#VALUE!</v>
      </c>
      <c r="S190" s="331" t="e">
        <f t="shared" si="78"/>
        <v>#VALUE!</v>
      </c>
      <c r="U190" s="331" t="e">
        <f t="shared" si="59"/>
        <v>#DIV/0!</v>
      </c>
    </row>
    <row r="191" spans="2:21" ht="14.85" customHeight="1">
      <c r="B191" s="328" t="str">
        <f t="shared" si="73"/>
        <v>Options/Warrants at $0.00 Strike Price</v>
      </c>
      <c r="D191" s="331" t="e">
        <f t="shared" ref="D191:S191" si="79">D$106*D131/D$138</f>
        <v>#DIV/0!</v>
      </c>
      <c r="E191" s="331" t="e">
        <f t="shared" si="79"/>
        <v>#DIV/0!</v>
      </c>
      <c r="F191" s="331" t="e">
        <f t="shared" si="79"/>
        <v>#DIV/0!</v>
      </c>
      <c r="G191" s="331" t="e">
        <f t="shared" si="79"/>
        <v>#DIV/0!</v>
      </c>
      <c r="H191" s="331" t="e">
        <f t="shared" si="79"/>
        <v>#DIV/0!</v>
      </c>
      <c r="I191" s="331" t="e">
        <f t="shared" si="79"/>
        <v>#VALUE!</v>
      </c>
      <c r="J191" s="331" t="e">
        <f t="shared" si="79"/>
        <v>#VALUE!</v>
      </c>
      <c r="K191" s="331" t="e">
        <f t="shared" si="79"/>
        <v>#VALUE!</v>
      </c>
      <c r="L191" s="331" t="e">
        <f t="shared" si="79"/>
        <v>#VALUE!</v>
      </c>
      <c r="M191" s="331" t="e">
        <f t="shared" si="79"/>
        <v>#VALUE!</v>
      </c>
      <c r="N191" s="331" t="e">
        <f t="shared" si="79"/>
        <v>#VALUE!</v>
      </c>
      <c r="O191" s="331" t="e">
        <f t="shared" si="79"/>
        <v>#VALUE!</v>
      </c>
      <c r="P191" s="331" t="e">
        <f t="shared" si="79"/>
        <v>#VALUE!</v>
      </c>
      <c r="Q191" s="331" t="e">
        <f t="shared" si="79"/>
        <v>#VALUE!</v>
      </c>
      <c r="R191" s="331" t="e">
        <f t="shared" si="79"/>
        <v>#VALUE!</v>
      </c>
      <c r="S191" s="331" t="e">
        <f t="shared" si="79"/>
        <v>#VALUE!</v>
      </c>
      <c r="U191" s="331" t="e">
        <f t="shared" si="59"/>
        <v>#DIV/0!</v>
      </c>
    </row>
    <row r="192" spans="2:21" ht="14.85" customHeight="1">
      <c r="B192" s="328" t="str">
        <f t="shared" si="73"/>
        <v>Options/Warrants at $0.00 Strike Price</v>
      </c>
      <c r="D192" s="331" t="e">
        <f t="shared" ref="D192:S192" si="80">D$106*D132/D$138</f>
        <v>#DIV/0!</v>
      </c>
      <c r="E192" s="331" t="e">
        <f t="shared" si="80"/>
        <v>#DIV/0!</v>
      </c>
      <c r="F192" s="331" t="e">
        <f t="shared" si="80"/>
        <v>#DIV/0!</v>
      </c>
      <c r="G192" s="331" t="e">
        <f t="shared" si="80"/>
        <v>#DIV/0!</v>
      </c>
      <c r="H192" s="331" t="e">
        <f t="shared" si="80"/>
        <v>#DIV/0!</v>
      </c>
      <c r="I192" s="331" t="e">
        <f t="shared" si="80"/>
        <v>#VALUE!</v>
      </c>
      <c r="J192" s="331" t="e">
        <f t="shared" si="80"/>
        <v>#VALUE!</v>
      </c>
      <c r="K192" s="331" t="e">
        <f t="shared" si="80"/>
        <v>#VALUE!</v>
      </c>
      <c r="L192" s="331" t="e">
        <f t="shared" si="80"/>
        <v>#VALUE!</v>
      </c>
      <c r="M192" s="331" t="e">
        <f t="shared" si="80"/>
        <v>#VALUE!</v>
      </c>
      <c r="N192" s="331" t="e">
        <f t="shared" si="80"/>
        <v>#VALUE!</v>
      </c>
      <c r="O192" s="331" t="e">
        <f t="shared" si="80"/>
        <v>#VALUE!</v>
      </c>
      <c r="P192" s="331" t="e">
        <f t="shared" si="80"/>
        <v>#VALUE!</v>
      </c>
      <c r="Q192" s="331" t="e">
        <f t="shared" si="80"/>
        <v>#VALUE!</v>
      </c>
      <c r="R192" s="331" t="e">
        <f t="shared" si="80"/>
        <v>#VALUE!</v>
      </c>
      <c r="S192" s="331" t="e">
        <f t="shared" si="80"/>
        <v>#VALUE!</v>
      </c>
      <c r="U192" s="331" t="e">
        <f t="shared" si="59"/>
        <v>#DIV/0!</v>
      </c>
    </row>
    <row r="193" spans="2:23" ht="14.85" customHeight="1">
      <c r="B193" s="328" t="str">
        <f t="shared" si="73"/>
        <v>Options/Warrants at $0.00 Strike Price</v>
      </c>
      <c r="D193" s="331" t="e">
        <f t="shared" ref="D193:S193" si="81">D$106*D133/D$138</f>
        <v>#DIV/0!</v>
      </c>
      <c r="E193" s="331" t="e">
        <f t="shared" si="81"/>
        <v>#DIV/0!</v>
      </c>
      <c r="F193" s="331" t="e">
        <f t="shared" si="81"/>
        <v>#DIV/0!</v>
      </c>
      <c r="G193" s="331" t="e">
        <f t="shared" si="81"/>
        <v>#DIV/0!</v>
      </c>
      <c r="H193" s="331" t="e">
        <f t="shared" si="81"/>
        <v>#DIV/0!</v>
      </c>
      <c r="I193" s="331" t="e">
        <f t="shared" si="81"/>
        <v>#VALUE!</v>
      </c>
      <c r="J193" s="331" t="e">
        <f t="shared" si="81"/>
        <v>#VALUE!</v>
      </c>
      <c r="K193" s="331" t="e">
        <f t="shared" si="81"/>
        <v>#VALUE!</v>
      </c>
      <c r="L193" s="331" t="e">
        <f t="shared" si="81"/>
        <v>#VALUE!</v>
      </c>
      <c r="M193" s="331" t="e">
        <f t="shared" si="81"/>
        <v>#VALUE!</v>
      </c>
      <c r="N193" s="331" t="e">
        <f t="shared" si="81"/>
        <v>#VALUE!</v>
      </c>
      <c r="O193" s="331" t="e">
        <f t="shared" si="81"/>
        <v>#VALUE!</v>
      </c>
      <c r="P193" s="331" t="e">
        <f t="shared" si="81"/>
        <v>#VALUE!</v>
      </c>
      <c r="Q193" s="331" t="e">
        <f t="shared" si="81"/>
        <v>#VALUE!</v>
      </c>
      <c r="R193" s="331" t="e">
        <f t="shared" si="81"/>
        <v>#VALUE!</v>
      </c>
      <c r="S193" s="331" t="e">
        <f t="shared" si="81"/>
        <v>#VALUE!</v>
      </c>
      <c r="U193" s="331" t="e">
        <f>SUM(D193:S193)</f>
        <v>#DIV/0!</v>
      </c>
    </row>
    <row r="194" spans="2:23" ht="14.85" customHeight="1">
      <c r="B194" s="328" t="str">
        <f t="shared" si="73"/>
        <v>Options/Warrants at $0.00 Strike Price</v>
      </c>
      <c r="D194" s="331" t="e">
        <f t="shared" ref="D194:S194" si="82">D$106*D134/D$138</f>
        <v>#DIV/0!</v>
      </c>
      <c r="E194" s="331" t="e">
        <f t="shared" si="82"/>
        <v>#DIV/0!</v>
      </c>
      <c r="F194" s="331" t="e">
        <f t="shared" si="82"/>
        <v>#DIV/0!</v>
      </c>
      <c r="G194" s="331" t="e">
        <f t="shared" si="82"/>
        <v>#DIV/0!</v>
      </c>
      <c r="H194" s="331" t="e">
        <f t="shared" si="82"/>
        <v>#DIV/0!</v>
      </c>
      <c r="I194" s="331" t="e">
        <f t="shared" si="82"/>
        <v>#VALUE!</v>
      </c>
      <c r="J194" s="331" t="e">
        <f t="shared" si="82"/>
        <v>#VALUE!</v>
      </c>
      <c r="K194" s="331" t="e">
        <f t="shared" si="82"/>
        <v>#VALUE!</v>
      </c>
      <c r="L194" s="331" t="e">
        <f t="shared" si="82"/>
        <v>#VALUE!</v>
      </c>
      <c r="M194" s="331" t="e">
        <f t="shared" si="82"/>
        <v>#VALUE!</v>
      </c>
      <c r="N194" s="331" t="e">
        <f t="shared" si="82"/>
        <v>#VALUE!</v>
      </c>
      <c r="O194" s="331" t="e">
        <f t="shared" si="82"/>
        <v>#VALUE!</v>
      </c>
      <c r="P194" s="331" t="e">
        <f t="shared" si="82"/>
        <v>#VALUE!</v>
      </c>
      <c r="Q194" s="331" t="e">
        <f t="shared" si="82"/>
        <v>#VALUE!</v>
      </c>
      <c r="R194" s="331" t="e">
        <f t="shared" si="82"/>
        <v>#VALUE!</v>
      </c>
      <c r="S194" s="331" t="e">
        <f t="shared" si="82"/>
        <v>#VALUE!</v>
      </c>
      <c r="U194" s="331" t="e">
        <f>SUM(D194:S194)</f>
        <v>#DIV/0!</v>
      </c>
    </row>
    <row r="195" spans="2:23" ht="14.85" customHeight="1">
      <c r="B195" s="328" t="str">
        <f t="shared" si="73"/>
        <v>Expected Options Grant</v>
      </c>
      <c r="D195" s="331" t="e">
        <f t="shared" ref="D195:S195" si="83">D$106*D135/D$138</f>
        <v>#DIV/0!</v>
      </c>
      <c r="E195" s="331" t="e">
        <f t="shared" si="83"/>
        <v>#DIV/0!</v>
      </c>
      <c r="F195" s="331" t="e">
        <f t="shared" si="83"/>
        <v>#DIV/0!</v>
      </c>
      <c r="G195" s="331" t="e">
        <f t="shared" si="83"/>
        <v>#DIV/0!</v>
      </c>
      <c r="H195" s="331" t="e">
        <f t="shared" si="83"/>
        <v>#DIV/0!</v>
      </c>
      <c r="I195" s="331" t="e">
        <f t="shared" si="83"/>
        <v>#VALUE!</v>
      </c>
      <c r="J195" s="331" t="e">
        <f t="shared" si="83"/>
        <v>#VALUE!</v>
      </c>
      <c r="K195" s="331" t="e">
        <f t="shared" si="83"/>
        <v>#VALUE!</v>
      </c>
      <c r="L195" s="331" t="e">
        <f t="shared" si="83"/>
        <v>#VALUE!</v>
      </c>
      <c r="M195" s="331" t="e">
        <f t="shared" si="83"/>
        <v>#VALUE!</v>
      </c>
      <c r="N195" s="331" t="e">
        <f t="shared" si="83"/>
        <v>#VALUE!</v>
      </c>
      <c r="O195" s="331" t="e">
        <f t="shared" si="83"/>
        <v>#VALUE!</v>
      </c>
      <c r="P195" s="331" t="e">
        <f t="shared" si="83"/>
        <v>#VALUE!</v>
      </c>
      <c r="Q195" s="331" t="e">
        <f t="shared" si="83"/>
        <v>#VALUE!</v>
      </c>
      <c r="R195" s="331" t="e">
        <f t="shared" si="83"/>
        <v>#VALUE!</v>
      </c>
      <c r="S195" s="331" t="e">
        <f t="shared" si="83"/>
        <v>#VALUE!</v>
      </c>
      <c r="U195" s="331" t="e">
        <f>SUM(D195:S195)</f>
        <v>#DIV/0!</v>
      </c>
    </row>
    <row r="196" spans="2:23" ht="14.85" customHeight="1">
      <c r="B196" s="328" t="str">
        <f t="shared" si="73"/>
        <v>Common Stock</v>
      </c>
      <c r="D196" s="331" t="e">
        <f t="shared" ref="D196:S196" si="84">D$106*D136/D$138</f>
        <v>#DIV/0!</v>
      </c>
      <c r="E196" s="331" t="e">
        <f t="shared" si="84"/>
        <v>#DIV/0!</v>
      </c>
      <c r="F196" s="331" t="e">
        <f t="shared" si="84"/>
        <v>#DIV/0!</v>
      </c>
      <c r="G196" s="331" t="e">
        <f t="shared" si="84"/>
        <v>#DIV/0!</v>
      </c>
      <c r="H196" s="331" t="e">
        <f t="shared" si="84"/>
        <v>#DIV/0!</v>
      </c>
      <c r="I196" s="331" t="e">
        <f t="shared" si="84"/>
        <v>#VALUE!</v>
      </c>
      <c r="J196" s="331" t="e">
        <f t="shared" si="84"/>
        <v>#VALUE!</v>
      </c>
      <c r="K196" s="331" t="e">
        <f t="shared" si="84"/>
        <v>#VALUE!</v>
      </c>
      <c r="L196" s="331" t="e">
        <f t="shared" si="84"/>
        <v>#VALUE!</v>
      </c>
      <c r="M196" s="331" t="e">
        <f t="shared" si="84"/>
        <v>#VALUE!</v>
      </c>
      <c r="N196" s="331" t="e">
        <f t="shared" si="84"/>
        <v>#VALUE!</v>
      </c>
      <c r="O196" s="331" t="e">
        <f t="shared" si="84"/>
        <v>#VALUE!</v>
      </c>
      <c r="P196" s="331" t="e">
        <f t="shared" si="84"/>
        <v>#VALUE!</v>
      </c>
      <c r="Q196" s="331" t="e">
        <f t="shared" si="84"/>
        <v>#VALUE!</v>
      </c>
      <c r="R196" s="331" t="e">
        <f t="shared" si="84"/>
        <v>#VALUE!</v>
      </c>
      <c r="S196" s="331" t="e">
        <f t="shared" si="84"/>
        <v>#VALUE!</v>
      </c>
      <c r="U196" s="331" t="e">
        <f>SUM(D196:S196)</f>
        <v>#DIV/0!</v>
      </c>
    </row>
    <row r="197" spans="2:23" ht="14.85" customHeight="1">
      <c r="B197" s="761"/>
      <c r="C197" s="761"/>
      <c r="D197" s="346"/>
      <c r="E197" s="346"/>
      <c r="F197" s="346"/>
      <c r="G197" s="346"/>
      <c r="H197" s="346"/>
      <c r="I197" s="346"/>
      <c r="J197" s="346"/>
      <c r="K197" s="346"/>
      <c r="L197" s="346"/>
      <c r="M197" s="346"/>
      <c r="N197" s="346"/>
      <c r="O197" s="346"/>
      <c r="P197" s="346"/>
      <c r="Q197" s="346"/>
      <c r="R197" s="346"/>
      <c r="S197" s="346"/>
      <c r="U197" s="346"/>
    </row>
    <row r="198" spans="2:23" ht="14.85" customHeight="1">
      <c r="B198" s="253" t="s">
        <v>2547</v>
      </c>
      <c r="D198" s="764" t="e">
        <f t="shared" ref="D198:S198" si="85">SUM(D172:D196)</f>
        <v>#DIV/0!</v>
      </c>
      <c r="E198" s="764" t="e">
        <f t="shared" si="85"/>
        <v>#DIV/0!</v>
      </c>
      <c r="F198" s="764" t="e">
        <f t="shared" si="85"/>
        <v>#DIV/0!</v>
      </c>
      <c r="G198" s="764" t="e">
        <f t="shared" si="85"/>
        <v>#DIV/0!</v>
      </c>
      <c r="H198" s="764" t="e">
        <f t="shared" si="85"/>
        <v>#DIV/0!</v>
      </c>
      <c r="I198" s="764" t="e">
        <f t="shared" si="85"/>
        <v>#VALUE!</v>
      </c>
      <c r="J198" s="764" t="e">
        <f t="shared" si="85"/>
        <v>#VALUE!</v>
      </c>
      <c r="K198" s="764" t="e">
        <f t="shared" si="85"/>
        <v>#VALUE!</v>
      </c>
      <c r="L198" s="764" t="e">
        <f t="shared" si="85"/>
        <v>#VALUE!</v>
      </c>
      <c r="M198" s="764" t="e">
        <f t="shared" si="85"/>
        <v>#VALUE!</v>
      </c>
      <c r="N198" s="764" t="e">
        <f t="shared" si="85"/>
        <v>#VALUE!</v>
      </c>
      <c r="O198" s="764" t="e">
        <f t="shared" si="85"/>
        <v>#VALUE!</v>
      </c>
      <c r="P198" s="764" t="e">
        <f t="shared" si="85"/>
        <v>#VALUE!</v>
      </c>
      <c r="Q198" s="764" t="e">
        <f t="shared" si="85"/>
        <v>#VALUE!</v>
      </c>
      <c r="R198" s="764" t="e">
        <f t="shared" si="85"/>
        <v>#VALUE!</v>
      </c>
      <c r="S198" s="764" t="e">
        <f t="shared" si="85"/>
        <v>#VALUE!</v>
      </c>
      <c r="U198" s="412" t="e">
        <f>SUM(U172:U196)</f>
        <v>#DIV/0!</v>
      </c>
      <c r="W198" s="765" t="e">
        <f>U198-D9</f>
        <v>#DIV/0!</v>
      </c>
    </row>
    <row r="199" spans="2:23" ht="14.85" customHeight="1"/>
    <row r="200" spans="2:23" ht="14.85" customHeight="1"/>
    <row r="201" spans="2:23" ht="14.85" customHeight="1"/>
    <row r="202" spans="2:23" ht="14.85" customHeight="1">
      <c r="B202" s="250" t="s">
        <v>2578</v>
      </c>
      <c r="D202" s="766">
        <f>D89</f>
        <v>216</v>
      </c>
      <c r="E202" s="766">
        <f>F89-E89</f>
        <v>261</v>
      </c>
      <c r="F202" s="766">
        <f t="shared" ref="F202:R202" si="86">G89-F89</f>
        <v>243</v>
      </c>
      <c r="G202" s="766">
        <f t="shared" si="86"/>
        <v>250</v>
      </c>
      <c r="H202" s="766">
        <f t="shared" si="86"/>
        <v>-1234</v>
      </c>
      <c r="I202" s="766">
        <f t="shared" si="86"/>
        <v>0</v>
      </c>
      <c r="J202" s="766">
        <f t="shared" si="86"/>
        <v>0</v>
      </c>
      <c r="K202" s="766">
        <f t="shared" si="86"/>
        <v>0</v>
      </c>
      <c r="L202" s="766">
        <f t="shared" si="86"/>
        <v>0</v>
      </c>
      <c r="M202" s="766">
        <f t="shared" si="86"/>
        <v>0</v>
      </c>
      <c r="N202" s="766">
        <f t="shared" si="86"/>
        <v>0</v>
      </c>
      <c r="O202" s="766">
        <f t="shared" si="86"/>
        <v>0</v>
      </c>
      <c r="P202" s="766">
        <f t="shared" si="86"/>
        <v>0</v>
      </c>
      <c r="Q202" s="766">
        <f t="shared" si="86"/>
        <v>0</v>
      </c>
      <c r="R202" s="766">
        <f t="shared" si="86"/>
        <v>0</v>
      </c>
      <c r="S202" s="766"/>
    </row>
    <row r="203" spans="2:23" ht="14.85" customHeight="1">
      <c r="D203" s="766"/>
      <c r="E203" s="766"/>
      <c r="F203" s="766"/>
      <c r="G203" s="766"/>
      <c r="H203" s="766"/>
      <c r="I203" s="766"/>
      <c r="J203" s="766"/>
      <c r="K203" s="766"/>
      <c r="L203" s="766"/>
      <c r="M203" s="766"/>
      <c r="N203" s="766"/>
      <c r="O203" s="766"/>
      <c r="P203" s="766"/>
      <c r="Q203" s="766"/>
      <c r="R203" s="766"/>
      <c r="S203" s="766"/>
    </row>
    <row r="204" spans="2:23" ht="14.85" customHeight="1">
      <c r="B204" s="767" t="s">
        <v>2579</v>
      </c>
      <c r="C204" s="272"/>
      <c r="D204" s="768">
        <f>D170</f>
        <v>1</v>
      </c>
      <c r="E204" s="769">
        <f t="shared" ref="E204:S204" si="87">E170</f>
        <v>2</v>
      </c>
      <c r="F204" s="769">
        <f t="shared" si="87"/>
        <v>3</v>
      </c>
      <c r="G204" s="769">
        <f t="shared" si="87"/>
        <v>4</v>
      </c>
      <c r="H204" s="769">
        <f t="shared" si="87"/>
        <v>5</v>
      </c>
      <c r="I204" s="769">
        <f t="shared" si="87"/>
        <v>6</v>
      </c>
      <c r="J204" s="769">
        <f t="shared" si="87"/>
        <v>7</v>
      </c>
      <c r="K204" s="769">
        <f t="shared" si="87"/>
        <v>8</v>
      </c>
      <c r="L204" s="769">
        <f t="shared" si="87"/>
        <v>9</v>
      </c>
      <c r="M204" s="769">
        <f t="shared" si="87"/>
        <v>10</v>
      </c>
      <c r="N204" s="769">
        <f t="shared" si="87"/>
        <v>11</v>
      </c>
      <c r="O204" s="769">
        <f t="shared" si="87"/>
        <v>12</v>
      </c>
      <c r="P204" s="769">
        <f t="shared" si="87"/>
        <v>13</v>
      </c>
      <c r="Q204" s="769">
        <f t="shared" si="87"/>
        <v>14</v>
      </c>
      <c r="R204" s="769">
        <f t="shared" si="87"/>
        <v>15</v>
      </c>
      <c r="S204" s="770">
        <f t="shared" si="87"/>
        <v>16</v>
      </c>
    </row>
    <row r="205" spans="2:23" ht="14.85" customHeight="1">
      <c r="D205" s="766"/>
      <c r="E205" s="766"/>
      <c r="F205" s="766"/>
      <c r="G205" s="766"/>
      <c r="H205" s="766"/>
      <c r="I205" s="766"/>
      <c r="J205" s="766"/>
      <c r="K205" s="766"/>
      <c r="L205" s="766"/>
      <c r="M205" s="766"/>
      <c r="N205" s="766"/>
      <c r="O205" s="766"/>
      <c r="P205" s="766"/>
      <c r="Q205" s="766"/>
      <c r="R205" s="766"/>
      <c r="S205" s="766"/>
    </row>
    <row r="206" spans="2:23" ht="14.85" customHeight="1">
      <c r="B206" s="250" t="str">
        <f>B172</f>
        <v>Series A</v>
      </c>
      <c r="D206" s="458" t="e">
        <f>D112/D$138*D$202</f>
        <v>#DIV/0!</v>
      </c>
      <c r="E206" s="458" t="e">
        <f t="shared" ref="E206:S206" si="88">E112/E$138*E$202</f>
        <v>#DIV/0!</v>
      </c>
      <c r="F206" s="458" t="e">
        <f t="shared" si="88"/>
        <v>#DIV/0!</v>
      </c>
      <c r="G206" s="458" t="e">
        <f t="shared" si="88"/>
        <v>#DIV/0!</v>
      </c>
      <c r="H206" s="458" t="e">
        <f t="shared" si="88"/>
        <v>#DIV/0!</v>
      </c>
      <c r="I206" s="458" t="e">
        <f t="shared" si="88"/>
        <v>#DIV/0!</v>
      </c>
      <c r="J206" s="458" t="e">
        <f t="shared" si="88"/>
        <v>#DIV/0!</v>
      </c>
      <c r="K206" s="458" t="e">
        <f t="shared" si="88"/>
        <v>#DIV/0!</v>
      </c>
      <c r="L206" s="458" t="e">
        <f t="shared" si="88"/>
        <v>#DIV/0!</v>
      </c>
      <c r="M206" s="458" t="e">
        <f t="shared" si="88"/>
        <v>#DIV/0!</v>
      </c>
      <c r="N206" s="458" t="e">
        <f t="shared" si="88"/>
        <v>#DIV/0!</v>
      </c>
      <c r="O206" s="458" t="e">
        <f t="shared" si="88"/>
        <v>#DIV/0!</v>
      </c>
      <c r="P206" s="458" t="e">
        <f t="shared" si="88"/>
        <v>#DIV/0!</v>
      </c>
      <c r="Q206" s="458" t="e">
        <f t="shared" si="88"/>
        <v>#DIV/0!</v>
      </c>
      <c r="R206" s="458" t="e">
        <f t="shared" si="88"/>
        <v>#DIV/0!</v>
      </c>
      <c r="S206" s="458" t="e">
        <f t="shared" si="88"/>
        <v>#DIV/0!</v>
      </c>
    </row>
    <row r="207" spans="2:23" ht="14.85" customHeight="1">
      <c r="B207" s="250" t="str">
        <f t="shared" ref="B207:B230" si="89">B173</f>
        <v>Series B</v>
      </c>
      <c r="D207" s="458" t="e">
        <f t="shared" ref="D207:S207" si="90">D113/D$138*D$202</f>
        <v>#DIV/0!</v>
      </c>
      <c r="E207" s="458" t="e">
        <f t="shared" si="90"/>
        <v>#DIV/0!</v>
      </c>
      <c r="F207" s="458" t="e">
        <f t="shared" si="90"/>
        <v>#DIV/0!</v>
      </c>
      <c r="G207" s="458" t="e">
        <f t="shared" si="90"/>
        <v>#DIV/0!</v>
      </c>
      <c r="H207" s="458" t="e">
        <f t="shared" si="90"/>
        <v>#DIV/0!</v>
      </c>
      <c r="I207" s="458" t="e">
        <f t="shared" si="90"/>
        <v>#DIV/0!</v>
      </c>
      <c r="J207" s="458" t="e">
        <f t="shared" si="90"/>
        <v>#DIV/0!</v>
      </c>
      <c r="K207" s="458" t="e">
        <f t="shared" si="90"/>
        <v>#DIV/0!</v>
      </c>
      <c r="L207" s="458" t="e">
        <f t="shared" si="90"/>
        <v>#DIV/0!</v>
      </c>
      <c r="M207" s="458" t="e">
        <f t="shared" si="90"/>
        <v>#DIV/0!</v>
      </c>
      <c r="N207" s="458" t="e">
        <f t="shared" si="90"/>
        <v>#DIV/0!</v>
      </c>
      <c r="O207" s="458" t="e">
        <f t="shared" si="90"/>
        <v>#DIV/0!</v>
      </c>
      <c r="P207" s="458" t="e">
        <f t="shared" si="90"/>
        <v>#DIV/0!</v>
      </c>
      <c r="Q207" s="458" t="e">
        <f t="shared" si="90"/>
        <v>#DIV/0!</v>
      </c>
      <c r="R207" s="458" t="e">
        <f t="shared" si="90"/>
        <v>#DIV/0!</v>
      </c>
      <c r="S207" s="458" t="e">
        <f t="shared" si="90"/>
        <v>#DIV/0!</v>
      </c>
    </row>
    <row r="208" spans="2:23" ht="14.85" customHeight="1">
      <c r="B208" s="250" t="str">
        <f t="shared" si="89"/>
        <v>Series C</v>
      </c>
      <c r="D208" s="458" t="e">
        <f t="shared" ref="D208:S208" si="91">D114/D$138*D$202</f>
        <v>#DIV/0!</v>
      </c>
      <c r="E208" s="458" t="e">
        <f t="shared" si="91"/>
        <v>#DIV/0!</v>
      </c>
      <c r="F208" s="458" t="e">
        <f t="shared" si="91"/>
        <v>#DIV/0!</v>
      </c>
      <c r="G208" s="458" t="e">
        <f t="shared" si="91"/>
        <v>#DIV/0!</v>
      </c>
      <c r="H208" s="458" t="e">
        <f t="shared" si="91"/>
        <v>#DIV/0!</v>
      </c>
      <c r="I208" s="458" t="e">
        <f t="shared" si="91"/>
        <v>#DIV/0!</v>
      </c>
      <c r="J208" s="458" t="e">
        <f t="shared" si="91"/>
        <v>#DIV/0!</v>
      </c>
      <c r="K208" s="458" t="e">
        <f t="shared" si="91"/>
        <v>#DIV/0!</v>
      </c>
      <c r="L208" s="458" t="e">
        <f t="shared" si="91"/>
        <v>#DIV/0!</v>
      </c>
      <c r="M208" s="458" t="e">
        <f t="shared" si="91"/>
        <v>#DIV/0!</v>
      </c>
      <c r="N208" s="458" t="e">
        <f t="shared" si="91"/>
        <v>#DIV/0!</v>
      </c>
      <c r="O208" s="458" t="e">
        <f t="shared" si="91"/>
        <v>#DIV/0!</v>
      </c>
      <c r="P208" s="458" t="e">
        <f t="shared" si="91"/>
        <v>#DIV/0!</v>
      </c>
      <c r="Q208" s="458" t="e">
        <f t="shared" si="91"/>
        <v>#DIV/0!</v>
      </c>
      <c r="R208" s="458" t="e">
        <f t="shared" si="91"/>
        <v>#DIV/0!</v>
      </c>
      <c r="S208" s="458" t="e">
        <f t="shared" si="91"/>
        <v>#DIV/0!</v>
      </c>
    </row>
    <row r="209" spans="2:19" ht="14.85" customHeight="1">
      <c r="B209" s="250" t="str">
        <f t="shared" si="89"/>
        <v>Series D</v>
      </c>
      <c r="D209" s="458" t="e">
        <f t="shared" ref="D209:S209" si="92">D115/D$138*D$202</f>
        <v>#DIV/0!</v>
      </c>
      <c r="E209" s="458" t="e">
        <f t="shared" si="92"/>
        <v>#DIV/0!</v>
      </c>
      <c r="F209" s="458" t="e">
        <f t="shared" si="92"/>
        <v>#DIV/0!</v>
      </c>
      <c r="G209" s="458" t="e">
        <f t="shared" si="92"/>
        <v>#DIV/0!</v>
      </c>
      <c r="H209" s="458" t="e">
        <f t="shared" si="92"/>
        <v>#DIV/0!</v>
      </c>
      <c r="I209" s="458" t="e">
        <f t="shared" si="92"/>
        <v>#DIV/0!</v>
      </c>
      <c r="J209" s="458" t="e">
        <f t="shared" si="92"/>
        <v>#DIV/0!</v>
      </c>
      <c r="K209" s="458" t="e">
        <f t="shared" si="92"/>
        <v>#DIV/0!</v>
      </c>
      <c r="L209" s="458" t="e">
        <f t="shared" si="92"/>
        <v>#DIV/0!</v>
      </c>
      <c r="M209" s="458" t="e">
        <f t="shared" si="92"/>
        <v>#DIV/0!</v>
      </c>
      <c r="N209" s="458" t="e">
        <f t="shared" si="92"/>
        <v>#DIV/0!</v>
      </c>
      <c r="O209" s="458" t="e">
        <f t="shared" si="92"/>
        <v>#DIV/0!</v>
      </c>
      <c r="P209" s="458" t="e">
        <f t="shared" si="92"/>
        <v>#DIV/0!</v>
      </c>
      <c r="Q209" s="458" t="e">
        <f t="shared" si="92"/>
        <v>#DIV/0!</v>
      </c>
      <c r="R209" s="458" t="e">
        <f t="shared" si="92"/>
        <v>#DIV/0!</v>
      </c>
      <c r="S209" s="458" t="e">
        <f t="shared" si="92"/>
        <v>#DIV/0!</v>
      </c>
    </row>
    <row r="210" spans="2:19" ht="14.85" customHeight="1">
      <c r="B210" s="250" t="str">
        <f t="shared" si="89"/>
        <v>Series E</v>
      </c>
      <c r="D210" s="458" t="e">
        <f t="shared" ref="D210:S210" si="93">D116/D$138*D$202</f>
        <v>#DIV/0!</v>
      </c>
      <c r="E210" s="458" t="e">
        <f t="shared" si="93"/>
        <v>#DIV/0!</v>
      </c>
      <c r="F210" s="458" t="e">
        <f t="shared" si="93"/>
        <v>#DIV/0!</v>
      </c>
      <c r="G210" s="458" t="e">
        <f t="shared" si="93"/>
        <v>#DIV/0!</v>
      </c>
      <c r="H210" s="458" t="e">
        <f t="shared" si="93"/>
        <v>#DIV/0!</v>
      </c>
      <c r="I210" s="458" t="e">
        <f t="shared" si="93"/>
        <v>#DIV/0!</v>
      </c>
      <c r="J210" s="458" t="e">
        <f t="shared" si="93"/>
        <v>#DIV/0!</v>
      </c>
      <c r="K210" s="458" t="e">
        <f t="shared" si="93"/>
        <v>#DIV/0!</v>
      </c>
      <c r="L210" s="458" t="e">
        <f t="shared" si="93"/>
        <v>#DIV/0!</v>
      </c>
      <c r="M210" s="458" t="e">
        <f t="shared" si="93"/>
        <v>#DIV/0!</v>
      </c>
      <c r="N210" s="458" t="e">
        <f t="shared" si="93"/>
        <v>#DIV/0!</v>
      </c>
      <c r="O210" s="458" t="e">
        <f t="shared" si="93"/>
        <v>#DIV/0!</v>
      </c>
      <c r="P210" s="458" t="e">
        <f t="shared" si="93"/>
        <v>#DIV/0!</v>
      </c>
      <c r="Q210" s="458" t="e">
        <f t="shared" si="93"/>
        <v>#DIV/0!</v>
      </c>
      <c r="R210" s="458" t="e">
        <f t="shared" si="93"/>
        <v>#DIV/0!</v>
      </c>
      <c r="S210" s="458" t="e">
        <f t="shared" si="93"/>
        <v>#DIV/0!</v>
      </c>
    </row>
    <row r="211" spans="2:19" ht="14.85" customHeight="1">
      <c r="B211" s="250" t="str">
        <f t="shared" si="89"/>
        <v>Series F</v>
      </c>
      <c r="D211" s="458" t="e">
        <f t="shared" ref="D211:S211" si="94">D117/D$138*D$202</f>
        <v>#DIV/0!</v>
      </c>
      <c r="E211" s="458" t="e">
        <f t="shared" si="94"/>
        <v>#DIV/0!</v>
      </c>
      <c r="F211" s="458" t="e">
        <f t="shared" si="94"/>
        <v>#DIV/0!</v>
      </c>
      <c r="G211" s="458" t="e">
        <f t="shared" si="94"/>
        <v>#DIV/0!</v>
      </c>
      <c r="H211" s="458" t="e">
        <f t="shared" si="94"/>
        <v>#DIV/0!</v>
      </c>
      <c r="I211" s="458" t="e">
        <f t="shared" si="94"/>
        <v>#DIV/0!</v>
      </c>
      <c r="J211" s="458" t="e">
        <f t="shared" si="94"/>
        <v>#DIV/0!</v>
      </c>
      <c r="K211" s="458" t="e">
        <f t="shared" si="94"/>
        <v>#DIV/0!</v>
      </c>
      <c r="L211" s="458" t="e">
        <f t="shared" si="94"/>
        <v>#DIV/0!</v>
      </c>
      <c r="M211" s="458" t="e">
        <f t="shared" si="94"/>
        <v>#DIV/0!</v>
      </c>
      <c r="N211" s="458" t="e">
        <f t="shared" si="94"/>
        <v>#DIV/0!</v>
      </c>
      <c r="O211" s="458" t="e">
        <f t="shared" si="94"/>
        <v>#DIV/0!</v>
      </c>
      <c r="P211" s="458" t="e">
        <f t="shared" si="94"/>
        <v>#DIV/0!</v>
      </c>
      <c r="Q211" s="458" t="e">
        <f t="shared" si="94"/>
        <v>#DIV/0!</v>
      </c>
      <c r="R211" s="458" t="e">
        <f t="shared" si="94"/>
        <v>#DIV/0!</v>
      </c>
      <c r="S211" s="458" t="e">
        <f t="shared" si="94"/>
        <v>#DIV/0!</v>
      </c>
    </row>
    <row r="212" spans="2:19" ht="14.85" customHeight="1">
      <c r="B212" s="250" t="str">
        <f t="shared" si="89"/>
        <v>Series G</v>
      </c>
      <c r="D212" s="458" t="e">
        <f t="shared" ref="D212:S212" si="95">D118/D$138*D$202</f>
        <v>#DIV/0!</v>
      </c>
      <c r="E212" s="458" t="e">
        <f t="shared" si="95"/>
        <v>#DIV/0!</v>
      </c>
      <c r="F212" s="458" t="e">
        <f t="shared" si="95"/>
        <v>#DIV/0!</v>
      </c>
      <c r="G212" s="458" t="e">
        <f t="shared" si="95"/>
        <v>#DIV/0!</v>
      </c>
      <c r="H212" s="458" t="e">
        <f t="shared" si="95"/>
        <v>#DIV/0!</v>
      </c>
      <c r="I212" s="458" t="e">
        <f t="shared" si="95"/>
        <v>#DIV/0!</v>
      </c>
      <c r="J212" s="458" t="e">
        <f t="shared" si="95"/>
        <v>#DIV/0!</v>
      </c>
      <c r="K212" s="458" t="e">
        <f t="shared" si="95"/>
        <v>#DIV/0!</v>
      </c>
      <c r="L212" s="458" t="e">
        <f t="shared" si="95"/>
        <v>#DIV/0!</v>
      </c>
      <c r="M212" s="458" t="e">
        <f t="shared" si="95"/>
        <v>#DIV/0!</v>
      </c>
      <c r="N212" s="458" t="e">
        <f t="shared" si="95"/>
        <v>#DIV/0!</v>
      </c>
      <c r="O212" s="458" t="e">
        <f t="shared" si="95"/>
        <v>#DIV/0!</v>
      </c>
      <c r="P212" s="458" t="e">
        <f t="shared" si="95"/>
        <v>#DIV/0!</v>
      </c>
      <c r="Q212" s="458" t="e">
        <f t="shared" si="95"/>
        <v>#DIV/0!</v>
      </c>
      <c r="R212" s="458" t="e">
        <f t="shared" si="95"/>
        <v>#DIV/0!</v>
      </c>
      <c r="S212" s="458" t="e">
        <f t="shared" si="95"/>
        <v>#DIV/0!</v>
      </c>
    </row>
    <row r="213" spans="2:19" ht="14.85" customHeight="1">
      <c r="B213" s="250" t="str">
        <f t="shared" si="89"/>
        <v>Series A Warrants</v>
      </c>
      <c r="D213" s="458" t="e">
        <f t="shared" ref="D213:S213" si="96">D119/D$138*D$202</f>
        <v>#DIV/0!</v>
      </c>
      <c r="E213" s="458" t="e">
        <f t="shared" si="96"/>
        <v>#DIV/0!</v>
      </c>
      <c r="F213" s="458" t="e">
        <f t="shared" si="96"/>
        <v>#DIV/0!</v>
      </c>
      <c r="G213" s="458" t="e">
        <f t="shared" si="96"/>
        <v>#DIV/0!</v>
      </c>
      <c r="H213" s="458" t="e">
        <f t="shared" si="96"/>
        <v>#DIV/0!</v>
      </c>
      <c r="I213" s="458" t="e">
        <f t="shared" si="96"/>
        <v>#DIV/0!</v>
      </c>
      <c r="J213" s="458" t="e">
        <f t="shared" si="96"/>
        <v>#DIV/0!</v>
      </c>
      <c r="K213" s="458" t="e">
        <f t="shared" si="96"/>
        <v>#DIV/0!</v>
      </c>
      <c r="L213" s="458" t="e">
        <f t="shared" si="96"/>
        <v>#DIV/0!</v>
      </c>
      <c r="M213" s="458" t="e">
        <f t="shared" si="96"/>
        <v>#DIV/0!</v>
      </c>
      <c r="N213" s="458" t="e">
        <f t="shared" si="96"/>
        <v>#DIV/0!</v>
      </c>
      <c r="O213" s="458" t="e">
        <f t="shared" si="96"/>
        <v>#DIV/0!</v>
      </c>
      <c r="P213" s="458" t="e">
        <f t="shared" si="96"/>
        <v>#DIV/0!</v>
      </c>
      <c r="Q213" s="458" t="e">
        <f t="shared" si="96"/>
        <v>#DIV/0!</v>
      </c>
      <c r="R213" s="458" t="e">
        <f t="shared" si="96"/>
        <v>#DIV/0!</v>
      </c>
      <c r="S213" s="458" t="e">
        <f t="shared" si="96"/>
        <v>#DIV/0!</v>
      </c>
    </row>
    <row r="214" spans="2:19" ht="14.85" customHeight="1">
      <c r="B214" s="250" t="str">
        <f t="shared" si="89"/>
        <v>Series B Warrants</v>
      </c>
      <c r="D214" s="458" t="e">
        <f t="shared" ref="D214:S214" si="97">D120/D$138*D$202</f>
        <v>#DIV/0!</v>
      </c>
      <c r="E214" s="458" t="e">
        <f t="shared" si="97"/>
        <v>#DIV/0!</v>
      </c>
      <c r="F214" s="458" t="e">
        <f t="shared" si="97"/>
        <v>#DIV/0!</v>
      </c>
      <c r="G214" s="458" t="e">
        <f t="shared" si="97"/>
        <v>#DIV/0!</v>
      </c>
      <c r="H214" s="458" t="e">
        <f t="shared" si="97"/>
        <v>#DIV/0!</v>
      </c>
      <c r="I214" s="458" t="e">
        <f t="shared" si="97"/>
        <v>#DIV/0!</v>
      </c>
      <c r="J214" s="458" t="e">
        <f t="shared" si="97"/>
        <v>#DIV/0!</v>
      </c>
      <c r="K214" s="458" t="e">
        <f t="shared" si="97"/>
        <v>#DIV/0!</v>
      </c>
      <c r="L214" s="458" t="e">
        <f t="shared" si="97"/>
        <v>#DIV/0!</v>
      </c>
      <c r="M214" s="458" t="e">
        <f t="shared" si="97"/>
        <v>#DIV/0!</v>
      </c>
      <c r="N214" s="458" t="e">
        <f t="shared" si="97"/>
        <v>#DIV/0!</v>
      </c>
      <c r="O214" s="458" t="e">
        <f t="shared" si="97"/>
        <v>#DIV/0!</v>
      </c>
      <c r="P214" s="458" t="e">
        <f t="shared" si="97"/>
        <v>#DIV/0!</v>
      </c>
      <c r="Q214" s="458" t="e">
        <f t="shared" si="97"/>
        <v>#DIV/0!</v>
      </c>
      <c r="R214" s="458" t="e">
        <f t="shared" si="97"/>
        <v>#DIV/0!</v>
      </c>
      <c r="S214" s="458" t="e">
        <f t="shared" si="97"/>
        <v>#DIV/0!</v>
      </c>
    </row>
    <row r="215" spans="2:19" ht="14.85" customHeight="1">
      <c r="B215" s="250" t="str">
        <f t="shared" si="89"/>
        <v>Series C Warrants</v>
      </c>
      <c r="D215" s="458" t="e">
        <f t="shared" ref="D215:S215" si="98">D121/D$138*D$202</f>
        <v>#DIV/0!</v>
      </c>
      <c r="E215" s="458" t="e">
        <f t="shared" si="98"/>
        <v>#DIV/0!</v>
      </c>
      <c r="F215" s="458" t="e">
        <f t="shared" si="98"/>
        <v>#DIV/0!</v>
      </c>
      <c r="G215" s="458" t="e">
        <f t="shared" si="98"/>
        <v>#DIV/0!</v>
      </c>
      <c r="H215" s="458" t="e">
        <f t="shared" si="98"/>
        <v>#DIV/0!</v>
      </c>
      <c r="I215" s="458" t="e">
        <f t="shared" si="98"/>
        <v>#DIV/0!</v>
      </c>
      <c r="J215" s="458" t="e">
        <f t="shared" si="98"/>
        <v>#DIV/0!</v>
      </c>
      <c r="K215" s="458" t="e">
        <f t="shared" si="98"/>
        <v>#DIV/0!</v>
      </c>
      <c r="L215" s="458" t="e">
        <f t="shared" si="98"/>
        <v>#DIV/0!</v>
      </c>
      <c r="M215" s="458" t="e">
        <f t="shared" si="98"/>
        <v>#DIV/0!</v>
      </c>
      <c r="N215" s="458" t="e">
        <f t="shared" si="98"/>
        <v>#DIV/0!</v>
      </c>
      <c r="O215" s="458" t="e">
        <f t="shared" si="98"/>
        <v>#DIV/0!</v>
      </c>
      <c r="P215" s="458" t="e">
        <f t="shared" si="98"/>
        <v>#DIV/0!</v>
      </c>
      <c r="Q215" s="458" t="e">
        <f t="shared" si="98"/>
        <v>#DIV/0!</v>
      </c>
      <c r="R215" s="458" t="e">
        <f t="shared" si="98"/>
        <v>#DIV/0!</v>
      </c>
      <c r="S215" s="458" t="e">
        <f t="shared" si="98"/>
        <v>#DIV/0!</v>
      </c>
    </row>
    <row r="216" spans="2:19" ht="14.85" customHeight="1">
      <c r="B216" s="250" t="str">
        <f t="shared" si="89"/>
        <v>Series D Warrants</v>
      </c>
      <c r="D216" s="458" t="e">
        <f t="shared" ref="D216:S216" si="99">D122/D$138*D$202</f>
        <v>#DIV/0!</v>
      </c>
      <c r="E216" s="458" t="e">
        <f t="shared" si="99"/>
        <v>#DIV/0!</v>
      </c>
      <c r="F216" s="458" t="e">
        <f t="shared" si="99"/>
        <v>#DIV/0!</v>
      </c>
      <c r="G216" s="458" t="e">
        <f t="shared" si="99"/>
        <v>#DIV/0!</v>
      </c>
      <c r="H216" s="458" t="e">
        <f t="shared" si="99"/>
        <v>#DIV/0!</v>
      </c>
      <c r="I216" s="458" t="e">
        <f t="shared" si="99"/>
        <v>#DIV/0!</v>
      </c>
      <c r="J216" s="458" t="e">
        <f t="shared" si="99"/>
        <v>#DIV/0!</v>
      </c>
      <c r="K216" s="458" t="e">
        <f t="shared" si="99"/>
        <v>#DIV/0!</v>
      </c>
      <c r="L216" s="458" t="e">
        <f t="shared" si="99"/>
        <v>#DIV/0!</v>
      </c>
      <c r="M216" s="458" t="e">
        <f t="shared" si="99"/>
        <v>#DIV/0!</v>
      </c>
      <c r="N216" s="458" t="e">
        <f t="shared" si="99"/>
        <v>#DIV/0!</v>
      </c>
      <c r="O216" s="458" t="e">
        <f t="shared" si="99"/>
        <v>#DIV/0!</v>
      </c>
      <c r="P216" s="458" t="e">
        <f t="shared" si="99"/>
        <v>#DIV/0!</v>
      </c>
      <c r="Q216" s="458" t="e">
        <f t="shared" si="99"/>
        <v>#DIV/0!</v>
      </c>
      <c r="R216" s="458" t="e">
        <f t="shared" si="99"/>
        <v>#DIV/0!</v>
      </c>
      <c r="S216" s="458" t="e">
        <f t="shared" si="99"/>
        <v>#DIV/0!</v>
      </c>
    </row>
    <row r="217" spans="2:19" ht="14.85" customHeight="1">
      <c r="B217" s="250" t="str">
        <f t="shared" si="89"/>
        <v>Series E Warrants</v>
      </c>
      <c r="D217" s="458" t="e">
        <f t="shared" ref="D217:S217" si="100">D123/D$138*D$202</f>
        <v>#DIV/0!</v>
      </c>
      <c r="E217" s="458" t="e">
        <f t="shared" si="100"/>
        <v>#DIV/0!</v>
      </c>
      <c r="F217" s="458" t="e">
        <f t="shared" si="100"/>
        <v>#DIV/0!</v>
      </c>
      <c r="G217" s="458" t="e">
        <f t="shared" si="100"/>
        <v>#DIV/0!</v>
      </c>
      <c r="H217" s="458" t="e">
        <f t="shared" si="100"/>
        <v>#DIV/0!</v>
      </c>
      <c r="I217" s="458" t="e">
        <f t="shared" si="100"/>
        <v>#DIV/0!</v>
      </c>
      <c r="J217" s="458" t="e">
        <f t="shared" si="100"/>
        <v>#DIV/0!</v>
      </c>
      <c r="K217" s="458" t="e">
        <f t="shared" si="100"/>
        <v>#DIV/0!</v>
      </c>
      <c r="L217" s="458" t="e">
        <f t="shared" si="100"/>
        <v>#DIV/0!</v>
      </c>
      <c r="M217" s="458" t="e">
        <f t="shared" si="100"/>
        <v>#DIV/0!</v>
      </c>
      <c r="N217" s="458" t="e">
        <f t="shared" si="100"/>
        <v>#DIV/0!</v>
      </c>
      <c r="O217" s="458" t="e">
        <f t="shared" si="100"/>
        <v>#DIV/0!</v>
      </c>
      <c r="P217" s="458" t="e">
        <f t="shared" si="100"/>
        <v>#DIV/0!</v>
      </c>
      <c r="Q217" s="458" t="e">
        <f t="shared" si="100"/>
        <v>#DIV/0!</v>
      </c>
      <c r="R217" s="458" t="e">
        <f t="shared" si="100"/>
        <v>#DIV/0!</v>
      </c>
      <c r="S217" s="458" t="e">
        <f t="shared" si="100"/>
        <v>#DIV/0!</v>
      </c>
    </row>
    <row r="218" spans="2:19" ht="14.85" customHeight="1">
      <c r="B218" s="250" t="str">
        <f t="shared" si="89"/>
        <v>Series F Warrants</v>
      </c>
      <c r="D218" s="458" t="e">
        <f t="shared" ref="D218:S218" si="101">D124/D$138*D$202</f>
        <v>#DIV/0!</v>
      </c>
      <c r="E218" s="458" t="e">
        <f t="shared" si="101"/>
        <v>#DIV/0!</v>
      </c>
      <c r="F218" s="458" t="e">
        <f t="shared" si="101"/>
        <v>#DIV/0!</v>
      </c>
      <c r="G218" s="458" t="e">
        <f t="shared" si="101"/>
        <v>#DIV/0!</v>
      </c>
      <c r="H218" s="458" t="e">
        <f t="shared" si="101"/>
        <v>#DIV/0!</v>
      </c>
      <c r="I218" s="458" t="e">
        <f t="shared" si="101"/>
        <v>#DIV/0!</v>
      </c>
      <c r="J218" s="458" t="e">
        <f t="shared" si="101"/>
        <v>#DIV/0!</v>
      </c>
      <c r="K218" s="458" t="e">
        <f t="shared" si="101"/>
        <v>#DIV/0!</v>
      </c>
      <c r="L218" s="458" t="e">
        <f t="shared" si="101"/>
        <v>#DIV/0!</v>
      </c>
      <c r="M218" s="458" t="e">
        <f t="shared" si="101"/>
        <v>#DIV/0!</v>
      </c>
      <c r="N218" s="458" t="e">
        <f t="shared" si="101"/>
        <v>#DIV/0!</v>
      </c>
      <c r="O218" s="458" t="e">
        <f t="shared" si="101"/>
        <v>#DIV/0!</v>
      </c>
      <c r="P218" s="458" t="e">
        <f t="shared" si="101"/>
        <v>#DIV/0!</v>
      </c>
      <c r="Q218" s="458" t="e">
        <f t="shared" si="101"/>
        <v>#DIV/0!</v>
      </c>
      <c r="R218" s="458" t="e">
        <f t="shared" si="101"/>
        <v>#DIV/0!</v>
      </c>
      <c r="S218" s="458" t="e">
        <f t="shared" si="101"/>
        <v>#DIV/0!</v>
      </c>
    </row>
    <row r="219" spans="2:19" ht="14.85" customHeight="1">
      <c r="B219" s="250" t="str">
        <f t="shared" si="89"/>
        <v>Series G Warrants</v>
      </c>
      <c r="D219" s="458" t="e">
        <f t="shared" ref="D219:S219" si="102">D125/D$138*D$202</f>
        <v>#DIV/0!</v>
      </c>
      <c r="E219" s="458" t="e">
        <f t="shared" si="102"/>
        <v>#DIV/0!</v>
      </c>
      <c r="F219" s="458" t="e">
        <f t="shared" si="102"/>
        <v>#DIV/0!</v>
      </c>
      <c r="G219" s="458" t="e">
        <f t="shared" si="102"/>
        <v>#DIV/0!</v>
      </c>
      <c r="H219" s="458" t="e">
        <f t="shared" si="102"/>
        <v>#DIV/0!</v>
      </c>
      <c r="I219" s="458" t="e">
        <f t="shared" si="102"/>
        <v>#DIV/0!</v>
      </c>
      <c r="J219" s="458" t="e">
        <f t="shared" si="102"/>
        <v>#DIV/0!</v>
      </c>
      <c r="K219" s="458" t="e">
        <f t="shared" si="102"/>
        <v>#DIV/0!</v>
      </c>
      <c r="L219" s="458" t="e">
        <f t="shared" si="102"/>
        <v>#DIV/0!</v>
      </c>
      <c r="M219" s="458" t="e">
        <f t="shared" si="102"/>
        <v>#DIV/0!</v>
      </c>
      <c r="N219" s="458" t="e">
        <f t="shared" si="102"/>
        <v>#DIV/0!</v>
      </c>
      <c r="O219" s="458" t="e">
        <f t="shared" si="102"/>
        <v>#DIV/0!</v>
      </c>
      <c r="P219" s="458" t="e">
        <f t="shared" si="102"/>
        <v>#DIV/0!</v>
      </c>
      <c r="Q219" s="458" t="e">
        <f t="shared" si="102"/>
        <v>#DIV/0!</v>
      </c>
      <c r="R219" s="458" t="e">
        <f t="shared" si="102"/>
        <v>#DIV/0!</v>
      </c>
      <c r="S219" s="458" t="e">
        <f t="shared" si="102"/>
        <v>#DIV/0!</v>
      </c>
    </row>
    <row r="220" spans="2:19" ht="14.85" customHeight="1">
      <c r="B220" s="250" t="str">
        <f t="shared" si="89"/>
        <v>Options/Warrants at $2.00 Strike Price</v>
      </c>
      <c r="D220" s="458" t="e">
        <f t="shared" ref="D220:S220" si="103">D126/D$138*D$202</f>
        <v>#DIV/0!</v>
      </c>
      <c r="E220" s="458" t="e">
        <f t="shared" si="103"/>
        <v>#DIV/0!</v>
      </c>
      <c r="F220" s="458" t="e">
        <f t="shared" si="103"/>
        <v>#DIV/0!</v>
      </c>
      <c r="G220" s="458" t="e">
        <f t="shared" si="103"/>
        <v>#DIV/0!</v>
      </c>
      <c r="H220" s="458" t="e">
        <f t="shared" si="103"/>
        <v>#DIV/0!</v>
      </c>
      <c r="I220" s="458" t="e">
        <f t="shared" si="103"/>
        <v>#DIV/0!</v>
      </c>
      <c r="J220" s="458" t="e">
        <f t="shared" si="103"/>
        <v>#DIV/0!</v>
      </c>
      <c r="K220" s="458" t="e">
        <f t="shared" si="103"/>
        <v>#DIV/0!</v>
      </c>
      <c r="L220" s="458" t="e">
        <f t="shared" si="103"/>
        <v>#DIV/0!</v>
      </c>
      <c r="M220" s="458" t="e">
        <f t="shared" si="103"/>
        <v>#DIV/0!</v>
      </c>
      <c r="N220" s="458" t="e">
        <f t="shared" si="103"/>
        <v>#DIV/0!</v>
      </c>
      <c r="O220" s="458" t="e">
        <f t="shared" si="103"/>
        <v>#DIV/0!</v>
      </c>
      <c r="P220" s="458" t="e">
        <f t="shared" si="103"/>
        <v>#DIV/0!</v>
      </c>
      <c r="Q220" s="458" t="e">
        <f t="shared" si="103"/>
        <v>#DIV/0!</v>
      </c>
      <c r="R220" s="458" t="e">
        <f t="shared" si="103"/>
        <v>#DIV/0!</v>
      </c>
      <c r="S220" s="458" t="e">
        <f t="shared" si="103"/>
        <v>#DIV/0!</v>
      </c>
    </row>
    <row r="221" spans="2:19" ht="14.85" customHeight="1">
      <c r="B221" s="250" t="str">
        <f t="shared" si="89"/>
        <v>Options/Warrants at $0.00 Strike Price</v>
      </c>
      <c r="D221" s="458" t="e">
        <f t="shared" ref="D221:S221" si="104">D127/D$138*D$202</f>
        <v>#DIV/0!</v>
      </c>
      <c r="E221" s="458" t="e">
        <f t="shared" si="104"/>
        <v>#DIV/0!</v>
      </c>
      <c r="F221" s="458" t="e">
        <f t="shared" si="104"/>
        <v>#DIV/0!</v>
      </c>
      <c r="G221" s="458" t="e">
        <f t="shared" si="104"/>
        <v>#DIV/0!</v>
      </c>
      <c r="H221" s="458" t="e">
        <f t="shared" si="104"/>
        <v>#DIV/0!</v>
      </c>
      <c r="I221" s="458" t="e">
        <f t="shared" si="104"/>
        <v>#DIV/0!</v>
      </c>
      <c r="J221" s="458" t="e">
        <f t="shared" si="104"/>
        <v>#DIV/0!</v>
      </c>
      <c r="K221" s="458" t="e">
        <f t="shared" si="104"/>
        <v>#DIV/0!</v>
      </c>
      <c r="L221" s="458" t="e">
        <f t="shared" si="104"/>
        <v>#DIV/0!</v>
      </c>
      <c r="M221" s="458" t="e">
        <f t="shared" si="104"/>
        <v>#DIV/0!</v>
      </c>
      <c r="N221" s="458" t="e">
        <f t="shared" si="104"/>
        <v>#DIV/0!</v>
      </c>
      <c r="O221" s="458" t="e">
        <f t="shared" si="104"/>
        <v>#DIV/0!</v>
      </c>
      <c r="P221" s="458" t="e">
        <f t="shared" si="104"/>
        <v>#DIV/0!</v>
      </c>
      <c r="Q221" s="458" t="e">
        <f t="shared" si="104"/>
        <v>#DIV/0!</v>
      </c>
      <c r="R221" s="458" t="e">
        <f t="shared" si="104"/>
        <v>#DIV/0!</v>
      </c>
      <c r="S221" s="458" t="e">
        <f t="shared" si="104"/>
        <v>#DIV/0!</v>
      </c>
    </row>
    <row r="222" spans="2:19" ht="14.85" customHeight="1">
      <c r="B222" s="250" t="str">
        <f t="shared" si="89"/>
        <v>Options/Warrants at $0.00 Strike Price</v>
      </c>
      <c r="D222" s="458" t="e">
        <f t="shared" ref="D222:S222" si="105">D128/D$138*D$202</f>
        <v>#DIV/0!</v>
      </c>
      <c r="E222" s="458" t="e">
        <f t="shared" si="105"/>
        <v>#DIV/0!</v>
      </c>
      <c r="F222" s="458" t="e">
        <f t="shared" si="105"/>
        <v>#DIV/0!</v>
      </c>
      <c r="G222" s="458" t="e">
        <f t="shared" si="105"/>
        <v>#DIV/0!</v>
      </c>
      <c r="H222" s="458" t="e">
        <f t="shared" si="105"/>
        <v>#DIV/0!</v>
      </c>
      <c r="I222" s="458" t="e">
        <f t="shared" si="105"/>
        <v>#DIV/0!</v>
      </c>
      <c r="J222" s="458" t="e">
        <f t="shared" si="105"/>
        <v>#DIV/0!</v>
      </c>
      <c r="K222" s="458" t="e">
        <f t="shared" si="105"/>
        <v>#DIV/0!</v>
      </c>
      <c r="L222" s="458" t="e">
        <f t="shared" si="105"/>
        <v>#DIV/0!</v>
      </c>
      <c r="M222" s="458" t="e">
        <f t="shared" si="105"/>
        <v>#DIV/0!</v>
      </c>
      <c r="N222" s="458" t="e">
        <f t="shared" si="105"/>
        <v>#DIV/0!</v>
      </c>
      <c r="O222" s="458" t="e">
        <f t="shared" si="105"/>
        <v>#DIV/0!</v>
      </c>
      <c r="P222" s="458" t="e">
        <f t="shared" si="105"/>
        <v>#DIV/0!</v>
      </c>
      <c r="Q222" s="458" t="e">
        <f t="shared" si="105"/>
        <v>#DIV/0!</v>
      </c>
      <c r="R222" s="458" t="e">
        <f t="shared" si="105"/>
        <v>#DIV/0!</v>
      </c>
      <c r="S222" s="458" t="e">
        <f t="shared" si="105"/>
        <v>#DIV/0!</v>
      </c>
    </row>
    <row r="223" spans="2:19" ht="14.85" customHeight="1">
      <c r="B223" s="250" t="str">
        <f t="shared" si="89"/>
        <v>Options/Warrants at $0.00 Strike Price</v>
      </c>
      <c r="D223" s="458" t="e">
        <f t="shared" ref="D223:S223" si="106">D129/D$138*D$202</f>
        <v>#DIV/0!</v>
      </c>
      <c r="E223" s="458" t="e">
        <f t="shared" si="106"/>
        <v>#DIV/0!</v>
      </c>
      <c r="F223" s="458" t="e">
        <f t="shared" si="106"/>
        <v>#DIV/0!</v>
      </c>
      <c r="G223" s="458" t="e">
        <f t="shared" si="106"/>
        <v>#DIV/0!</v>
      </c>
      <c r="H223" s="458" t="e">
        <f t="shared" si="106"/>
        <v>#DIV/0!</v>
      </c>
      <c r="I223" s="458" t="e">
        <f t="shared" si="106"/>
        <v>#DIV/0!</v>
      </c>
      <c r="J223" s="458" t="e">
        <f t="shared" si="106"/>
        <v>#DIV/0!</v>
      </c>
      <c r="K223" s="458" t="e">
        <f t="shared" si="106"/>
        <v>#DIV/0!</v>
      </c>
      <c r="L223" s="458" t="e">
        <f t="shared" si="106"/>
        <v>#DIV/0!</v>
      </c>
      <c r="M223" s="458" t="e">
        <f t="shared" si="106"/>
        <v>#DIV/0!</v>
      </c>
      <c r="N223" s="458" t="e">
        <f t="shared" si="106"/>
        <v>#DIV/0!</v>
      </c>
      <c r="O223" s="458" t="e">
        <f t="shared" si="106"/>
        <v>#DIV/0!</v>
      </c>
      <c r="P223" s="458" t="e">
        <f t="shared" si="106"/>
        <v>#DIV/0!</v>
      </c>
      <c r="Q223" s="458" t="e">
        <f t="shared" si="106"/>
        <v>#DIV/0!</v>
      </c>
      <c r="R223" s="458" t="e">
        <f t="shared" si="106"/>
        <v>#DIV/0!</v>
      </c>
      <c r="S223" s="458" t="e">
        <f t="shared" si="106"/>
        <v>#DIV/0!</v>
      </c>
    </row>
    <row r="224" spans="2:19" ht="14.85" customHeight="1">
      <c r="B224" s="250" t="str">
        <f t="shared" si="89"/>
        <v>Options/Warrants at $0.00 Strike Price</v>
      </c>
      <c r="D224" s="458" t="e">
        <f t="shared" ref="D224:S224" si="107">D130/D$138*D$202</f>
        <v>#DIV/0!</v>
      </c>
      <c r="E224" s="458" t="e">
        <f t="shared" si="107"/>
        <v>#DIV/0!</v>
      </c>
      <c r="F224" s="458" t="e">
        <f t="shared" si="107"/>
        <v>#DIV/0!</v>
      </c>
      <c r="G224" s="458" t="e">
        <f t="shared" si="107"/>
        <v>#DIV/0!</v>
      </c>
      <c r="H224" s="458" t="e">
        <f t="shared" si="107"/>
        <v>#DIV/0!</v>
      </c>
      <c r="I224" s="458" t="e">
        <f t="shared" si="107"/>
        <v>#DIV/0!</v>
      </c>
      <c r="J224" s="458" t="e">
        <f t="shared" si="107"/>
        <v>#DIV/0!</v>
      </c>
      <c r="K224" s="458" t="e">
        <f t="shared" si="107"/>
        <v>#DIV/0!</v>
      </c>
      <c r="L224" s="458" t="e">
        <f t="shared" si="107"/>
        <v>#DIV/0!</v>
      </c>
      <c r="M224" s="458" t="e">
        <f t="shared" si="107"/>
        <v>#DIV/0!</v>
      </c>
      <c r="N224" s="458" t="e">
        <f t="shared" si="107"/>
        <v>#DIV/0!</v>
      </c>
      <c r="O224" s="458" t="e">
        <f t="shared" si="107"/>
        <v>#DIV/0!</v>
      </c>
      <c r="P224" s="458" t="e">
        <f t="shared" si="107"/>
        <v>#DIV/0!</v>
      </c>
      <c r="Q224" s="458" t="e">
        <f t="shared" si="107"/>
        <v>#DIV/0!</v>
      </c>
      <c r="R224" s="458" t="e">
        <f t="shared" si="107"/>
        <v>#DIV/0!</v>
      </c>
      <c r="S224" s="458" t="e">
        <f t="shared" si="107"/>
        <v>#DIV/0!</v>
      </c>
    </row>
    <row r="225" spans="2:19" ht="14.85" customHeight="1">
      <c r="B225" s="250" t="str">
        <f t="shared" si="89"/>
        <v>Options/Warrants at $0.00 Strike Price</v>
      </c>
      <c r="D225" s="458" t="e">
        <f t="shared" ref="D225:S225" si="108">D131/D$138*D$202</f>
        <v>#DIV/0!</v>
      </c>
      <c r="E225" s="458" t="e">
        <f t="shared" si="108"/>
        <v>#DIV/0!</v>
      </c>
      <c r="F225" s="458" t="e">
        <f t="shared" si="108"/>
        <v>#DIV/0!</v>
      </c>
      <c r="G225" s="458" t="e">
        <f t="shared" si="108"/>
        <v>#DIV/0!</v>
      </c>
      <c r="H225" s="458" t="e">
        <f t="shared" si="108"/>
        <v>#DIV/0!</v>
      </c>
      <c r="I225" s="458" t="e">
        <f t="shared" si="108"/>
        <v>#DIV/0!</v>
      </c>
      <c r="J225" s="458" t="e">
        <f t="shared" si="108"/>
        <v>#DIV/0!</v>
      </c>
      <c r="K225" s="458" t="e">
        <f t="shared" si="108"/>
        <v>#DIV/0!</v>
      </c>
      <c r="L225" s="458" t="e">
        <f t="shared" si="108"/>
        <v>#DIV/0!</v>
      </c>
      <c r="M225" s="458" t="e">
        <f t="shared" si="108"/>
        <v>#DIV/0!</v>
      </c>
      <c r="N225" s="458" t="e">
        <f t="shared" si="108"/>
        <v>#DIV/0!</v>
      </c>
      <c r="O225" s="458" t="e">
        <f t="shared" si="108"/>
        <v>#DIV/0!</v>
      </c>
      <c r="P225" s="458" t="e">
        <f t="shared" si="108"/>
        <v>#DIV/0!</v>
      </c>
      <c r="Q225" s="458" t="e">
        <f t="shared" si="108"/>
        <v>#DIV/0!</v>
      </c>
      <c r="R225" s="458" t="e">
        <f t="shared" si="108"/>
        <v>#DIV/0!</v>
      </c>
      <c r="S225" s="458" t="e">
        <f t="shared" si="108"/>
        <v>#DIV/0!</v>
      </c>
    </row>
    <row r="226" spans="2:19" ht="14.85" customHeight="1">
      <c r="B226" s="250" t="str">
        <f t="shared" si="89"/>
        <v>Options/Warrants at $0.00 Strike Price</v>
      </c>
      <c r="D226" s="458" t="e">
        <f t="shared" ref="D226:S226" si="109">D132/D$138*D$202</f>
        <v>#DIV/0!</v>
      </c>
      <c r="E226" s="458" t="e">
        <f t="shared" si="109"/>
        <v>#DIV/0!</v>
      </c>
      <c r="F226" s="458" t="e">
        <f t="shared" si="109"/>
        <v>#DIV/0!</v>
      </c>
      <c r="G226" s="458" t="e">
        <f t="shared" si="109"/>
        <v>#DIV/0!</v>
      </c>
      <c r="H226" s="458" t="e">
        <f t="shared" si="109"/>
        <v>#DIV/0!</v>
      </c>
      <c r="I226" s="458" t="e">
        <f t="shared" si="109"/>
        <v>#DIV/0!</v>
      </c>
      <c r="J226" s="458" t="e">
        <f t="shared" si="109"/>
        <v>#DIV/0!</v>
      </c>
      <c r="K226" s="458" t="e">
        <f t="shared" si="109"/>
        <v>#DIV/0!</v>
      </c>
      <c r="L226" s="458" t="e">
        <f t="shared" si="109"/>
        <v>#DIV/0!</v>
      </c>
      <c r="M226" s="458" t="e">
        <f t="shared" si="109"/>
        <v>#DIV/0!</v>
      </c>
      <c r="N226" s="458" t="e">
        <f t="shared" si="109"/>
        <v>#DIV/0!</v>
      </c>
      <c r="O226" s="458" t="e">
        <f t="shared" si="109"/>
        <v>#DIV/0!</v>
      </c>
      <c r="P226" s="458" t="e">
        <f t="shared" si="109"/>
        <v>#DIV/0!</v>
      </c>
      <c r="Q226" s="458" t="e">
        <f t="shared" si="109"/>
        <v>#DIV/0!</v>
      </c>
      <c r="R226" s="458" t="e">
        <f t="shared" si="109"/>
        <v>#DIV/0!</v>
      </c>
      <c r="S226" s="458" t="e">
        <f t="shared" si="109"/>
        <v>#DIV/0!</v>
      </c>
    </row>
    <row r="227" spans="2:19" ht="14.85" customHeight="1">
      <c r="B227" s="250" t="str">
        <f t="shared" si="89"/>
        <v>Options/Warrants at $0.00 Strike Price</v>
      </c>
      <c r="D227" s="458" t="e">
        <f t="shared" ref="D227:S227" si="110">D133/D$138*D$202</f>
        <v>#DIV/0!</v>
      </c>
      <c r="E227" s="458" t="e">
        <f t="shared" si="110"/>
        <v>#DIV/0!</v>
      </c>
      <c r="F227" s="458" t="e">
        <f t="shared" si="110"/>
        <v>#DIV/0!</v>
      </c>
      <c r="G227" s="458" t="e">
        <f t="shared" si="110"/>
        <v>#DIV/0!</v>
      </c>
      <c r="H227" s="458" t="e">
        <f t="shared" si="110"/>
        <v>#DIV/0!</v>
      </c>
      <c r="I227" s="458" t="e">
        <f t="shared" si="110"/>
        <v>#DIV/0!</v>
      </c>
      <c r="J227" s="458" t="e">
        <f t="shared" si="110"/>
        <v>#DIV/0!</v>
      </c>
      <c r="K227" s="458" t="e">
        <f t="shared" si="110"/>
        <v>#DIV/0!</v>
      </c>
      <c r="L227" s="458" t="e">
        <f t="shared" si="110"/>
        <v>#DIV/0!</v>
      </c>
      <c r="M227" s="458" t="e">
        <f t="shared" si="110"/>
        <v>#DIV/0!</v>
      </c>
      <c r="N227" s="458" t="e">
        <f t="shared" si="110"/>
        <v>#DIV/0!</v>
      </c>
      <c r="O227" s="458" t="e">
        <f t="shared" si="110"/>
        <v>#DIV/0!</v>
      </c>
      <c r="P227" s="458" t="e">
        <f t="shared" si="110"/>
        <v>#DIV/0!</v>
      </c>
      <c r="Q227" s="458" t="e">
        <f t="shared" si="110"/>
        <v>#DIV/0!</v>
      </c>
      <c r="R227" s="458" t="e">
        <f t="shared" si="110"/>
        <v>#DIV/0!</v>
      </c>
      <c r="S227" s="458" t="e">
        <f t="shared" si="110"/>
        <v>#DIV/0!</v>
      </c>
    </row>
    <row r="228" spans="2:19" ht="14.85" customHeight="1">
      <c r="B228" s="250" t="str">
        <f t="shared" si="89"/>
        <v>Options/Warrants at $0.00 Strike Price</v>
      </c>
      <c r="D228" s="458" t="e">
        <f t="shared" ref="D228:S228" si="111">D134/D$138*D$202</f>
        <v>#DIV/0!</v>
      </c>
      <c r="E228" s="458" t="e">
        <f t="shared" si="111"/>
        <v>#DIV/0!</v>
      </c>
      <c r="F228" s="458" t="e">
        <f t="shared" si="111"/>
        <v>#DIV/0!</v>
      </c>
      <c r="G228" s="458" t="e">
        <f t="shared" si="111"/>
        <v>#DIV/0!</v>
      </c>
      <c r="H228" s="458" t="e">
        <f t="shared" si="111"/>
        <v>#DIV/0!</v>
      </c>
      <c r="I228" s="458" t="e">
        <f t="shared" si="111"/>
        <v>#DIV/0!</v>
      </c>
      <c r="J228" s="458" t="e">
        <f t="shared" si="111"/>
        <v>#DIV/0!</v>
      </c>
      <c r="K228" s="458" t="e">
        <f t="shared" si="111"/>
        <v>#DIV/0!</v>
      </c>
      <c r="L228" s="458" t="e">
        <f t="shared" si="111"/>
        <v>#DIV/0!</v>
      </c>
      <c r="M228" s="458" t="e">
        <f t="shared" si="111"/>
        <v>#DIV/0!</v>
      </c>
      <c r="N228" s="458" t="e">
        <f t="shared" si="111"/>
        <v>#DIV/0!</v>
      </c>
      <c r="O228" s="458" t="e">
        <f t="shared" si="111"/>
        <v>#DIV/0!</v>
      </c>
      <c r="P228" s="458" t="e">
        <f t="shared" si="111"/>
        <v>#DIV/0!</v>
      </c>
      <c r="Q228" s="458" t="e">
        <f t="shared" si="111"/>
        <v>#DIV/0!</v>
      </c>
      <c r="R228" s="458" t="e">
        <f t="shared" si="111"/>
        <v>#DIV/0!</v>
      </c>
      <c r="S228" s="458" t="e">
        <f t="shared" si="111"/>
        <v>#DIV/0!</v>
      </c>
    </row>
    <row r="229" spans="2:19" ht="14.85" customHeight="1">
      <c r="B229" s="250" t="str">
        <f t="shared" si="89"/>
        <v>Expected Options Grant</v>
      </c>
      <c r="D229" s="458" t="e">
        <f t="shared" ref="D229:S229" si="112">D135/D$138*D$202</f>
        <v>#DIV/0!</v>
      </c>
      <c r="E229" s="458" t="e">
        <f t="shared" si="112"/>
        <v>#DIV/0!</v>
      </c>
      <c r="F229" s="458" t="e">
        <f t="shared" si="112"/>
        <v>#DIV/0!</v>
      </c>
      <c r="G229" s="458" t="e">
        <f t="shared" si="112"/>
        <v>#DIV/0!</v>
      </c>
      <c r="H229" s="458" t="e">
        <f t="shared" si="112"/>
        <v>#DIV/0!</v>
      </c>
      <c r="I229" s="458" t="e">
        <f t="shared" si="112"/>
        <v>#DIV/0!</v>
      </c>
      <c r="J229" s="458" t="e">
        <f t="shared" si="112"/>
        <v>#DIV/0!</v>
      </c>
      <c r="K229" s="458" t="e">
        <f t="shared" si="112"/>
        <v>#DIV/0!</v>
      </c>
      <c r="L229" s="458" t="e">
        <f t="shared" si="112"/>
        <v>#DIV/0!</v>
      </c>
      <c r="M229" s="458" t="e">
        <f t="shared" si="112"/>
        <v>#DIV/0!</v>
      </c>
      <c r="N229" s="458" t="e">
        <f t="shared" si="112"/>
        <v>#DIV/0!</v>
      </c>
      <c r="O229" s="458" t="e">
        <f t="shared" si="112"/>
        <v>#DIV/0!</v>
      </c>
      <c r="P229" s="458" t="e">
        <f t="shared" si="112"/>
        <v>#DIV/0!</v>
      </c>
      <c r="Q229" s="458" t="e">
        <f t="shared" si="112"/>
        <v>#DIV/0!</v>
      </c>
      <c r="R229" s="458" t="e">
        <f t="shared" si="112"/>
        <v>#DIV/0!</v>
      </c>
      <c r="S229" s="458" t="e">
        <f t="shared" si="112"/>
        <v>#DIV/0!</v>
      </c>
    </row>
    <row r="230" spans="2:19" ht="14.85" customHeight="1">
      <c r="B230" s="250" t="str">
        <f t="shared" si="89"/>
        <v>Common Stock</v>
      </c>
      <c r="D230" s="458" t="e">
        <f t="shared" ref="D230:S230" si="113">D136/D$138*D$202</f>
        <v>#DIV/0!</v>
      </c>
      <c r="E230" s="458" t="e">
        <f t="shared" si="113"/>
        <v>#DIV/0!</v>
      </c>
      <c r="F230" s="458" t="e">
        <f t="shared" si="113"/>
        <v>#DIV/0!</v>
      </c>
      <c r="G230" s="458" t="e">
        <f t="shared" si="113"/>
        <v>#DIV/0!</v>
      </c>
      <c r="H230" s="458" t="e">
        <f t="shared" si="113"/>
        <v>#DIV/0!</v>
      </c>
      <c r="I230" s="458" t="e">
        <f t="shared" si="113"/>
        <v>#DIV/0!</v>
      </c>
      <c r="J230" s="458" t="e">
        <f t="shared" si="113"/>
        <v>#DIV/0!</v>
      </c>
      <c r="K230" s="458" t="e">
        <f t="shared" si="113"/>
        <v>#DIV/0!</v>
      </c>
      <c r="L230" s="458" t="e">
        <f t="shared" si="113"/>
        <v>#DIV/0!</v>
      </c>
      <c r="M230" s="458" t="e">
        <f t="shared" si="113"/>
        <v>#DIV/0!</v>
      </c>
      <c r="N230" s="458" t="e">
        <f t="shared" si="113"/>
        <v>#DIV/0!</v>
      </c>
      <c r="O230" s="458" t="e">
        <f t="shared" si="113"/>
        <v>#DIV/0!</v>
      </c>
      <c r="P230" s="458" t="e">
        <f t="shared" si="113"/>
        <v>#DIV/0!</v>
      </c>
      <c r="Q230" s="458" t="e">
        <f t="shared" si="113"/>
        <v>#DIV/0!</v>
      </c>
      <c r="R230" s="458" t="e">
        <f t="shared" si="113"/>
        <v>#DIV/0!</v>
      </c>
      <c r="S230" s="458" t="e">
        <f t="shared" si="113"/>
        <v>#DIV/0!</v>
      </c>
    </row>
    <row r="231" spans="2:19" ht="14.85" customHeight="1">
      <c r="D231" s="416"/>
      <c r="E231" s="416"/>
      <c r="F231" s="416"/>
      <c r="G231" s="416"/>
      <c r="H231" s="416"/>
      <c r="I231" s="416"/>
      <c r="J231" s="416"/>
      <c r="K231" s="416"/>
      <c r="L231" s="416"/>
      <c r="M231" s="416"/>
      <c r="N231" s="416"/>
      <c r="O231" s="416"/>
      <c r="P231" s="416"/>
      <c r="Q231" s="416"/>
      <c r="R231" s="416"/>
      <c r="S231" s="416"/>
    </row>
    <row r="232" spans="2:19" ht="14.85" customHeight="1">
      <c r="B232" s="767" t="s">
        <v>2580</v>
      </c>
      <c r="C232" s="272"/>
      <c r="D232" s="768">
        <f>D204</f>
        <v>1</v>
      </c>
      <c r="E232" s="769">
        <f t="shared" ref="E232:S232" si="114">E204</f>
        <v>2</v>
      </c>
      <c r="F232" s="769">
        <f t="shared" si="114"/>
        <v>3</v>
      </c>
      <c r="G232" s="769">
        <f t="shared" si="114"/>
        <v>4</v>
      </c>
      <c r="H232" s="769">
        <f t="shared" si="114"/>
        <v>5</v>
      </c>
      <c r="I232" s="769">
        <f t="shared" si="114"/>
        <v>6</v>
      </c>
      <c r="J232" s="769">
        <f t="shared" si="114"/>
        <v>7</v>
      </c>
      <c r="K232" s="769">
        <f t="shared" si="114"/>
        <v>8</v>
      </c>
      <c r="L232" s="769">
        <f t="shared" si="114"/>
        <v>9</v>
      </c>
      <c r="M232" s="769">
        <f t="shared" si="114"/>
        <v>10</v>
      </c>
      <c r="N232" s="769">
        <f t="shared" si="114"/>
        <v>11</v>
      </c>
      <c r="O232" s="769">
        <f t="shared" si="114"/>
        <v>12</v>
      </c>
      <c r="P232" s="769">
        <f t="shared" si="114"/>
        <v>13</v>
      </c>
      <c r="Q232" s="769">
        <f t="shared" si="114"/>
        <v>14</v>
      </c>
      <c r="R232" s="769">
        <f t="shared" si="114"/>
        <v>15</v>
      </c>
      <c r="S232" s="770">
        <f t="shared" si="114"/>
        <v>16</v>
      </c>
    </row>
    <row r="233" spans="2:19" ht="14.85" customHeight="1">
      <c r="D233" s="416"/>
      <c r="E233" s="416"/>
      <c r="F233" s="416"/>
      <c r="G233" s="416"/>
      <c r="H233" s="416"/>
      <c r="I233" s="416"/>
      <c r="J233" s="416"/>
      <c r="K233" s="416"/>
      <c r="L233" s="416"/>
      <c r="M233" s="416"/>
      <c r="N233" s="416"/>
      <c r="O233" s="416"/>
      <c r="P233" s="416"/>
      <c r="Q233" s="416"/>
      <c r="R233" s="416"/>
      <c r="S233" s="416"/>
    </row>
    <row r="234" spans="2:19" ht="14.85" customHeight="1">
      <c r="B234" s="250" t="str">
        <f>B206</f>
        <v>Series A</v>
      </c>
      <c r="D234" s="771" t="e">
        <f>SUM($D206:D206)/$W55</f>
        <v>#DIV/0!</v>
      </c>
      <c r="E234" s="771" t="e">
        <f>SUM($D206:E206)/$W55</f>
        <v>#DIV/0!</v>
      </c>
      <c r="F234" s="771" t="e">
        <f>SUM($D206:F206)/$W55</f>
        <v>#DIV/0!</v>
      </c>
      <c r="G234" s="771" t="e">
        <f>SUM($D206:G206)/$W55</f>
        <v>#DIV/0!</v>
      </c>
      <c r="H234" s="771" t="e">
        <f>SUM($D206:H206)/$W55</f>
        <v>#DIV/0!</v>
      </c>
      <c r="I234" s="771" t="e">
        <f>SUM($D206:I206)/$W55</f>
        <v>#DIV/0!</v>
      </c>
      <c r="J234" s="771" t="e">
        <f>SUM($D206:J206)/$W55</f>
        <v>#DIV/0!</v>
      </c>
      <c r="K234" s="771" t="e">
        <f>SUM($D206:K206)/$W55</f>
        <v>#DIV/0!</v>
      </c>
      <c r="L234" s="771" t="e">
        <f>SUM($D206:L206)/$W55</f>
        <v>#DIV/0!</v>
      </c>
      <c r="M234" s="771" t="e">
        <f>SUM($D206:M206)/$W55</f>
        <v>#DIV/0!</v>
      </c>
      <c r="N234" s="771" t="e">
        <f>SUM($D206:N206)/$W55</f>
        <v>#DIV/0!</v>
      </c>
      <c r="O234" s="771" t="e">
        <f>SUM($D206:O206)/$W55</f>
        <v>#DIV/0!</v>
      </c>
      <c r="P234" s="771" t="e">
        <f>SUM($D206:P206)/$W55</f>
        <v>#DIV/0!</v>
      </c>
      <c r="Q234" s="771" t="e">
        <f>SUM($D206:Q206)/$W55</f>
        <v>#DIV/0!</v>
      </c>
      <c r="R234" s="771" t="e">
        <f>SUM($D206:R206)/$W55</f>
        <v>#DIV/0!</v>
      </c>
      <c r="S234" s="771" t="e">
        <f>SUM($D206:S206)/$W55</f>
        <v>#DIV/0!</v>
      </c>
    </row>
    <row r="235" spans="2:19" ht="14.85" customHeight="1">
      <c r="B235" s="250" t="str">
        <f t="shared" ref="B235:B258" si="115">B207</f>
        <v>Series B</v>
      </c>
      <c r="D235" s="771" t="e">
        <f ca="1">SUM($D207:D207)/$W56</f>
        <v>#DIV/0!</v>
      </c>
      <c r="E235" s="771" t="e">
        <f ca="1">SUM($D207:E207)/$W56</f>
        <v>#DIV/0!</v>
      </c>
      <c r="F235" s="771" t="e">
        <f ca="1">SUM($D207:F207)/$W56</f>
        <v>#DIV/0!</v>
      </c>
      <c r="G235" s="771" t="e">
        <f ca="1">SUM($D207:G207)/$W56</f>
        <v>#DIV/0!</v>
      </c>
      <c r="H235" s="771" t="e">
        <f ca="1">SUM($D207:H207)/$W56</f>
        <v>#DIV/0!</v>
      </c>
      <c r="I235" s="771" t="e">
        <f ca="1">SUM($D207:I207)/$W56</f>
        <v>#DIV/0!</v>
      </c>
      <c r="J235" s="771" t="e">
        <f ca="1">SUM($D207:J207)/$W56</f>
        <v>#DIV/0!</v>
      </c>
      <c r="K235" s="771" t="e">
        <f ca="1">SUM($D207:K207)/$W56</f>
        <v>#DIV/0!</v>
      </c>
      <c r="L235" s="771" t="e">
        <f ca="1">SUM($D207:L207)/$W56</f>
        <v>#DIV/0!</v>
      </c>
      <c r="M235" s="771" t="e">
        <f ca="1">SUM($D207:M207)/$W56</f>
        <v>#DIV/0!</v>
      </c>
      <c r="N235" s="771" t="e">
        <f ca="1">SUM($D207:N207)/$W56</f>
        <v>#DIV/0!</v>
      </c>
      <c r="O235" s="771" t="e">
        <f ca="1">SUM($D207:O207)/$W56</f>
        <v>#DIV/0!</v>
      </c>
      <c r="P235" s="771" t="e">
        <f ca="1">SUM($D207:P207)/$W56</f>
        <v>#DIV/0!</v>
      </c>
      <c r="Q235" s="771" t="e">
        <f ca="1">SUM($D207:Q207)/$W56</f>
        <v>#DIV/0!</v>
      </c>
      <c r="R235" s="771" t="e">
        <f ca="1">SUM($D207:R207)/$W56</f>
        <v>#DIV/0!</v>
      </c>
      <c r="S235" s="771" t="e">
        <f ca="1">SUM($D207:S207)/$W56</f>
        <v>#DIV/0!</v>
      </c>
    </row>
    <row r="236" spans="2:19" ht="14.85" customHeight="1">
      <c r="B236" s="250" t="str">
        <f t="shared" si="115"/>
        <v>Series C</v>
      </c>
      <c r="D236" s="771" t="e">
        <f ca="1">SUM($D208:D208)/$W57</f>
        <v>#DIV/0!</v>
      </c>
      <c r="E236" s="771" t="e">
        <f ca="1">SUM($D208:E208)/$W57</f>
        <v>#DIV/0!</v>
      </c>
      <c r="F236" s="771" t="e">
        <f ca="1">SUM($D208:F208)/$W57</f>
        <v>#DIV/0!</v>
      </c>
      <c r="G236" s="771" t="e">
        <f ca="1">SUM($D208:G208)/$W57</f>
        <v>#DIV/0!</v>
      </c>
      <c r="H236" s="771" t="e">
        <f ca="1">SUM($D208:H208)/$W57</f>
        <v>#DIV/0!</v>
      </c>
      <c r="I236" s="771" t="e">
        <f ca="1">SUM($D208:I208)/$W57</f>
        <v>#DIV/0!</v>
      </c>
      <c r="J236" s="771" t="e">
        <f ca="1">SUM($D208:J208)/$W57</f>
        <v>#DIV/0!</v>
      </c>
      <c r="K236" s="771" t="e">
        <f ca="1">SUM($D208:K208)/$W57</f>
        <v>#DIV/0!</v>
      </c>
      <c r="L236" s="771" t="e">
        <f ca="1">SUM($D208:L208)/$W57</f>
        <v>#DIV/0!</v>
      </c>
      <c r="M236" s="771" t="e">
        <f ca="1">SUM($D208:M208)/$W57</f>
        <v>#DIV/0!</v>
      </c>
      <c r="N236" s="771" t="e">
        <f ca="1">SUM($D208:N208)/$W57</f>
        <v>#DIV/0!</v>
      </c>
      <c r="O236" s="771" t="e">
        <f ca="1">SUM($D208:O208)/$W57</f>
        <v>#DIV/0!</v>
      </c>
      <c r="P236" s="771" t="e">
        <f ca="1">SUM($D208:P208)/$W57</f>
        <v>#DIV/0!</v>
      </c>
      <c r="Q236" s="771" t="e">
        <f ca="1">SUM($D208:Q208)/$W57</f>
        <v>#DIV/0!</v>
      </c>
      <c r="R236" s="771" t="e">
        <f ca="1">SUM($D208:R208)/$W57</f>
        <v>#DIV/0!</v>
      </c>
      <c r="S236" s="771" t="e">
        <f ca="1">SUM($D208:S208)/$W57</f>
        <v>#DIV/0!</v>
      </c>
    </row>
    <row r="237" spans="2:19" ht="14.85" customHeight="1">
      <c r="B237" s="250" t="str">
        <f t="shared" si="115"/>
        <v>Series D</v>
      </c>
      <c r="D237" s="771" t="e">
        <f ca="1">SUM($D209:D209)/$W58</f>
        <v>#DIV/0!</v>
      </c>
      <c r="E237" s="771" t="e">
        <f ca="1">SUM($D209:E209)/$W58</f>
        <v>#DIV/0!</v>
      </c>
      <c r="F237" s="771" t="e">
        <f ca="1">SUM($D209:F209)/$W58</f>
        <v>#DIV/0!</v>
      </c>
      <c r="G237" s="771" t="e">
        <f ca="1">SUM($D209:G209)/$W58</f>
        <v>#DIV/0!</v>
      </c>
      <c r="H237" s="771" t="e">
        <f ca="1">SUM($D209:H209)/$W58</f>
        <v>#DIV/0!</v>
      </c>
      <c r="I237" s="771" t="e">
        <f ca="1">SUM($D209:I209)/$W58</f>
        <v>#DIV/0!</v>
      </c>
      <c r="J237" s="771" t="e">
        <f ca="1">SUM($D209:J209)/$W58</f>
        <v>#DIV/0!</v>
      </c>
      <c r="K237" s="771" t="e">
        <f ca="1">SUM($D209:K209)/$W58</f>
        <v>#DIV/0!</v>
      </c>
      <c r="L237" s="771" t="e">
        <f ca="1">SUM($D209:L209)/$W58</f>
        <v>#DIV/0!</v>
      </c>
      <c r="M237" s="771" t="e">
        <f ca="1">SUM($D209:M209)/$W58</f>
        <v>#DIV/0!</v>
      </c>
      <c r="N237" s="771" t="e">
        <f ca="1">SUM($D209:N209)/$W58</f>
        <v>#DIV/0!</v>
      </c>
      <c r="O237" s="771" t="e">
        <f ca="1">SUM($D209:O209)/$W58</f>
        <v>#DIV/0!</v>
      </c>
      <c r="P237" s="771" t="e">
        <f ca="1">SUM($D209:P209)/$W58</f>
        <v>#DIV/0!</v>
      </c>
      <c r="Q237" s="771" t="e">
        <f ca="1">SUM($D209:Q209)/$W58</f>
        <v>#DIV/0!</v>
      </c>
      <c r="R237" s="771" t="e">
        <f ca="1">SUM($D209:R209)/$W58</f>
        <v>#DIV/0!</v>
      </c>
      <c r="S237" s="771" t="e">
        <f ca="1">SUM($D209:S209)/$W58</f>
        <v>#DIV/0!</v>
      </c>
    </row>
    <row r="238" spans="2:19" ht="14.85" customHeight="1">
      <c r="B238" s="250" t="str">
        <f t="shared" si="115"/>
        <v>Series E</v>
      </c>
      <c r="D238" s="771" t="e">
        <f ca="1">SUM($D210:D210)/$W59</f>
        <v>#DIV/0!</v>
      </c>
      <c r="E238" s="771" t="e">
        <f ca="1">SUM($D210:E210)/$W59</f>
        <v>#DIV/0!</v>
      </c>
      <c r="F238" s="771" t="e">
        <f ca="1">SUM($D210:F210)/$W59</f>
        <v>#DIV/0!</v>
      </c>
      <c r="G238" s="771" t="e">
        <f ca="1">SUM($D210:G210)/$W59</f>
        <v>#DIV/0!</v>
      </c>
      <c r="H238" s="771" t="e">
        <f ca="1">SUM($D210:H210)/$W59</f>
        <v>#DIV/0!</v>
      </c>
      <c r="I238" s="771" t="e">
        <f ca="1">SUM($D210:I210)/$W59</f>
        <v>#DIV/0!</v>
      </c>
      <c r="J238" s="771" t="e">
        <f ca="1">SUM($D210:J210)/$W59</f>
        <v>#DIV/0!</v>
      </c>
      <c r="K238" s="771" t="e">
        <f ca="1">SUM($D210:K210)/$W59</f>
        <v>#DIV/0!</v>
      </c>
      <c r="L238" s="771" t="e">
        <f ca="1">SUM($D210:L210)/$W59</f>
        <v>#DIV/0!</v>
      </c>
      <c r="M238" s="771" t="e">
        <f ca="1">SUM($D210:M210)/$W59</f>
        <v>#DIV/0!</v>
      </c>
      <c r="N238" s="771" t="e">
        <f ca="1">SUM($D210:N210)/$W59</f>
        <v>#DIV/0!</v>
      </c>
      <c r="O238" s="771" t="e">
        <f ca="1">SUM($D210:O210)/$W59</f>
        <v>#DIV/0!</v>
      </c>
      <c r="P238" s="771" t="e">
        <f ca="1">SUM($D210:P210)/$W59</f>
        <v>#DIV/0!</v>
      </c>
      <c r="Q238" s="771" t="e">
        <f ca="1">SUM($D210:Q210)/$W59</f>
        <v>#DIV/0!</v>
      </c>
      <c r="R238" s="771" t="e">
        <f ca="1">SUM($D210:R210)/$W59</f>
        <v>#DIV/0!</v>
      </c>
      <c r="S238" s="771" t="e">
        <f ca="1">SUM($D210:S210)/$W59</f>
        <v>#DIV/0!</v>
      </c>
    </row>
    <row r="239" spans="2:19" ht="14.85" customHeight="1">
      <c r="B239" s="250" t="str">
        <f t="shared" si="115"/>
        <v>Series F</v>
      </c>
      <c r="D239" s="771" t="e">
        <f ca="1">SUM($D211:D211)/$W60</f>
        <v>#DIV/0!</v>
      </c>
      <c r="E239" s="771" t="e">
        <f ca="1">SUM($D211:E211)/$W60</f>
        <v>#DIV/0!</v>
      </c>
      <c r="F239" s="771" t="e">
        <f ca="1">SUM($D211:F211)/$W60</f>
        <v>#DIV/0!</v>
      </c>
      <c r="G239" s="771" t="e">
        <f ca="1">SUM($D211:G211)/$W60</f>
        <v>#DIV/0!</v>
      </c>
      <c r="H239" s="771" t="e">
        <f ca="1">SUM($D211:H211)/$W60</f>
        <v>#DIV/0!</v>
      </c>
      <c r="I239" s="771" t="e">
        <f ca="1">SUM($D211:I211)/$W60</f>
        <v>#DIV/0!</v>
      </c>
      <c r="J239" s="771" t="e">
        <f ca="1">SUM($D211:J211)/$W60</f>
        <v>#DIV/0!</v>
      </c>
      <c r="K239" s="771" t="e">
        <f ca="1">SUM($D211:K211)/$W60</f>
        <v>#DIV/0!</v>
      </c>
      <c r="L239" s="771" t="e">
        <f ca="1">SUM($D211:L211)/$W60</f>
        <v>#DIV/0!</v>
      </c>
      <c r="M239" s="771" t="e">
        <f ca="1">SUM($D211:M211)/$W60</f>
        <v>#DIV/0!</v>
      </c>
      <c r="N239" s="771" t="e">
        <f ca="1">SUM($D211:N211)/$W60</f>
        <v>#DIV/0!</v>
      </c>
      <c r="O239" s="771" t="e">
        <f ca="1">SUM($D211:O211)/$W60</f>
        <v>#DIV/0!</v>
      </c>
      <c r="P239" s="771" t="e">
        <f ca="1">SUM($D211:P211)/$W60</f>
        <v>#DIV/0!</v>
      </c>
      <c r="Q239" s="771" t="e">
        <f ca="1">SUM($D211:Q211)/$W60</f>
        <v>#DIV/0!</v>
      </c>
      <c r="R239" s="771" t="e">
        <f ca="1">SUM($D211:R211)/$W60</f>
        <v>#DIV/0!</v>
      </c>
      <c r="S239" s="771" t="e">
        <f ca="1">SUM($D211:S211)/$W60</f>
        <v>#DIV/0!</v>
      </c>
    </row>
    <row r="240" spans="2:19" ht="14.85" customHeight="1">
      <c r="B240" s="250" t="str">
        <f t="shared" si="115"/>
        <v>Series G</v>
      </c>
      <c r="D240" s="771" t="e">
        <f ca="1">SUM($D212:D212)/$W61</f>
        <v>#DIV/0!</v>
      </c>
      <c r="E240" s="771" t="e">
        <f ca="1">SUM($D212:E212)/$W61</f>
        <v>#DIV/0!</v>
      </c>
      <c r="F240" s="771" t="e">
        <f ca="1">SUM($D212:F212)/$W61</f>
        <v>#DIV/0!</v>
      </c>
      <c r="G240" s="771" t="e">
        <f ca="1">SUM($D212:G212)/$W61</f>
        <v>#DIV/0!</v>
      </c>
      <c r="H240" s="771" t="e">
        <f ca="1">SUM($D212:H212)/$W61</f>
        <v>#DIV/0!</v>
      </c>
      <c r="I240" s="771" t="e">
        <f ca="1">SUM($D212:I212)/$W61</f>
        <v>#DIV/0!</v>
      </c>
      <c r="J240" s="771" t="e">
        <f ca="1">SUM($D212:J212)/$W61</f>
        <v>#DIV/0!</v>
      </c>
      <c r="K240" s="771" t="e">
        <f ca="1">SUM($D212:K212)/$W61</f>
        <v>#DIV/0!</v>
      </c>
      <c r="L240" s="771" t="e">
        <f ca="1">SUM($D212:L212)/$W61</f>
        <v>#DIV/0!</v>
      </c>
      <c r="M240" s="771" t="e">
        <f ca="1">SUM($D212:M212)/$W61</f>
        <v>#DIV/0!</v>
      </c>
      <c r="N240" s="771" t="e">
        <f ca="1">SUM($D212:N212)/$W61</f>
        <v>#DIV/0!</v>
      </c>
      <c r="O240" s="771" t="e">
        <f ca="1">SUM($D212:O212)/$W61</f>
        <v>#DIV/0!</v>
      </c>
      <c r="P240" s="771" t="e">
        <f ca="1">SUM($D212:P212)/$W61</f>
        <v>#DIV/0!</v>
      </c>
      <c r="Q240" s="771" t="e">
        <f ca="1">SUM($D212:Q212)/$W61</f>
        <v>#DIV/0!</v>
      </c>
      <c r="R240" s="771" t="e">
        <f ca="1">SUM($D212:R212)/$W61</f>
        <v>#DIV/0!</v>
      </c>
      <c r="S240" s="771" t="e">
        <f ca="1">SUM($D212:S212)/$W61</f>
        <v>#DIV/0!</v>
      </c>
    </row>
    <row r="241" spans="2:19" ht="14.85" customHeight="1">
      <c r="B241" s="250" t="str">
        <f t="shared" si="115"/>
        <v>Series A Warrants</v>
      </c>
      <c r="D241" s="771" t="e">
        <f ca="1">SUM($D213:D213)/$W62</f>
        <v>#DIV/0!</v>
      </c>
      <c r="E241" s="771" t="e">
        <f ca="1">SUM($D213:E213)/$W62</f>
        <v>#DIV/0!</v>
      </c>
      <c r="F241" s="771" t="e">
        <f ca="1">SUM($D213:F213)/$W62</f>
        <v>#DIV/0!</v>
      </c>
      <c r="G241" s="771" t="e">
        <f ca="1">SUM($D213:G213)/$W62</f>
        <v>#DIV/0!</v>
      </c>
      <c r="H241" s="771" t="e">
        <f ca="1">SUM($D213:H213)/$W62</f>
        <v>#DIV/0!</v>
      </c>
      <c r="I241" s="771" t="e">
        <f ca="1">SUM($D213:I213)/$W62</f>
        <v>#DIV/0!</v>
      </c>
      <c r="J241" s="771" t="e">
        <f ca="1">SUM($D213:J213)/$W62</f>
        <v>#DIV/0!</v>
      </c>
      <c r="K241" s="771" t="e">
        <f ca="1">SUM($D213:K213)/$W62</f>
        <v>#DIV/0!</v>
      </c>
      <c r="L241" s="771" t="e">
        <f ca="1">SUM($D213:L213)/$W62</f>
        <v>#DIV/0!</v>
      </c>
      <c r="M241" s="771" t="e">
        <f ca="1">SUM($D213:M213)/$W62</f>
        <v>#DIV/0!</v>
      </c>
      <c r="N241" s="771" t="e">
        <f ca="1">SUM($D213:N213)/$W62</f>
        <v>#DIV/0!</v>
      </c>
      <c r="O241" s="771" t="e">
        <f ca="1">SUM($D213:O213)/$W62</f>
        <v>#DIV/0!</v>
      </c>
      <c r="P241" s="771" t="e">
        <f ca="1">SUM($D213:P213)/$W62</f>
        <v>#DIV/0!</v>
      </c>
      <c r="Q241" s="771" t="e">
        <f ca="1">SUM($D213:Q213)/$W62</f>
        <v>#DIV/0!</v>
      </c>
      <c r="R241" s="771" t="e">
        <f ca="1">SUM($D213:R213)/$W62</f>
        <v>#DIV/0!</v>
      </c>
      <c r="S241" s="771" t="e">
        <f ca="1">SUM($D213:S213)/$W62</f>
        <v>#DIV/0!</v>
      </c>
    </row>
    <row r="242" spans="2:19" ht="14.85" customHeight="1">
      <c r="B242" s="250" t="str">
        <f t="shared" si="115"/>
        <v>Series B Warrants</v>
      </c>
      <c r="D242" s="771" t="e">
        <f ca="1">SUM($D214:D214)/$W63</f>
        <v>#DIV/0!</v>
      </c>
      <c r="E242" s="771" t="e">
        <f ca="1">SUM($D214:E214)/$W63</f>
        <v>#DIV/0!</v>
      </c>
      <c r="F242" s="771" t="e">
        <f ca="1">SUM($D214:F214)/$W63</f>
        <v>#DIV/0!</v>
      </c>
      <c r="G242" s="771" t="e">
        <f ca="1">SUM($D214:G214)/$W63</f>
        <v>#DIV/0!</v>
      </c>
      <c r="H242" s="771" t="e">
        <f ca="1">SUM($D214:H214)/$W63</f>
        <v>#DIV/0!</v>
      </c>
      <c r="I242" s="771" t="e">
        <f ca="1">SUM($D214:I214)/$W63</f>
        <v>#DIV/0!</v>
      </c>
      <c r="J242" s="771" t="e">
        <f ca="1">SUM($D214:J214)/$W63</f>
        <v>#DIV/0!</v>
      </c>
      <c r="K242" s="771" t="e">
        <f ca="1">SUM($D214:K214)/$W63</f>
        <v>#DIV/0!</v>
      </c>
      <c r="L242" s="771" t="e">
        <f ca="1">SUM($D214:L214)/$W63</f>
        <v>#DIV/0!</v>
      </c>
      <c r="M242" s="771" t="e">
        <f ca="1">SUM($D214:M214)/$W63</f>
        <v>#DIV/0!</v>
      </c>
      <c r="N242" s="771" t="e">
        <f ca="1">SUM($D214:N214)/$W63</f>
        <v>#DIV/0!</v>
      </c>
      <c r="O242" s="771" t="e">
        <f ca="1">SUM($D214:O214)/$W63</f>
        <v>#DIV/0!</v>
      </c>
      <c r="P242" s="771" t="e">
        <f ca="1">SUM($D214:P214)/$W63</f>
        <v>#DIV/0!</v>
      </c>
      <c r="Q242" s="771" t="e">
        <f ca="1">SUM($D214:Q214)/$W63</f>
        <v>#DIV/0!</v>
      </c>
      <c r="R242" s="771" t="e">
        <f ca="1">SUM($D214:R214)/$W63</f>
        <v>#DIV/0!</v>
      </c>
      <c r="S242" s="771" t="e">
        <f ca="1">SUM($D214:S214)/$W63</f>
        <v>#DIV/0!</v>
      </c>
    </row>
    <row r="243" spans="2:19" ht="14.85" customHeight="1">
      <c r="B243" s="250" t="str">
        <f t="shared" si="115"/>
        <v>Series C Warrants</v>
      </c>
      <c r="D243" s="771" t="e">
        <f ca="1">SUM($D215:D215)/$W64</f>
        <v>#DIV/0!</v>
      </c>
      <c r="E243" s="771" t="e">
        <f ca="1">SUM($D215:E215)/$W64</f>
        <v>#DIV/0!</v>
      </c>
      <c r="F243" s="771" t="e">
        <f ca="1">SUM($D215:F215)/$W64</f>
        <v>#DIV/0!</v>
      </c>
      <c r="G243" s="771" t="e">
        <f ca="1">SUM($D215:G215)/$W64</f>
        <v>#DIV/0!</v>
      </c>
      <c r="H243" s="771" t="e">
        <f ca="1">SUM($D215:H215)/$W64</f>
        <v>#DIV/0!</v>
      </c>
      <c r="I243" s="771" t="e">
        <f ca="1">SUM($D215:I215)/$W64</f>
        <v>#DIV/0!</v>
      </c>
      <c r="J243" s="771" t="e">
        <f ca="1">SUM($D215:J215)/$W64</f>
        <v>#DIV/0!</v>
      </c>
      <c r="K243" s="771" t="e">
        <f ca="1">SUM($D215:K215)/$W64</f>
        <v>#DIV/0!</v>
      </c>
      <c r="L243" s="771" t="e">
        <f ca="1">SUM($D215:L215)/$W64</f>
        <v>#DIV/0!</v>
      </c>
      <c r="M243" s="771" t="e">
        <f ca="1">SUM($D215:M215)/$W64</f>
        <v>#DIV/0!</v>
      </c>
      <c r="N243" s="771" t="e">
        <f ca="1">SUM($D215:N215)/$W64</f>
        <v>#DIV/0!</v>
      </c>
      <c r="O243" s="771" t="e">
        <f ca="1">SUM($D215:O215)/$W64</f>
        <v>#DIV/0!</v>
      </c>
      <c r="P243" s="771" t="e">
        <f ca="1">SUM($D215:P215)/$W64</f>
        <v>#DIV/0!</v>
      </c>
      <c r="Q243" s="771" t="e">
        <f ca="1">SUM($D215:Q215)/$W64</f>
        <v>#DIV/0!</v>
      </c>
      <c r="R243" s="771" t="e">
        <f ca="1">SUM($D215:R215)/$W64</f>
        <v>#DIV/0!</v>
      </c>
      <c r="S243" s="771" t="e">
        <f ca="1">SUM($D215:S215)/$W64</f>
        <v>#DIV/0!</v>
      </c>
    </row>
    <row r="244" spans="2:19" ht="14.85" customHeight="1">
      <c r="B244" s="250" t="str">
        <f t="shared" si="115"/>
        <v>Series D Warrants</v>
      </c>
      <c r="D244" s="771" t="e">
        <f ca="1">SUM($D216:D216)/$W65</f>
        <v>#DIV/0!</v>
      </c>
      <c r="E244" s="771" t="e">
        <f ca="1">SUM($D216:E216)/$W65</f>
        <v>#DIV/0!</v>
      </c>
      <c r="F244" s="771" t="e">
        <f ca="1">SUM($D216:F216)/$W65</f>
        <v>#DIV/0!</v>
      </c>
      <c r="G244" s="771" t="e">
        <f ca="1">SUM($D216:G216)/$W65</f>
        <v>#DIV/0!</v>
      </c>
      <c r="H244" s="771" t="e">
        <f ca="1">SUM($D216:H216)/$W65</f>
        <v>#DIV/0!</v>
      </c>
      <c r="I244" s="771" t="e">
        <f ca="1">SUM($D216:I216)/$W65</f>
        <v>#DIV/0!</v>
      </c>
      <c r="J244" s="771" t="e">
        <f ca="1">SUM($D216:J216)/$W65</f>
        <v>#DIV/0!</v>
      </c>
      <c r="K244" s="771" t="e">
        <f ca="1">SUM($D216:K216)/$W65</f>
        <v>#DIV/0!</v>
      </c>
      <c r="L244" s="771" t="e">
        <f ca="1">SUM($D216:L216)/$W65</f>
        <v>#DIV/0!</v>
      </c>
      <c r="M244" s="771" t="e">
        <f ca="1">SUM($D216:M216)/$W65</f>
        <v>#DIV/0!</v>
      </c>
      <c r="N244" s="771" t="e">
        <f ca="1">SUM($D216:N216)/$W65</f>
        <v>#DIV/0!</v>
      </c>
      <c r="O244" s="771" t="e">
        <f ca="1">SUM($D216:O216)/$W65</f>
        <v>#DIV/0!</v>
      </c>
      <c r="P244" s="771" t="e">
        <f ca="1">SUM($D216:P216)/$W65</f>
        <v>#DIV/0!</v>
      </c>
      <c r="Q244" s="771" t="e">
        <f ca="1">SUM($D216:Q216)/$W65</f>
        <v>#DIV/0!</v>
      </c>
      <c r="R244" s="771" t="e">
        <f ca="1">SUM($D216:R216)/$W65</f>
        <v>#DIV/0!</v>
      </c>
      <c r="S244" s="771" t="e">
        <f ca="1">SUM($D216:S216)/$W65</f>
        <v>#DIV/0!</v>
      </c>
    </row>
    <row r="245" spans="2:19" ht="14.85" customHeight="1">
      <c r="B245" s="250" t="str">
        <f t="shared" si="115"/>
        <v>Series E Warrants</v>
      </c>
      <c r="D245" s="771" t="e">
        <f ca="1">SUM($D217:D217)/$W66</f>
        <v>#DIV/0!</v>
      </c>
      <c r="E245" s="771" t="e">
        <f ca="1">SUM($D217:E217)/$W66</f>
        <v>#DIV/0!</v>
      </c>
      <c r="F245" s="771" t="e">
        <f ca="1">SUM($D217:F217)/$W66</f>
        <v>#DIV/0!</v>
      </c>
      <c r="G245" s="771" t="e">
        <f ca="1">SUM($D217:G217)/$W66</f>
        <v>#DIV/0!</v>
      </c>
      <c r="H245" s="771" t="e">
        <f ca="1">SUM($D217:H217)/$W66</f>
        <v>#DIV/0!</v>
      </c>
      <c r="I245" s="771" t="e">
        <f ca="1">SUM($D217:I217)/$W66</f>
        <v>#DIV/0!</v>
      </c>
      <c r="J245" s="771" t="e">
        <f ca="1">SUM($D217:J217)/$W66</f>
        <v>#DIV/0!</v>
      </c>
      <c r="K245" s="771" t="e">
        <f ca="1">SUM($D217:K217)/$W66</f>
        <v>#DIV/0!</v>
      </c>
      <c r="L245" s="771" t="e">
        <f ca="1">SUM($D217:L217)/$W66</f>
        <v>#DIV/0!</v>
      </c>
      <c r="M245" s="771" t="e">
        <f ca="1">SUM($D217:M217)/$W66</f>
        <v>#DIV/0!</v>
      </c>
      <c r="N245" s="771" t="e">
        <f ca="1">SUM($D217:N217)/$W66</f>
        <v>#DIV/0!</v>
      </c>
      <c r="O245" s="771" t="e">
        <f ca="1">SUM($D217:O217)/$W66</f>
        <v>#DIV/0!</v>
      </c>
      <c r="P245" s="771" t="e">
        <f ca="1">SUM($D217:P217)/$W66</f>
        <v>#DIV/0!</v>
      </c>
      <c r="Q245" s="771" t="e">
        <f ca="1">SUM($D217:Q217)/$W66</f>
        <v>#DIV/0!</v>
      </c>
      <c r="R245" s="771" t="e">
        <f ca="1">SUM($D217:R217)/$W66</f>
        <v>#DIV/0!</v>
      </c>
      <c r="S245" s="771" t="e">
        <f ca="1">SUM($D217:S217)/$W66</f>
        <v>#DIV/0!</v>
      </c>
    </row>
    <row r="246" spans="2:19" ht="14.85" customHeight="1">
      <c r="B246" s="250" t="str">
        <f t="shared" si="115"/>
        <v>Series F Warrants</v>
      </c>
      <c r="D246" s="771" t="e">
        <f ca="1">SUM($D218:D218)/$W67</f>
        <v>#DIV/0!</v>
      </c>
      <c r="E246" s="771" t="e">
        <f ca="1">SUM($D218:E218)/$W67</f>
        <v>#DIV/0!</v>
      </c>
      <c r="F246" s="771" t="e">
        <f ca="1">SUM($D218:F218)/$W67</f>
        <v>#DIV/0!</v>
      </c>
      <c r="G246" s="771" t="e">
        <f ca="1">SUM($D218:G218)/$W67</f>
        <v>#DIV/0!</v>
      </c>
      <c r="H246" s="771" t="e">
        <f ca="1">SUM($D218:H218)/$W67</f>
        <v>#DIV/0!</v>
      </c>
      <c r="I246" s="771" t="e">
        <f ca="1">SUM($D218:I218)/$W67</f>
        <v>#DIV/0!</v>
      </c>
      <c r="J246" s="771" t="e">
        <f ca="1">SUM($D218:J218)/$W67</f>
        <v>#DIV/0!</v>
      </c>
      <c r="K246" s="771" t="e">
        <f ca="1">SUM($D218:K218)/$W67</f>
        <v>#DIV/0!</v>
      </c>
      <c r="L246" s="771" t="e">
        <f ca="1">SUM($D218:L218)/$W67</f>
        <v>#DIV/0!</v>
      </c>
      <c r="M246" s="771" t="e">
        <f ca="1">SUM($D218:M218)/$W67</f>
        <v>#DIV/0!</v>
      </c>
      <c r="N246" s="771" t="e">
        <f ca="1">SUM($D218:N218)/$W67</f>
        <v>#DIV/0!</v>
      </c>
      <c r="O246" s="771" t="e">
        <f ca="1">SUM($D218:O218)/$W67</f>
        <v>#DIV/0!</v>
      </c>
      <c r="P246" s="771" t="e">
        <f ca="1">SUM($D218:P218)/$W67</f>
        <v>#DIV/0!</v>
      </c>
      <c r="Q246" s="771" t="e">
        <f ca="1">SUM($D218:Q218)/$W67</f>
        <v>#DIV/0!</v>
      </c>
      <c r="R246" s="771" t="e">
        <f ca="1">SUM($D218:R218)/$W67</f>
        <v>#DIV/0!</v>
      </c>
      <c r="S246" s="771" t="e">
        <f ca="1">SUM($D218:S218)/$W67</f>
        <v>#DIV/0!</v>
      </c>
    </row>
    <row r="247" spans="2:19" ht="14.85" customHeight="1">
      <c r="B247" s="250" t="str">
        <f t="shared" si="115"/>
        <v>Series G Warrants</v>
      </c>
      <c r="D247" s="771" t="e">
        <f ca="1">SUM($D219:D219)/$W68</f>
        <v>#DIV/0!</v>
      </c>
      <c r="E247" s="771" t="e">
        <f ca="1">SUM($D219:E219)/$W68</f>
        <v>#DIV/0!</v>
      </c>
      <c r="F247" s="771" t="e">
        <f ca="1">SUM($D219:F219)/$W68</f>
        <v>#DIV/0!</v>
      </c>
      <c r="G247" s="771" t="e">
        <f ca="1">SUM($D219:G219)/$W68</f>
        <v>#DIV/0!</v>
      </c>
      <c r="H247" s="771" t="e">
        <f ca="1">SUM($D219:H219)/$W68</f>
        <v>#DIV/0!</v>
      </c>
      <c r="I247" s="771" t="e">
        <f ca="1">SUM($D219:I219)/$W68</f>
        <v>#DIV/0!</v>
      </c>
      <c r="J247" s="771" t="e">
        <f ca="1">SUM($D219:J219)/$W68</f>
        <v>#DIV/0!</v>
      </c>
      <c r="K247" s="771" t="e">
        <f ca="1">SUM($D219:K219)/$W68</f>
        <v>#DIV/0!</v>
      </c>
      <c r="L247" s="771" t="e">
        <f ca="1">SUM($D219:L219)/$W68</f>
        <v>#DIV/0!</v>
      </c>
      <c r="M247" s="771" t="e">
        <f ca="1">SUM($D219:M219)/$W68</f>
        <v>#DIV/0!</v>
      </c>
      <c r="N247" s="771" t="e">
        <f ca="1">SUM($D219:N219)/$W68</f>
        <v>#DIV/0!</v>
      </c>
      <c r="O247" s="771" t="e">
        <f ca="1">SUM($D219:O219)/$W68</f>
        <v>#DIV/0!</v>
      </c>
      <c r="P247" s="771" t="e">
        <f ca="1">SUM($D219:P219)/$W68</f>
        <v>#DIV/0!</v>
      </c>
      <c r="Q247" s="771" t="e">
        <f ca="1">SUM($D219:Q219)/$W68</f>
        <v>#DIV/0!</v>
      </c>
      <c r="R247" s="771" t="e">
        <f ca="1">SUM($D219:R219)/$W68</f>
        <v>#DIV/0!</v>
      </c>
      <c r="S247" s="771" t="e">
        <f ca="1">SUM($D219:S219)/$W68</f>
        <v>#DIV/0!</v>
      </c>
    </row>
    <row r="248" spans="2:19" ht="14.85" customHeight="1">
      <c r="B248" s="250" t="str">
        <f t="shared" si="115"/>
        <v>Options/Warrants at $2.00 Strike Price</v>
      </c>
      <c r="D248" s="771" t="e">
        <f>SUM($D220:D220)/$W69</f>
        <v>#DIV/0!</v>
      </c>
      <c r="E248" s="771" t="e">
        <f>SUM($D220:E220)/$W69</f>
        <v>#DIV/0!</v>
      </c>
      <c r="F248" s="771" t="e">
        <f>SUM($D220:F220)/$W69</f>
        <v>#DIV/0!</v>
      </c>
      <c r="G248" s="771" t="e">
        <f>SUM($D220:G220)/$W69</f>
        <v>#DIV/0!</v>
      </c>
      <c r="H248" s="771" t="e">
        <f>SUM($D220:H220)/$W69</f>
        <v>#DIV/0!</v>
      </c>
      <c r="I248" s="771" t="e">
        <f>SUM($D220:I220)/$W69</f>
        <v>#DIV/0!</v>
      </c>
      <c r="J248" s="771" t="e">
        <f>SUM($D220:J220)/$W69</f>
        <v>#DIV/0!</v>
      </c>
      <c r="K248" s="771" t="e">
        <f>SUM($D220:K220)/$W69</f>
        <v>#DIV/0!</v>
      </c>
      <c r="L248" s="771" t="e">
        <f>SUM($D220:L220)/$W69</f>
        <v>#DIV/0!</v>
      </c>
      <c r="M248" s="771" t="e">
        <f>SUM($D220:M220)/$W69</f>
        <v>#DIV/0!</v>
      </c>
      <c r="N248" s="771" t="e">
        <f>SUM($D220:N220)/$W69</f>
        <v>#DIV/0!</v>
      </c>
      <c r="O248" s="771" t="e">
        <f>SUM($D220:O220)/$W69</f>
        <v>#DIV/0!</v>
      </c>
      <c r="P248" s="771" t="e">
        <f>SUM($D220:P220)/$W69</f>
        <v>#DIV/0!</v>
      </c>
      <c r="Q248" s="771" t="e">
        <f>SUM($D220:Q220)/$W69</f>
        <v>#DIV/0!</v>
      </c>
      <c r="R248" s="771" t="e">
        <f>SUM($D220:R220)/$W69</f>
        <v>#DIV/0!</v>
      </c>
      <c r="S248" s="771" t="e">
        <f>SUM($D220:S220)/$W69</f>
        <v>#DIV/0!</v>
      </c>
    </row>
    <row r="249" spans="2:19" ht="14.85" customHeight="1">
      <c r="B249" s="250" t="str">
        <f t="shared" si="115"/>
        <v>Options/Warrants at $0.00 Strike Price</v>
      </c>
      <c r="D249" s="771" t="e">
        <f>SUM($D221:D221)/$W70</f>
        <v>#DIV/0!</v>
      </c>
      <c r="E249" s="771" t="e">
        <f>SUM($D221:E221)/$W70</f>
        <v>#DIV/0!</v>
      </c>
      <c r="F249" s="771" t="e">
        <f>SUM($D221:F221)/$W70</f>
        <v>#DIV/0!</v>
      </c>
      <c r="G249" s="771" t="e">
        <f>SUM($D221:G221)/$W70</f>
        <v>#DIV/0!</v>
      </c>
      <c r="H249" s="771" t="e">
        <f>SUM($D221:H221)/$W70</f>
        <v>#DIV/0!</v>
      </c>
      <c r="I249" s="771" t="e">
        <f>SUM($D221:I221)/$W70</f>
        <v>#DIV/0!</v>
      </c>
      <c r="J249" s="771" t="e">
        <f>SUM($D221:J221)/$W70</f>
        <v>#DIV/0!</v>
      </c>
      <c r="K249" s="771" t="e">
        <f>SUM($D221:K221)/$W70</f>
        <v>#DIV/0!</v>
      </c>
      <c r="L249" s="771" t="e">
        <f>SUM($D221:L221)/$W70</f>
        <v>#DIV/0!</v>
      </c>
      <c r="M249" s="771" t="e">
        <f>SUM($D221:M221)/$W70</f>
        <v>#DIV/0!</v>
      </c>
      <c r="N249" s="771" t="e">
        <f>SUM($D221:N221)/$W70</f>
        <v>#DIV/0!</v>
      </c>
      <c r="O249" s="771" t="e">
        <f>SUM($D221:O221)/$W70</f>
        <v>#DIV/0!</v>
      </c>
      <c r="P249" s="771" t="e">
        <f>SUM($D221:P221)/$W70</f>
        <v>#DIV/0!</v>
      </c>
      <c r="Q249" s="771" t="e">
        <f>SUM($D221:Q221)/$W70</f>
        <v>#DIV/0!</v>
      </c>
      <c r="R249" s="771" t="e">
        <f>SUM($D221:R221)/$W70</f>
        <v>#DIV/0!</v>
      </c>
      <c r="S249" s="771" t="e">
        <f>SUM($D221:S221)/$W70</f>
        <v>#DIV/0!</v>
      </c>
    </row>
    <row r="250" spans="2:19" ht="14.85" customHeight="1">
      <c r="B250" s="250" t="str">
        <f t="shared" si="115"/>
        <v>Options/Warrants at $0.00 Strike Price</v>
      </c>
      <c r="D250" s="771" t="e">
        <f>SUM($D222:D222)/$W71</f>
        <v>#DIV/0!</v>
      </c>
      <c r="E250" s="771" t="e">
        <f>SUM($D222:E222)/$W71</f>
        <v>#DIV/0!</v>
      </c>
      <c r="F250" s="771" t="e">
        <f>SUM($D222:F222)/$W71</f>
        <v>#DIV/0!</v>
      </c>
      <c r="G250" s="771" t="e">
        <f>SUM($D222:G222)/$W71</f>
        <v>#DIV/0!</v>
      </c>
      <c r="H250" s="771" t="e">
        <f>SUM($D222:H222)/$W71</f>
        <v>#DIV/0!</v>
      </c>
      <c r="I250" s="771" t="e">
        <f>SUM($D222:I222)/$W71</f>
        <v>#DIV/0!</v>
      </c>
      <c r="J250" s="771" t="e">
        <f>SUM($D222:J222)/$W71</f>
        <v>#DIV/0!</v>
      </c>
      <c r="K250" s="771" t="e">
        <f>SUM($D222:K222)/$W71</f>
        <v>#DIV/0!</v>
      </c>
      <c r="L250" s="771" t="e">
        <f>SUM($D222:L222)/$W71</f>
        <v>#DIV/0!</v>
      </c>
      <c r="M250" s="771" t="e">
        <f>SUM($D222:M222)/$W71</f>
        <v>#DIV/0!</v>
      </c>
      <c r="N250" s="771" t="e">
        <f>SUM($D222:N222)/$W71</f>
        <v>#DIV/0!</v>
      </c>
      <c r="O250" s="771" t="e">
        <f>SUM($D222:O222)/$W71</f>
        <v>#DIV/0!</v>
      </c>
      <c r="P250" s="771" t="e">
        <f>SUM($D222:P222)/$W71</f>
        <v>#DIV/0!</v>
      </c>
      <c r="Q250" s="771" t="e">
        <f>SUM($D222:Q222)/$W71</f>
        <v>#DIV/0!</v>
      </c>
      <c r="R250" s="771" t="e">
        <f>SUM($D222:R222)/$W71</f>
        <v>#DIV/0!</v>
      </c>
      <c r="S250" s="771" t="e">
        <f>SUM($D222:S222)/$W71</f>
        <v>#DIV/0!</v>
      </c>
    </row>
    <row r="251" spans="2:19" ht="14.85" customHeight="1">
      <c r="B251" s="250" t="str">
        <f t="shared" si="115"/>
        <v>Options/Warrants at $0.00 Strike Price</v>
      </c>
      <c r="D251" s="771" t="e">
        <f>SUM($D223:D223)/$W72</f>
        <v>#DIV/0!</v>
      </c>
      <c r="E251" s="771" t="e">
        <f>SUM($D223:E223)/$W72</f>
        <v>#DIV/0!</v>
      </c>
      <c r="F251" s="771" t="e">
        <f>SUM($D223:F223)/$W72</f>
        <v>#DIV/0!</v>
      </c>
      <c r="G251" s="771" t="e">
        <f>SUM($D223:G223)/$W72</f>
        <v>#DIV/0!</v>
      </c>
      <c r="H251" s="771" t="e">
        <f>SUM($D223:H223)/$W72</f>
        <v>#DIV/0!</v>
      </c>
      <c r="I251" s="771" t="e">
        <f>SUM($D223:I223)/$W72</f>
        <v>#DIV/0!</v>
      </c>
      <c r="J251" s="771" t="e">
        <f>SUM($D223:J223)/$W72</f>
        <v>#DIV/0!</v>
      </c>
      <c r="K251" s="771" t="e">
        <f>SUM($D223:K223)/$W72</f>
        <v>#DIV/0!</v>
      </c>
      <c r="L251" s="771" t="e">
        <f>SUM($D223:L223)/$W72</f>
        <v>#DIV/0!</v>
      </c>
      <c r="M251" s="771" t="e">
        <f>SUM($D223:M223)/$W72</f>
        <v>#DIV/0!</v>
      </c>
      <c r="N251" s="771" t="e">
        <f>SUM($D223:N223)/$W72</f>
        <v>#DIV/0!</v>
      </c>
      <c r="O251" s="771" t="e">
        <f>SUM($D223:O223)/$W72</f>
        <v>#DIV/0!</v>
      </c>
      <c r="P251" s="771" t="e">
        <f>SUM($D223:P223)/$W72</f>
        <v>#DIV/0!</v>
      </c>
      <c r="Q251" s="771" t="e">
        <f>SUM($D223:Q223)/$W72</f>
        <v>#DIV/0!</v>
      </c>
      <c r="R251" s="771" t="e">
        <f>SUM($D223:R223)/$W72</f>
        <v>#DIV/0!</v>
      </c>
      <c r="S251" s="771" t="e">
        <f>SUM($D223:S223)/$W72</f>
        <v>#DIV/0!</v>
      </c>
    </row>
    <row r="252" spans="2:19" ht="14.85" customHeight="1">
      <c r="B252" s="250" t="str">
        <f t="shared" si="115"/>
        <v>Options/Warrants at $0.00 Strike Price</v>
      </c>
      <c r="D252" s="771" t="e">
        <f>SUM($D224:D224)/$W73</f>
        <v>#DIV/0!</v>
      </c>
      <c r="E252" s="771" t="e">
        <f>SUM($D224:E224)/$W73</f>
        <v>#DIV/0!</v>
      </c>
      <c r="F252" s="771" t="e">
        <f>SUM($D224:F224)/$W73</f>
        <v>#DIV/0!</v>
      </c>
      <c r="G252" s="771" t="e">
        <f>SUM($D224:G224)/$W73</f>
        <v>#DIV/0!</v>
      </c>
      <c r="H252" s="771" t="e">
        <f>SUM($D224:H224)/$W73</f>
        <v>#DIV/0!</v>
      </c>
      <c r="I252" s="771" t="e">
        <f>SUM($D224:I224)/$W73</f>
        <v>#DIV/0!</v>
      </c>
      <c r="J252" s="771" t="e">
        <f>SUM($D224:J224)/$W73</f>
        <v>#DIV/0!</v>
      </c>
      <c r="K252" s="771" t="e">
        <f>SUM($D224:K224)/$W73</f>
        <v>#DIV/0!</v>
      </c>
      <c r="L252" s="771" t="e">
        <f>SUM($D224:L224)/$W73</f>
        <v>#DIV/0!</v>
      </c>
      <c r="M252" s="771" t="e">
        <f>SUM($D224:M224)/$W73</f>
        <v>#DIV/0!</v>
      </c>
      <c r="N252" s="771" t="e">
        <f>SUM($D224:N224)/$W73</f>
        <v>#DIV/0!</v>
      </c>
      <c r="O252" s="771" t="e">
        <f>SUM($D224:O224)/$W73</f>
        <v>#DIV/0!</v>
      </c>
      <c r="P252" s="771" t="e">
        <f>SUM($D224:P224)/$W73</f>
        <v>#DIV/0!</v>
      </c>
      <c r="Q252" s="771" t="e">
        <f>SUM($D224:Q224)/$W73</f>
        <v>#DIV/0!</v>
      </c>
      <c r="R252" s="771" t="e">
        <f>SUM($D224:R224)/$W73</f>
        <v>#DIV/0!</v>
      </c>
      <c r="S252" s="771" t="e">
        <f>SUM($D224:S224)/$W73</f>
        <v>#DIV/0!</v>
      </c>
    </row>
    <row r="253" spans="2:19" ht="14.85" customHeight="1">
      <c r="B253" s="250" t="str">
        <f t="shared" si="115"/>
        <v>Options/Warrants at $0.00 Strike Price</v>
      </c>
      <c r="D253" s="771" t="e">
        <f>SUM($D225:D225)/$W74</f>
        <v>#DIV/0!</v>
      </c>
      <c r="E253" s="771" t="e">
        <f>SUM($D225:E225)/$W74</f>
        <v>#DIV/0!</v>
      </c>
      <c r="F253" s="771" t="e">
        <f>SUM($D225:F225)/$W74</f>
        <v>#DIV/0!</v>
      </c>
      <c r="G253" s="771" t="e">
        <f>SUM($D225:G225)/$W74</f>
        <v>#DIV/0!</v>
      </c>
      <c r="H253" s="771" t="e">
        <f>SUM($D225:H225)/$W74</f>
        <v>#DIV/0!</v>
      </c>
      <c r="I253" s="771" t="e">
        <f>SUM($D225:I225)/$W74</f>
        <v>#DIV/0!</v>
      </c>
      <c r="J253" s="771" t="e">
        <f>SUM($D225:J225)/$W74</f>
        <v>#DIV/0!</v>
      </c>
      <c r="K253" s="771" t="e">
        <f>SUM($D225:K225)/$W74</f>
        <v>#DIV/0!</v>
      </c>
      <c r="L253" s="771" t="e">
        <f>SUM($D225:L225)/$W74</f>
        <v>#DIV/0!</v>
      </c>
      <c r="M253" s="771" t="e">
        <f>SUM($D225:M225)/$W74</f>
        <v>#DIV/0!</v>
      </c>
      <c r="N253" s="771" t="e">
        <f>SUM($D225:N225)/$W74</f>
        <v>#DIV/0!</v>
      </c>
      <c r="O253" s="771" t="e">
        <f>SUM($D225:O225)/$W74</f>
        <v>#DIV/0!</v>
      </c>
      <c r="P253" s="771" t="e">
        <f>SUM($D225:P225)/$W74</f>
        <v>#DIV/0!</v>
      </c>
      <c r="Q253" s="771" t="e">
        <f>SUM($D225:Q225)/$W74</f>
        <v>#DIV/0!</v>
      </c>
      <c r="R253" s="771" t="e">
        <f>SUM($D225:R225)/$W74</f>
        <v>#DIV/0!</v>
      </c>
      <c r="S253" s="771" t="e">
        <f>SUM($D225:S225)/$W74</f>
        <v>#DIV/0!</v>
      </c>
    </row>
    <row r="254" spans="2:19" ht="14.85" customHeight="1">
      <c r="B254" s="250" t="str">
        <f t="shared" si="115"/>
        <v>Options/Warrants at $0.00 Strike Price</v>
      </c>
      <c r="D254" s="771" t="e">
        <f>SUM($D226:D226)/$W75</f>
        <v>#DIV/0!</v>
      </c>
      <c r="E254" s="771" t="e">
        <f>SUM($D226:E226)/$W75</f>
        <v>#DIV/0!</v>
      </c>
      <c r="F254" s="771" t="e">
        <f>SUM($D226:F226)/$W75</f>
        <v>#DIV/0!</v>
      </c>
      <c r="G254" s="771" t="e">
        <f>SUM($D226:G226)/$W75</f>
        <v>#DIV/0!</v>
      </c>
      <c r="H254" s="771" t="e">
        <f>SUM($D226:H226)/$W75</f>
        <v>#DIV/0!</v>
      </c>
      <c r="I254" s="771" t="e">
        <f>SUM($D226:I226)/$W75</f>
        <v>#DIV/0!</v>
      </c>
      <c r="J254" s="771" t="e">
        <f>SUM($D226:J226)/$W75</f>
        <v>#DIV/0!</v>
      </c>
      <c r="K254" s="771" t="e">
        <f>SUM($D226:K226)/$W75</f>
        <v>#DIV/0!</v>
      </c>
      <c r="L254" s="771" t="e">
        <f>SUM($D226:L226)/$W75</f>
        <v>#DIV/0!</v>
      </c>
      <c r="M254" s="771" t="e">
        <f>SUM($D226:M226)/$W75</f>
        <v>#DIV/0!</v>
      </c>
      <c r="N254" s="771" t="e">
        <f>SUM($D226:N226)/$W75</f>
        <v>#DIV/0!</v>
      </c>
      <c r="O254" s="771" t="e">
        <f>SUM($D226:O226)/$W75</f>
        <v>#DIV/0!</v>
      </c>
      <c r="P254" s="771" t="e">
        <f>SUM($D226:P226)/$W75</f>
        <v>#DIV/0!</v>
      </c>
      <c r="Q254" s="771" t="e">
        <f>SUM($D226:Q226)/$W75</f>
        <v>#DIV/0!</v>
      </c>
      <c r="R254" s="771" t="e">
        <f>SUM($D226:R226)/$W75</f>
        <v>#DIV/0!</v>
      </c>
      <c r="S254" s="771" t="e">
        <f>SUM($D226:S226)/$W75</f>
        <v>#DIV/0!</v>
      </c>
    </row>
    <row r="255" spans="2:19" ht="14.85" customHeight="1">
      <c r="B255" s="250" t="str">
        <f t="shared" si="115"/>
        <v>Options/Warrants at $0.00 Strike Price</v>
      </c>
      <c r="D255" s="771" t="e">
        <f>SUM($D227:D227)/$W76</f>
        <v>#DIV/0!</v>
      </c>
      <c r="E255" s="771" t="e">
        <f>SUM($D227:E227)/$W76</f>
        <v>#DIV/0!</v>
      </c>
      <c r="F255" s="771" t="e">
        <f>SUM($D227:F227)/$W76</f>
        <v>#DIV/0!</v>
      </c>
      <c r="G255" s="771" t="e">
        <f>SUM($D227:G227)/$W76</f>
        <v>#DIV/0!</v>
      </c>
      <c r="H255" s="771" t="e">
        <f>SUM($D227:H227)/$W76</f>
        <v>#DIV/0!</v>
      </c>
      <c r="I255" s="771" t="e">
        <f>SUM($D227:I227)/$W76</f>
        <v>#DIV/0!</v>
      </c>
      <c r="J255" s="771" t="e">
        <f>SUM($D227:J227)/$W76</f>
        <v>#DIV/0!</v>
      </c>
      <c r="K255" s="771" t="e">
        <f>SUM($D227:K227)/$W76</f>
        <v>#DIV/0!</v>
      </c>
      <c r="L255" s="771" t="e">
        <f>SUM($D227:L227)/$W76</f>
        <v>#DIV/0!</v>
      </c>
      <c r="M255" s="771" t="e">
        <f>SUM($D227:M227)/$W76</f>
        <v>#DIV/0!</v>
      </c>
      <c r="N255" s="771" t="e">
        <f>SUM($D227:N227)/$W76</f>
        <v>#DIV/0!</v>
      </c>
      <c r="O255" s="771" t="e">
        <f>SUM($D227:O227)/$W76</f>
        <v>#DIV/0!</v>
      </c>
      <c r="P255" s="771" t="e">
        <f>SUM($D227:P227)/$W76</f>
        <v>#DIV/0!</v>
      </c>
      <c r="Q255" s="771" t="e">
        <f>SUM($D227:Q227)/$W76</f>
        <v>#DIV/0!</v>
      </c>
      <c r="R255" s="771" t="e">
        <f>SUM($D227:R227)/$W76</f>
        <v>#DIV/0!</v>
      </c>
      <c r="S255" s="771" t="e">
        <f>SUM($D227:S227)/$W76</f>
        <v>#DIV/0!</v>
      </c>
    </row>
    <row r="256" spans="2:19" ht="14.85" customHeight="1">
      <c r="B256" s="250" t="str">
        <f t="shared" si="115"/>
        <v>Options/Warrants at $0.00 Strike Price</v>
      </c>
      <c r="D256" s="771" t="e">
        <f>SUM($D228:D228)/$W77</f>
        <v>#DIV/0!</v>
      </c>
      <c r="E256" s="771" t="e">
        <f>SUM($D228:E228)/$W77</f>
        <v>#DIV/0!</v>
      </c>
      <c r="F256" s="771" t="e">
        <f>SUM($D228:F228)/$W77</f>
        <v>#DIV/0!</v>
      </c>
      <c r="G256" s="771" t="e">
        <f>SUM($D228:G228)/$W77</f>
        <v>#DIV/0!</v>
      </c>
      <c r="H256" s="771" t="e">
        <f>SUM($D228:H228)/$W77</f>
        <v>#DIV/0!</v>
      </c>
      <c r="I256" s="771" t="e">
        <f>SUM($D228:I228)/$W77</f>
        <v>#DIV/0!</v>
      </c>
      <c r="J256" s="771" t="e">
        <f>SUM($D228:J228)/$W77</f>
        <v>#DIV/0!</v>
      </c>
      <c r="K256" s="771" t="e">
        <f>SUM($D228:K228)/$W77</f>
        <v>#DIV/0!</v>
      </c>
      <c r="L256" s="771" t="e">
        <f>SUM($D228:L228)/$W77</f>
        <v>#DIV/0!</v>
      </c>
      <c r="M256" s="771" t="e">
        <f>SUM($D228:M228)/$W77</f>
        <v>#DIV/0!</v>
      </c>
      <c r="N256" s="771" t="e">
        <f>SUM($D228:N228)/$W77</f>
        <v>#DIV/0!</v>
      </c>
      <c r="O256" s="771" t="e">
        <f>SUM($D228:O228)/$W77</f>
        <v>#DIV/0!</v>
      </c>
      <c r="P256" s="771" t="e">
        <f>SUM($D228:P228)/$W77</f>
        <v>#DIV/0!</v>
      </c>
      <c r="Q256" s="771" t="e">
        <f>SUM($D228:Q228)/$W77</f>
        <v>#DIV/0!</v>
      </c>
      <c r="R256" s="771" t="e">
        <f>SUM($D228:R228)/$W77</f>
        <v>#DIV/0!</v>
      </c>
      <c r="S256" s="771" t="e">
        <f>SUM($D228:S228)/$W77</f>
        <v>#DIV/0!</v>
      </c>
    </row>
    <row r="257" spans="2:19" ht="14.85" customHeight="1">
      <c r="B257" s="250" t="str">
        <f t="shared" si="115"/>
        <v>Expected Options Grant</v>
      </c>
      <c r="D257" s="771" t="e">
        <f>SUM($D229:D229)/$W78</f>
        <v>#DIV/0!</v>
      </c>
      <c r="E257" s="771" t="e">
        <f>SUM($D229:E229)/$W78</f>
        <v>#DIV/0!</v>
      </c>
      <c r="F257" s="771" t="e">
        <f>SUM($D229:F229)/$W78</f>
        <v>#DIV/0!</v>
      </c>
      <c r="G257" s="771" t="e">
        <f>SUM($D229:G229)/$W78</f>
        <v>#DIV/0!</v>
      </c>
      <c r="H257" s="771" t="e">
        <f>SUM($D229:H229)/$W78</f>
        <v>#DIV/0!</v>
      </c>
      <c r="I257" s="771" t="e">
        <f>SUM($D229:I229)/$W78</f>
        <v>#DIV/0!</v>
      </c>
      <c r="J257" s="771" t="e">
        <f>SUM($D229:J229)/$W78</f>
        <v>#DIV/0!</v>
      </c>
      <c r="K257" s="771" t="e">
        <f>SUM($D229:K229)/$W78</f>
        <v>#DIV/0!</v>
      </c>
      <c r="L257" s="771" t="e">
        <f>SUM($D229:L229)/$W78</f>
        <v>#DIV/0!</v>
      </c>
      <c r="M257" s="771" t="e">
        <f>SUM($D229:M229)/$W78</f>
        <v>#DIV/0!</v>
      </c>
      <c r="N257" s="771" t="e">
        <f>SUM($D229:N229)/$W78</f>
        <v>#DIV/0!</v>
      </c>
      <c r="O257" s="771" t="e">
        <f>SUM($D229:O229)/$W78</f>
        <v>#DIV/0!</v>
      </c>
      <c r="P257" s="771" t="e">
        <f>SUM($D229:P229)/$W78</f>
        <v>#DIV/0!</v>
      </c>
      <c r="Q257" s="771" t="e">
        <f>SUM($D229:Q229)/$W78</f>
        <v>#DIV/0!</v>
      </c>
      <c r="R257" s="771" t="e">
        <f>SUM($D229:R229)/$W78</f>
        <v>#DIV/0!</v>
      </c>
      <c r="S257" s="771" t="e">
        <f>SUM($D229:S229)/$W78</f>
        <v>#DIV/0!</v>
      </c>
    </row>
    <row r="258" spans="2:19" ht="14.85" customHeight="1">
      <c r="B258" s="250" t="str">
        <f t="shared" si="115"/>
        <v>Common Stock</v>
      </c>
      <c r="D258" s="771" t="e">
        <f ca="1">SUM($D230:D230)/$W79</f>
        <v>#DIV/0!</v>
      </c>
      <c r="E258" s="771" t="e">
        <f ca="1">SUM($D230:E230)/$W79</f>
        <v>#DIV/0!</v>
      </c>
      <c r="F258" s="771" t="e">
        <f ca="1">SUM($D230:F230)/$W79</f>
        <v>#DIV/0!</v>
      </c>
      <c r="G258" s="771" t="e">
        <f ca="1">SUM($D230:G230)/$W79</f>
        <v>#DIV/0!</v>
      </c>
      <c r="H258" s="771" t="e">
        <f ca="1">SUM($D230:H230)/$W79</f>
        <v>#DIV/0!</v>
      </c>
      <c r="I258" s="771" t="e">
        <f ca="1">SUM($D230:I230)/$W79</f>
        <v>#DIV/0!</v>
      </c>
      <c r="J258" s="771" t="e">
        <f ca="1">SUM($D230:J230)/$W79</f>
        <v>#DIV/0!</v>
      </c>
      <c r="K258" s="771" t="e">
        <f ca="1">SUM($D230:K230)/$W79</f>
        <v>#DIV/0!</v>
      </c>
      <c r="L258" s="771" t="e">
        <f ca="1">SUM($D230:L230)/$W79</f>
        <v>#DIV/0!</v>
      </c>
      <c r="M258" s="771" t="e">
        <f ca="1">SUM($D230:M230)/$W79</f>
        <v>#DIV/0!</v>
      </c>
      <c r="N258" s="771" t="e">
        <f ca="1">SUM($D230:N230)/$W79</f>
        <v>#DIV/0!</v>
      </c>
      <c r="O258" s="771" t="e">
        <f ca="1">SUM($D230:O230)/$W79</f>
        <v>#DIV/0!</v>
      </c>
      <c r="P258" s="771" t="e">
        <f ca="1">SUM($D230:P230)/$W79</f>
        <v>#DIV/0!</v>
      </c>
      <c r="Q258" s="771" t="e">
        <f ca="1">SUM($D230:Q230)/$W79</f>
        <v>#DIV/0!</v>
      </c>
      <c r="R258" s="771" t="e">
        <f ca="1">SUM($D230:R230)/$W79</f>
        <v>#DIV/0!</v>
      </c>
      <c r="S258" s="771" t="e">
        <f ca="1">SUM($D230:S230)/$W79</f>
        <v>#DIV/0!</v>
      </c>
    </row>
    <row r="259" spans="2:19" ht="14.85" customHeight="1">
      <c r="D259" s="416"/>
      <c r="E259" s="416"/>
      <c r="F259" s="416"/>
      <c r="G259" s="416"/>
      <c r="H259" s="416"/>
      <c r="I259" s="416"/>
      <c r="J259" s="416"/>
      <c r="K259" s="416"/>
      <c r="L259" s="416"/>
      <c r="M259" s="416"/>
      <c r="N259" s="416"/>
      <c r="O259" s="416"/>
      <c r="P259" s="416"/>
      <c r="Q259" s="416"/>
      <c r="R259" s="416"/>
      <c r="S259" s="416"/>
    </row>
    <row r="260" spans="2:19" ht="14.85" customHeight="1">
      <c r="D260" s="416">
        <f t="shared" ref="D260:S260" si="116">NORMSDIST(D97)</f>
        <v>1</v>
      </c>
      <c r="E260" s="416">
        <f t="shared" si="116"/>
        <v>1</v>
      </c>
      <c r="F260" s="416">
        <f t="shared" si="116"/>
        <v>1</v>
      </c>
      <c r="G260" s="416">
        <f t="shared" si="116"/>
        <v>1</v>
      </c>
      <c r="H260" s="416">
        <f t="shared" si="116"/>
        <v>1</v>
      </c>
      <c r="I260" s="416" t="e">
        <f t="shared" si="116"/>
        <v>#VALUE!</v>
      </c>
      <c r="J260" s="416" t="e">
        <f t="shared" si="116"/>
        <v>#VALUE!</v>
      </c>
      <c r="K260" s="416" t="e">
        <f t="shared" si="116"/>
        <v>#VALUE!</v>
      </c>
      <c r="L260" s="416" t="e">
        <f t="shared" si="116"/>
        <v>#VALUE!</v>
      </c>
      <c r="M260" s="416" t="e">
        <f t="shared" si="116"/>
        <v>#VALUE!</v>
      </c>
      <c r="N260" s="416" t="e">
        <f t="shared" si="116"/>
        <v>#VALUE!</v>
      </c>
      <c r="O260" s="416" t="e">
        <f t="shared" si="116"/>
        <v>#VALUE!</v>
      </c>
      <c r="P260" s="416" t="e">
        <f t="shared" si="116"/>
        <v>#VALUE!</v>
      </c>
      <c r="Q260" s="416" t="e">
        <f t="shared" si="116"/>
        <v>#VALUE!</v>
      </c>
      <c r="R260" s="416" t="e">
        <f t="shared" si="116"/>
        <v>#VALUE!</v>
      </c>
      <c r="S260" s="416" t="e">
        <f t="shared" si="116"/>
        <v>#VALUE!</v>
      </c>
    </row>
    <row r="261" spans="2:19" ht="14.85" customHeight="1">
      <c r="B261" s="250" t="s">
        <v>1859</v>
      </c>
      <c r="D261" s="772">
        <f>D260-E260</f>
        <v>0</v>
      </c>
      <c r="E261" s="416"/>
      <c r="F261" s="416"/>
      <c r="G261" s="416"/>
      <c r="H261" s="416"/>
      <c r="I261" s="416"/>
      <c r="J261" s="416"/>
      <c r="K261" s="416"/>
      <c r="L261" s="416"/>
      <c r="M261" s="416"/>
      <c r="N261" s="416"/>
      <c r="O261" s="416"/>
      <c r="P261" s="416"/>
      <c r="Q261" s="416"/>
      <c r="R261" s="416"/>
      <c r="S261" s="416"/>
    </row>
    <row r="262" spans="2:19" ht="14.85" customHeight="1"/>
    <row r="263" spans="2:19" ht="14.85" customHeight="1"/>
    <row r="264" spans="2:19" ht="14.85" customHeight="1"/>
    <row r="265" spans="2:19" ht="14.85" customHeight="1"/>
    <row r="266" spans="2:19" ht="14.85" customHeight="1"/>
    <row r="267" spans="2:19" ht="14.85" customHeight="1"/>
    <row r="268" spans="2:19" ht="14.85" customHeight="1"/>
    <row r="269" spans="2:19" ht="14.85" customHeight="1"/>
    <row r="270" spans="2:19" ht="14.85" customHeight="1"/>
    <row r="271" spans="2:19" ht="14.85" customHeight="1"/>
    <row r="272" spans="2:19"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I4">
    <cfRule type="cellIs" dxfId="323" priority="11" stopIfTrue="1" operator="equal">
      <formula>"input"</formula>
    </cfRule>
  </conditionalFormatting>
  <conditionalFormatting sqref="J4">
    <cfRule type="cellIs" dxfId="322" priority="9" stopIfTrue="1" operator="equal">
      <formula>"input"</formula>
    </cfRule>
  </conditionalFormatting>
  <conditionalFormatting sqref="J4">
    <cfRule type="cellIs" dxfId="321" priority="10" stopIfTrue="1" operator="equal">
      <formula>"input"</formula>
    </cfRule>
  </conditionalFormatting>
  <conditionalFormatting sqref="K4:R4">
    <cfRule type="cellIs" dxfId="320" priority="7" stopIfTrue="1" operator="equal">
      <formula>"input"</formula>
    </cfRule>
  </conditionalFormatting>
  <conditionalFormatting sqref="K4:R4">
    <cfRule type="cellIs" dxfId="319" priority="8" stopIfTrue="1" operator="equal">
      <formula>"input"</formula>
    </cfRule>
  </conditionalFormatting>
  <conditionalFormatting sqref="S4">
    <cfRule type="cellIs" dxfId="318" priority="1" stopIfTrue="1" operator="equal">
      <formula>"input"</formula>
    </cfRule>
  </conditionalFormatting>
  <conditionalFormatting sqref="S4">
    <cfRule type="cellIs" dxfId="317" priority="2" stopIfTrue="1" operator="equal">
      <formula>"input"</formula>
    </cfRule>
  </conditionalFormatting>
  <pageMargins left="0.5" right="0.5" top="0.5" bottom="0.5" header="0.5" footer="0.5"/>
  <pageSetup scale="75" fitToWidth="0" fitToHeight="0" pageOrder="overThenDown" orientation="landscape" r:id="rId1"/>
  <rowBreaks count="3" manualBreakCount="3">
    <brk id="52" max="19" man="1"/>
    <brk id="90" max="19" man="1"/>
    <brk id="138" max="19" man="1"/>
  </rowBreaks>
  <legacy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W764"/>
  <sheetViews>
    <sheetView showGridLines="0" view="pageBreakPreview" zoomScale="80" zoomScaleNormal="100" zoomScaleSheetLayoutView="80" workbookViewId="0"/>
  </sheetViews>
  <sheetFormatPr defaultRowHeight="12.75"/>
  <cols>
    <col min="1" max="1" width="4.5" style="250" customWidth="1"/>
    <col min="2" max="2" width="31.33203125" style="250" customWidth="1"/>
    <col min="3" max="3" width="2.83203125" style="250" customWidth="1"/>
    <col min="4" max="4" width="19.5" style="250" customWidth="1"/>
    <col min="5" max="5" width="2.83203125" style="250" customWidth="1"/>
    <col min="6" max="6" width="19.5" style="250" customWidth="1"/>
    <col min="7" max="7" width="3.6640625" style="250" customWidth="1"/>
    <col min="8" max="8" width="19.5" style="250" customWidth="1"/>
    <col min="9" max="9" width="3.83203125" style="250" customWidth="1"/>
    <col min="10" max="10" width="19.5" style="250" customWidth="1"/>
    <col min="11" max="11" width="3.33203125" style="250" customWidth="1"/>
    <col min="12" max="12" width="19.5" style="250" customWidth="1"/>
    <col min="13" max="13" width="4.5" style="250" customWidth="1"/>
    <col min="14" max="14" width="9.33203125" style="250"/>
    <col min="15" max="15" width="15.33203125" style="250" bestFit="1" customWidth="1"/>
    <col min="16" max="16" width="15.1640625" style="250" bestFit="1" customWidth="1"/>
    <col min="17" max="17" width="11.33203125" style="250" bestFit="1" customWidth="1"/>
    <col min="18" max="18" width="10.6640625" style="250" customWidth="1"/>
    <col min="19" max="16384" width="9.33203125" style="250"/>
  </cols>
  <sheetData>
    <row r="1" spans="2:17" ht="10.7" customHeight="1" thickBot="1"/>
    <row r="2" spans="2:17" ht="16.5" customHeight="1" thickTop="1">
      <c r="B2" s="258" t="str">
        <f>'MASTER PubCo Inputs'!$C$5</f>
        <v>ABC, Inc.</v>
      </c>
      <c r="C2" s="258"/>
      <c r="D2" s="258"/>
      <c r="E2" s="258"/>
      <c r="F2" s="258"/>
      <c r="G2" s="258"/>
      <c r="H2" s="258"/>
      <c r="I2" s="258"/>
      <c r="J2" s="258"/>
      <c r="K2" s="258"/>
      <c r="L2" s="258"/>
      <c r="O2" s="773" t="s">
        <v>738</v>
      </c>
      <c r="P2" s="774"/>
    </row>
    <row r="3" spans="2:17" ht="15.75" customHeight="1">
      <c r="B3" s="259" t="str">
        <f>VLOOKUP(B4,Outline!$E$8:$G$79,COLUMNS(Outline!$E$8:$G$8),FALSE)</f>
        <v>Exhibit B.5</v>
      </c>
      <c r="C3" s="259"/>
      <c r="D3" s="259"/>
      <c r="E3" s="259"/>
      <c r="F3" s="259"/>
      <c r="G3" s="259"/>
      <c r="H3" s="259"/>
      <c r="I3" s="259"/>
      <c r="J3" s="259"/>
      <c r="K3" s="259"/>
      <c r="L3" s="259"/>
      <c r="O3" s="510" t="str">
        <f>'Econ Rights'!J7</f>
        <v>Series G</v>
      </c>
      <c r="P3" s="775"/>
    </row>
    <row r="4" spans="2:17" ht="16.5" customHeight="1" thickBot="1">
      <c r="B4" s="924" t="s">
        <v>431</v>
      </c>
      <c r="C4" s="924"/>
      <c r="D4" s="924"/>
      <c r="E4" s="924"/>
      <c r="F4" s="924"/>
      <c r="G4" s="924"/>
      <c r="H4" s="924"/>
      <c r="I4" s="924"/>
      <c r="J4" s="925"/>
      <c r="K4" s="925"/>
      <c r="L4" s="925" t="str">
        <f>+'MASTER PubCo Inputs'!$C$20</f>
        <v>(in thousands of USD and shares, except price per share)</v>
      </c>
      <c r="O4" s="466" t="s">
        <v>1730</v>
      </c>
      <c r="P4" s="776">
        <f>'Econ Rights'!J12</f>
        <v>1</v>
      </c>
    </row>
    <row r="5" spans="2:17" s="467" customFormat="1" ht="14.85" customHeight="1" thickTop="1">
      <c r="B5" s="250"/>
      <c r="C5" s="250"/>
      <c r="D5" s="250"/>
      <c r="E5" s="250"/>
      <c r="F5" s="250"/>
      <c r="G5" s="250"/>
      <c r="H5" s="250"/>
      <c r="I5" s="250"/>
      <c r="J5" s="250"/>
      <c r="K5" s="250"/>
      <c r="L5" s="250"/>
      <c r="M5" s="250"/>
      <c r="O5" s="466" t="s">
        <v>1731</v>
      </c>
      <c r="P5" s="777" t="e">
        <f ca="1">H15</f>
        <v>#DIV/0!</v>
      </c>
    </row>
    <row r="6" spans="2:17" ht="14.85" customHeight="1">
      <c r="O6" s="778" t="s">
        <v>1732</v>
      </c>
      <c r="P6" s="779" t="e">
        <f ca="1">P5-P4</f>
        <v>#DIV/0!</v>
      </c>
      <c r="Q6" s="433" t="e">
        <f ca="1">IF(OR(P6&lt;-0.01,P6&gt;0.01),"Chechk","")</f>
        <v>#DIV/0!</v>
      </c>
    </row>
    <row r="7" spans="2:17" ht="14.85" customHeight="1">
      <c r="B7" s="780" t="s">
        <v>428</v>
      </c>
      <c r="C7" s="781"/>
      <c r="D7" s="782" t="s">
        <v>326</v>
      </c>
      <c r="E7" s="782"/>
      <c r="F7" s="782" t="s">
        <v>324</v>
      </c>
      <c r="G7" s="782"/>
      <c r="H7" s="782" t="s">
        <v>429</v>
      </c>
      <c r="I7" s="782"/>
      <c r="J7" s="782" t="s">
        <v>973</v>
      </c>
      <c r="K7" s="782"/>
      <c r="L7" s="783" t="s">
        <v>430</v>
      </c>
      <c r="O7" s="518" t="s">
        <v>399</v>
      </c>
      <c r="P7" s="784">
        <v>100000</v>
      </c>
    </row>
    <row r="8" spans="2:17" ht="14.85" customHeight="1"/>
    <row r="9" spans="2:17" ht="14.85" customHeight="1">
      <c r="B9" s="250" t="str">
        <f>'OPM 1'!B172</f>
        <v>Series A</v>
      </c>
      <c r="D9" s="329" t="e">
        <f>'OPM 1'!$U172</f>
        <v>#DIV/0!</v>
      </c>
      <c r="E9" s="785"/>
      <c r="F9" s="329">
        <f>'Cap Table'!$D$13</f>
        <v>10</v>
      </c>
      <c r="G9" s="345"/>
      <c r="H9" s="786" t="e">
        <f t="shared" ref="H9:H16" si="0">D9/F9</f>
        <v>#DIV/0!</v>
      </c>
      <c r="I9" s="786"/>
      <c r="J9" s="787"/>
      <c r="K9" s="725"/>
      <c r="L9" s="787"/>
    </row>
    <row r="10" spans="2:17" ht="14.85" customHeight="1">
      <c r="B10" s="250" t="str">
        <f>'OPM 1'!B173</f>
        <v>Series B</v>
      </c>
      <c r="D10" s="329" t="e">
        <f>'OPM 1'!$U173</f>
        <v>#DIV/0!</v>
      </c>
      <c r="E10" s="785"/>
      <c r="F10" s="329">
        <f ca="1">'Cap Table'!$E$13</f>
        <v>99</v>
      </c>
      <c r="G10" s="345"/>
      <c r="H10" s="786" t="e">
        <f t="shared" ca="1" si="0"/>
        <v>#DIV/0!</v>
      </c>
      <c r="I10" s="786"/>
      <c r="J10" s="787"/>
      <c r="K10" s="725"/>
      <c r="L10" s="787"/>
    </row>
    <row r="11" spans="2:17" ht="14.85" customHeight="1">
      <c r="B11" s="250" t="str">
        <f>'OPM 1'!B174</f>
        <v>Series C</v>
      </c>
      <c r="D11" s="329" t="e">
        <f>'OPM 1'!$U174</f>
        <v>#DIV/0!</v>
      </c>
      <c r="E11" s="785"/>
      <c r="F11" s="329">
        <f ca="1">'Cap Table'!$F$13</f>
        <v>88</v>
      </c>
      <c r="G11" s="345"/>
      <c r="H11" s="786" t="e">
        <f t="shared" ca="1" si="0"/>
        <v>#DIV/0!</v>
      </c>
      <c r="I11" s="786"/>
      <c r="J11" s="787"/>
      <c r="K11" s="725"/>
      <c r="L11" s="787"/>
    </row>
    <row r="12" spans="2:17" ht="14.85" customHeight="1">
      <c r="B12" s="250" t="str">
        <f>'OPM 1'!B175</f>
        <v>Series D</v>
      </c>
      <c r="D12" s="329" t="e">
        <f>'OPM 1'!$U175</f>
        <v>#DIV/0!</v>
      </c>
      <c r="E12" s="785"/>
      <c r="F12" s="329">
        <f ca="1">'Cap Table'!$G$13</f>
        <v>54</v>
      </c>
      <c r="G12" s="345"/>
      <c r="H12" s="786" t="e">
        <f t="shared" ca="1" si="0"/>
        <v>#DIV/0!</v>
      </c>
      <c r="I12" s="786"/>
      <c r="J12" s="787"/>
      <c r="K12" s="725"/>
      <c r="L12" s="787"/>
    </row>
    <row r="13" spans="2:17" ht="14.85" customHeight="1">
      <c r="B13" s="250" t="str">
        <f>'OPM 1'!B176</f>
        <v>Series E</v>
      </c>
      <c r="D13" s="329" t="e">
        <f>'OPM 1'!$U176</f>
        <v>#DIV/0!</v>
      </c>
      <c r="E13" s="785"/>
      <c r="F13" s="329">
        <f ca="1">'Cap Table'!$H$13</f>
        <v>100</v>
      </c>
      <c r="G13" s="345"/>
      <c r="H13" s="786" t="e">
        <f t="shared" ca="1" si="0"/>
        <v>#DIV/0!</v>
      </c>
      <c r="I13" s="786"/>
      <c r="J13" s="787"/>
      <c r="K13" s="725"/>
      <c r="L13" s="787"/>
    </row>
    <row r="14" spans="2:17" ht="14.85" customHeight="1">
      <c r="B14" s="250" t="str">
        <f>'OPM 1'!B177</f>
        <v>Series F</v>
      </c>
      <c r="D14" s="329" t="e">
        <f>'OPM 1'!$U177</f>
        <v>#DIV/0!</v>
      </c>
      <c r="E14" s="785"/>
      <c r="F14" s="329">
        <f ca="1">'Cap Table'!$I$13</f>
        <v>66</v>
      </c>
      <c r="G14" s="345"/>
      <c r="H14" s="786" t="e">
        <f t="shared" ca="1" si="0"/>
        <v>#DIV/0!</v>
      </c>
      <c r="I14" s="786"/>
      <c r="J14" s="787"/>
      <c r="K14" s="725"/>
      <c r="L14" s="787"/>
    </row>
    <row r="15" spans="2:17" ht="14.85" customHeight="1">
      <c r="B15" s="250" t="str">
        <f>'OPM 1'!B178</f>
        <v>Series G</v>
      </c>
      <c r="D15" s="329" t="e">
        <f>'OPM 1'!$U178</f>
        <v>#DIV/0!</v>
      </c>
      <c r="E15" s="785"/>
      <c r="F15" s="329">
        <f ca="1">'Cap Table'!$J$13</f>
        <v>98</v>
      </c>
      <c r="G15" s="345"/>
      <c r="H15" s="786" t="e">
        <f t="shared" ca="1" si="0"/>
        <v>#DIV/0!</v>
      </c>
      <c r="I15" s="786"/>
      <c r="J15" s="787"/>
      <c r="K15" s="725"/>
      <c r="L15" s="787"/>
    </row>
    <row r="16" spans="2:17" ht="14.85" customHeight="1">
      <c r="B16" s="250" t="str">
        <f>'OPM 1'!B179</f>
        <v>Series A Warrants</v>
      </c>
      <c r="D16" s="329" t="e">
        <f>'OPM 1'!$U179</f>
        <v>#DIV/0!</v>
      </c>
      <c r="E16" s="785"/>
      <c r="F16" s="329">
        <f ca="1">'Cap Table'!$D$15</f>
        <v>12</v>
      </c>
      <c r="G16" s="345"/>
      <c r="H16" s="786" t="e">
        <f t="shared" ca="1" si="0"/>
        <v>#DIV/0!</v>
      </c>
      <c r="I16" s="786"/>
      <c r="J16" s="787"/>
      <c r="K16" s="725"/>
      <c r="L16" s="787"/>
    </row>
    <row r="17" spans="1:23" ht="14.85" customHeight="1">
      <c r="B17" s="250" t="str">
        <f>'OPM 1'!B180</f>
        <v>Series B Warrants</v>
      </c>
      <c r="D17" s="329" t="e">
        <f>'OPM 1'!$U180</f>
        <v>#DIV/0!</v>
      </c>
      <c r="E17" s="785"/>
      <c r="F17" s="329">
        <f ca="1">'Cap Table'!$E$15</f>
        <v>10</v>
      </c>
      <c r="G17" s="345"/>
      <c r="H17" s="786" t="e">
        <f t="shared" ref="H17:H24" ca="1" si="1">D17/F17</f>
        <v>#DIV/0!</v>
      </c>
      <c r="I17" s="786"/>
      <c r="J17" s="787"/>
      <c r="K17" s="725"/>
      <c r="L17" s="787"/>
    </row>
    <row r="18" spans="1:23" ht="14.85" customHeight="1">
      <c r="B18" s="250" t="str">
        <f>'OPM 1'!B181</f>
        <v>Series C Warrants</v>
      </c>
      <c r="D18" s="329" t="e">
        <f>'OPM 1'!$U181</f>
        <v>#DIV/0!</v>
      </c>
      <c r="E18" s="785"/>
      <c r="F18" s="329">
        <f ca="1">'Cap Table'!$F$15</f>
        <v>17</v>
      </c>
      <c r="G18" s="345"/>
      <c r="H18" s="786" t="e">
        <f t="shared" ca="1" si="1"/>
        <v>#DIV/0!</v>
      </c>
      <c r="I18" s="786"/>
      <c r="J18" s="787"/>
      <c r="K18" s="725"/>
      <c r="L18" s="787"/>
    </row>
    <row r="19" spans="1:23" ht="14.85" customHeight="1">
      <c r="B19" s="250" t="str">
        <f>'OPM 1'!B182</f>
        <v>Series D Warrants</v>
      </c>
      <c r="D19" s="329" t="e">
        <f>'OPM 1'!$U182</f>
        <v>#DIV/0!</v>
      </c>
      <c r="E19" s="785"/>
      <c r="F19" s="329">
        <f ca="1">'Cap Table'!$G$15</f>
        <v>14</v>
      </c>
      <c r="G19" s="345"/>
      <c r="H19" s="786" t="e">
        <f t="shared" ca="1" si="1"/>
        <v>#DIV/0!</v>
      </c>
      <c r="I19" s="786"/>
      <c r="J19" s="787"/>
      <c r="K19" s="725"/>
      <c r="L19" s="787"/>
    </row>
    <row r="20" spans="1:23" ht="14.85" customHeight="1">
      <c r="B20" s="250" t="str">
        <f>'OPM 1'!B183</f>
        <v>Series E Warrants</v>
      </c>
      <c r="D20" s="329" t="e">
        <f>'OPM 1'!$U183</f>
        <v>#DIV/0!</v>
      </c>
      <c r="E20" s="785"/>
      <c r="F20" s="329">
        <f ca="1">'Cap Table'!$H$15</f>
        <v>19</v>
      </c>
      <c r="G20" s="345"/>
      <c r="H20" s="786" t="e">
        <f t="shared" ca="1" si="1"/>
        <v>#DIV/0!</v>
      </c>
      <c r="I20" s="786"/>
      <c r="J20" s="787"/>
      <c r="K20" s="725"/>
      <c r="L20" s="787"/>
    </row>
    <row r="21" spans="1:23" ht="14.85" customHeight="1">
      <c r="B21" s="250" t="str">
        <f>'OPM 1'!B184</f>
        <v>Series F Warrants</v>
      </c>
      <c r="D21" s="329" t="e">
        <f>'OPM 1'!$U184</f>
        <v>#DIV/0!</v>
      </c>
      <c r="E21" s="785"/>
      <c r="F21" s="329">
        <f ca="1">'Cap Table'!$I$15</f>
        <v>15</v>
      </c>
      <c r="G21" s="345"/>
      <c r="H21" s="786" t="e">
        <f t="shared" ca="1" si="1"/>
        <v>#DIV/0!</v>
      </c>
      <c r="I21" s="786"/>
      <c r="J21" s="787"/>
      <c r="K21" s="725"/>
      <c r="L21" s="787"/>
    </row>
    <row r="22" spans="1:23" ht="14.85" customHeight="1">
      <c r="B22" s="250" t="str">
        <f>'OPM 1'!B185</f>
        <v>Series G Warrants</v>
      </c>
      <c r="D22" s="329" t="e">
        <f>'OPM 1'!$U185</f>
        <v>#DIV/0!</v>
      </c>
      <c r="E22" s="785"/>
      <c r="F22" s="329">
        <f ca="1">'Cap Table'!$J$15</f>
        <v>11</v>
      </c>
      <c r="G22" s="345"/>
      <c r="H22" s="786" t="e">
        <f t="shared" ca="1" si="1"/>
        <v>#DIV/0!</v>
      </c>
      <c r="I22" s="786"/>
      <c r="J22" s="787"/>
      <c r="K22" s="725"/>
      <c r="L22" s="787"/>
    </row>
    <row r="23" spans="1:23" ht="14.85" customHeight="1">
      <c r="B23" s="250" t="s">
        <v>576</v>
      </c>
      <c r="D23" s="329" t="e">
        <f>SUM('OPM 1'!U186:U195)</f>
        <v>#DIV/0!</v>
      </c>
      <c r="E23" s="785"/>
      <c r="F23" s="329">
        <f>SUM('Cap Table'!D27:D36)</f>
        <v>93</v>
      </c>
      <c r="G23" s="345"/>
      <c r="H23" s="786" t="e">
        <f t="shared" si="1"/>
        <v>#DIV/0!</v>
      </c>
      <c r="I23" s="786"/>
      <c r="J23" s="787"/>
      <c r="K23" s="725"/>
      <c r="L23" s="787"/>
    </row>
    <row r="24" spans="1:23" ht="14.85" customHeight="1">
      <c r="B24" s="250" t="str">
        <f>'OPM 1'!B196</f>
        <v>Common Stock</v>
      </c>
      <c r="C24" s="788"/>
      <c r="D24" s="329" t="e">
        <f>'OPM 1'!U196</f>
        <v>#DIV/0!</v>
      </c>
      <c r="E24" s="785"/>
      <c r="F24" s="329">
        <f ca="1">'Cap Table'!K13</f>
        <v>64</v>
      </c>
      <c r="G24" s="345"/>
      <c r="H24" s="789" t="e">
        <f t="shared" ca="1" si="1"/>
        <v>#DIV/0!</v>
      </c>
      <c r="I24" s="786"/>
      <c r="J24" s="730">
        <f>DLOM!D66</f>
        <v>0.15248122289682917</v>
      </c>
      <c r="K24" s="725"/>
      <c r="L24" s="786" t="e">
        <f ca="1">H24*(1-J24)</f>
        <v>#DIV/0!</v>
      </c>
    </row>
    <row r="25" spans="1:23" ht="14.85" customHeight="1">
      <c r="B25" s="346"/>
      <c r="C25" s="346"/>
      <c r="D25" s="790"/>
      <c r="E25" s="790"/>
      <c r="F25" s="790"/>
      <c r="G25" s="346"/>
      <c r="H25" s="749"/>
      <c r="I25" s="346"/>
      <c r="J25" s="749"/>
      <c r="K25" s="749"/>
      <c r="L25" s="749"/>
    </row>
    <row r="26" spans="1:23" ht="14.85" customHeight="1">
      <c r="B26" s="253" t="str">
        <f>'OPM 1'!B198</f>
        <v>Total Tranche Value</v>
      </c>
      <c r="D26" s="791" t="e">
        <f>SUM(D9:D24)</f>
        <v>#DIV/0!</v>
      </c>
      <c r="E26" s="759"/>
      <c r="F26" s="791">
        <f ca="1">SUM(F9:F24)</f>
        <v>770</v>
      </c>
      <c r="H26" s="275"/>
      <c r="J26" s="275"/>
      <c r="K26" s="275"/>
      <c r="L26" s="275"/>
    </row>
    <row r="27" spans="1:23" ht="14.85" customHeight="1"/>
    <row r="28" spans="1:23" ht="14.85" customHeight="1">
      <c r="B28" s="356" t="s">
        <v>86</v>
      </c>
    </row>
    <row r="29" spans="1:23" ht="14.85" customHeight="1">
      <c r="A29" s="357" t="s">
        <v>270</v>
      </c>
      <c r="B29" s="792" t="str">
        <f>"Refer to "&amp;DLOM!B3&amp;" for DLOM calculations."</f>
        <v>Refer to Exhibit H.1 for DLOM calculations.</v>
      </c>
      <c r="O29" s="467"/>
      <c r="P29" s="467"/>
      <c r="Q29" s="467"/>
      <c r="R29" s="467"/>
      <c r="S29" s="467"/>
      <c r="T29" s="467"/>
      <c r="U29" s="467"/>
      <c r="V29" s="467"/>
      <c r="W29" s="467"/>
    </row>
    <row r="30" spans="1:23" ht="14.85" customHeight="1">
      <c r="O30" s="793"/>
      <c r="P30" s="467"/>
      <c r="Q30" s="467"/>
      <c r="R30" s="467"/>
      <c r="S30" s="467"/>
      <c r="T30" s="467"/>
      <c r="U30" s="467"/>
      <c r="V30" s="467"/>
      <c r="W30" s="467"/>
    </row>
    <row r="31" spans="1:23" ht="14.85" customHeight="1">
      <c r="D31" s="794"/>
      <c r="O31" s="467"/>
      <c r="P31" s="467"/>
      <c r="Q31" s="467"/>
      <c r="R31" s="467"/>
      <c r="S31" s="467"/>
      <c r="T31" s="467"/>
      <c r="U31" s="467"/>
      <c r="V31" s="467"/>
      <c r="W31" s="467"/>
    </row>
    <row r="32" spans="1:23" ht="14.85" customHeight="1">
      <c r="B32" s="250" t="s">
        <v>2269</v>
      </c>
      <c r="D32" s="355" t="e">
        <f>IF((D26&lt;&gt;'OPM 1'!U198),"Check","")</f>
        <v>#DIV/0!</v>
      </c>
      <c r="O32" s="467"/>
      <c r="P32" s="467"/>
      <c r="Q32" s="467"/>
      <c r="R32" s="795"/>
      <c r="S32" s="467"/>
      <c r="T32" s="467"/>
      <c r="U32" s="467"/>
      <c r="V32" s="467"/>
      <c r="W32" s="467"/>
    </row>
    <row r="33" spans="15:23" ht="14.85" customHeight="1">
      <c r="O33" s="674"/>
      <c r="P33" s="467"/>
      <c r="Q33" s="467"/>
      <c r="R33" s="467"/>
      <c r="S33" s="467"/>
      <c r="T33" s="467"/>
      <c r="U33" s="467"/>
      <c r="V33" s="467"/>
      <c r="W33" s="467"/>
    </row>
    <row r="34" spans="15:23" ht="14.85" customHeight="1">
      <c r="O34" s="674"/>
      <c r="P34" s="467"/>
      <c r="Q34" s="467"/>
      <c r="R34" s="467"/>
      <c r="S34" s="467"/>
      <c r="T34" s="467"/>
      <c r="U34" s="467"/>
      <c r="V34" s="467"/>
      <c r="W34" s="467"/>
    </row>
    <row r="35" spans="15:23" ht="14.85" customHeight="1">
      <c r="O35" s="796"/>
      <c r="P35" s="467"/>
      <c r="Q35" s="467"/>
      <c r="R35" s="480"/>
      <c r="S35" s="467"/>
      <c r="T35" s="467"/>
      <c r="U35" s="467"/>
      <c r="V35" s="467"/>
      <c r="W35" s="467"/>
    </row>
    <row r="36" spans="15:23" ht="14.85" customHeight="1">
      <c r="O36" s="674"/>
      <c r="P36" s="467"/>
      <c r="Q36" s="467"/>
      <c r="R36" s="467"/>
      <c r="S36" s="467"/>
      <c r="T36" s="467"/>
      <c r="U36" s="467"/>
      <c r="V36" s="467"/>
      <c r="W36" s="467"/>
    </row>
    <row r="37" spans="15:23" ht="14.85" customHeight="1">
      <c r="O37" s="674"/>
      <c r="P37" s="467"/>
      <c r="Q37" s="467"/>
      <c r="R37" s="467"/>
      <c r="S37" s="467"/>
      <c r="T37" s="467"/>
      <c r="U37" s="467"/>
      <c r="V37" s="467"/>
      <c r="W37" s="467"/>
    </row>
    <row r="38" spans="15:23" ht="14.85" customHeight="1">
      <c r="O38" s="467"/>
      <c r="P38" s="467"/>
      <c r="Q38" s="467"/>
      <c r="R38" s="467"/>
      <c r="S38" s="467"/>
      <c r="T38" s="467"/>
      <c r="U38" s="467"/>
      <c r="V38" s="467"/>
      <c r="W38" s="467"/>
    </row>
    <row r="39" spans="15:23" ht="14.85" customHeight="1">
      <c r="O39" s="467"/>
      <c r="P39" s="467"/>
      <c r="Q39" s="467"/>
      <c r="R39" s="467"/>
      <c r="S39" s="467"/>
      <c r="T39" s="467"/>
      <c r="U39" s="467"/>
      <c r="V39" s="467"/>
      <c r="W39" s="467"/>
    </row>
    <row r="40" spans="15:23" ht="14.85" customHeight="1">
      <c r="O40" s="467"/>
      <c r="P40" s="467"/>
      <c r="Q40" s="467"/>
      <c r="R40" s="795"/>
      <c r="S40" s="467"/>
      <c r="T40" s="467"/>
      <c r="U40" s="467"/>
      <c r="V40" s="467"/>
      <c r="W40" s="467"/>
    </row>
    <row r="41" spans="15:23" ht="14.85" customHeight="1">
      <c r="O41" s="797"/>
      <c r="P41" s="467"/>
      <c r="Q41" s="467"/>
      <c r="R41" s="467"/>
      <c r="S41" s="467"/>
      <c r="T41" s="467"/>
      <c r="U41" s="467"/>
      <c r="V41" s="467"/>
      <c r="W41" s="467"/>
    </row>
    <row r="42" spans="15:23" ht="14.85" customHeight="1">
      <c r="O42" s="797"/>
      <c r="P42" s="467"/>
      <c r="Q42" s="467"/>
      <c r="R42" s="467"/>
      <c r="S42" s="467"/>
      <c r="T42" s="467"/>
      <c r="U42" s="467"/>
      <c r="V42" s="467"/>
      <c r="W42" s="467"/>
    </row>
    <row r="43" spans="15:23" ht="14.85" customHeight="1">
      <c r="O43" s="798"/>
      <c r="P43" s="467"/>
      <c r="Q43" s="467"/>
      <c r="R43" s="480"/>
      <c r="S43" s="467"/>
      <c r="T43" s="467"/>
      <c r="U43" s="467"/>
      <c r="V43" s="467"/>
      <c r="W43" s="467"/>
    </row>
    <row r="44" spans="15:23" ht="14.85" customHeight="1">
      <c r="O44" s="797"/>
      <c r="P44" s="467"/>
      <c r="Q44" s="467"/>
      <c r="R44" s="467"/>
      <c r="S44" s="467"/>
      <c r="T44" s="467"/>
      <c r="U44" s="467"/>
      <c r="V44" s="467"/>
      <c r="W44" s="467"/>
    </row>
    <row r="45" spans="15:23" ht="14.85" customHeight="1">
      <c r="O45" s="797"/>
      <c r="P45" s="467"/>
      <c r="Q45" s="467"/>
      <c r="R45" s="467"/>
      <c r="S45" s="467"/>
      <c r="T45" s="467"/>
      <c r="U45" s="467"/>
      <c r="V45" s="467"/>
      <c r="W45" s="467"/>
    </row>
    <row r="46" spans="15:23" ht="14.85" customHeight="1">
      <c r="O46" s="467"/>
      <c r="P46" s="467"/>
      <c r="Q46" s="467"/>
      <c r="R46" s="467"/>
      <c r="S46" s="467"/>
      <c r="T46" s="467"/>
      <c r="U46" s="467"/>
      <c r="V46" s="467"/>
      <c r="W46" s="467"/>
    </row>
    <row r="47" spans="15:23" ht="14.85" customHeight="1">
      <c r="O47" s="467"/>
      <c r="P47" s="467"/>
      <c r="Q47" s="467"/>
      <c r="R47" s="467"/>
      <c r="S47" s="467"/>
      <c r="T47" s="467"/>
      <c r="U47" s="467"/>
      <c r="V47" s="467"/>
      <c r="W47" s="467"/>
    </row>
    <row r="48" spans="15:23"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dataConsolidate/>
  <conditionalFormatting sqref="B4:I4">
    <cfRule type="cellIs" dxfId="316" priority="9" stopIfTrue="1" operator="equal">
      <formula>"input"</formula>
    </cfRule>
  </conditionalFormatting>
  <conditionalFormatting sqref="J4">
    <cfRule type="cellIs" dxfId="315" priority="7" stopIfTrue="1" operator="equal">
      <formula>"input"</formula>
    </cfRule>
  </conditionalFormatting>
  <conditionalFormatting sqref="J4">
    <cfRule type="cellIs" dxfId="314" priority="8" stopIfTrue="1" operator="equal">
      <formula>"input"</formula>
    </cfRule>
  </conditionalFormatting>
  <conditionalFormatting sqref="K4">
    <cfRule type="cellIs" dxfId="313" priority="5" stopIfTrue="1" operator="equal">
      <formula>"input"</formula>
    </cfRule>
  </conditionalFormatting>
  <conditionalFormatting sqref="K4">
    <cfRule type="cellIs" dxfId="312" priority="6" stopIfTrue="1" operator="equal">
      <formula>"input"</formula>
    </cfRule>
  </conditionalFormatting>
  <conditionalFormatting sqref="L4">
    <cfRule type="cellIs" dxfId="311" priority="1" stopIfTrue="1" operator="equal">
      <formula>"input"</formula>
    </cfRule>
  </conditionalFormatting>
  <conditionalFormatting sqref="L4">
    <cfRule type="cellIs" dxfId="310" priority="2" stopIfTrue="1" operator="equal">
      <formula>"input"</formula>
    </cfRule>
  </conditionalFormatting>
  <pageMargins left="0.5" right="0.5" top="0.5" bottom="0.5" header="0.5" footer="0.5"/>
  <pageSetup scale="98" fitToWidth="0" fitToHeight="0" orientation="landscape" r:id="rId1"/>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3" tint="-0.499984740745262"/>
    <pageSetUpPr fitToPage="1"/>
  </sheetPr>
  <dimension ref="B6:G30"/>
  <sheetViews>
    <sheetView showGridLines="0" view="pageBreakPreview" zoomScale="60" zoomScaleNormal="100" workbookViewId="0"/>
  </sheetViews>
  <sheetFormatPr defaultColWidth="9.33203125" defaultRowHeight="12.75"/>
  <cols>
    <col min="1" max="1" width="4.5" style="303" customWidth="1"/>
    <col min="2" max="2" width="2.83203125" style="303" customWidth="1"/>
    <col min="3" max="3" width="13.83203125" style="303" customWidth="1"/>
    <col min="4" max="4" width="110.83203125" style="363" customWidth="1"/>
    <col min="5" max="5" width="13.83203125" style="303" customWidth="1"/>
    <col min="6" max="6" width="2.83203125" style="303" customWidth="1"/>
    <col min="7" max="7" width="4.5" style="303" customWidth="1"/>
    <col min="8" max="8" width="2.83203125" style="303" customWidth="1"/>
    <col min="9" max="9" width="9.33203125" style="303"/>
    <col min="10" max="10" width="16.33203125" style="303" bestFit="1" customWidth="1"/>
    <col min="11" max="11" width="19" style="303" bestFit="1" customWidth="1"/>
    <col min="12" max="16384" width="9.33203125" style="303"/>
  </cols>
  <sheetData>
    <row r="6" spans="2:7">
      <c r="C6" s="922"/>
      <c r="D6" s="923"/>
      <c r="E6" s="922"/>
      <c r="F6" s="922"/>
      <c r="G6" s="922"/>
    </row>
    <row r="7" spans="2:7" ht="13.5" thickBot="1">
      <c r="C7" s="922"/>
      <c r="D7" s="923"/>
      <c r="E7" s="922"/>
      <c r="F7" s="922"/>
      <c r="G7" s="922"/>
    </row>
    <row r="8" spans="2:7" ht="15" thickTop="1">
      <c r="B8" s="1234"/>
      <c r="C8" s="1234"/>
      <c r="D8" s="230"/>
      <c r="E8" s="1234"/>
      <c r="F8" s="1234"/>
      <c r="G8" s="922"/>
    </row>
    <row r="9" spans="2:7" ht="30">
      <c r="B9" s="1236"/>
      <c r="C9" s="1236"/>
      <c r="D9" s="260" t="s">
        <v>495</v>
      </c>
      <c r="E9" s="1236"/>
      <c r="F9" s="1236"/>
      <c r="G9" s="922"/>
    </row>
    <row r="10" spans="2:7" ht="15" thickBot="1">
      <c r="B10" s="1238"/>
      <c r="C10" s="1238"/>
      <c r="D10" s="243"/>
      <c r="E10" s="1238"/>
      <c r="F10" s="1238"/>
      <c r="G10" s="922"/>
    </row>
    <row r="11" spans="2:7" ht="13.5" thickTop="1">
      <c r="G11" s="922"/>
    </row>
    <row r="12" spans="2:7">
      <c r="G12" s="922"/>
    </row>
    <row r="13" spans="2:7" ht="18">
      <c r="D13" s="245"/>
      <c r="G13" s="922"/>
    </row>
    <row r="14" spans="2:7" ht="18">
      <c r="D14" s="246"/>
    </row>
    <row r="27" spans="4:4" ht="23.25">
      <c r="D27" s="247"/>
    </row>
    <row r="29" spans="4:4" ht="18">
      <c r="D29" s="248"/>
    </row>
    <row r="30" spans="4:4" ht="36">
      <c r="D30" s="249" t="s">
        <v>485</v>
      </c>
    </row>
  </sheetData>
  <pageMargins left="0.5" right="0.5" top="0.5" bottom="0.5" header="0.5" footer="0.5"/>
  <pageSetup orientation="landscape"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AT764"/>
  <sheetViews>
    <sheetView showGridLines="0" view="pageBreakPreview" zoomScale="80" zoomScaleNormal="100" zoomScaleSheetLayoutView="80" workbookViewId="0"/>
  </sheetViews>
  <sheetFormatPr defaultRowHeight="12.75" outlineLevelRow="1"/>
  <cols>
    <col min="1" max="1" width="4.5" style="250" customWidth="1"/>
    <col min="2" max="2" width="40.6640625" style="250" customWidth="1"/>
    <col min="3" max="3" width="2.83203125" style="250" customWidth="1"/>
    <col min="4" max="4" width="13.6640625" style="250" customWidth="1"/>
    <col min="5" max="5" width="3.5" style="250" customWidth="1"/>
    <col min="6" max="15" width="16.33203125" style="250" customWidth="1"/>
    <col min="16" max="16" width="4.5" style="250" customWidth="1"/>
    <col min="17" max="17" width="10.83203125" style="250" bestFit="1" customWidth="1"/>
    <col min="18" max="46" width="9.6640625" style="250" bestFit="1" customWidth="1"/>
    <col min="47" max="16384" width="9.33203125" style="250"/>
  </cols>
  <sheetData>
    <row r="1" spans="2:15" ht="10.7" customHeight="1" thickBot="1"/>
    <row r="2" spans="2:15" ht="16.5" customHeight="1" thickTop="1">
      <c r="B2" s="258" t="str">
        <f>'MASTER PubCo Inputs'!$C$5</f>
        <v>ABC, Inc.</v>
      </c>
      <c r="C2" s="258"/>
      <c r="D2" s="258"/>
      <c r="E2" s="258"/>
      <c r="F2" s="258"/>
      <c r="G2" s="258"/>
      <c r="H2" s="258"/>
      <c r="I2" s="258"/>
      <c r="J2" s="258"/>
      <c r="K2" s="258"/>
      <c r="L2" s="258"/>
      <c r="M2" s="258"/>
      <c r="N2" s="258"/>
      <c r="O2" s="258"/>
    </row>
    <row r="3" spans="2:15" ht="15.75" customHeight="1">
      <c r="B3" s="259" t="str">
        <f>VLOOKUP(B4,Outline!$E$8:$G$79,COLUMNS(Outline!$E$8:$G$8),FALSE)</f>
        <v>Exhibit C.1</v>
      </c>
      <c r="C3" s="259"/>
      <c r="D3" s="259"/>
      <c r="E3" s="259"/>
      <c r="F3" s="259"/>
      <c r="G3" s="259"/>
      <c r="H3" s="259"/>
      <c r="I3" s="259"/>
      <c r="J3" s="259"/>
      <c r="K3" s="259"/>
      <c r="L3" s="259"/>
      <c r="M3" s="259"/>
      <c r="N3" s="259"/>
      <c r="O3" s="259"/>
    </row>
    <row r="4" spans="2:15" ht="16.5" customHeight="1" thickBot="1">
      <c r="B4" s="924" t="s">
        <v>150</v>
      </c>
      <c r="C4" s="924"/>
      <c r="D4" s="924"/>
      <c r="E4" s="924"/>
      <c r="F4" s="924"/>
      <c r="G4" s="924"/>
      <c r="H4" s="924"/>
      <c r="I4" s="924"/>
      <c r="J4" s="924"/>
      <c r="K4" s="924"/>
      <c r="L4" s="924"/>
      <c r="M4" s="924"/>
      <c r="N4" s="924"/>
      <c r="O4" s="925" t="str">
        <f>+'MASTER PubCo Inputs'!$C$21</f>
        <v>(in thousands of USD)</v>
      </c>
    </row>
    <row r="5" spans="2:15" ht="14.85" customHeight="1" thickTop="1"/>
    <row r="6" spans="2:15" ht="14.85" customHeight="1"/>
    <row r="7" spans="2:15" ht="14.85" customHeight="1">
      <c r="F7" s="799" t="s">
        <v>167</v>
      </c>
      <c r="G7" s="800"/>
      <c r="H7" s="800"/>
      <c r="I7" s="800"/>
      <c r="J7" s="800"/>
      <c r="K7" s="800"/>
      <c r="L7" s="800"/>
      <c r="M7" s="800"/>
      <c r="N7" s="800"/>
      <c r="O7" s="801"/>
    </row>
    <row r="8" spans="2:15" ht="14.85" customHeight="1">
      <c r="F8" s="802" t="s">
        <v>166</v>
      </c>
      <c r="G8" s="803"/>
      <c r="H8" s="803"/>
      <c r="I8" s="803"/>
      <c r="J8" s="803"/>
      <c r="K8" s="803"/>
      <c r="L8" s="803"/>
      <c r="M8" s="803"/>
      <c r="N8" s="803"/>
      <c r="O8" s="804"/>
    </row>
    <row r="9" spans="2:15" ht="14.85" customHeight="1">
      <c r="F9" s="805">
        <f>'Hist IS'!G9+1</f>
        <v>2017</v>
      </c>
      <c r="G9" s="806">
        <f>F9+1</f>
        <v>2018</v>
      </c>
      <c r="H9" s="806">
        <f t="shared" ref="H9:O9" si="0">G9+1</f>
        <v>2019</v>
      </c>
      <c r="I9" s="806">
        <f t="shared" si="0"/>
        <v>2020</v>
      </c>
      <c r="J9" s="806">
        <f t="shared" si="0"/>
        <v>2021</v>
      </c>
      <c r="K9" s="806">
        <f t="shared" si="0"/>
        <v>2022</v>
      </c>
      <c r="L9" s="806">
        <f t="shared" si="0"/>
        <v>2023</v>
      </c>
      <c r="M9" s="806">
        <f t="shared" si="0"/>
        <v>2024</v>
      </c>
      <c r="N9" s="806">
        <f t="shared" si="0"/>
        <v>2025</v>
      </c>
      <c r="O9" s="807">
        <f t="shared" si="0"/>
        <v>2026</v>
      </c>
    </row>
    <row r="10" spans="2:15" ht="14.85" customHeight="1"/>
    <row r="11" spans="2:15" ht="14.85" customHeight="1" outlineLevel="1">
      <c r="B11" s="253" t="s">
        <v>168</v>
      </c>
    </row>
    <row r="12" spans="2:15" ht="14.85" customHeight="1" outlineLevel="1">
      <c r="B12" s="328" t="s">
        <v>168</v>
      </c>
      <c r="F12" s="808">
        <v>3722</v>
      </c>
      <c r="G12" s="808">
        <v>8657.4</v>
      </c>
      <c r="H12" s="808">
        <v>19751.599999999999</v>
      </c>
      <c r="I12" s="808">
        <v>34969.599999999999</v>
      </c>
      <c r="J12" s="809">
        <f t="shared" ref="J12:O12" si="1">I12*(1+J15)</f>
        <v>54202.879999999997</v>
      </c>
      <c r="K12" s="809">
        <f t="shared" si="1"/>
        <v>75884.031999999992</v>
      </c>
      <c r="L12" s="809">
        <f t="shared" si="1"/>
        <v>98649.241599999994</v>
      </c>
      <c r="M12" s="809">
        <f t="shared" si="1"/>
        <v>118379.08991999998</v>
      </c>
      <c r="N12" s="809">
        <f t="shared" si="1"/>
        <v>130216.998912</v>
      </c>
      <c r="O12" s="809">
        <f t="shared" si="1"/>
        <v>136727.84885760001</v>
      </c>
    </row>
    <row r="13" spans="2:15" ht="14.85" customHeight="1" outlineLevel="1">
      <c r="B13" s="346"/>
      <c r="C13" s="346"/>
      <c r="D13" s="346"/>
      <c r="E13" s="346"/>
      <c r="F13" s="346"/>
      <c r="G13" s="346"/>
      <c r="H13" s="346"/>
      <c r="I13" s="346"/>
      <c r="J13" s="346"/>
      <c r="K13" s="346"/>
      <c r="L13" s="346"/>
      <c r="M13" s="346"/>
      <c r="N13" s="346"/>
      <c r="O13" s="346"/>
    </row>
    <row r="14" spans="2:15" ht="14.85" customHeight="1">
      <c r="B14" s="253" t="s">
        <v>830</v>
      </c>
      <c r="F14" s="412">
        <f t="shared" ref="F14:N14" si="2">SUM(F12)</f>
        <v>3722</v>
      </c>
      <c r="G14" s="412">
        <f t="shared" si="2"/>
        <v>8657.4</v>
      </c>
      <c r="H14" s="412">
        <f t="shared" si="2"/>
        <v>19751.599999999999</v>
      </c>
      <c r="I14" s="412">
        <f t="shared" si="2"/>
        <v>34969.599999999999</v>
      </c>
      <c r="J14" s="412">
        <f t="shared" si="2"/>
        <v>54202.879999999997</v>
      </c>
      <c r="K14" s="412">
        <f t="shared" si="2"/>
        <v>75884.031999999992</v>
      </c>
      <c r="L14" s="412">
        <f t="shared" si="2"/>
        <v>98649.241599999994</v>
      </c>
      <c r="M14" s="412">
        <f t="shared" si="2"/>
        <v>118379.08991999998</v>
      </c>
      <c r="N14" s="412">
        <f t="shared" si="2"/>
        <v>130216.998912</v>
      </c>
      <c r="O14" s="412">
        <f>N14*(1+O15)</f>
        <v>136727.84885760001</v>
      </c>
    </row>
    <row r="15" spans="2:15" ht="14.85" customHeight="1">
      <c r="B15" s="426" t="s">
        <v>170</v>
      </c>
      <c r="F15" s="810" t="s">
        <v>13</v>
      </c>
      <c r="G15" s="810">
        <f>G14/F14-1</f>
        <v>1.3260075228371844</v>
      </c>
      <c r="H15" s="810">
        <f t="shared" ref="H15:I15" si="3">H14/G14-1</f>
        <v>1.281470187354171</v>
      </c>
      <c r="I15" s="810">
        <f t="shared" si="3"/>
        <v>0.77046922780939275</v>
      </c>
      <c r="J15" s="811">
        <v>0.55000000000000004</v>
      </c>
      <c r="K15" s="811">
        <v>0.4</v>
      </c>
      <c r="L15" s="811">
        <v>0.3</v>
      </c>
      <c r="M15" s="811">
        <v>0.2</v>
      </c>
      <c r="N15" s="811">
        <v>0.1</v>
      </c>
      <c r="O15" s="811">
        <v>0.05</v>
      </c>
    </row>
    <row r="16" spans="2:15" ht="14.85" customHeight="1"/>
    <row r="17" spans="2:15" ht="14.85" customHeight="1">
      <c r="B17" s="328" t="s">
        <v>171</v>
      </c>
      <c r="F17" s="812">
        <v>-1396.1</v>
      </c>
      <c r="G17" s="812">
        <v>-3103.8</v>
      </c>
      <c r="H17" s="812">
        <v>-7209.6</v>
      </c>
      <c r="I17" s="812">
        <v>-11888.5</v>
      </c>
      <c r="J17" s="813">
        <f>I17*(1+J15)</f>
        <v>-18427.174999999999</v>
      </c>
      <c r="K17" s="813">
        <f t="shared" ref="K17:O17" si="4">J17*(1+K15)</f>
        <v>-25798.044999999998</v>
      </c>
      <c r="L17" s="813">
        <f t="shared" si="4"/>
        <v>-33537.458500000001</v>
      </c>
      <c r="M17" s="813">
        <f t="shared" si="4"/>
        <v>-40244.950199999999</v>
      </c>
      <c r="N17" s="813">
        <f t="shared" si="4"/>
        <v>-44269.445220000001</v>
      </c>
      <c r="O17" s="813">
        <f t="shared" si="4"/>
        <v>-46482.917481000004</v>
      </c>
    </row>
    <row r="18" spans="2:15" ht="14.85" customHeight="1">
      <c r="B18" s="346"/>
      <c r="C18" s="346"/>
      <c r="D18" s="346"/>
      <c r="E18" s="346"/>
      <c r="F18" s="346"/>
      <c r="G18" s="346"/>
      <c r="H18" s="346"/>
      <c r="I18" s="346"/>
      <c r="J18" s="346"/>
      <c r="K18" s="346"/>
      <c r="L18" s="346"/>
      <c r="M18" s="346"/>
      <c r="N18" s="346"/>
      <c r="O18" s="346"/>
    </row>
    <row r="19" spans="2:15" ht="14.85" customHeight="1">
      <c r="B19" s="253" t="s">
        <v>172</v>
      </c>
      <c r="F19" s="412">
        <f t="shared" ref="F19:N19" si="5">F14+F17</f>
        <v>2325.9</v>
      </c>
      <c r="G19" s="412">
        <f t="shared" si="5"/>
        <v>5553.5999999999995</v>
      </c>
      <c r="H19" s="412">
        <f t="shared" si="5"/>
        <v>12541.999999999998</v>
      </c>
      <c r="I19" s="412">
        <f t="shared" si="5"/>
        <v>23081.1</v>
      </c>
      <c r="J19" s="412">
        <f t="shared" si="5"/>
        <v>35775.705000000002</v>
      </c>
      <c r="K19" s="412">
        <f t="shared" si="5"/>
        <v>50085.986999999994</v>
      </c>
      <c r="L19" s="412">
        <f t="shared" si="5"/>
        <v>65111.783099999993</v>
      </c>
      <c r="M19" s="412">
        <f t="shared" si="5"/>
        <v>78134.139719999977</v>
      </c>
      <c r="N19" s="412">
        <f t="shared" si="5"/>
        <v>85947.553691999987</v>
      </c>
      <c r="O19" s="412">
        <f>O14+O17</f>
        <v>90244.931376599998</v>
      </c>
    </row>
    <row r="20" spans="2:15" ht="14.85" customHeight="1">
      <c r="B20" s="426" t="s">
        <v>173</v>
      </c>
      <c r="F20" s="810">
        <f>F19/F$14</f>
        <v>0.6249059645351962</v>
      </c>
      <c r="G20" s="810">
        <f t="shared" ref="G20:O20" si="6">G19/G$14</f>
        <v>0.64148589645852094</v>
      </c>
      <c r="H20" s="810">
        <f t="shared" si="6"/>
        <v>0.63498653273658834</v>
      </c>
      <c r="I20" s="810">
        <f t="shared" si="6"/>
        <v>0.66003328605417277</v>
      </c>
      <c r="J20" s="811">
        <f t="shared" si="6"/>
        <v>0.66003328605417289</v>
      </c>
      <c r="K20" s="811">
        <f t="shared" si="6"/>
        <v>0.66003328605417277</v>
      </c>
      <c r="L20" s="811">
        <f t="shared" si="6"/>
        <v>0.66003328605417277</v>
      </c>
      <c r="M20" s="811">
        <f t="shared" si="6"/>
        <v>0.66003328605417266</v>
      </c>
      <c r="N20" s="811">
        <f t="shared" si="6"/>
        <v>0.66003328605417266</v>
      </c>
      <c r="O20" s="811">
        <f t="shared" si="6"/>
        <v>0.66003328605417266</v>
      </c>
    </row>
    <row r="21" spans="2:15" ht="14.85" customHeight="1"/>
    <row r="22" spans="2:15" ht="14.85" customHeight="1">
      <c r="B22" s="253" t="s">
        <v>174</v>
      </c>
    </row>
    <row r="23" spans="2:15" ht="14.85" customHeight="1">
      <c r="B23" s="328" t="s">
        <v>175</v>
      </c>
      <c r="F23" s="812">
        <v>-7182.5</v>
      </c>
      <c r="G23" s="812">
        <v>-8960.7999999999993</v>
      </c>
      <c r="H23" s="812">
        <v>-11089.1</v>
      </c>
      <c r="I23" s="812">
        <v>-13882.3</v>
      </c>
      <c r="J23" s="812"/>
      <c r="K23" s="812"/>
      <c r="L23" s="812"/>
      <c r="M23" s="812"/>
      <c r="N23" s="812"/>
      <c r="O23" s="812"/>
    </row>
    <row r="24" spans="2:15" ht="14.85" customHeight="1">
      <c r="B24" s="328" t="s">
        <v>176</v>
      </c>
      <c r="F24" s="812">
        <v>-90.2</v>
      </c>
      <c r="G24" s="812">
        <v>-158.6</v>
      </c>
      <c r="H24" s="812">
        <v>-242.6</v>
      </c>
      <c r="I24" s="812">
        <v>-501.6</v>
      </c>
      <c r="J24" s="812"/>
      <c r="K24" s="812"/>
      <c r="L24" s="812"/>
      <c r="M24" s="812"/>
      <c r="N24" s="812"/>
      <c r="O24" s="812"/>
    </row>
    <row r="25" spans="2:15" ht="14.85" customHeight="1">
      <c r="B25" s="328" t="s">
        <v>177</v>
      </c>
      <c r="F25" s="812">
        <v>-1381.5</v>
      </c>
      <c r="G25" s="812">
        <v>-1278</v>
      </c>
      <c r="H25" s="812">
        <v>-1963.5</v>
      </c>
      <c r="I25" s="812">
        <v>-2757</v>
      </c>
      <c r="J25" s="812"/>
      <c r="K25" s="812"/>
      <c r="L25" s="812"/>
      <c r="M25" s="812"/>
      <c r="N25" s="812"/>
      <c r="O25" s="812"/>
    </row>
    <row r="26" spans="2:15" ht="14.85" customHeight="1">
      <c r="B26" s="328" t="s">
        <v>179</v>
      </c>
      <c r="F26" s="812">
        <v>0</v>
      </c>
      <c r="G26" s="812">
        <v>0</v>
      </c>
      <c r="H26" s="812">
        <v>0</v>
      </c>
      <c r="I26" s="812">
        <v>0</v>
      </c>
      <c r="J26" s="812"/>
      <c r="K26" s="812"/>
      <c r="L26" s="812"/>
      <c r="M26" s="812"/>
      <c r="N26" s="812"/>
      <c r="O26" s="812"/>
    </row>
    <row r="27" spans="2:15" ht="14.85" customHeight="1">
      <c r="B27" s="346"/>
      <c r="C27" s="346"/>
      <c r="D27" s="346"/>
      <c r="E27" s="346"/>
      <c r="F27" s="814"/>
      <c r="G27" s="346"/>
      <c r="H27" s="346"/>
      <c r="I27" s="346"/>
      <c r="J27" s="346"/>
      <c r="K27" s="346"/>
      <c r="L27" s="346"/>
      <c r="M27" s="346"/>
      <c r="N27" s="346"/>
      <c r="O27" s="346"/>
    </row>
    <row r="28" spans="2:15" ht="14.85" customHeight="1">
      <c r="B28" s="382" t="s">
        <v>169</v>
      </c>
      <c r="F28" s="412">
        <f>SUM(F23:F26)</f>
        <v>-8654.2000000000007</v>
      </c>
      <c r="G28" s="412">
        <f t="shared" ref="G28:I28" si="7">SUM(G23:G26)</f>
        <v>-10397.4</v>
      </c>
      <c r="H28" s="412">
        <f t="shared" si="7"/>
        <v>-13295.2</v>
      </c>
      <c r="I28" s="412">
        <f t="shared" si="7"/>
        <v>-17140.900000000001</v>
      </c>
      <c r="J28" s="412">
        <f>J30-J19</f>
        <v>-26019.186600000001</v>
      </c>
      <c r="K28" s="412">
        <f t="shared" ref="K28:O28" si="8">K30-K19</f>
        <v>-35668.020919999995</v>
      </c>
      <c r="L28" s="412">
        <f t="shared" si="8"/>
        <v>-45381.934779999996</v>
      </c>
      <c r="M28" s="412">
        <f t="shared" si="8"/>
        <v>-54458.321735999984</v>
      </c>
      <c r="N28" s="412">
        <f t="shared" si="8"/>
        <v>-59904.153909599991</v>
      </c>
      <c r="O28" s="412">
        <f t="shared" si="8"/>
        <v>-62899.36160507999</v>
      </c>
    </row>
    <row r="29" spans="2:15" ht="14.85" customHeight="1"/>
    <row r="30" spans="2:15" ht="14.85" customHeight="1">
      <c r="B30" s="675" t="s">
        <v>181</v>
      </c>
      <c r="C30" s="467"/>
      <c r="D30" s="467"/>
      <c r="E30" s="467"/>
      <c r="F30" s="815">
        <f>F19+F28</f>
        <v>-6328.3000000000011</v>
      </c>
      <c r="G30" s="815">
        <f t="shared" ref="G30:I30" si="9">G19+G28</f>
        <v>-4843.8</v>
      </c>
      <c r="H30" s="815">
        <f t="shared" si="9"/>
        <v>-753.20000000000255</v>
      </c>
      <c r="I30" s="815">
        <f t="shared" si="9"/>
        <v>5940.1999999999971</v>
      </c>
      <c r="J30" s="816">
        <f>J14*J31</f>
        <v>9756.518399999999</v>
      </c>
      <c r="K30" s="816">
        <f t="shared" ref="K30:O30" si="10">K14*K31</f>
        <v>14417.966079999998</v>
      </c>
      <c r="L30" s="816">
        <f t="shared" si="10"/>
        <v>19729.848320000001</v>
      </c>
      <c r="M30" s="816">
        <f t="shared" si="10"/>
        <v>23675.817983999998</v>
      </c>
      <c r="N30" s="816">
        <f t="shared" si="10"/>
        <v>26043.3997824</v>
      </c>
      <c r="O30" s="816">
        <f t="shared" si="10"/>
        <v>27345.569771520004</v>
      </c>
    </row>
    <row r="31" spans="2:15" ht="14.85" customHeight="1">
      <c r="B31" s="426" t="s">
        <v>173</v>
      </c>
      <c r="F31" s="810">
        <f t="shared" ref="F31:I31" si="11">F30/F$14</f>
        <v>-1.7002418054809245</v>
      </c>
      <c r="G31" s="810">
        <f t="shared" si="11"/>
        <v>-0.55949823272576071</v>
      </c>
      <c r="H31" s="810">
        <f t="shared" si="11"/>
        <v>-3.8133619554871635E-2</v>
      </c>
      <c r="I31" s="810">
        <f t="shared" si="11"/>
        <v>0.16986754209370417</v>
      </c>
      <c r="J31" s="811">
        <v>0.18</v>
      </c>
      <c r="K31" s="811">
        <v>0.19</v>
      </c>
      <c r="L31" s="811">
        <v>0.2</v>
      </c>
      <c r="M31" s="811">
        <f>L31</f>
        <v>0.2</v>
      </c>
      <c r="N31" s="811">
        <f>M31</f>
        <v>0.2</v>
      </c>
      <c r="O31" s="811">
        <f>N31</f>
        <v>0.2</v>
      </c>
    </row>
    <row r="32" spans="2:15" ht="14.85" customHeight="1"/>
    <row r="33" spans="2:15" ht="14.85" customHeight="1">
      <c r="B33" s="328" t="s">
        <v>180</v>
      </c>
      <c r="F33" s="812">
        <f ca="1">-F52</f>
        <v>-219.53756118749337</v>
      </c>
      <c r="G33" s="812">
        <f t="shared" ref="G33:O33" ca="1" si="12">-G52</f>
        <v>-490.13960369813412</v>
      </c>
      <c r="H33" s="812">
        <f t="shared" ca="1" si="12"/>
        <v>-1107.5100963233072</v>
      </c>
      <c r="I33" s="812">
        <f t="shared" ca="1" si="12"/>
        <v>-2200.5455556737015</v>
      </c>
      <c r="J33" s="812">
        <f t="shared" ca="1" si="12"/>
        <v>-3894.7505176668128</v>
      </c>
      <c r="K33" s="812">
        <f t="shared" si="12"/>
        <v>-6047.0999032696755</v>
      </c>
      <c r="L33" s="812">
        <f t="shared" si="12"/>
        <v>-8859.9508915864972</v>
      </c>
      <c r="M33" s="812">
        <f t="shared" si="12"/>
        <v>-11942.724035954277</v>
      </c>
      <c r="N33" s="812">
        <f t="shared" si="12"/>
        <v>-14919.846577296135</v>
      </c>
      <c r="O33" s="812">
        <f t="shared" si="12"/>
        <v>-17499.307516029887</v>
      </c>
    </row>
    <row r="34" spans="2:15" ht="14.85" customHeight="1">
      <c r="B34" s="346"/>
      <c r="C34" s="346"/>
      <c r="D34" s="346"/>
      <c r="E34" s="346"/>
      <c r="F34" s="346"/>
      <c r="G34" s="346"/>
      <c r="H34" s="346"/>
      <c r="I34" s="346"/>
      <c r="J34" s="346"/>
      <c r="K34" s="346"/>
      <c r="L34" s="346"/>
      <c r="M34" s="346"/>
      <c r="N34" s="346"/>
      <c r="O34" s="346"/>
    </row>
    <row r="35" spans="2:15" ht="14.85" customHeight="1">
      <c r="B35" s="253" t="s">
        <v>182</v>
      </c>
      <c r="F35" s="412">
        <f ca="1">F30+F33</f>
        <v>-6547.8375611874944</v>
      </c>
      <c r="G35" s="412">
        <f t="shared" ref="G35:O35" ca="1" si="13">G30+G33</f>
        <v>-5333.9396036981343</v>
      </c>
      <c r="H35" s="412">
        <f t="shared" ca="1" si="13"/>
        <v>-1860.7100963233097</v>
      </c>
      <c r="I35" s="412">
        <f t="shared" ca="1" si="13"/>
        <v>3739.6544443262956</v>
      </c>
      <c r="J35" s="412">
        <f t="shared" ca="1" si="13"/>
        <v>5861.7678823331862</v>
      </c>
      <c r="K35" s="412">
        <f t="shared" si="13"/>
        <v>8370.8661767303238</v>
      </c>
      <c r="L35" s="412">
        <f t="shared" si="13"/>
        <v>10869.897428413504</v>
      </c>
      <c r="M35" s="412">
        <f t="shared" si="13"/>
        <v>11733.09394804572</v>
      </c>
      <c r="N35" s="412">
        <f t="shared" si="13"/>
        <v>11123.553205103864</v>
      </c>
      <c r="O35" s="412">
        <f t="shared" si="13"/>
        <v>9846.2622554901172</v>
      </c>
    </row>
    <row r="36" spans="2:15" ht="14.85" customHeight="1">
      <c r="B36" s="426" t="s">
        <v>173</v>
      </c>
      <c r="F36" s="810">
        <f t="shared" ref="F36:O36" ca="1" si="14">F35/F$14</f>
        <v>-1.7592255672185637</v>
      </c>
      <c r="G36" s="810">
        <f t="shared" ca="1" si="14"/>
        <v>-0.61611333699472526</v>
      </c>
      <c r="H36" s="810">
        <f t="shared" ca="1" si="14"/>
        <v>-9.4205537593071445E-2</v>
      </c>
      <c r="I36" s="810">
        <f t="shared" ca="1" si="14"/>
        <v>0.10694015500109512</v>
      </c>
      <c r="J36" s="810">
        <f t="shared" ca="1" si="14"/>
        <v>0.10814495248837676</v>
      </c>
      <c r="K36" s="810">
        <f t="shared" si="14"/>
        <v>0.11031129944084053</v>
      </c>
      <c r="L36" s="810">
        <f t="shared" si="14"/>
        <v>0.11018733902170723</v>
      </c>
      <c r="M36" s="810">
        <f t="shared" si="14"/>
        <v>9.9114581434735546E-2</v>
      </c>
      <c r="N36" s="810">
        <f t="shared" si="14"/>
        <v>8.5423203560551317E-2</v>
      </c>
      <c r="O36" s="810">
        <f t="shared" si="14"/>
        <v>7.2013582732109324E-2</v>
      </c>
    </row>
    <row r="37" spans="2:15" ht="14.85" customHeight="1"/>
    <row r="38" spans="2:15" ht="14.85" customHeight="1">
      <c r="B38" s="253" t="s">
        <v>183</v>
      </c>
    </row>
    <row r="39" spans="2:15" ht="14.85" customHeight="1">
      <c r="B39" s="328" t="s">
        <v>184</v>
      </c>
      <c r="D39" s="813"/>
      <c r="E39" s="817" t="s">
        <v>270</v>
      </c>
      <c r="F39" s="818">
        <v>2553</v>
      </c>
      <c r="G39" s="331">
        <f ca="1">F43</f>
        <v>9100.8375611874944</v>
      </c>
      <c r="H39" s="331">
        <f t="shared" ref="H39:O39" ca="1" si="15">G43</f>
        <v>14434.777164885629</v>
      </c>
      <c r="I39" s="331">
        <f t="shared" ca="1" si="15"/>
        <v>16295.487261208938</v>
      </c>
      <c r="J39" s="331">
        <f t="shared" ca="1" si="15"/>
        <v>12555.832816882643</v>
      </c>
      <c r="K39" s="331">
        <f t="shared" ca="1" si="15"/>
        <v>6694.0649345494567</v>
      </c>
      <c r="L39" s="331">
        <f t="shared" ca="1" si="15"/>
        <v>0</v>
      </c>
      <c r="M39" s="331">
        <f t="shared" ca="1" si="15"/>
        <v>0</v>
      </c>
      <c r="N39" s="331">
        <f t="shared" ca="1" si="15"/>
        <v>0</v>
      </c>
      <c r="O39" s="331">
        <f t="shared" ca="1" si="15"/>
        <v>0</v>
      </c>
    </row>
    <row r="40" spans="2:15" ht="14.85" customHeight="1">
      <c r="B40" s="477" t="s">
        <v>185</v>
      </c>
      <c r="F40" s="331">
        <f ca="1">IF(F35&gt;0,0,-F35)</f>
        <v>6547.8375611874944</v>
      </c>
      <c r="G40" s="331">
        <f t="shared" ref="G40:O40" ca="1" si="16">IF(G35&gt;0,0,-G35)</f>
        <v>5333.9396036981343</v>
      </c>
      <c r="H40" s="331">
        <f t="shared" ca="1" si="16"/>
        <v>1860.7100963233097</v>
      </c>
      <c r="I40" s="331">
        <f t="shared" ca="1" si="16"/>
        <v>0</v>
      </c>
      <c r="J40" s="331">
        <f t="shared" ca="1" si="16"/>
        <v>0</v>
      </c>
      <c r="K40" s="331">
        <f t="shared" si="16"/>
        <v>0</v>
      </c>
      <c r="L40" s="331">
        <f t="shared" si="16"/>
        <v>0</v>
      </c>
      <c r="M40" s="331">
        <f t="shared" si="16"/>
        <v>0</v>
      </c>
      <c r="N40" s="331">
        <f t="shared" si="16"/>
        <v>0</v>
      </c>
      <c r="O40" s="331">
        <f t="shared" si="16"/>
        <v>0</v>
      </c>
    </row>
    <row r="41" spans="2:15" ht="14.85" customHeight="1">
      <c r="B41" s="477" t="s">
        <v>186</v>
      </c>
      <c r="F41" s="331">
        <f ca="1">IF(F35&gt;0,-MAX(MIN(SUM(F39:F40),F35),0),0)</f>
        <v>0</v>
      </c>
      <c r="G41" s="331">
        <f t="shared" ref="G41:O41" ca="1" si="17">IF(G35&gt;0,-MAX(MIN(SUM(G39:G40),G35),0),0)</f>
        <v>0</v>
      </c>
      <c r="H41" s="331">
        <f t="shared" ca="1" si="17"/>
        <v>0</v>
      </c>
      <c r="I41" s="331">
        <f t="shared" ca="1" si="17"/>
        <v>-3739.6544443262956</v>
      </c>
      <c r="J41" s="331">
        <f t="shared" ca="1" si="17"/>
        <v>-5861.7678823331862</v>
      </c>
      <c r="K41" s="331">
        <f t="shared" ca="1" si="17"/>
        <v>-6694.0649345494567</v>
      </c>
      <c r="L41" s="331">
        <f t="shared" ca="1" si="17"/>
        <v>0</v>
      </c>
      <c r="M41" s="331">
        <f t="shared" ca="1" si="17"/>
        <v>0</v>
      </c>
      <c r="N41" s="331">
        <f t="shared" ca="1" si="17"/>
        <v>0</v>
      </c>
      <c r="O41" s="331">
        <f t="shared" ca="1" si="17"/>
        <v>0</v>
      </c>
    </row>
    <row r="42" spans="2:15" ht="14.85" customHeight="1">
      <c r="B42" s="346"/>
      <c r="C42" s="346"/>
      <c r="D42" s="346"/>
      <c r="E42" s="346"/>
      <c r="F42" s="346"/>
      <c r="G42" s="346"/>
      <c r="H42" s="346"/>
      <c r="I42" s="346"/>
      <c r="J42" s="346"/>
      <c r="K42" s="346"/>
      <c r="L42" s="346"/>
      <c r="M42" s="346"/>
      <c r="N42" s="346"/>
      <c r="O42" s="346"/>
    </row>
    <row r="43" spans="2:15" ht="14.85" customHeight="1">
      <c r="B43" s="328" t="s">
        <v>187</v>
      </c>
      <c r="F43" s="331">
        <f ca="1">SUM(F39:F41)</f>
        <v>9100.8375611874944</v>
      </c>
      <c r="G43" s="331">
        <f t="shared" ref="G43:O43" ca="1" si="18">SUM(G39:G41)</f>
        <v>14434.777164885629</v>
      </c>
      <c r="H43" s="331">
        <f t="shared" ca="1" si="18"/>
        <v>16295.487261208938</v>
      </c>
      <c r="I43" s="331">
        <f t="shared" ca="1" si="18"/>
        <v>12555.832816882643</v>
      </c>
      <c r="J43" s="331">
        <f t="shared" ca="1" si="18"/>
        <v>6694.0649345494567</v>
      </c>
      <c r="K43" s="331">
        <f t="shared" ca="1" si="18"/>
        <v>0</v>
      </c>
      <c r="L43" s="331">
        <f t="shared" ca="1" si="18"/>
        <v>0</v>
      </c>
      <c r="M43" s="331">
        <f t="shared" ca="1" si="18"/>
        <v>0</v>
      </c>
      <c r="N43" s="331">
        <f t="shared" ca="1" si="18"/>
        <v>0</v>
      </c>
      <c r="O43" s="331">
        <f t="shared" ca="1" si="18"/>
        <v>0</v>
      </c>
    </row>
    <row r="44" spans="2:15" ht="14.85" customHeight="1"/>
    <row r="45" spans="2:15" ht="14.85" customHeight="1">
      <c r="B45" s="253" t="s">
        <v>188</v>
      </c>
      <c r="F45" s="412">
        <f ca="1">F35+SUM(F40:F41)</f>
        <v>0</v>
      </c>
      <c r="G45" s="412">
        <f t="shared" ref="G45:O45" ca="1" si="19">G35+SUM(G40:G41)</f>
        <v>0</v>
      </c>
      <c r="H45" s="412">
        <f t="shared" ca="1" si="19"/>
        <v>0</v>
      </c>
      <c r="I45" s="412">
        <f t="shared" ca="1" si="19"/>
        <v>0</v>
      </c>
      <c r="J45" s="412">
        <f t="shared" ca="1" si="19"/>
        <v>0</v>
      </c>
      <c r="K45" s="412">
        <f t="shared" ca="1" si="19"/>
        <v>1676.8012421808671</v>
      </c>
      <c r="L45" s="412">
        <f t="shared" ca="1" si="19"/>
        <v>10869.897428413504</v>
      </c>
      <c r="M45" s="412">
        <f t="shared" ca="1" si="19"/>
        <v>11733.09394804572</v>
      </c>
      <c r="N45" s="412">
        <f t="shared" ca="1" si="19"/>
        <v>11123.553205103864</v>
      </c>
      <c r="O45" s="412">
        <f t="shared" ca="1" si="19"/>
        <v>9846.2622554901172</v>
      </c>
    </row>
    <row r="46" spans="2:15" ht="14.85" customHeight="1"/>
    <row r="47" spans="2:15" ht="14.85" customHeight="1">
      <c r="B47" s="328" t="s">
        <v>189</v>
      </c>
      <c r="D47" s="430">
        <f>+'MASTER PubCo Inputs'!C9</f>
        <v>0.4</v>
      </c>
      <c r="E47" s="817" t="s">
        <v>269</v>
      </c>
      <c r="F47" s="331">
        <f ca="1">-$D47*F45</f>
        <v>0</v>
      </c>
      <c r="G47" s="331">
        <f t="shared" ref="G47:O47" ca="1" si="20">-$D47*G45</f>
        <v>0</v>
      </c>
      <c r="H47" s="331">
        <f t="shared" ca="1" si="20"/>
        <v>0</v>
      </c>
      <c r="I47" s="331">
        <f t="shared" ca="1" si="20"/>
        <v>0</v>
      </c>
      <c r="J47" s="331">
        <f t="shared" ca="1" si="20"/>
        <v>0</v>
      </c>
      <c r="K47" s="331">
        <f t="shared" ca="1" si="20"/>
        <v>-670.72049687234687</v>
      </c>
      <c r="L47" s="331">
        <f t="shared" ca="1" si="20"/>
        <v>-4347.9589713654013</v>
      </c>
      <c r="M47" s="331">
        <f t="shared" ca="1" si="20"/>
        <v>-4693.2375792182884</v>
      </c>
      <c r="N47" s="331">
        <f t="shared" ca="1" si="20"/>
        <v>-4449.421282041546</v>
      </c>
      <c r="O47" s="331">
        <f t="shared" ca="1" si="20"/>
        <v>-3938.5049021960472</v>
      </c>
    </row>
    <row r="48" spans="2:15" s="467" customFormat="1" ht="14.85" customHeight="1"/>
    <row r="49" spans="2:15" ht="14.85" customHeight="1">
      <c r="B49" s="253" t="s">
        <v>190</v>
      </c>
      <c r="F49" s="412">
        <f ca="1">F35+F47</f>
        <v>-6547.8375611874944</v>
      </c>
      <c r="G49" s="412">
        <f t="shared" ref="G49:O49" ca="1" si="21">G35+G47</f>
        <v>-5333.9396036981343</v>
      </c>
      <c r="H49" s="412">
        <f t="shared" ca="1" si="21"/>
        <v>-1860.7100963233097</v>
      </c>
      <c r="I49" s="412">
        <f t="shared" ca="1" si="21"/>
        <v>3739.6544443262956</v>
      </c>
      <c r="J49" s="412">
        <f t="shared" ca="1" si="21"/>
        <v>5861.7678823331862</v>
      </c>
      <c r="K49" s="412">
        <f t="shared" ca="1" si="21"/>
        <v>7700.1456798579766</v>
      </c>
      <c r="L49" s="412">
        <f t="shared" ca="1" si="21"/>
        <v>6521.9384570481025</v>
      </c>
      <c r="M49" s="412">
        <f t="shared" ca="1" si="21"/>
        <v>7039.8563688274317</v>
      </c>
      <c r="N49" s="412">
        <f t="shared" ca="1" si="21"/>
        <v>6674.1319230623185</v>
      </c>
      <c r="O49" s="412">
        <f t="shared" ca="1" si="21"/>
        <v>5907.7573532940696</v>
      </c>
    </row>
    <row r="50" spans="2:15" ht="14.85" customHeight="1">
      <c r="D50" s="433"/>
    </row>
    <row r="51" spans="2:15" ht="14.85" customHeight="1">
      <c r="B51" s="328" t="s">
        <v>191</v>
      </c>
      <c r="D51" s="819">
        <f>'Comp.5'!W44</f>
        <v>-0.15628366629163537</v>
      </c>
      <c r="E51" s="817" t="s">
        <v>308</v>
      </c>
      <c r="F51" s="812">
        <f>-$D$51*F14</f>
        <v>581.68780593746681</v>
      </c>
      <c r="G51" s="812">
        <f t="shared" ref="G51:O51" si="22">-$D$51*G14</f>
        <v>1353.0102125532039</v>
      </c>
      <c r="H51" s="812">
        <f t="shared" si="22"/>
        <v>3086.8524631258651</v>
      </c>
      <c r="I51" s="812">
        <f t="shared" si="22"/>
        <v>5465.1772967519719</v>
      </c>
      <c r="J51" s="812">
        <f t="shared" si="22"/>
        <v>8471.0248099655564</v>
      </c>
      <c r="K51" s="812">
        <f t="shared" si="22"/>
        <v>11859.434733951779</v>
      </c>
      <c r="L51" s="812">
        <f t="shared" si="22"/>
        <v>15417.265154137312</v>
      </c>
      <c r="M51" s="812">
        <f t="shared" si="22"/>
        <v>18500.718184964775</v>
      </c>
      <c r="N51" s="812">
        <f t="shared" si="22"/>
        <v>20350.790003461254</v>
      </c>
      <c r="O51" s="812">
        <f t="shared" si="22"/>
        <v>21368.329503634319</v>
      </c>
    </row>
    <row r="52" spans="2:15" ht="14.85" customHeight="1">
      <c r="B52" s="328" t="s">
        <v>192</v>
      </c>
      <c r="F52" s="812">
        <f ca="1">F107</f>
        <v>219.53756118749337</v>
      </c>
      <c r="G52" s="812">
        <f t="shared" ref="G52:O52" ca="1" si="23">G107</f>
        <v>490.13960369813412</v>
      </c>
      <c r="H52" s="812">
        <f t="shared" ca="1" si="23"/>
        <v>1107.5100963233072</v>
      </c>
      <c r="I52" s="812">
        <f t="shared" ca="1" si="23"/>
        <v>2200.5455556737015</v>
      </c>
      <c r="J52" s="812">
        <f t="shared" ca="1" si="23"/>
        <v>3894.7505176668128</v>
      </c>
      <c r="K52" s="812">
        <f t="shared" si="23"/>
        <v>6047.0999032696755</v>
      </c>
      <c r="L52" s="812">
        <f t="shared" si="23"/>
        <v>8859.9508915864972</v>
      </c>
      <c r="M52" s="812">
        <f t="shared" si="23"/>
        <v>11942.724035954277</v>
      </c>
      <c r="N52" s="812">
        <f t="shared" si="23"/>
        <v>14919.846577296135</v>
      </c>
      <c r="O52" s="812">
        <f t="shared" si="23"/>
        <v>17499.307516029887</v>
      </c>
    </row>
    <row r="53" spans="2:15" ht="14.85" customHeight="1">
      <c r="B53" s="328" t="s">
        <v>210</v>
      </c>
      <c r="D53" s="430">
        <f>'Comp.5'!O44</f>
        <v>-0.34834639885578611</v>
      </c>
      <c r="E53" s="817" t="s">
        <v>309</v>
      </c>
      <c r="F53" s="812">
        <f ca="1">-(F12-'Hist IS'!G13)*DCF!$D$53</f>
        <v>492.91015438093734</v>
      </c>
      <c r="G53" s="812">
        <f>-(G12-F12)*$D$53</f>
        <v>1719.2288169128467</v>
      </c>
      <c r="H53" s="812">
        <f t="shared" ref="H53:O53" si="24">-(H12-G12)*$D$53</f>
        <v>3864.6246181858619</v>
      </c>
      <c r="I53" s="812">
        <f t="shared" si="24"/>
        <v>5301.1354977873534</v>
      </c>
      <c r="J53" s="812">
        <f t="shared" si="24"/>
        <v>6699.8438261850133</v>
      </c>
      <c r="K53" s="812">
        <f t="shared" si="24"/>
        <v>7552.5512222449224</v>
      </c>
      <c r="L53" s="812">
        <f t="shared" si="24"/>
        <v>7930.1787833571716</v>
      </c>
      <c r="M53" s="812">
        <f t="shared" si="24"/>
        <v>6872.8216122428785</v>
      </c>
      <c r="N53" s="812">
        <f t="shared" si="24"/>
        <v>4123.6929673457325</v>
      </c>
      <c r="O53" s="812">
        <f t="shared" si="24"/>
        <v>2268.0311320401556</v>
      </c>
    </row>
    <row r="54" spans="2:15" ht="14.85" customHeight="1">
      <c r="B54" s="346"/>
      <c r="C54" s="346"/>
      <c r="D54" s="346"/>
      <c r="E54" s="346"/>
      <c r="F54" s="820" t="s">
        <v>786</v>
      </c>
      <c r="G54" s="820"/>
      <c r="H54" s="820"/>
      <c r="I54" s="820"/>
      <c r="J54" s="346"/>
      <c r="K54" s="346"/>
      <c r="L54" s="346"/>
      <c r="M54" s="346"/>
      <c r="N54" s="346"/>
      <c r="O54" s="346"/>
    </row>
    <row r="55" spans="2:15" ht="14.85" customHeight="1">
      <c r="B55" s="253" t="s">
        <v>193</v>
      </c>
      <c r="F55" s="412">
        <f ca="1">SUM(F49:F53)</f>
        <v>-5253.7020396815969</v>
      </c>
      <c r="G55" s="412">
        <f t="shared" ref="G55:O55" ca="1" si="25">SUM(G49:G53)</f>
        <v>-1771.5609705339496</v>
      </c>
      <c r="H55" s="412">
        <f t="shared" ca="1" si="25"/>
        <v>6198.277081311724</v>
      </c>
      <c r="I55" s="412">
        <f t="shared" ca="1" si="25"/>
        <v>16706.512794539321</v>
      </c>
      <c r="J55" s="412">
        <f t="shared" ca="1" si="25"/>
        <v>24927.387036150569</v>
      </c>
      <c r="K55" s="412">
        <f t="shared" ca="1" si="25"/>
        <v>33159.231539324355</v>
      </c>
      <c r="L55" s="412">
        <f t="shared" ca="1" si="25"/>
        <v>38729.333286129084</v>
      </c>
      <c r="M55" s="412">
        <f t="shared" ca="1" si="25"/>
        <v>44356.120201989361</v>
      </c>
      <c r="N55" s="412">
        <f t="shared" ca="1" si="25"/>
        <v>46068.461471165443</v>
      </c>
      <c r="O55" s="412">
        <f t="shared" ca="1" si="25"/>
        <v>47043.425504998428</v>
      </c>
    </row>
    <row r="56" spans="2:15" ht="14.85" customHeight="1"/>
    <row r="57" spans="2:15" ht="14.85" customHeight="1">
      <c r="B57" s="328" t="s">
        <v>196</v>
      </c>
      <c r="F57" s="821">
        <f>YEARFRAC('MASTER PubCo Inputs'!$C$6,DATE(F9,12,31),3)</f>
        <v>1</v>
      </c>
      <c r="G57" s="435">
        <v>1</v>
      </c>
      <c r="H57" s="435">
        <v>1</v>
      </c>
      <c r="I57" s="435">
        <v>1</v>
      </c>
      <c r="J57" s="435">
        <v>1</v>
      </c>
      <c r="K57" s="435">
        <v>1</v>
      </c>
      <c r="L57" s="435">
        <v>1</v>
      </c>
      <c r="M57" s="435">
        <v>1</v>
      </c>
      <c r="N57" s="435">
        <v>1</v>
      </c>
      <c r="O57" s="435">
        <v>1</v>
      </c>
    </row>
    <row r="58" spans="2:15" ht="14.85" customHeight="1"/>
    <row r="59" spans="2:15" ht="14.85" customHeight="1">
      <c r="B59" s="253" t="s">
        <v>197</v>
      </c>
      <c r="F59" s="412">
        <f ca="1">F55*F57</f>
        <v>-5253.7020396815969</v>
      </c>
      <c r="G59" s="412">
        <f t="shared" ref="G59:O59" ca="1" si="26">G55*G57</f>
        <v>-1771.5609705339496</v>
      </c>
      <c r="H59" s="412">
        <f t="shared" ca="1" si="26"/>
        <v>6198.277081311724</v>
      </c>
      <c r="I59" s="412">
        <f t="shared" ca="1" si="26"/>
        <v>16706.512794539321</v>
      </c>
      <c r="J59" s="412">
        <f t="shared" ca="1" si="26"/>
        <v>24927.387036150569</v>
      </c>
      <c r="K59" s="412">
        <f t="shared" ca="1" si="26"/>
        <v>33159.231539324355</v>
      </c>
      <c r="L59" s="412">
        <f t="shared" ca="1" si="26"/>
        <v>38729.333286129084</v>
      </c>
      <c r="M59" s="412">
        <f t="shared" ca="1" si="26"/>
        <v>44356.120201989361</v>
      </c>
      <c r="N59" s="412">
        <f t="shared" ca="1" si="26"/>
        <v>46068.461471165443</v>
      </c>
      <c r="O59" s="412">
        <f t="shared" ca="1" si="26"/>
        <v>47043.425504998428</v>
      </c>
    </row>
    <row r="60" spans="2:15" ht="14.85" customHeight="1"/>
    <row r="61" spans="2:15" ht="14.85" customHeight="1">
      <c r="B61" s="328" t="s">
        <v>194</v>
      </c>
      <c r="F61" s="435">
        <f>F57/2</f>
        <v>0.5</v>
      </c>
      <c r="G61" s="435">
        <f>F61*2+0.5</f>
        <v>1.5</v>
      </c>
      <c r="H61" s="435">
        <f>G61+1</f>
        <v>2.5</v>
      </c>
      <c r="I61" s="435">
        <f t="shared" ref="I61:O61" si="27">H61+1</f>
        <v>3.5</v>
      </c>
      <c r="J61" s="435">
        <f t="shared" si="27"/>
        <v>4.5</v>
      </c>
      <c r="K61" s="435">
        <f t="shared" si="27"/>
        <v>5.5</v>
      </c>
      <c r="L61" s="435">
        <f t="shared" si="27"/>
        <v>6.5</v>
      </c>
      <c r="M61" s="435">
        <f t="shared" si="27"/>
        <v>7.5</v>
      </c>
      <c r="N61" s="435">
        <f t="shared" si="27"/>
        <v>8.5</v>
      </c>
      <c r="O61" s="435">
        <f t="shared" si="27"/>
        <v>9.5</v>
      </c>
    </row>
    <row r="62" spans="2:15" ht="14.85" customHeight="1">
      <c r="B62" s="328" t="s">
        <v>195</v>
      </c>
      <c r="D62" s="819">
        <f>F69</f>
        <v>0.25</v>
      </c>
      <c r="F62" s="435">
        <f>1/(1+$D62)^F61</f>
        <v>0.89442719099991586</v>
      </c>
      <c r="G62" s="435">
        <f t="shared" ref="G62:O62" si="28">1/(1+$D62)^G61</f>
        <v>0.71554175279993271</v>
      </c>
      <c r="H62" s="435">
        <f t="shared" si="28"/>
        <v>0.57243340223994621</v>
      </c>
      <c r="I62" s="435">
        <f t="shared" si="28"/>
        <v>0.45794672179195689</v>
      </c>
      <c r="J62" s="435">
        <f t="shared" si="28"/>
        <v>0.36635737743356556</v>
      </c>
      <c r="K62" s="435">
        <f t="shared" si="28"/>
        <v>0.29308590194685247</v>
      </c>
      <c r="L62" s="435">
        <f t="shared" si="28"/>
        <v>0.23446872155748191</v>
      </c>
      <c r="M62" s="435">
        <f t="shared" si="28"/>
        <v>0.18757497724598554</v>
      </c>
      <c r="N62" s="435">
        <f t="shared" si="28"/>
        <v>0.15005998179678842</v>
      </c>
      <c r="O62" s="435">
        <f t="shared" si="28"/>
        <v>0.12004798543743075</v>
      </c>
    </row>
    <row r="63" spans="2:15" ht="14.85" customHeight="1"/>
    <row r="64" spans="2:15" ht="14.85" customHeight="1">
      <c r="B64" s="822" t="s">
        <v>198</v>
      </c>
      <c r="C64" s="823"/>
      <c r="D64" s="823"/>
      <c r="E64" s="823"/>
      <c r="F64" s="824">
        <f ca="1">F59*F62</f>
        <v>-4699.0539577029394</v>
      </c>
      <c r="G64" s="824">
        <f t="shared" ref="G64:O64" ca="1" si="29">G59*G62</f>
        <v>-1267.6258420478123</v>
      </c>
      <c r="H64" s="824">
        <f t="shared" ca="1" si="29"/>
        <v>3548.1008376811537</v>
      </c>
      <c r="I64" s="824">
        <f t="shared" ca="1" si="29"/>
        <v>7650.6927668346671</v>
      </c>
      <c r="J64" s="824">
        <f t="shared" ca="1" si="29"/>
        <v>9132.3321408355823</v>
      </c>
      <c r="K64" s="824">
        <f t="shared" ca="1" si="29"/>
        <v>9718.5032835673956</v>
      </c>
      <c r="L64" s="824">
        <f t="shared" ca="1" si="29"/>
        <v>9080.8172623723167</v>
      </c>
      <c r="M64" s="824">
        <f t="shared" ca="1" si="29"/>
        <v>8320.0982376083539</v>
      </c>
      <c r="N64" s="824">
        <f t="shared" ca="1" si="29"/>
        <v>6913.0324897691353</v>
      </c>
      <c r="O64" s="824">
        <f t="shared" ca="1" si="29"/>
        <v>5647.4684599509101</v>
      </c>
    </row>
    <row r="65" spans="2:17" ht="14.85" customHeight="1">
      <c r="M65" s="427" t="str">
        <f>IF(M67=F68,"",CHECK)</f>
        <v/>
      </c>
    </row>
    <row r="66" spans="2:17" ht="14.85" customHeight="1">
      <c r="B66" s="825" t="s">
        <v>200</v>
      </c>
      <c r="C66" s="826"/>
      <c r="D66" s="826"/>
      <c r="E66" s="826"/>
      <c r="F66" s="827"/>
      <c r="H66" s="828">
        <v>0.01</v>
      </c>
      <c r="K66" s="829" t="s">
        <v>201</v>
      </c>
      <c r="L66" s="829"/>
      <c r="M66" s="829"/>
      <c r="N66" s="829"/>
      <c r="O66" s="829"/>
    </row>
    <row r="67" spans="2:17" ht="14.85" customHeight="1">
      <c r="B67" s="830" t="s">
        <v>202</v>
      </c>
      <c r="C67" s="831"/>
      <c r="D67" s="831"/>
      <c r="E67" s="831"/>
      <c r="F67" s="832">
        <f ca="1">O59</f>
        <v>47043.425504998428</v>
      </c>
      <c r="H67" s="828">
        <v>5.0000000000000001E-3</v>
      </c>
      <c r="J67" s="833">
        <f ca="1">F79</f>
        <v>83693.575093611056</v>
      </c>
      <c r="K67" s="834">
        <f>L67-$H$67</f>
        <v>4.0000000000000008E-2</v>
      </c>
      <c r="L67" s="835">
        <f>M67-$H$67</f>
        <v>4.5000000000000005E-2</v>
      </c>
      <c r="M67" s="836">
        <v>0.05</v>
      </c>
      <c r="N67" s="835">
        <f>M67+$H$67</f>
        <v>5.5E-2</v>
      </c>
      <c r="O67" s="837">
        <f>N67+$H$67</f>
        <v>0.06</v>
      </c>
      <c r="Q67" s="250" t="str">
        <f>IF(O15=M67,"","CHECK")</f>
        <v/>
      </c>
    </row>
    <row r="68" spans="2:17" ht="14.85" customHeight="1">
      <c r="B68" s="830" t="s">
        <v>201</v>
      </c>
      <c r="C68" s="831"/>
      <c r="D68" s="831"/>
      <c r="E68" s="831"/>
      <c r="F68" s="838">
        <f>M67</f>
        <v>0.05</v>
      </c>
      <c r="G68" s="839" t="str">
        <f>IF(F68=M67,"","CHECK")</f>
        <v/>
      </c>
      <c r="H68" s="2084" t="s">
        <v>199</v>
      </c>
      <c r="J68" s="840">
        <f>J69-$H$66</f>
        <v>0.18999999999999997</v>
      </c>
      <c r="K68" s="841">
        <f t="dataTable" ref="K68:O72" dt2D="1" dtr="1" r1="F68" r2="F69" ca="1"/>
        <v>137218.75742188375</v>
      </c>
      <c r="L68" s="842">
        <v>139728.25140289031</v>
      </c>
      <c r="M68" s="842">
        <v>142440.78938737765</v>
      </c>
      <c r="N68" s="842">
        <v>145038.60076378824</v>
      </c>
      <c r="O68" s="843">
        <v>148283.84658178006</v>
      </c>
    </row>
    <row r="69" spans="2:17" ht="14.85" customHeight="1">
      <c r="B69" s="830" t="s">
        <v>205</v>
      </c>
      <c r="C69" s="831"/>
      <c r="D69" s="831"/>
      <c r="E69" s="831"/>
      <c r="F69" s="844">
        <f>'WACC CAPM'!H14</f>
        <v>0.25</v>
      </c>
      <c r="G69" s="839" t="str">
        <f>IF(F69=J70,"","CHECK")</f>
        <v>CHECK</v>
      </c>
      <c r="H69" s="2084"/>
      <c r="J69" s="845">
        <f>J70-$H$66</f>
        <v>0.19999999999999998</v>
      </c>
      <c r="K69" s="846">
        <v>124541.43872769711</v>
      </c>
      <c r="L69" s="841">
        <v>126979.22331464208</v>
      </c>
      <c r="M69" s="842">
        <v>129720.20802543382</v>
      </c>
      <c r="N69" s="843">
        <v>132032.17516086251</v>
      </c>
      <c r="O69" s="847">
        <v>134665.16056669955</v>
      </c>
    </row>
    <row r="70" spans="2:17" ht="14.85" customHeight="1">
      <c r="B70" s="830" t="s">
        <v>203</v>
      </c>
      <c r="C70" s="831"/>
      <c r="D70" s="831"/>
      <c r="E70" s="831"/>
      <c r="F70" s="848">
        <f>(1+F68)/(F69-F68)</f>
        <v>5.25</v>
      </c>
      <c r="G70" s="817" t="s">
        <v>310</v>
      </c>
      <c r="H70" s="2084"/>
      <c r="I70" s="427" t="e">
        <f>IF(J70=F69,"",CHECK)</f>
        <v>#NAME?</v>
      </c>
      <c r="J70" s="849">
        <v>0.21</v>
      </c>
      <c r="K70" s="846">
        <v>113520.23573820241</v>
      </c>
      <c r="L70" s="846">
        <v>116408.15790614551</v>
      </c>
      <c r="M70" s="850">
        <v>117395.16357181052</v>
      </c>
      <c r="N70" s="847">
        <v>118934.10976520268</v>
      </c>
      <c r="O70" s="847">
        <v>121004.90344676857</v>
      </c>
    </row>
    <row r="71" spans="2:17" ht="14.85" customHeight="1">
      <c r="B71" s="830" t="s">
        <v>204</v>
      </c>
      <c r="C71" s="831"/>
      <c r="D71" s="851"/>
      <c r="E71" s="831"/>
      <c r="F71" s="832">
        <f ca="1">F67*F70</f>
        <v>246977.98390124174</v>
      </c>
      <c r="H71" s="2084"/>
      <c r="J71" s="845">
        <f>J70+$H$66</f>
        <v>0.22</v>
      </c>
      <c r="K71" s="846">
        <v>104600.41932188204</v>
      </c>
      <c r="L71" s="852">
        <v>106882.12085012259</v>
      </c>
      <c r="M71" s="853">
        <v>107192.34341628192</v>
      </c>
      <c r="N71" s="854">
        <v>109124.68329403531</v>
      </c>
      <c r="O71" s="847">
        <v>110139.24019714564</v>
      </c>
    </row>
    <row r="72" spans="2:17" ht="14.85" customHeight="1">
      <c r="B72" s="830" t="s">
        <v>206</v>
      </c>
      <c r="C72" s="831"/>
      <c r="D72" s="831"/>
      <c r="E72" s="831"/>
      <c r="F72" s="855">
        <f>O62</f>
        <v>0.12004798543743075</v>
      </c>
      <c r="H72" s="2084"/>
      <c r="J72" s="856">
        <f>J71+$H$66</f>
        <v>0.23</v>
      </c>
      <c r="K72" s="852">
        <v>96657.669365071808</v>
      </c>
      <c r="L72" s="853">
        <v>97682.8565908163</v>
      </c>
      <c r="M72" s="853">
        <v>98488.009647752624</v>
      </c>
      <c r="N72" s="853">
        <v>100069.77031751574</v>
      </c>
      <c r="O72" s="854">
        <v>100520.17700628377</v>
      </c>
    </row>
    <row r="73" spans="2:17" ht="14.85" customHeight="1">
      <c r="B73" s="857" t="s">
        <v>207</v>
      </c>
      <c r="C73" s="858"/>
      <c r="D73" s="858"/>
      <c r="E73" s="858"/>
      <c r="F73" s="859">
        <f ca="1">F71*F72</f>
        <v>29649.209414742276</v>
      </c>
    </row>
    <row r="74" spans="2:17" ht="14.85" customHeight="1">
      <c r="H74" s="860" t="s">
        <v>212</v>
      </c>
      <c r="I74" s="861"/>
      <c r="J74" s="861"/>
      <c r="K74" s="862" t="s">
        <v>112</v>
      </c>
      <c r="L74" s="863"/>
      <c r="M74" s="862" t="s">
        <v>111</v>
      </c>
      <c r="N74" s="861"/>
      <c r="O74" s="864" t="s">
        <v>341</v>
      </c>
    </row>
    <row r="75" spans="2:17" ht="14.85" customHeight="1">
      <c r="B75" s="865" t="s">
        <v>209</v>
      </c>
      <c r="C75" s="826"/>
      <c r="D75" s="826"/>
      <c r="E75" s="826"/>
      <c r="F75" s="866"/>
      <c r="H75" s="857" t="s">
        <v>211</v>
      </c>
      <c r="I75" s="858"/>
      <c r="J75" s="858"/>
      <c r="K75" s="867">
        <f>ROUND(MIN(L69:N71),-1)</f>
        <v>106880</v>
      </c>
      <c r="L75" s="858"/>
      <c r="M75" s="867">
        <f>ROUND(MAX(L69:N71),-1)</f>
        <v>132030</v>
      </c>
      <c r="N75" s="858"/>
      <c r="O75" s="859">
        <f>ROUND(AVERAGE(K75:M75),-1)</f>
        <v>119460</v>
      </c>
      <c r="Q75" s="827"/>
    </row>
    <row r="76" spans="2:17" ht="14.85" customHeight="1">
      <c r="B76" s="830" t="s">
        <v>208</v>
      </c>
      <c r="C76" s="831"/>
      <c r="D76" s="831"/>
      <c r="E76" s="831"/>
      <c r="F76" s="832">
        <f ca="1">SUM(F64:O64)</f>
        <v>54044.365678868773</v>
      </c>
      <c r="Q76" s="868">
        <f ca="1">F76/$F$79</f>
        <v>0.64574091402380984</v>
      </c>
    </row>
    <row r="77" spans="2:17" ht="14.85" customHeight="1">
      <c r="B77" s="830" t="s">
        <v>204</v>
      </c>
      <c r="C77" s="831"/>
      <c r="D77" s="831"/>
      <c r="E77" s="831"/>
      <c r="F77" s="832">
        <f ca="1">F73</f>
        <v>29649.209414742276</v>
      </c>
      <c r="Q77" s="868">
        <f ca="1">F77/$F$79</f>
        <v>0.35425908597619005</v>
      </c>
    </row>
    <row r="78" spans="2:17" ht="14.85" customHeight="1">
      <c r="B78" s="869"/>
      <c r="C78" s="831"/>
      <c r="D78" s="831"/>
      <c r="E78" s="831"/>
      <c r="F78" s="870"/>
      <c r="Q78" s="870"/>
    </row>
    <row r="79" spans="2:17" ht="14.85" customHeight="1">
      <c r="B79" s="871" t="s">
        <v>831</v>
      </c>
      <c r="C79" s="872"/>
      <c r="D79" s="872"/>
      <c r="E79" s="872"/>
      <c r="F79" s="873">
        <f ca="1">SUM(F76:F77)</f>
        <v>83693.575093611056</v>
      </c>
      <c r="Q79" s="874">
        <f ca="1">SUM(Q76:Q77)</f>
        <v>0.99999999999999989</v>
      </c>
    </row>
    <row r="80" spans="2:17" ht="14.85" customHeight="1"/>
    <row r="81" spans="1:19" ht="14.85" customHeight="1">
      <c r="B81" s="557" t="s">
        <v>86</v>
      </c>
      <c r="J81" s="875"/>
    </row>
    <row r="82" spans="1:19" ht="14.85" customHeight="1">
      <c r="A82" s="876" t="s">
        <v>270</v>
      </c>
      <c r="B82" s="358" t="s">
        <v>1143</v>
      </c>
    </row>
    <row r="83" spans="1:19" ht="14.85" customHeight="1">
      <c r="A83" s="876" t="s">
        <v>269</v>
      </c>
      <c r="B83" s="358" t="s">
        <v>1144</v>
      </c>
    </row>
    <row r="84" spans="1:19" ht="14.85" customHeight="1">
      <c r="A84" s="876" t="s">
        <v>308</v>
      </c>
      <c r="B84" s="358" t="s">
        <v>1145</v>
      </c>
      <c r="C84" s="359"/>
      <c r="D84" s="359"/>
      <c r="E84" s="359"/>
      <c r="F84" s="359"/>
      <c r="G84" s="359"/>
      <c r="H84" s="359"/>
      <c r="I84" s="359"/>
      <c r="J84" s="359"/>
    </row>
    <row r="85" spans="1:19" ht="14.85" customHeight="1">
      <c r="A85" s="876" t="s">
        <v>309</v>
      </c>
      <c r="B85" s="358" t="s">
        <v>1146</v>
      </c>
    </row>
    <row r="86" spans="1:19" ht="14.85" customHeight="1">
      <c r="B86" s="358" t="s">
        <v>974</v>
      </c>
    </row>
    <row r="87" spans="1:19" ht="14.85" customHeight="1">
      <c r="A87" s="876" t="s">
        <v>310</v>
      </c>
      <c r="B87" s="358" t="s">
        <v>1147</v>
      </c>
    </row>
    <row r="88" spans="1:19" ht="14.85" customHeight="1"/>
    <row r="89" spans="1:19" ht="14.85" customHeight="1"/>
    <row r="90" spans="1:19" ht="14.85" customHeight="1">
      <c r="B90" s="484" t="s">
        <v>2274</v>
      </c>
      <c r="D90" s="877">
        <v>5</v>
      </c>
    </row>
    <row r="91" spans="1:19" ht="14.85" customHeight="1"/>
    <row r="92" spans="1:19" ht="14.85" customHeight="1"/>
    <row r="93" spans="1:19" ht="14.85" customHeight="1">
      <c r="D93" s="878" t="s">
        <v>771</v>
      </c>
      <c r="E93" s="879"/>
      <c r="F93" s="880">
        <f>F9</f>
        <v>2017</v>
      </c>
      <c r="G93" s="880">
        <f t="shared" ref="G93:O93" si="30">G9</f>
        <v>2018</v>
      </c>
      <c r="H93" s="880">
        <f t="shared" si="30"/>
        <v>2019</v>
      </c>
      <c r="I93" s="880">
        <f t="shared" si="30"/>
        <v>2020</v>
      </c>
      <c r="J93" s="880">
        <f t="shared" si="30"/>
        <v>2021</v>
      </c>
      <c r="K93" s="880">
        <f t="shared" si="30"/>
        <v>2022</v>
      </c>
      <c r="L93" s="880">
        <f t="shared" si="30"/>
        <v>2023</v>
      </c>
      <c r="M93" s="880">
        <f t="shared" si="30"/>
        <v>2024</v>
      </c>
      <c r="N93" s="880">
        <f t="shared" si="30"/>
        <v>2025</v>
      </c>
      <c r="O93" s="880">
        <f t="shared" si="30"/>
        <v>2026</v>
      </c>
      <c r="P93" s="253"/>
      <c r="S93" s="250" t="s">
        <v>2360</v>
      </c>
    </row>
    <row r="94" spans="1:19" ht="14.85" customHeight="1">
      <c r="B94" s="280" t="s">
        <v>2275</v>
      </c>
      <c r="D94" s="881">
        <f ca="1">'Hist BS'!I22</f>
        <v>516</v>
      </c>
      <c r="E94" s="318"/>
      <c r="F94" s="882">
        <f ca="1">IF(COUNT(F$92:$F93)&gt;$D$90,0,$D$94/$D$90)</f>
        <v>103.2</v>
      </c>
      <c r="G94" s="882">
        <f ca="1">IF(COUNT($F$92:G93)&gt;$D$90,0,$D$94/$D$90)</f>
        <v>103.2</v>
      </c>
      <c r="H94" s="882">
        <f ca="1">IF(COUNT($F$92:H93)&gt;$D$90,0,$D$94/$D$90)</f>
        <v>103.2</v>
      </c>
      <c r="I94" s="882">
        <f ca="1">IF(COUNT($F$92:I93)&gt;$D$90,0,$D$94/$D$90)</f>
        <v>103.2</v>
      </c>
      <c r="J94" s="882">
        <f ca="1">IF(COUNT($F$92:J93)&gt;$D$90,0,$D$94/$D$90)</f>
        <v>103.2</v>
      </c>
      <c r="K94" s="883">
        <f>IF(COUNT($F$92:K93)&gt;$D$90,0,$D$94/$D$90)</f>
        <v>0</v>
      </c>
      <c r="L94" s="883">
        <f>IF(COUNT($F$92:L93)&gt;$D$90,0,$D$94/$D$90)</f>
        <v>0</v>
      </c>
      <c r="M94" s="883">
        <f>IF(COUNT($F$92:M93)&gt;$D$90,0,$D$94/$D$90)</f>
        <v>0</v>
      </c>
      <c r="N94" s="883">
        <f>IF(COUNT($F$92:N93)&gt;$D$90,0,$D$94/$D$90)</f>
        <v>0</v>
      </c>
      <c r="O94" s="883">
        <f>IF(COUNT($F$92:O93)&gt;$D$90,0,$D$94/$D$90)</f>
        <v>0</v>
      </c>
      <c r="P94" s="253"/>
      <c r="S94" s="250" t="s">
        <v>2361</v>
      </c>
    </row>
    <row r="95" spans="1:19" ht="14.85" customHeight="1">
      <c r="B95" s="280"/>
    </row>
    <row r="96" spans="1:19" ht="14.85" customHeight="1">
      <c r="B96" s="250">
        <f t="array" ref="B96:B105">TRANSPOSE(F9:O9)</f>
        <v>2017</v>
      </c>
      <c r="D96" s="884">
        <f t="array" ref="D96:D105">TRANSPOSE(F51:O51)</f>
        <v>581.68780593746681</v>
      </c>
      <c r="F96" s="883">
        <f>IF($B96&gt;F$93,0,IF(SUM($D96-SUM($E96:E96))&lt;=0,0,$D96/$D$90))</f>
        <v>116.33756118749336</v>
      </c>
      <c r="G96" s="883">
        <f>IF($B96&gt;G$93,0,IF(SUM($D96-SUM($E96:F96))&lt;=0,0,$D96/$D$90))</f>
        <v>116.33756118749336</v>
      </c>
      <c r="H96" s="883">
        <f>IF($B96&gt;H$93,0,IF(SUM($D96-SUM($E96:G96))&lt;=0,0,$D96/$D$90))</f>
        <v>116.33756118749336</v>
      </c>
      <c r="I96" s="883">
        <f>IF($B96&gt;I$93,0,IF(SUM($D96-SUM($E96:H96))&lt;=0,0,$D96/$D$90))</f>
        <v>116.33756118749336</v>
      </c>
      <c r="J96" s="883">
        <f>IF($B96&gt;J$93,0,IF(SUM($D96-SUM($E96:I96))&lt;=0,0,$D96/$D$90))</f>
        <v>116.33756118749336</v>
      </c>
      <c r="K96" s="883">
        <f>IF($B96&gt;K$93,0,IF(SUM($D96-SUM($E96:J96))&lt;=0,0,$D96/$D$90))</f>
        <v>0</v>
      </c>
      <c r="L96" s="883">
        <f>IF($B96&gt;L$93,0,IF(SUM($D96-SUM($E96:K96))&lt;=0,0,$D96/$D$90))</f>
        <v>0</v>
      </c>
      <c r="M96" s="883">
        <f>IF($B96&gt;M$93,0,IF(SUM($D96-SUM($E96:L96))&lt;=0,0,$D96/$D$90))</f>
        <v>0</v>
      </c>
      <c r="N96" s="883">
        <f>IF($B96&gt;N$93,0,IF(SUM($D96-SUM($E96:M96))&lt;=0,0,$D96/$D$90))</f>
        <v>0</v>
      </c>
      <c r="O96" s="883">
        <f>IF($B96&gt;O$93,0,IF(SUM($D96-SUM($E96:N96))&lt;=0,0,$D96/$D$90))</f>
        <v>0</v>
      </c>
    </row>
    <row r="97" spans="2:15" ht="14.85" customHeight="1">
      <c r="B97" s="250">
        <v>2018</v>
      </c>
      <c r="D97" s="884">
        <v>1353.0102125532039</v>
      </c>
      <c r="F97" s="883">
        <f>IF($B97&gt;F$93,0,IF(SUM($D97-SUM($E97:E97))&lt;=0,0,$D97/$D$90))</f>
        <v>0</v>
      </c>
      <c r="G97" s="883">
        <f>IF($B97&gt;G$93,0,IF(SUM($D97-SUM($E97:F97))&lt;=0,0,$D97/$D$90))</f>
        <v>270.60204251064079</v>
      </c>
      <c r="H97" s="883">
        <f>IF($B97&gt;H$93,0,IF(SUM($D97-SUM($E97:G97))&lt;=0,0,$D97/$D$90))</f>
        <v>270.60204251064079</v>
      </c>
      <c r="I97" s="883">
        <f>IF($B97&gt;I$93,0,IF(SUM($D97-SUM($E97:H97))&lt;=0,0,$D97/$D$90))</f>
        <v>270.60204251064079</v>
      </c>
      <c r="J97" s="883">
        <f>IF($B97&gt;J$93,0,IF(SUM($D97-SUM($E97:I97))&lt;=0,0,$D97/$D$90))</f>
        <v>270.60204251064079</v>
      </c>
      <c r="K97" s="883">
        <f>IF($B97&gt;K$93,0,IF(SUM($D97-SUM($E97:J97))&lt;=0,0,$D97/$D$90))</f>
        <v>270.60204251064079</v>
      </c>
      <c r="L97" s="883">
        <f>IF($B97&gt;L$93,0,IF(SUM($D97-SUM($E97:K97))&lt;=0,0,$D97/$D$90))</f>
        <v>0</v>
      </c>
      <c r="M97" s="883">
        <f>IF($B97&gt;M$93,0,IF(SUM($D97-SUM($E97:L97))&lt;=0,0,$D97/$D$90))</f>
        <v>0</v>
      </c>
      <c r="N97" s="883">
        <f>IF($B97&gt;N$93,0,IF(SUM($D97-SUM($E97:M97))&lt;=0,0,$D97/$D$90))</f>
        <v>0</v>
      </c>
      <c r="O97" s="883">
        <f>IF($B97&gt;O$93,0,IF(SUM($D97-SUM($E97:N97))&lt;=0,0,$D97/$D$90))</f>
        <v>0</v>
      </c>
    </row>
    <row r="98" spans="2:15" ht="14.85" customHeight="1">
      <c r="B98" s="250">
        <v>2019</v>
      </c>
      <c r="D98" s="884">
        <v>3086.8524631258651</v>
      </c>
      <c r="F98" s="883">
        <f>IF($B98&gt;F$93,0,IF(SUM($D98-SUM($E98:E98))&lt;=0,0,$D98/$D$90))</f>
        <v>0</v>
      </c>
      <c r="G98" s="883">
        <f>IF($B98&gt;G$93,0,IF(SUM($D98-SUM($E98:F98))&lt;=0,0,$D98/$D$90))</f>
        <v>0</v>
      </c>
      <c r="H98" s="883">
        <f>IF($B98&gt;H$93,0,IF(SUM($D98-SUM($E98:G98))&lt;=0,0,$D98/$D$90))</f>
        <v>617.37049262517303</v>
      </c>
      <c r="I98" s="883">
        <f>IF($B98&gt;I$93,0,IF(SUM($D98-SUM($E98:H98))&lt;=0,0,$D98/$D$90))</f>
        <v>617.37049262517303</v>
      </c>
      <c r="J98" s="883">
        <f>IF($B98&gt;J$93,0,IF(SUM($D98-SUM($E98:I98))&lt;=0,0,$D98/$D$90))</f>
        <v>617.37049262517303</v>
      </c>
      <c r="K98" s="883">
        <f>IF($B98&gt;K$93,0,IF(SUM($D98-SUM($E98:J98))&lt;=0,0,$D98/$D$90))</f>
        <v>617.37049262517303</v>
      </c>
      <c r="L98" s="883">
        <f>IF($B98&gt;L$93,0,IF(SUM($D98-SUM($E98:K98))&lt;=0,0,$D98/$D$90))</f>
        <v>617.37049262517303</v>
      </c>
      <c r="M98" s="883">
        <f>IF($B98&gt;M$93,0,IF(SUM($D98-SUM($E98:L98))&lt;=0,0,$D98/$D$90))</f>
        <v>0</v>
      </c>
      <c r="N98" s="883">
        <f>IF($B98&gt;N$93,0,IF(SUM($D98-SUM($E98:M98))&lt;=0,0,$D98/$D$90))</f>
        <v>0</v>
      </c>
      <c r="O98" s="883">
        <f>IF($B98&gt;O$93,0,IF(SUM($D98-SUM($E98:N98))&lt;=0,0,$D98/$D$90))</f>
        <v>0</v>
      </c>
    </row>
    <row r="99" spans="2:15" ht="14.85" customHeight="1">
      <c r="B99" s="250">
        <v>2020</v>
      </c>
      <c r="D99" s="884">
        <v>5465.1772967519719</v>
      </c>
      <c r="F99" s="883">
        <f>IF($B99&gt;F$93,0,IF(SUM($D99-SUM($E99:E99))&lt;=0,0,$D99/$D$90))</f>
        <v>0</v>
      </c>
      <c r="G99" s="883">
        <f>IF($B99&gt;G$93,0,IF(SUM($D99-SUM($E99:F99))&lt;=0,0,$D99/$D$90))</f>
        <v>0</v>
      </c>
      <c r="H99" s="883">
        <f>IF($B99&gt;H$93,0,IF(SUM($D99-SUM($E99:G99))&lt;=0,0,$D99/$D$90))</f>
        <v>0</v>
      </c>
      <c r="I99" s="883">
        <f>IF($B99&gt;I$93,0,IF(SUM($D99-SUM($E99:H99))&lt;=0,0,$D99/$D$90))</f>
        <v>1093.0354593503944</v>
      </c>
      <c r="J99" s="883">
        <f>IF($B99&gt;J$93,0,IF(SUM($D99-SUM($E99:I99))&lt;=0,0,$D99/$D$90))</f>
        <v>1093.0354593503944</v>
      </c>
      <c r="K99" s="883">
        <f>IF($B99&gt;K$93,0,IF(SUM($D99-SUM($E99:J99))&lt;=0,0,$D99/$D$90))</f>
        <v>1093.0354593503944</v>
      </c>
      <c r="L99" s="883">
        <f>IF($B99&gt;L$93,0,IF(SUM($D99-SUM($E99:K99))&lt;=0,0,$D99/$D$90))</f>
        <v>1093.0354593503944</v>
      </c>
      <c r="M99" s="883">
        <f>IF($B99&gt;M$93,0,IF(SUM($D99-SUM($E99:L99))&lt;=0,0,$D99/$D$90))</f>
        <v>1093.0354593503944</v>
      </c>
      <c r="N99" s="883">
        <f>IF($B99&gt;N$93,0,IF(SUM($D99-SUM($E99:M99))&lt;=0,0,$D99/$D$90))</f>
        <v>0</v>
      </c>
      <c r="O99" s="883">
        <f>IF($B99&gt;O$93,0,IF(SUM($D99-SUM($E99:N99))&lt;=0,0,$D99/$D$90))</f>
        <v>0</v>
      </c>
    </row>
    <row r="100" spans="2:15" ht="14.85" customHeight="1">
      <c r="B100" s="250">
        <v>2021</v>
      </c>
      <c r="D100" s="884">
        <v>8471.0248099655564</v>
      </c>
      <c r="F100" s="883">
        <f>IF($B100&gt;F$93,0,IF(SUM($D100-SUM($E100:E100))&lt;=0,0,$D100/$D$90))</f>
        <v>0</v>
      </c>
      <c r="G100" s="883">
        <f>IF($B100&gt;G$93,0,IF(SUM($D100-SUM($E100:F100))&lt;=0,0,$D100/$D$90))</f>
        <v>0</v>
      </c>
      <c r="H100" s="883">
        <f>IF($B100&gt;H$93,0,IF(SUM($D100-SUM($E100:G100))&lt;=0,0,$D100/$D$90))</f>
        <v>0</v>
      </c>
      <c r="I100" s="883">
        <f>IF($B100&gt;I$93,0,IF(SUM($D100-SUM($E100:H100))&lt;=0,0,$D100/$D$90))</f>
        <v>0</v>
      </c>
      <c r="J100" s="883">
        <f>IF($B100&gt;J$93,0,IF(SUM($D100-SUM($E100:I100))&lt;=0,0,$D100/$D$90))</f>
        <v>1694.2049619931113</v>
      </c>
      <c r="K100" s="883">
        <f>IF($B100&gt;K$93,0,IF(SUM($D100-SUM($E100:J100))&lt;=0,0,$D100/$D$90))</f>
        <v>1694.2049619931113</v>
      </c>
      <c r="L100" s="883">
        <f>IF($B100&gt;L$93,0,IF(SUM($D100-SUM($E100:K100))&lt;=0,0,$D100/$D$90))</f>
        <v>1694.2049619931113</v>
      </c>
      <c r="M100" s="883">
        <f>IF($B100&gt;M$93,0,IF(SUM($D100-SUM($E100:L100))&lt;=0,0,$D100/$D$90))</f>
        <v>1694.2049619931113</v>
      </c>
      <c r="N100" s="883">
        <f>IF($B100&gt;N$93,0,IF(SUM($D100-SUM($E100:M100))&lt;=0,0,$D100/$D$90))</f>
        <v>1694.2049619931113</v>
      </c>
      <c r="O100" s="883">
        <f>IF($B100&gt;O$93,0,IF(SUM($D100-SUM($E100:N100))&lt;=0,0,$D100/$D$90))</f>
        <v>0</v>
      </c>
    </row>
    <row r="101" spans="2:15" ht="14.85" customHeight="1">
      <c r="B101" s="250">
        <v>2022</v>
      </c>
      <c r="D101" s="884">
        <v>11859.434733951779</v>
      </c>
      <c r="F101" s="883">
        <f>IF($B101&gt;F$93,0,IF(SUM($D101-SUM($E101:E101))&lt;=0,0,$D101/$D$90))</f>
        <v>0</v>
      </c>
      <c r="G101" s="883">
        <f>IF($B101&gt;G$93,0,IF(SUM($D101-SUM($E101:F101))&lt;=0,0,$D101/$D$90))</f>
        <v>0</v>
      </c>
      <c r="H101" s="883">
        <f>IF($B101&gt;H$93,0,IF(SUM($D101-SUM($E101:G101))&lt;=0,0,$D101/$D$90))</f>
        <v>0</v>
      </c>
      <c r="I101" s="883">
        <f>IF($B101&gt;I$93,0,IF(SUM($D101-SUM($E101:H101))&lt;=0,0,$D101/$D$90))</f>
        <v>0</v>
      </c>
      <c r="J101" s="883">
        <f>IF($B101&gt;J$93,0,IF(SUM($D101-SUM($E101:I101))&lt;=0,0,$D101/$D$90))</f>
        <v>0</v>
      </c>
      <c r="K101" s="883">
        <f>IF($B101&gt;K$93,0,IF(SUM($D101-SUM($E101:J101))&lt;=0,0,$D101/$D$90))</f>
        <v>2371.886946790356</v>
      </c>
      <c r="L101" s="883">
        <f>IF($B101&gt;L$93,0,IF(SUM($D101-SUM($E101:K101))&lt;=0,0,$D101/$D$90))</f>
        <v>2371.886946790356</v>
      </c>
      <c r="M101" s="883">
        <f>IF($B101&gt;M$93,0,IF(SUM($D101-SUM($E101:L101))&lt;=0,0,$D101/$D$90))</f>
        <v>2371.886946790356</v>
      </c>
      <c r="N101" s="883">
        <f>IF($B101&gt;N$93,0,IF(SUM($D101-SUM($E101:M101))&lt;=0,0,$D101/$D$90))</f>
        <v>2371.886946790356</v>
      </c>
      <c r="O101" s="883">
        <f>IF($B101&gt;O$93,0,IF(SUM($D101-SUM($E101:N101))&lt;=0,0,$D101/$D$90))</f>
        <v>2371.886946790356</v>
      </c>
    </row>
    <row r="102" spans="2:15" ht="14.85" customHeight="1">
      <c r="B102" s="250">
        <v>2023</v>
      </c>
      <c r="D102" s="884">
        <v>15417.265154137312</v>
      </c>
      <c r="F102" s="883">
        <f>IF($B102&gt;F$93,0,IF(SUM($D102-SUM($E102:E102))&lt;=0,0,$D102/$D$90))</f>
        <v>0</v>
      </c>
      <c r="G102" s="883">
        <f>IF($B102&gt;G$93,0,IF(SUM($D102-SUM($E102:F102))&lt;=0,0,$D102/$D$90))</f>
        <v>0</v>
      </c>
      <c r="H102" s="883">
        <f>IF($B102&gt;H$93,0,IF(SUM($D102-SUM($E102:G102))&lt;=0,0,$D102/$D$90))</f>
        <v>0</v>
      </c>
      <c r="I102" s="883">
        <f>IF($B102&gt;I$93,0,IF(SUM($D102-SUM($E102:H102))&lt;=0,0,$D102/$D$90))</f>
        <v>0</v>
      </c>
      <c r="J102" s="883">
        <f>IF($B102&gt;J$93,0,IF(SUM($D102-SUM($E102:I102))&lt;=0,0,$D102/$D$90))</f>
        <v>0</v>
      </c>
      <c r="K102" s="883">
        <f>IF($B102&gt;K$93,0,IF(SUM($D102-SUM($E102:J102))&lt;=0,0,$D102/$D$90))</f>
        <v>0</v>
      </c>
      <c r="L102" s="883">
        <f>IF($B102&gt;L$93,0,IF(SUM($D102-SUM($E102:K102))&lt;=0,0,$D102/$D$90))</f>
        <v>3083.4530308274625</v>
      </c>
      <c r="M102" s="883">
        <f>IF($B102&gt;M$93,0,IF(SUM($D102-SUM($E102:L102))&lt;=0,0,$D102/$D$90))</f>
        <v>3083.4530308274625</v>
      </c>
      <c r="N102" s="883">
        <f>IF($B102&gt;N$93,0,IF(SUM($D102-SUM($E102:M102))&lt;=0,0,$D102/$D$90))</f>
        <v>3083.4530308274625</v>
      </c>
      <c r="O102" s="883">
        <f>IF($B102&gt;O$93,0,IF(SUM($D102-SUM($E102:N102))&lt;=0,0,$D102/$D$90))</f>
        <v>3083.4530308274625</v>
      </c>
    </row>
    <row r="103" spans="2:15" ht="14.85" customHeight="1">
      <c r="B103" s="250">
        <v>2024</v>
      </c>
      <c r="D103" s="884">
        <v>18500.718184964775</v>
      </c>
      <c r="F103" s="883">
        <f>IF($B103&gt;F$93,0,IF(SUM($D103-SUM($E103:E103))&lt;=0,0,$D103/$D$90))</f>
        <v>0</v>
      </c>
      <c r="G103" s="883">
        <f>IF($B103&gt;G$93,0,IF(SUM($D103-SUM($E103:F103))&lt;=0,0,$D103/$D$90))</f>
        <v>0</v>
      </c>
      <c r="H103" s="883">
        <f>IF($B103&gt;H$93,0,IF(SUM($D103-SUM($E103:G103))&lt;=0,0,$D103/$D$90))</f>
        <v>0</v>
      </c>
      <c r="I103" s="883">
        <f>IF($B103&gt;I$93,0,IF(SUM($D103-SUM($E103:H103))&lt;=0,0,$D103/$D$90))</f>
        <v>0</v>
      </c>
      <c r="J103" s="883">
        <f>IF($B103&gt;J$93,0,IF(SUM($D103-SUM($E103:I103))&lt;=0,0,$D103/$D$90))</f>
        <v>0</v>
      </c>
      <c r="K103" s="883">
        <f>IF($B103&gt;K$93,0,IF(SUM($D103-SUM($E103:J103))&lt;=0,0,$D103/$D$90))</f>
        <v>0</v>
      </c>
      <c r="L103" s="883">
        <f>IF($B103&gt;L$93,0,IF(SUM($D103-SUM($E103:K103))&lt;=0,0,$D103/$D$90))</f>
        <v>0</v>
      </c>
      <c r="M103" s="883">
        <f>IF($B103&gt;M$93,0,IF(SUM($D103-SUM($E103:L103))&lt;=0,0,$D103/$D$90))</f>
        <v>3700.1436369929552</v>
      </c>
      <c r="N103" s="883">
        <f>IF($B103&gt;N$93,0,IF(SUM($D103-SUM($E103:M103))&lt;=0,0,$D103/$D$90))</f>
        <v>3700.1436369929552</v>
      </c>
      <c r="O103" s="883">
        <f>IF($B103&gt;O$93,0,IF(SUM($D103-SUM($E103:N103))&lt;=0,0,$D103/$D$90))</f>
        <v>3700.1436369929552</v>
      </c>
    </row>
    <row r="104" spans="2:15" ht="14.85" customHeight="1">
      <c r="B104" s="250">
        <v>2025</v>
      </c>
      <c r="D104" s="884">
        <v>20350.790003461254</v>
      </c>
      <c r="F104" s="883">
        <f>IF($B104&gt;F$93,0,IF(SUM($D104-SUM($E104:E104))&lt;=0,0,$D104/$D$90))</f>
        <v>0</v>
      </c>
      <c r="G104" s="883">
        <f>IF($B104&gt;G$93,0,IF(SUM($D104-SUM($E104:F104))&lt;=0,0,$D104/$D$90))</f>
        <v>0</v>
      </c>
      <c r="H104" s="883">
        <f>IF($B104&gt;H$93,0,IF(SUM($D104-SUM($E104:G104))&lt;=0,0,$D104/$D$90))</f>
        <v>0</v>
      </c>
      <c r="I104" s="883">
        <f>IF($B104&gt;I$93,0,IF(SUM($D104-SUM($E104:H104))&lt;=0,0,$D104/$D$90))</f>
        <v>0</v>
      </c>
      <c r="J104" s="883">
        <f>IF($B104&gt;J$93,0,IF(SUM($D104-SUM($E104:I104))&lt;=0,0,$D104/$D$90))</f>
        <v>0</v>
      </c>
      <c r="K104" s="883">
        <f>IF($B104&gt;K$93,0,IF(SUM($D104-SUM($E104:J104))&lt;=0,0,$D104/$D$90))</f>
        <v>0</v>
      </c>
      <c r="L104" s="883">
        <f>IF($B104&gt;L$93,0,IF(SUM($D104-SUM($E104:K104))&lt;=0,0,$D104/$D$90))</f>
        <v>0</v>
      </c>
      <c r="M104" s="883">
        <f>IF($B104&gt;M$93,0,IF(SUM($D104-SUM($E104:L104))&lt;=0,0,$D104/$D$90))</f>
        <v>0</v>
      </c>
      <c r="N104" s="883">
        <f>IF($B104&gt;N$93,0,IF(SUM($D104-SUM($E104:M104))&lt;=0,0,$D104/$D$90))</f>
        <v>4070.1580006922509</v>
      </c>
      <c r="O104" s="883">
        <f>IF($B104&gt;O$93,0,IF(SUM($D104-SUM($E104:N104))&lt;=0,0,$D104/$D$90))</f>
        <v>4070.1580006922509</v>
      </c>
    </row>
    <row r="105" spans="2:15" ht="14.85" customHeight="1">
      <c r="B105" s="250">
        <v>2026</v>
      </c>
      <c r="D105" s="884">
        <v>21368.329503634319</v>
      </c>
      <c r="F105" s="883">
        <f>IF($B105&gt;F$93,0,IF(SUM($D105-SUM($E105:E105))&lt;=0,0,$D105/$D$90))</f>
        <v>0</v>
      </c>
      <c r="G105" s="883">
        <f>IF($B105&gt;G$93,0,IF(SUM($D105-SUM($E105:F105))&lt;=0,0,$D105/$D$90))</f>
        <v>0</v>
      </c>
      <c r="H105" s="883">
        <f>IF($B105&gt;H$93,0,IF(SUM($D105-SUM($E105:G105))&lt;=0,0,$D105/$D$90))</f>
        <v>0</v>
      </c>
      <c r="I105" s="883">
        <f>IF($B105&gt;I$93,0,IF(SUM($D105-SUM($E105:H105))&lt;=0,0,$D105/$D$90))</f>
        <v>0</v>
      </c>
      <c r="J105" s="883">
        <f>IF($B105&gt;J$93,0,IF(SUM($D105-SUM($E105:I105))&lt;=0,0,$D105/$D$90))</f>
        <v>0</v>
      </c>
      <c r="K105" s="883">
        <f>IF($B105&gt;K$93,0,IF(SUM($D105-SUM($E105:J105))&lt;=0,0,$D105/$D$90))</f>
        <v>0</v>
      </c>
      <c r="L105" s="883">
        <f>IF($B105&gt;L$93,0,IF(SUM($D105-SUM($E105:K105))&lt;=0,0,$D105/$D$90))</f>
        <v>0</v>
      </c>
      <c r="M105" s="883">
        <f>IF($B105&gt;M$93,0,IF(SUM($D105-SUM($E105:L105))&lt;=0,0,$D105/$D$90))</f>
        <v>0</v>
      </c>
      <c r="N105" s="883">
        <f>IF($B105&gt;N$93,0,IF(SUM($D105-SUM($E105:M105))&lt;=0,0,$D105/$D$90))</f>
        <v>0</v>
      </c>
      <c r="O105" s="883">
        <f>IF($B105&gt;O$93,0,IF(SUM($D105-SUM($E105:N105))&lt;=0,0,$D105/$D$90))</f>
        <v>4273.6659007268636</v>
      </c>
    </row>
    <row r="106" spans="2:15" ht="14.85" customHeight="1">
      <c r="D106" s="467"/>
      <c r="E106" s="467"/>
      <c r="F106" s="885"/>
      <c r="G106" s="885"/>
      <c r="H106" s="885"/>
      <c r="I106" s="885"/>
      <c r="J106" s="885"/>
      <c r="K106" s="885"/>
      <c r="L106" s="885"/>
      <c r="M106" s="885"/>
      <c r="N106" s="885"/>
      <c r="O106" s="885"/>
    </row>
    <row r="107" spans="2:15" ht="14.85" customHeight="1">
      <c r="D107" s="886" t="s">
        <v>169</v>
      </c>
      <c r="E107" s="886"/>
      <c r="F107" s="887">
        <f ca="1">SUM(F94:F106)</f>
        <v>219.53756118749337</v>
      </c>
      <c r="G107" s="887">
        <f t="shared" ref="G107:O107" ca="1" si="31">SUM(G94:G106)</f>
        <v>490.13960369813412</v>
      </c>
      <c r="H107" s="887">
        <f t="shared" ca="1" si="31"/>
        <v>1107.5100963233072</v>
      </c>
      <c r="I107" s="887">
        <f t="shared" ca="1" si="31"/>
        <v>2200.5455556737015</v>
      </c>
      <c r="J107" s="887">
        <f t="shared" ca="1" si="31"/>
        <v>3894.7505176668128</v>
      </c>
      <c r="K107" s="887">
        <f t="shared" si="31"/>
        <v>6047.0999032696755</v>
      </c>
      <c r="L107" s="887">
        <f t="shared" si="31"/>
        <v>8859.9508915864972</v>
      </c>
      <c r="M107" s="887">
        <f t="shared" si="31"/>
        <v>11942.724035954277</v>
      </c>
      <c r="N107" s="887">
        <f t="shared" si="31"/>
        <v>14919.846577296135</v>
      </c>
      <c r="O107" s="887">
        <f t="shared" si="31"/>
        <v>17499.307516029887</v>
      </c>
    </row>
    <row r="108" spans="2:15" ht="14.85" customHeight="1"/>
    <row r="109" spans="2:15" ht="14.85" customHeight="1"/>
    <row r="110" spans="2:15" ht="14.85" customHeight="1"/>
    <row r="111" spans="2:15" ht="14.85" customHeight="1">
      <c r="B111" s="250" t="s">
        <v>934</v>
      </c>
    </row>
    <row r="112" spans="2:15" ht="14.85" customHeight="1">
      <c r="B112" s="888" t="s">
        <v>229</v>
      </c>
      <c r="C112" s="889"/>
      <c r="D112" s="889"/>
      <c r="E112" s="889"/>
      <c r="F112" s="890">
        <v>3151</v>
      </c>
      <c r="G112" s="890">
        <v>3370</v>
      </c>
      <c r="H112" s="890">
        <v>3878</v>
      </c>
      <c r="I112" s="890">
        <v>5839</v>
      </c>
      <c r="J112" s="890">
        <v>10094</v>
      </c>
      <c r="K112" s="890">
        <v>16087</v>
      </c>
      <c r="L112" s="889"/>
      <c r="M112" s="889"/>
      <c r="N112" s="889"/>
      <c r="O112" s="891"/>
    </row>
    <row r="113" spans="2:46" ht="14.85" customHeight="1">
      <c r="B113" s="892" t="s">
        <v>935</v>
      </c>
      <c r="C113" s="467"/>
      <c r="D113" s="467"/>
      <c r="E113" s="467"/>
      <c r="F113" s="893">
        <v>2063</v>
      </c>
      <c r="G113" s="893">
        <v>2227</v>
      </c>
      <c r="H113" s="893">
        <v>2279</v>
      </c>
      <c r="I113" s="893">
        <v>3492</v>
      </c>
      <c r="J113" s="893">
        <v>6589</v>
      </c>
      <c r="K113" s="893">
        <v>10828</v>
      </c>
      <c r="L113" s="467"/>
      <c r="M113" s="467"/>
      <c r="N113" s="467"/>
      <c r="O113" s="468"/>
    </row>
    <row r="114" spans="2:46" ht="14.85" customHeight="1">
      <c r="B114" s="892" t="s">
        <v>241</v>
      </c>
      <c r="C114" s="467"/>
      <c r="D114" s="467"/>
      <c r="E114" s="467"/>
      <c r="F114" s="893">
        <v>2007</v>
      </c>
      <c r="G114" s="893">
        <v>1275</v>
      </c>
      <c r="H114" s="893">
        <v>1275</v>
      </c>
      <c r="I114" s="893">
        <v>1275</v>
      </c>
      <c r="J114" s="893">
        <v>1275</v>
      </c>
      <c r="K114" s="893">
        <v>1275</v>
      </c>
      <c r="L114" s="467"/>
      <c r="M114" s="467"/>
      <c r="N114" s="467"/>
      <c r="O114" s="468"/>
    </row>
    <row r="115" spans="2:46" ht="14.85" customHeight="1">
      <c r="B115" s="892" t="s">
        <v>95</v>
      </c>
      <c r="C115" s="467"/>
      <c r="D115" s="467"/>
      <c r="E115" s="467"/>
      <c r="F115" s="893">
        <v>0</v>
      </c>
      <c r="G115" s="893">
        <v>0</v>
      </c>
      <c r="H115" s="893">
        <v>0</v>
      </c>
      <c r="I115" s="893">
        <v>0</v>
      </c>
      <c r="J115" s="893"/>
      <c r="K115" s="893">
        <v>0</v>
      </c>
      <c r="L115" s="467"/>
      <c r="M115" s="467"/>
      <c r="N115" s="467"/>
      <c r="O115" s="468"/>
    </row>
    <row r="116" spans="2:46" ht="14.85" customHeight="1">
      <c r="B116" s="892" t="s">
        <v>936</v>
      </c>
      <c r="C116" s="467"/>
      <c r="D116" s="467"/>
      <c r="E116" s="467"/>
      <c r="F116" s="894">
        <f>(F112-F113)-(F114-F115)</f>
        <v>-919</v>
      </c>
      <c r="G116" s="894">
        <f t="shared" ref="G116:K116" si="32">(G112-G113)-(G114-G115)</f>
        <v>-132</v>
      </c>
      <c r="H116" s="894">
        <f t="shared" si="32"/>
        <v>324</v>
      </c>
      <c r="I116" s="894">
        <f t="shared" si="32"/>
        <v>1072</v>
      </c>
      <c r="J116" s="894">
        <f t="shared" si="32"/>
        <v>2230</v>
      </c>
      <c r="K116" s="894">
        <f t="shared" si="32"/>
        <v>3984</v>
      </c>
      <c r="L116" s="467"/>
      <c r="M116" s="467"/>
      <c r="N116" s="467"/>
      <c r="O116" s="468"/>
    </row>
    <row r="117" spans="2:46" ht="14.85" customHeight="1">
      <c r="B117" s="895" t="s">
        <v>937</v>
      </c>
      <c r="C117" s="346"/>
      <c r="D117" s="346"/>
      <c r="E117" s="346"/>
      <c r="F117" s="346"/>
      <c r="G117" s="896">
        <f>G116-F116</f>
        <v>787</v>
      </c>
      <c r="H117" s="896">
        <f t="shared" ref="H117:K117" si="33">H116-G116</f>
        <v>456</v>
      </c>
      <c r="I117" s="896">
        <f t="shared" si="33"/>
        <v>748</v>
      </c>
      <c r="J117" s="896">
        <f t="shared" si="33"/>
        <v>1158</v>
      </c>
      <c r="K117" s="896">
        <f t="shared" si="33"/>
        <v>1754</v>
      </c>
      <c r="L117" s="346"/>
      <c r="M117" s="346"/>
      <c r="N117" s="346"/>
      <c r="O117" s="897"/>
    </row>
    <row r="118" spans="2:46" ht="14.85" customHeight="1"/>
    <row r="119" spans="2:46" ht="14.85" customHeight="1">
      <c r="G119" s="898">
        <f>G117/G14</f>
        <v>9.0904890613810158E-2</v>
      </c>
      <c r="H119" s="898">
        <f>H117/H14</f>
        <v>2.3086737276980095E-2</v>
      </c>
      <c r="I119" s="898">
        <f>I117/I14</f>
        <v>2.1390007320644219E-2</v>
      </c>
      <c r="J119" s="898">
        <f>J117/J14</f>
        <v>2.1364178434799038E-2</v>
      </c>
      <c r="K119" s="898">
        <f>K117/K14</f>
        <v>2.3114217230839819E-2</v>
      </c>
    </row>
    <row r="120" spans="2:46" ht="14.85" customHeight="1">
      <c r="F120" s="899"/>
      <c r="G120" s="899"/>
      <c r="H120" s="899"/>
      <c r="I120" s="899"/>
      <c r="J120" s="899"/>
      <c r="K120" s="899"/>
    </row>
    <row r="121" spans="2:46" ht="14.85" customHeight="1">
      <c r="B121" s="900" t="s">
        <v>1910</v>
      </c>
      <c r="C121" s="901" t="s">
        <v>1911</v>
      </c>
      <c r="D121" s="901"/>
      <c r="F121" s="902" t="s">
        <v>868</v>
      </c>
      <c r="G121" s="903" t="s">
        <v>869</v>
      </c>
      <c r="H121" s="903" t="s">
        <v>870</v>
      </c>
      <c r="I121" s="903" t="s">
        <v>871</v>
      </c>
      <c r="J121" s="903" t="s">
        <v>872</v>
      </c>
      <c r="K121" s="903" t="s">
        <v>1912</v>
      </c>
      <c r="L121" s="903" t="s">
        <v>1913</v>
      </c>
      <c r="M121" s="903" t="s">
        <v>1914</v>
      </c>
      <c r="N121" s="903" t="s">
        <v>1915</v>
      </c>
      <c r="O121" s="903" t="s">
        <v>1915</v>
      </c>
      <c r="P121" s="903" t="s">
        <v>1916</v>
      </c>
      <c r="Q121" s="903" t="s">
        <v>1917</v>
      </c>
      <c r="R121" s="903" t="s">
        <v>1918</v>
      </c>
      <c r="S121" s="903" t="s">
        <v>1919</v>
      </c>
      <c r="T121" s="903" t="s">
        <v>1920</v>
      </c>
      <c r="U121" s="903" t="s">
        <v>1921</v>
      </c>
      <c r="V121" s="903" t="s">
        <v>1922</v>
      </c>
      <c r="W121" s="903" t="s">
        <v>1923</v>
      </c>
      <c r="X121" s="903" t="s">
        <v>1924</v>
      </c>
      <c r="Y121" s="903" t="s">
        <v>1925</v>
      </c>
      <c r="Z121" s="903" t="s">
        <v>1926</v>
      </c>
      <c r="AA121" s="903" t="s">
        <v>1927</v>
      </c>
      <c r="AB121" s="903" t="s">
        <v>1928</v>
      </c>
      <c r="AC121" s="903" t="s">
        <v>1929</v>
      </c>
      <c r="AD121" s="903" t="s">
        <v>1930</v>
      </c>
      <c r="AE121" s="903" t="s">
        <v>1931</v>
      </c>
      <c r="AF121" s="903" t="s">
        <v>1932</v>
      </c>
      <c r="AG121" s="903" t="s">
        <v>1933</v>
      </c>
      <c r="AH121" s="903" t="s">
        <v>1934</v>
      </c>
      <c r="AI121" s="903" t="s">
        <v>1935</v>
      </c>
      <c r="AJ121" s="903" t="s">
        <v>1936</v>
      </c>
      <c r="AK121" s="903" t="s">
        <v>1937</v>
      </c>
      <c r="AL121" s="903" t="s">
        <v>1938</v>
      </c>
      <c r="AM121" s="903" t="s">
        <v>1939</v>
      </c>
      <c r="AN121" s="903" t="s">
        <v>1940</v>
      </c>
      <c r="AO121" s="903" t="s">
        <v>1941</v>
      </c>
      <c r="AP121" s="903" t="s">
        <v>1942</v>
      </c>
      <c r="AQ121" s="903" t="s">
        <v>1943</v>
      </c>
      <c r="AR121" s="903" t="s">
        <v>1944</v>
      </c>
      <c r="AS121" s="903" t="s">
        <v>1945</v>
      </c>
      <c r="AT121" s="904" t="s">
        <v>1946</v>
      </c>
    </row>
    <row r="122" spans="2:46" ht="14.85" customHeight="1">
      <c r="B122" s="905" t="s">
        <v>1947</v>
      </c>
      <c r="C122" s="901" t="s">
        <v>1948</v>
      </c>
      <c r="D122" s="901"/>
      <c r="F122" s="906">
        <v>3.7499999999999999E-2</v>
      </c>
      <c r="G122" s="907">
        <v>7.2190000000000004E-2</v>
      </c>
      <c r="H122" s="907">
        <v>6.6769999999999996E-2</v>
      </c>
      <c r="I122" s="907">
        <v>6.1769999999999999E-2</v>
      </c>
      <c r="J122" s="907">
        <v>5.713E-2</v>
      </c>
      <c r="K122" s="907">
        <v>5.2850000000000001E-2</v>
      </c>
      <c r="L122" s="907">
        <v>4.888E-2</v>
      </c>
      <c r="M122" s="907">
        <v>4.5220000000000003E-2</v>
      </c>
      <c r="N122" s="907">
        <v>4.462E-2</v>
      </c>
      <c r="O122" s="907">
        <v>4.462E-2</v>
      </c>
      <c r="P122" s="907">
        <v>4.4609999999999997E-2</v>
      </c>
      <c r="Q122" s="907">
        <v>4.462E-2</v>
      </c>
      <c r="R122" s="907">
        <v>4.4609999999999997E-2</v>
      </c>
      <c r="S122" s="907">
        <v>4.462E-2</v>
      </c>
      <c r="T122" s="907">
        <v>4.4609999999999997E-2</v>
      </c>
      <c r="U122" s="907">
        <v>4.462E-2</v>
      </c>
      <c r="V122" s="907">
        <v>4.4609999999999997E-2</v>
      </c>
      <c r="W122" s="907">
        <v>4.462E-2</v>
      </c>
      <c r="X122" s="907">
        <v>4.4609999999999997E-2</v>
      </c>
      <c r="Y122" s="907">
        <v>4.462E-2</v>
      </c>
      <c r="Z122" s="907">
        <v>4.4609999999999997E-2</v>
      </c>
      <c r="AA122" s="907">
        <v>2.231E-2</v>
      </c>
      <c r="AB122" s="907"/>
      <c r="AC122" s="907"/>
      <c r="AD122" s="907"/>
      <c r="AE122" s="907"/>
      <c r="AF122" s="907"/>
      <c r="AG122" s="907"/>
      <c r="AH122" s="907"/>
      <c r="AI122" s="907"/>
      <c r="AJ122" s="907"/>
      <c r="AK122" s="907"/>
      <c r="AL122" s="908"/>
      <c r="AM122" s="908"/>
      <c r="AN122" s="908"/>
      <c r="AO122" s="908"/>
      <c r="AP122" s="908"/>
      <c r="AQ122" s="908"/>
      <c r="AR122" s="908"/>
      <c r="AS122" s="908"/>
      <c r="AT122" s="909"/>
    </row>
    <row r="123" spans="2:46" ht="14.85" customHeight="1">
      <c r="B123" s="910" t="s">
        <v>1949</v>
      </c>
      <c r="C123" s="901" t="s">
        <v>1950</v>
      </c>
      <c r="D123" s="901"/>
      <c r="F123" s="911">
        <v>1.2999999999999999E-2</v>
      </c>
      <c r="G123" s="912">
        <v>2.564E-2</v>
      </c>
      <c r="H123" s="912">
        <v>2.564E-2</v>
      </c>
      <c r="I123" s="912">
        <v>2.564E-2</v>
      </c>
      <c r="J123" s="912">
        <v>2.564E-2</v>
      </c>
      <c r="K123" s="912">
        <v>2.564E-2</v>
      </c>
      <c r="L123" s="912">
        <v>2.564E-2</v>
      </c>
      <c r="M123" s="912">
        <v>2.564E-2</v>
      </c>
      <c r="N123" s="912">
        <v>2.564E-2</v>
      </c>
      <c r="O123" s="912">
        <v>2.564E-2</v>
      </c>
      <c r="P123" s="912">
        <v>2.564E-2</v>
      </c>
      <c r="Q123" s="912">
        <v>2.564E-2</v>
      </c>
      <c r="R123" s="912">
        <v>2.564E-2</v>
      </c>
      <c r="S123" s="912">
        <v>2.564E-2</v>
      </c>
      <c r="T123" s="912">
        <v>2.564E-2</v>
      </c>
      <c r="U123" s="912">
        <v>2.564E-2</v>
      </c>
      <c r="V123" s="912">
        <v>2.564E-2</v>
      </c>
      <c r="W123" s="912">
        <v>2.564E-2</v>
      </c>
      <c r="X123" s="912">
        <v>2.564E-2</v>
      </c>
      <c r="Y123" s="912">
        <v>2.564E-2</v>
      </c>
      <c r="Z123" s="912">
        <v>2.564E-2</v>
      </c>
      <c r="AA123" s="912">
        <v>2.564E-2</v>
      </c>
      <c r="AB123" s="912">
        <v>2.564E-2</v>
      </c>
      <c r="AC123" s="912">
        <v>2.564E-2</v>
      </c>
      <c r="AD123" s="912">
        <v>2.564E-2</v>
      </c>
      <c r="AE123" s="912">
        <v>2.564E-2</v>
      </c>
      <c r="AF123" s="912">
        <v>2.564E-2</v>
      </c>
      <c r="AG123" s="912">
        <v>2.564E-2</v>
      </c>
      <c r="AH123" s="912">
        <v>2.564E-2</v>
      </c>
      <c r="AI123" s="912">
        <v>2.564E-2</v>
      </c>
      <c r="AJ123" s="912">
        <v>2.564E-2</v>
      </c>
      <c r="AK123" s="912">
        <v>2.564E-2</v>
      </c>
      <c r="AL123" s="912">
        <v>2.564E-2</v>
      </c>
      <c r="AM123" s="912">
        <v>2.564E-2</v>
      </c>
      <c r="AN123" s="912">
        <v>2.564E-2</v>
      </c>
      <c r="AO123" s="912">
        <v>2.564E-2</v>
      </c>
      <c r="AP123" s="912">
        <v>2.564E-2</v>
      </c>
      <c r="AQ123" s="912">
        <v>2.564E-2</v>
      </c>
      <c r="AR123" s="912">
        <v>2.564E-2</v>
      </c>
      <c r="AS123" s="912">
        <v>2.564E-2</v>
      </c>
      <c r="AT123" s="913">
        <v>2.564E-2</v>
      </c>
    </row>
    <row r="124" spans="2:46" ht="14.85" customHeight="1">
      <c r="B124" s="910" t="s">
        <v>1951</v>
      </c>
      <c r="C124" s="901" t="s">
        <v>1948</v>
      </c>
      <c r="D124" s="901"/>
      <c r="F124" s="911">
        <v>0.05</v>
      </c>
      <c r="G124" s="912">
        <v>9.5000000000000001E-2</v>
      </c>
      <c r="H124" s="912">
        <v>8.5500000000000007E-2</v>
      </c>
      <c r="I124" s="912">
        <v>7.6999999999999999E-2</v>
      </c>
      <c r="J124" s="912">
        <v>6.93E-2</v>
      </c>
      <c r="K124" s="912">
        <v>6.2300000000000008E-2</v>
      </c>
      <c r="L124" s="912">
        <v>5.9000000000000004E-2</v>
      </c>
      <c r="M124" s="912">
        <v>5.9000000000000004E-2</v>
      </c>
      <c r="N124" s="912">
        <v>5.91E-2</v>
      </c>
      <c r="O124" s="912">
        <v>5.91E-2</v>
      </c>
      <c r="P124" s="912">
        <v>5.9000000000000004E-2</v>
      </c>
      <c r="Q124" s="912">
        <v>5.91E-2</v>
      </c>
      <c r="R124" s="912">
        <v>5.9000000000000004E-2</v>
      </c>
      <c r="S124" s="912">
        <v>5.91E-2</v>
      </c>
      <c r="T124" s="912">
        <v>5.9000000000000004E-2</v>
      </c>
      <c r="U124" s="912">
        <v>5.91E-2</v>
      </c>
      <c r="V124" s="912">
        <v>2.9500000000000002E-2</v>
      </c>
      <c r="W124" s="912">
        <v>0</v>
      </c>
      <c r="X124" s="912">
        <v>0</v>
      </c>
      <c r="Y124" s="912">
        <v>0</v>
      </c>
      <c r="Z124" s="912">
        <v>0</v>
      </c>
      <c r="AA124" s="912">
        <v>0</v>
      </c>
      <c r="AB124" s="912"/>
      <c r="AC124" s="912"/>
      <c r="AD124" s="912"/>
      <c r="AE124" s="912"/>
      <c r="AF124" s="912"/>
      <c r="AG124" s="912"/>
      <c r="AH124" s="912"/>
      <c r="AI124" s="912"/>
      <c r="AJ124" s="912"/>
      <c r="AK124" s="912"/>
      <c r="AL124" s="914"/>
      <c r="AM124" s="914"/>
      <c r="AN124" s="914"/>
      <c r="AO124" s="914"/>
      <c r="AP124" s="914"/>
      <c r="AQ124" s="914"/>
      <c r="AR124" s="914"/>
      <c r="AS124" s="914"/>
      <c r="AT124" s="915"/>
    </row>
    <row r="125" spans="2:46" ht="14.85" customHeight="1">
      <c r="B125" s="910" t="s">
        <v>1952</v>
      </c>
      <c r="C125" s="901" t="s">
        <v>1948</v>
      </c>
      <c r="D125" s="901"/>
      <c r="F125" s="911">
        <v>0.1</v>
      </c>
      <c r="G125" s="912">
        <v>0.18</v>
      </c>
      <c r="H125" s="912">
        <v>0.14399999999999999</v>
      </c>
      <c r="I125" s="912">
        <v>0.1152</v>
      </c>
      <c r="J125" s="912">
        <v>9.2200000000000004E-2</v>
      </c>
      <c r="K125" s="912">
        <v>7.3700000000000002E-2</v>
      </c>
      <c r="L125" s="912">
        <v>6.5500000000000003E-2</v>
      </c>
      <c r="M125" s="912">
        <v>6.5500000000000003E-2</v>
      </c>
      <c r="N125" s="912">
        <v>6.5600000000000006E-2</v>
      </c>
      <c r="O125" s="912">
        <v>6.5600000000000006E-2</v>
      </c>
      <c r="P125" s="912">
        <v>6.5500000000000003E-2</v>
      </c>
      <c r="Q125" s="912">
        <v>3.2800000000000003E-2</v>
      </c>
      <c r="R125" s="912"/>
      <c r="S125" s="912"/>
      <c r="T125" s="912"/>
      <c r="U125" s="912"/>
      <c r="V125" s="912"/>
      <c r="W125" s="912"/>
      <c r="X125" s="912"/>
      <c r="Y125" s="912"/>
      <c r="Z125" s="912"/>
      <c r="AA125" s="912"/>
      <c r="AB125" s="912"/>
      <c r="AC125" s="912"/>
      <c r="AD125" s="912"/>
      <c r="AE125" s="912"/>
      <c r="AF125" s="912"/>
      <c r="AG125" s="912"/>
      <c r="AH125" s="912"/>
      <c r="AI125" s="912"/>
      <c r="AJ125" s="912"/>
      <c r="AK125" s="912"/>
      <c r="AL125" s="914"/>
      <c r="AM125" s="914"/>
      <c r="AN125" s="914"/>
      <c r="AO125" s="914"/>
      <c r="AP125" s="914"/>
      <c r="AQ125" s="914"/>
      <c r="AR125" s="914"/>
      <c r="AS125" s="914"/>
      <c r="AT125" s="915"/>
    </row>
    <row r="126" spans="2:46" ht="14.85" customHeight="1">
      <c r="B126" s="910" t="s">
        <v>1953</v>
      </c>
      <c r="C126" s="901" t="s">
        <v>1948</v>
      </c>
      <c r="D126" s="901"/>
      <c r="F126" s="911">
        <v>0.1429</v>
      </c>
      <c r="G126" s="912">
        <v>0.24489999999999998</v>
      </c>
      <c r="H126" s="912">
        <v>0.17489999999999997</v>
      </c>
      <c r="I126" s="912">
        <v>0.1249</v>
      </c>
      <c r="J126" s="912">
        <v>8.929999999999999E-2</v>
      </c>
      <c r="K126" s="912">
        <v>8.9200000000000002E-2</v>
      </c>
      <c r="L126" s="912">
        <v>8.929999999999999E-2</v>
      </c>
      <c r="M126" s="912">
        <v>4.4600000000000001E-2</v>
      </c>
      <c r="N126" s="912">
        <v>0</v>
      </c>
      <c r="O126" s="912">
        <v>0</v>
      </c>
      <c r="P126" s="912">
        <v>0</v>
      </c>
      <c r="Q126" s="912">
        <v>0</v>
      </c>
      <c r="R126" s="912">
        <v>0</v>
      </c>
      <c r="S126" s="912">
        <v>0</v>
      </c>
      <c r="T126" s="912">
        <v>0</v>
      </c>
      <c r="U126" s="912">
        <v>0</v>
      </c>
      <c r="V126" s="912">
        <v>0</v>
      </c>
      <c r="W126" s="912">
        <v>0</v>
      </c>
      <c r="X126" s="912">
        <v>0</v>
      </c>
      <c r="Y126" s="912">
        <v>0</v>
      </c>
      <c r="Z126" s="912">
        <v>0</v>
      </c>
      <c r="AA126" s="912">
        <v>0</v>
      </c>
      <c r="AB126" s="912"/>
      <c r="AC126" s="912"/>
      <c r="AD126" s="912"/>
      <c r="AE126" s="912"/>
      <c r="AF126" s="912"/>
      <c r="AG126" s="912"/>
      <c r="AH126" s="912"/>
      <c r="AI126" s="912"/>
      <c r="AJ126" s="912"/>
      <c r="AK126" s="912"/>
      <c r="AL126" s="914"/>
      <c r="AM126" s="914"/>
      <c r="AN126" s="914"/>
      <c r="AO126" s="914"/>
      <c r="AP126" s="914"/>
      <c r="AQ126" s="914"/>
      <c r="AR126" s="914"/>
      <c r="AS126" s="914"/>
      <c r="AT126" s="915"/>
    </row>
    <row r="127" spans="2:46" ht="14.85" customHeight="1">
      <c r="B127" s="910" t="s">
        <v>1954</v>
      </c>
      <c r="C127" s="901" t="s">
        <v>1948</v>
      </c>
      <c r="D127" s="901"/>
      <c r="F127" s="911">
        <v>0.2</v>
      </c>
      <c r="G127" s="912">
        <v>0.32</v>
      </c>
      <c r="H127" s="912">
        <v>0.192</v>
      </c>
      <c r="I127" s="912">
        <v>0.1152</v>
      </c>
      <c r="J127" s="912">
        <v>0.1152</v>
      </c>
      <c r="K127" s="912">
        <v>5.7599999999999998E-2</v>
      </c>
      <c r="L127" s="912">
        <v>0</v>
      </c>
      <c r="M127" s="912">
        <v>0</v>
      </c>
      <c r="N127" s="912">
        <v>0</v>
      </c>
      <c r="O127" s="912">
        <v>0</v>
      </c>
      <c r="P127" s="912">
        <v>0</v>
      </c>
      <c r="Q127" s="912">
        <v>0</v>
      </c>
      <c r="R127" s="912">
        <v>0</v>
      </c>
      <c r="S127" s="912">
        <v>0</v>
      </c>
      <c r="T127" s="912">
        <v>0</v>
      </c>
      <c r="U127" s="912">
        <v>0</v>
      </c>
      <c r="V127" s="912">
        <v>0</v>
      </c>
      <c r="W127" s="912">
        <v>0</v>
      </c>
      <c r="X127" s="912">
        <v>0</v>
      </c>
      <c r="Y127" s="912">
        <v>0</v>
      </c>
      <c r="Z127" s="912">
        <v>0</v>
      </c>
      <c r="AA127" s="912">
        <v>0</v>
      </c>
      <c r="AB127" s="912"/>
      <c r="AC127" s="912"/>
      <c r="AD127" s="912"/>
      <c r="AE127" s="912"/>
      <c r="AF127" s="912"/>
      <c r="AG127" s="912"/>
      <c r="AH127" s="912"/>
      <c r="AI127" s="912"/>
      <c r="AJ127" s="912"/>
      <c r="AK127" s="912"/>
      <c r="AL127" s="914"/>
      <c r="AM127" s="914"/>
      <c r="AN127" s="914"/>
      <c r="AO127" s="914"/>
      <c r="AP127" s="914"/>
      <c r="AQ127" s="914"/>
      <c r="AR127" s="914"/>
      <c r="AS127" s="914"/>
      <c r="AT127" s="915"/>
    </row>
    <row r="128" spans="2:46" ht="14.85" customHeight="1">
      <c r="B128" s="916" t="s">
        <v>1955</v>
      </c>
      <c r="C128" s="901" t="s">
        <v>1948</v>
      </c>
      <c r="D128" s="901"/>
      <c r="F128" s="917">
        <v>0.33329999999999999</v>
      </c>
      <c r="G128" s="918">
        <v>0.44450000000000001</v>
      </c>
      <c r="H128" s="918">
        <v>0.14810000000000001</v>
      </c>
      <c r="I128" s="918">
        <v>7.4099999999999999E-2</v>
      </c>
      <c r="J128" s="919"/>
      <c r="K128" s="918"/>
      <c r="L128" s="919"/>
      <c r="M128" s="918"/>
      <c r="N128" s="918"/>
      <c r="O128" s="918"/>
      <c r="P128" s="918"/>
      <c r="Q128" s="918"/>
      <c r="R128" s="918"/>
      <c r="S128" s="918"/>
      <c r="T128" s="918"/>
      <c r="U128" s="918"/>
      <c r="V128" s="918"/>
      <c r="W128" s="918"/>
      <c r="X128" s="918"/>
      <c r="Y128" s="918"/>
      <c r="Z128" s="918"/>
      <c r="AA128" s="918"/>
      <c r="AB128" s="918"/>
      <c r="AC128" s="918"/>
      <c r="AD128" s="918"/>
      <c r="AE128" s="918"/>
      <c r="AF128" s="918"/>
      <c r="AG128" s="918"/>
      <c r="AH128" s="918"/>
      <c r="AI128" s="918"/>
      <c r="AJ128" s="918"/>
      <c r="AK128" s="918"/>
      <c r="AL128" s="920"/>
      <c r="AM128" s="920"/>
      <c r="AN128" s="920"/>
      <c r="AO128" s="920"/>
      <c r="AP128" s="920"/>
      <c r="AQ128" s="920"/>
      <c r="AR128" s="920"/>
      <c r="AS128" s="920"/>
      <c r="AT128" s="921"/>
    </row>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H68:H72"/>
  </mergeCells>
  <conditionalFormatting sqref="O4">
    <cfRule type="cellIs" dxfId="309" priority="6" stopIfTrue="1" operator="equal">
      <formula>"input"</formula>
    </cfRule>
  </conditionalFormatting>
  <conditionalFormatting sqref="O4">
    <cfRule type="cellIs" dxfId="308" priority="5" stopIfTrue="1" operator="equal">
      <formula>"input"</formula>
    </cfRule>
  </conditionalFormatting>
  <conditionalFormatting sqref="B4:N4">
    <cfRule type="cellIs" dxfId="307" priority="9" stopIfTrue="1" operator="equal">
      <formula>"input"</formula>
    </cfRule>
  </conditionalFormatting>
  <dataValidations disablePrompts="1" count="1">
    <dataValidation type="list" allowBlank="1" showInputMessage="1" showErrorMessage="1" sqref="B93" xr:uid="{00000000-0002-0000-1000-000000000000}">
      <formula1>$S$93:$S$95</formula1>
    </dataValidation>
  </dataValidations>
  <pageMargins left="0.5" right="0.5" top="0.5" bottom="0.5" header="0.5" footer="0.5"/>
  <pageSetup scale="65" fitToWidth="0" fitToHeight="0" orientation="landscape" r:id="rId1"/>
  <rowBreaks count="1" manualBreakCount="1">
    <brk id="49" max="15" man="1"/>
  </rowBreaks>
  <legacy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1"/>
  <dimension ref="A1:BV764"/>
  <sheetViews>
    <sheetView showGridLines="0" view="pageBreakPreview" zoomScale="80" zoomScaleNormal="100" zoomScaleSheetLayoutView="80" workbookViewId="0"/>
  </sheetViews>
  <sheetFormatPr defaultColWidth="14.6640625" defaultRowHeight="12.75" outlineLevelRow="1" outlineLevelCol="1"/>
  <cols>
    <col min="1" max="1" width="3.5" style="926" customWidth="1"/>
    <col min="2" max="2" width="3.5" style="927" customWidth="1"/>
    <col min="3" max="3" width="28.1640625" style="927" customWidth="1"/>
    <col min="4" max="4" width="15.5" style="927" customWidth="1"/>
    <col min="5" max="5" width="3.5" style="927" customWidth="1"/>
    <col min="6" max="10" width="12.83203125" style="927" customWidth="1"/>
    <col min="11" max="11" width="13" style="927" customWidth="1"/>
    <col min="12" max="12" width="13.83203125" style="927" customWidth="1"/>
    <col min="13" max="14" width="14.33203125" style="927" customWidth="1"/>
    <col min="15" max="15" width="15" style="927" customWidth="1"/>
    <col min="16" max="16" width="15.6640625" style="927" hidden="1" customWidth="1" outlineLevel="1"/>
    <col min="17" max="17" width="3.33203125" style="927" customWidth="1" collapsed="1"/>
    <col min="18" max="20" width="25.83203125" style="927" bestFit="1" customWidth="1"/>
    <col min="21" max="16384" width="14.6640625" style="927"/>
  </cols>
  <sheetData>
    <row r="1" spans="1:74" s="250" customFormat="1" ht="10.5" customHeight="1" thickBot="1">
      <c r="A1" s="467"/>
    </row>
    <row r="2" spans="1:74" s="250" customFormat="1" ht="16.5" customHeight="1" thickTop="1">
      <c r="A2" s="467"/>
      <c r="B2" s="258" t="str">
        <f>'MASTER PubCo Inputs'!$C$5</f>
        <v>ABC, Inc.</v>
      </c>
      <c r="C2" s="258"/>
      <c r="D2" s="258"/>
      <c r="E2" s="258"/>
      <c r="F2" s="258"/>
      <c r="G2" s="258"/>
      <c r="H2" s="258"/>
      <c r="I2" s="258"/>
      <c r="J2" s="258"/>
      <c r="K2" s="258"/>
      <c r="L2" s="258"/>
      <c r="M2" s="258"/>
      <c r="N2" s="258"/>
      <c r="O2" s="258"/>
      <c r="P2" s="305"/>
      <c r="T2" s="433"/>
    </row>
    <row r="3" spans="1:74" s="250" customFormat="1" ht="15.75" customHeight="1">
      <c r="A3" s="467"/>
      <c r="B3" s="259" t="str">
        <f>VLOOKUP(B4,Outline!$E$8:$G$79,COLUMNS(Outline!$E$8:$G$8),FALSE)</f>
        <v>Exhibit C.2</v>
      </c>
      <c r="C3" s="259"/>
      <c r="D3" s="259"/>
      <c r="E3" s="259"/>
      <c r="F3" s="259"/>
      <c r="G3" s="259"/>
      <c r="H3" s="259"/>
      <c r="I3" s="259"/>
      <c r="J3" s="259"/>
      <c r="K3" s="259"/>
      <c r="L3" s="259"/>
      <c r="M3" s="259"/>
      <c r="N3" s="259"/>
      <c r="O3" s="259"/>
      <c r="P3" s="313"/>
    </row>
    <row r="4" spans="1:74" s="250" customFormat="1" ht="16.5" customHeight="1" thickBot="1">
      <c r="A4" s="467"/>
      <c r="B4" s="924" t="s">
        <v>1971</v>
      </c>
      <c r="C4" s="924"/>
      <c r="D4" s="924"/>
      <c r="E4" s="924"/>
      <c r="F4" s="924"/>
      <c r="G4" s="924"/>
      <c r="H4" s="924"/>
      <c r="I4" s="924"/>
      <c r="J4" s="924"/>
      <c r="K4" s="924"/>
      <c r="L4" s="924"/>
      <c r="M4" s="924"/>
      <c r="N4" s="925"/>
      <c r="O4" s="925" t="str">
        <f>+'MASTER PubCo Inputs'!$C$21</f>
        <v>(in thousands of USD)</v>
      </c>
    </row>
    <row r="5" spans="1:74" ht="14.85" customHeight="1" thickTop="1">
      <c r="B5" s="926"/>
      <c r="C5" s="926"/>
      <c r="D5" s="926"/>
      <c r="E5" s="926"/>
      <c r="F5" s="926"/>
      <c r="G5" s="926"/>
      <c r="H5" s="926"/>
      <c r="I5" s="926"/>
      <c r="J5" s="926"/>
      <c r="K5" s="926"/>
      <c r="L5" s="926"/>
      <c r="M5" s="926"/>
      <c r="N5" s="926"/>
      <c r="O5" s="926"/>
      <c r="P5" s="926"/>
      <c r="Q5" s="926"/>
    </row>
    <row r="6" spans="1:74" s="250" customFormat="1" ht="14.85" customHeight="1">
      <c r="A6" s="467"/>
      <c r="F6" s="928" t="s">
        <v>167</v>
      </c>
      <c r="G6" s="929"/>
      <c r="H6" s="929"/>
      <c r="I6" s="929"/>
      <c r="J6" s="929"/>
      <c r="K6" s="929"/>
      <c r="L6" s="929"/>
      <c r="M6" s="929"/>
      <c r="N6" s="930"/>
      <c r="O6" s="930"/>
      <c r="P6" s="930"/>
    </row>
    <row r="7" spans="1:74" s="250" customFormat="1" ht="14.85" customHeight="1">
      <c r="A7" s="467"/>
      <c r="F7" s="931" t="s">
        <v>166</v>
      </c>
      <c r="G7" s="932"/>
      <c r="H7" s="932"/>
      <c r="I7" s="932"/>
      <c r="J7" s="932"/>
      <c r="K7" s="932"/>
      <c r="L7" s="932"/>
      <c r="M7" s="932"/>
      <c r="N7" s="933"/>
      <c r="O7" s="933"/>
      <c r="P7" s="933"/>
    </row>
    <row r="8" spans="1:74" ht="14.85" customHeight="1">
      <c r="B8" s="250"/>
      <c r="C8" s="250"/>
      <c r="D8" s="250"/>
      <c r="E8" s="250"/>
      <c r="F8" s="934">
        <f>DCF!F9</f>
        <v>2017</v>
      </c>
      <c r="G8" s="935">
        <f>F8+1</f>
        <v>2018</v>
      </c>
      <c r="H8" s="935">
        <f t="shared" ref="H8:P8" si="0">G8+1</f>
        <v>2019</v>
      </c>
      <c r="I8" s="935">
        <f t="shared" si="0"/>
        <v>2020</v>
      </c>
      <c r="J8" s="935">
        <f t="shared" si="0"/>
        <v>2021</v>
      </c>
      <c r="K8" s="935">
        <f t="shared" si="0"/>
        <v>2022</v>
      </c>
      <c r="L8" s="935">
        <f t="shared" si="0"/>
        <v>2023</v>
      </c>
      <c r="M8" s="935">
        <f t="shared" si="0"/>
        <v>2024</v>
      </c>
      <c r="N8" s="935">
        <f t="shared" si="0"/>
        <v>2025</v>
      </c>
      <c r="O8" s="936">
        <f t="shared" si="0"/>
        <v>2026</v>
      </c>
      <c r="P8" s="936">
        <f t="shared" si="0"/>
        <v>2027</v>
      </c>
      <c r="Q8" s="937"/>
    </row>
    <row r="9" spans="1:74" ht="14.85" customHeight="1">
      <c r="B9" s="938"/>
      <c r="C9" s="938"/>
      <c r="D9" s="939"/>
      <c r="E9" s="939"/>
      <c r="F9" s="940"/>
      <c r="G9" s="941"/>
      <c r="H9" s="941"/>
      <c r="I9" s="941"/>
      <c r="J9" s="942"/>
      <c r="K9" s="942"/>
      <c r="L9" s="942"/>
      <c r="M9" s="942"/>
      <c r="N9" s="942"/>
      <c r="O9" s="942"/>
      <c r="P9" s="942"/>
      <c r="Q9" s="939"/>
      <c r="R9" s="943"/>
      <c r="S9" s="943"/>
      <c r="T9" s="943"/>
      <c r="U9" s="943"/>
      <c r="V9" s="943"/>
      <c r="W9" s="943"/>
      <c r="X9" s="943"/>
      <c r="Y9" s="943"/>
      <c r="Z9" s="943"/>
      <c r="AA9" s="943"/>
      <c r="AB9" s="943"/>
      <c r="AC9" s="943"/>
      <c r="AD9" s="943"/>
      <c r="AE9" s="943"/>
      <c r="AF9" s="943"/>
      <c r="AG9" s="943"/>
      <c r="AH9" s="943"/>
      <c r="AI9" s="943"/>
      <c r="AJ9" s="943"/>
      <c r="AK9" s="943"/>
      <c r="AL9" s="943"/>
      <c r="AM9" s="943"/>
      <c r="AN9" s="943"/>
      <c r="AO9" s="943"/>
      <c r="AP9" s="943"/>
      <c r="AQ9" s="943"/>
      <c r="AR9" s="943"/>
      <c r="AS9" s="943"/>
      <c r="AT9" s="943"/>
      <c r="AU9" s="943"/>
      <c r="AV9" s="943"/>
      <c r="AW9" s="943"/>
      <c r="AX9" s="943"/>
      <c r="AY9" s="943"/>
      <c r="AZ9" s="943"/>
      <c r="BA9" s="943"/>
      <c r="BB9" s="943"/>
      <c r="BC9" s="943"/>
      <c r="BD9" s="943"/>
      <c r="BE9" s="943"/>
      <c r="BF9" s="943"/>
      <c r="BG9" s="943"/>
      <c r="BH9" s="943"/>
      <c r="BI9" s="943"/>
      <c r="BJ9" s="943"/>
      <c r="BK9" s="943"/>
      <c r="BL9" s="943"/>
      <c r="BM9" s="943"/>
      <c r="BN9" s="943"/>
      <c r="BO9" s="943"/>
      <c r="BP9" s="943"/>
      <c r="BQ9" s="943"/>
      <c r="BR9" s="943"/>
      <c r="BS9" s="943"/>
      <c r="BT9" s="943"/>
      <c r="BU9" s="943"/>
      <c r="BV9" s="943"/>
    </row>
    <row r="10" spans="1:74" ht="14.85" customHeight="1">
      <c r="B10" s="944" t="s">
        <v>1956</v>
      </c>
      <c r="C10" s="945"/>
      <c r="D10" s="946" t="s">
        <v>416</v>
      </c>
      <c r="E10" s="947"/>
      <c r="F10" s="948">
        <v>1</v>
      </c>
      <c r="G10" s="949">
        <f>+F10+1</f>
        <v>2</v>
      </c>
      <c r="H10" s="949">
        <f t="shared" ref="H10:P10" si="1">+G10+1</f>
        <v>3</v>
      </c>
      <c r="I10" s="949">
        <f t="shared" si="1"/>
        <v>4</v>
      </c>
      <c r="J10" s="949">
        <f t="shared" si="1"/>
        <v>5</v>
      </c>
      <c r="K10" s="949">
        <f t="shared" si="1"/>
        <v>6</v>
      </c>
      <c r="L10" s="949">
        <f t="shared" si="1"/>
        <v>7</v>
      </c>
      <c r="M10" s="949">
        <f t="shared" si="1"/>
        <v>8</v>
      </c>
      <c r="N10" s="949">
        <f t="shared" si="1"/>
        <v>9</v>
      </c>
      <c r="O10" s="950">
        <f t="shared" si="1"/>
        <v>10</v>
      </c>
      <c r="P10" s="950">
        <f t="shared" si="1"/>
        <v>11</v>
      </c>
      <c r="Q10" s="951"/>
      <c r="R10" s="943"/>
      <c r="S10" s="943"/>
      <c r="T10" s="943"/>
      <c r="U10" s="943"/>
      <c r="V10" s="943"/>
      <c r="W10" s="943"/>
      <c r="X10" s="943"/>
      <c r="Y10" s="943"/>
      <c r="Z10" s="943"/>
      <c r="AA10" s="943"/>
      <c r="AB10" s="943"/>
      <c r="AC10" s="943"/>
      <c r="AD10" s="943"/>
      <c r="AE10" s="943"/>
      <c r="AF10" s="943"/>
      <c r="AG10" s="943"/>
      <c r="AH10" s="943"/>
      <c r="AI10" s="943"/>
      <c r="AJ10" s="943"/>
      <c r="AK10" s="943"/>
      <c r="AL10" s="943"/>
      <c r="AM10" s="943"/>
      <c r="AN10" s="943"/>
      <c r="AO10" s="943"/>
      <c r="AP10" s="943"/>
      <c r="AQ10" s="943"/>
      <c r="AR10" s="943"/>
      <c r="AS10" s="943"/>
      <c r="AT10" s="943"/>
      <c r="AU10" s="943"/>
      <c r="AV10" s="943"/>
      <c r="AW10" s="943"/>
      <c r="AX10" s="943"/>
      <c r="AY10" s="943"/>
      <c r="AZ10" s="943"/>
      <c r="BA10" s="943"/>
      <c r="BB10" s="943"/>
      <c r="BC10" s="943"/>
      <c r="BD10" s="943"/>
      <c r="BE10" s="943"/>
      <c r="BF10" s="943"/>
      <c r="BG10" s="943"/>
      <c r="BH10" s="943"/>
      <c r="BI10" s="943"/>
      <c r="BJ10" s="943"/>
      <c r="BK10" s="943"/>
      <c r="BL10" s="943"/>
      <c r="BM10" s="943"/>
      <c r="BN10" s="943"/>
      <c r="BO10" s="943"/>
      <c r="BP10" s="943"/>
      <c r="BQ10" s="943"/>
      <c r="BR10" s="943"/>
      <c r="BS10" s="943"/>
      <c r="BT10" s="943"/>
      <c r="BU10" s="943"/>
      <c r="BV10" s="943"/>
    </row>
    <row r="11" spans="1:74" ht="14.85" customHeight="1">
      <c r="B11" s="926"/>
      <c r="C11" s="952" t="s">
        <v>1955</v>
      </c>
      <c r="D11" s="953">
        <f>+D21</f>
        <v>0.75</v>
      </c>
      <c r="E11" s="938"/>
      <c r="F11" s="954">
        <f t="shared" ref="F11:P12" ca="1" si="2">OFFSET(F$50,MATCH($C11,$C$51:$C$62,),)</f>
        <v>0.33329999999999999</v>
      </c>
      <c r="G11" s="955">
        <f t="shared" ca="1" si="2"/>
        <v>0.44450000000000001</v>
      </c>
      <c r="H11" s="955">
        <f t="shared" ca="1" si="2"/>
        <v>0.14810000000000001</v>
      </c>
      <c r="I11" s="955">
        <f t="shared" ca="1" si="2"/>
        <v>7.4099999999999999E-2</v>
      </c>
      <c r="J11" s="955">
        <f t="shared" ca="1" si="2"/>
        <v>0</v>
      </c>
      <c r="K11" s="955">
        <f t="shared" ca="1" si="2"/>
        <v>0</v>
      </c>
      <c r="L11" s="955">
        <f t="shared" ca="1" si="2"/>
        <v>0</v>
      </c>
      <c r="M11" s="955">
        <f t="shared" ca="1" si="2"/>
        <v>0</v>
      </c>
      <c r="N11" s="955">
        <f t="shared" ca="1" si="2"/>
        <v>0</v>
      </c>
      <c r="O11" s="956">
        <f t="shared" ca="1" si="2"/>
        <v>0</v>
      </c>
      <c r="P11" s="957">
        <f t="shared" ca="1" si="2"/>
        <v>0</v>
      </c>
      <c r="Q11" s="958"/>
      <c r="R11" s="943"/>
      <c r="S11" s="959"/>
      <c r="T11" s="943"/>
      <c r="U11" s="943"/>
      <c r="V11" s="943"/>
      <c r="W11" s="943"/>
      <c r="X11" s="943"/>
      <c r="Y11" s="943"/>
      <c r="Z11" s="943"/>
      <c r="AA11" s="943"/>
      <c r="AB11" s="943"/>
      <c r="AC11" s="943"/>
      <c r="AD11" s="943"/>
      <c r="AE11" s="943"/>
      <c r="AF11" s="943"/>
      <c r="AG11" s="943"/>
      <c r="AH11" s="943"/>
      <c r="AI11" s="943"/>
      <c r="AJ11" s="943"/>
      <c r="AK11" s="943"/>
      <c r="AL11" s="943"/>
      <c r="AM11" s="943"/>
      <c r="AN11" s="943"/>
      <c r="AO11" s="943"/>
      <c r="AP11" s="943"/>
      <c r="AQ11" s="943"/>
      <c r="AR11" s="943"/>
      <c r="AS11" s="943"/>
      <c r="AT11" s="943"/>
      <c r="AU11" s="943"/>
      <c r="AV11" s="943"/>
      <c r="AW11" s="943"/>
      <c r="AX11" s="943"/>
      <c r="AY11" s="943"/>
      <c r="AZ11" s="943"/>
      <c r="BA11" s="943"/>
      <c r="BB11" s="943"/>
      <c r="BC11" s="943"/>
      <c r="BD11" s="943"/>
      <c r="BE11" s="943"/>
      <c r="BF11" s="943"/>
      <c r="BG11" s="943"/>
      <c r="BH11" s="943"/>
      <c r="BI11" s="943"/>
      <c r="BJ11" s="943"/>
      <c r="BK11" s="943"/>
      <c r="BL11" s="943"/>
      <c r="BM11" s="943"/>
      <c r="BN11" s="943"/>
      <c r="BO11" s="943"/>
      <c r="BP11" s="943"/>
      <c r="BQ11" s="943"/>
      <c r="BR11" s="943"/>
      <c r="BS11" s="943"/>
      <c r="BT11" s="943"/>
      <c r="BU11" s="943"/>
      <c r="BV11" s="943"/>
    </row>
    <row r="12" spans="1:74" ht="14.85" customHeight="1">
      <c r="B12" s="926"/>
      <c r="C12" s="952" t="s">
        <v>1954</v>
      </c>
      <c r="D12" s="960">
        <f>+D22</f>
        <v>0.25</v>
      </c>
      <c r="E12" s="938"/>
      <c r="F12" s="961">
        <f t="shared" ca="1" si="2"/>
        <v>0.2</v>
      </c>
      <c r="G12" s="962">
        <f t="shared" ca="1" si="2"/>
        <v>0.32</v>
      </c>
      <c r="H12" s="962">
        <f t="shared" ca="1" si="2"/>
        <v>0.192</v>
      </c>
      <c r="I12" s="962">
        <f t="shared" ca="1" si="2"/>
        <v>0.1152</v>
      </c>
      <c r="J12" s="962">
        <f t="shared" ca="1" si="2"/>
        <v>0.1152</v>
      </c>
      <c r="K12" s="962">
        <f t="shared" ca="1" si="2"/>
        <v>5.7599999999999998E-2</v>
      </c>
      <c r="L12" s="962">
        <f t="shared" ca="1" si="2"/>
        <v>0</v>
      </c>
      <c r="M12" s="962">
        <f t="shared" ca="1" si="2"/>
        <v>0</v>
      </c>
      <c r="N12" s="962">
        <f t="shared" ca="1" si="2"/>
        <v>0</v>
      </c>
      <c r="O12" s="963">
        <f t="shared" ca="1" si="2"/>
        <v>0</v>
      </c>
      <c r="P12" s="957">
        <f t="shared" ca="1" si="2"/>
        <v>0</v>
      </c>
      <c r="Q12" s="958"/>
      <c r="R12" s="943"/>
      <c r="S12" s="943"/>
      <c r="T12" s="943"/>
      <c r="U12" s="943"/>
      <c r="V12" s="943"/>
      <c r="W12" s="943"/>
      <c r="X12" s="943"/>
      <c r="Y12" s="943"/>
      <c r="Z12" s="943"/>
      <c r="AA12" s="943"/>
      <c r="AB12" s="943"/>
      <c r="AC12" s="943"/>
      <c r="AD12" s="943"/>
      <c r="AE12" s="943"/>
      <c r="AF12" s="943"/>
      <c r="AG12" s="943"/>
      <c r="AH12" s="943"/>
      <c r="AI12" s="943"/>
      <c r="AJ12" s="943"/>
      <c r="AK12" s="943"/>
      <c r="AL12" s="943"/>
      <c r="AM12" s="943"/>
      <c r="AN12" s="943"/>
      <c r="AO12" s="943"/>
      <c r="AP12" s="943"/>
      <c r="AQ12" s="943"/>
      <c r="AR12" s="943"/>
      <c r="AS12" s="943"/>
      <c r="AT12" s="943"/>
      <c r="AU12" s="943"/>
      <c r="AV12" s="943"/>
      <c r="AW12" s="943"/>
      <c r="AX12" s="943"/>
      <c r="AY12" s="943"/>
      <c r="AZ12" s="943"/>
      <c r="BA12" s="943"/>
      <c r="BB12" s="943"/>
      <c r="BC12" s="943"/>
      <c r="BD12" s="943"/>
      <c r="BE12" s="943"/>
      <c r="BF12" s="943"/>
      <c r="BG12" s="943"/>
      <c r="BH12" s="943"/>
      <c r="BI12" s="943"/>
      <c r="BJ12" s="943"/>
      <c r="BK12" s="943"/>
      <c r="BL12" s="943"/>
      <c r="BM12" s="943"/>
      <c r="BN12" s="943"/>
      <c r="BO12" s="943"/>
      <c r="BP12" s="943"/>
      <c r="BQ12" s="943"/>
      <c r="BR12" s="943"/>
      <c r="BS12" s="943"/>
      <c r="BT12" s="943"/>
      <c r="BU12" s="943"/>
      <c r="BV12" s="943"/>
    </row>
    <row r="13" spans="1:74" ht="14.85" customHeight="1">
      <c r="B13" s="964"/>
      <c r="C13" s="965"/>
      <c r="D13" s="966"/>
      <c r="E13" s="938"/>
      <c r="F13" s="967"/>
      <c r="G13" s="967"/>
      <c r="H13" s="967"/>
      <c r="I13" s="967"/>
      <c r="J13" s="967"/>
      <c r="K13" s="967"/>
      <c r="L13" s="967"/>
      <c r="M13" s="967"/>
      <c r="N13" s="967"/>
      <c r="O13" s="967"/>
      <c r="P13" s="967"/>
      <c r="Q13" s="968"/>
      <c r="R13" s="943"/>
      <c r="S13" s="943"/>
      <c r="T13" s="943"/>
      <c r="U13" s="943"/>
      <c r="V13" s="943"/>
      <c r="W13" s="943"/>
      <c r="X13" s="943"/>
      <c r="Y13" s="943"/>
      <c r="Z13" s="943"/>
      <c r="AA13" s="943"/>
      <c r="AB13" s="943"/>
      <c r="AC13" s="943"/>
      <c r="AD13" s="943"/>
      <c r="AE13" s="943"/>
      <c r="AF13" s="943"/>
      <c r="AG13" s="943"/>
      <c r="AH13" s="943"/>
      <c r="AI13" s="943"/>
      <c r="AJ13" s="943"/>
      <c r="AK13" s="943"/>
      <c r="AL13" s="943"/>
      <c r="AM13" s="943"/>
      <c r="AN13" s="943"/>
      <c r="AO13" s="943"/>
      <c r="AP13" s="943"/>
      <c r="AQ13" s="943"/>
      <c r="AR13" s="943"/>
      <c r="AS13" s="943"/>
      <c r="AT13" s="943"/>
      <c r="AU13" s="943"/>
      <c r="AV13" s="943"/>
      <c r="AW13" s="943"/>
      <c r="AX13" s="943"/>
      <c r="AY13" s="943"/>
      <c r="AZ13" s="943"/>
      <c r="BA13" s="943"/>
      <c r="BB13" s="943"/>
      <c r="BC13" s="943"/>
      <c r="BD13" s="943"/>
      <c r="BE13" s="943"/>
      <c r="BF13" s="943"/>
      <c r="BG13" s="943"/>
      <c r="BH13" s="943"/>
      <c r="BI13" s="943"/>
      <c r="BJ13" s="943"/>
      <c r="BK13" s="943"/>
      <c r="BL13" s="943"/>
      <c r="BM13" s="943"/>
      <c r="BN13" s="943"/>
      <c r="BO13" s="943"/>
      <c r="BP13" s="943"/>
      <c r="BQ13" s="943"/>
      <c r="BR13" s="943"/>
      <c r="BS13" s="943"/>
      <c r="BT13" s="943"/>
      <c r="BU13" s="943"/>
      <c r="BV13" s="943"/>
    </row>
    <row r="14" spans="1:74" ht="14.85" customHeight="1">
      <c r="B14" s="969" t="s">
        <v>1957</v>
      </c>
      <c r="C14" s="965"/>
      <c r="D14" s="970"/>
      <c r="E14" s="938"/>
      <c r="F14" s="971">
        <f t="shared" ref="F14:P14" ca="1" si="3">SUMPRODUCT($D$11:$D$12,F11:F12)</f>
        <v>0.29997499999999999</v>
      </c>
      <c r="G14" s="972">
        <f t="shared" ca="1" si="3"/>
        <v>0.41337499999999999</v>
      </c>
      <c r="H14" s="972">
        <f t="shared" ca="1" si="3"/>
        <v>0.15907500000000002</v>
      </c>
      <c r="I14" s="972">
        <f t="shared" ca="1" si="3"/>
        <v>8.4375000000000006E-2</v>
      </c>
      <c r="J14" s="972">
        <f t="shared" ca="1" si="3"/>
        <v>2.8799999999999999E-2</v>
      </c>
      <c r="K14" s="972">
        <f t="shared" ca="1" si="3"/>
        <v>1.44E-2</v>
      </c>
      <c r="L14" s="972">
        <f t="shared" ca="1" si="3"/>
        <v>0</v>
      </c>
      <c r="M14" s="972">
        <f t="shared" ca="1" si="3"/>
        <v>0</v>
      </c>
      <c r="N14" s="972">
        <f t="shared" ca="1" si="3"/>
        <v>0</v>
      </c>
      <c r="O14" s="973">
        <f t="shared" ca="1" si="3"/>
        <v>0</v>
      </c>
      <c r="P14" s="972">
        <f t="shared" ca="1" si="3"/>
        <v>0</v>
      </c>
      <c r="Q14" s="974"/>
      <c r="R14" s="943"/>
      <c r="S14" s="943"/>
      <c r="T14" s="943"/>
      <c r="U14" s="943"/>
      <c r="V14" s="943"/>
      <c r="W14" s="943"/>
      <c r="X14" s="943"/>
      <c r="Y14" s="943"/>
      <c r="Z14" s="943"/>
      <c r="AA14" s="943"/>
      <c r="AB14" s="943"/>
      <c r="AC14" s="943"/>
      <c r="AD14" s="943"/>
      <c r="AE14" s="943"/>
      <c r="AF14" s="943"/>
      <c r="AG14" s="943"/>
      <c r="AH14" s="943"/>
      <c r="AI14" s="943"/>
      <c r="AJ14" s="943"/>
      <c r="AK14" s="943"/>
      <c r="AL14" s="943"/>
      <c r="AM14" s="943"/>
      <c r="AN14" s="943"/>
      <c r="AO14" s="943"/>
      <c r="AP14" s="943"/>
      <c r="AQ14" s="943"/>
      <c r="AR14" s="943"/>
      <c r="AS14" s="943"/>
      <c r="AT14" s="943"/>
      <c r="AU14" s="943"/>
      <c r="AV14" s="943"/>
      <c r="AW14" s="943"/>
      <c r="AX14" s="943"/>
      <c r="AY14" s="943"/>
      <c r="AZ14" s="943"/>
      <c r="BA14" s="943"/>
      <c r="BB14" s="943"/>
      <c r="BC14" s="943"/>
      <c r="BD14" s="943"/>
      <c r="BE14" s="943"/>
      <c r="BF14" s="943"/>
      <c r="BG14" s="943"/>
      <c r="BH14" s="943"/>
      <c r="BI14" s="943"/>
      <c r="BJ14" s="943"/>
      <c r="BK14" s="943"/>
      <c r="BL14" s="943"/>
      <c r="BM14" s="943"/>
      <c r="BN14" s="943"/>
      <c r="BO14" s="943"/>
      <c r="BP14" s="943"/>
      <c r="BQ14" s="943"/>
      <c r="BR14" s="943"/>
      <c r="BS14" s="943"/>
      <c r="BT14" s="943"/>
      <c r="BU14" s="943"/>
      <c r="BV14" s="943"/>
    </row>
    <row r="15" spans="1:74" ht="14.85" customHeight="1">
      <c r="B15" s="965"/>
      <c r="C15" s="965"/>
      <c r="D15" s="975"/>
      <c r="E15" s="938"/>
      <c r="F15" s="976"/>
      <c r="G15" s="976"/>
      <c r="H15" s="976"/>
      <c r="I15" s="976"/>
      <c r="J15" s="976"/>
      <c r="K15" s="976"/>
      <c r="L15" s="976"/>
      <c r="M15" s="976"/>
      <c r="N15" s="976"/>
      <c r="O15" s="976"/>
      <c r="P15" s="976"/>
      <c r="Q15" s="977"/>
      <c r="R15" s="943"/>
      <c r="S15" s="943"/>
      <c r="T15" s="943"/>
      <c r="U15" s="943"/>
      <c r="V15" s="943"/>
      <c r="W15" s="943"/>
      <c r="X15" s="943"/>
      <c r="Y15" s="943"/>
      <c r="Z15" s="943"/>
      <c r="AA15" s="943"/>
      <c r="AB15" s="943"/>
      <c r="AC15" s="943"/>
      <c r="AD15" s="943"/>
      <c r="AE15" s="943"/>
      <c r="AF15" s="943"/>
      <c r="AG15" s="943"/>
      <c r="AH15" s="943"/>
      <c r="AI15" s="943"/>
      <c r="AJ15" s="943"/>
      <c r="AK15" s="943"/>
      <c r="AL15" s="943"/>
      <c r="AM15" s="943"/>
      <c r="AN15" s="943"/>
      <c r="AO15" s="943"/>
      <c r="AP15" s="943"/>
      <c r="AQ15" s="943"/>
      <c r="AR15" s="943"/>
      <c r="AS15" s="943"/>
      <c r="AT15" s="943"/>
      <c r="AU15" s="943"/>
      <c r="AV15" s="943"/>
      <c r="AW15" s="943"/>
      <c r="AX15" s="943"/>
      <c r="AY15" s="943"/>
      <c r="AZ15" s="943"/>
      <c r="BA15" s="943"/>
      <c r="BB15" s="943"/>
      <c r="BC15" s="943"/>
      <c r="BD15" s="943"/>
      <c r="BE15" s="943"/>
      <c r="BF15" s="943"/>
      <c r="BG15" s="943"/>
      <c r="BH15" s="943"/>
      <c r="BI15" s="943"/>
      <c r="BJ15" s="943"/>
      <c r="BK15" s="943"/>
      <c r="BL15" s="943"/>
      <c r="BM15" s="943"/>
      <c r="BN15" s="943"/>
      <c r="BO15" s="943"/>
      <c r="BP15" s="943"/>
      <c r="BQ15" s="943"/>
      <c r="BR15" s="943"/>
      <c r="BS15" s="943"/>
      <c r="BT15" s="943"/>
      <c r="BU15" s="943"/>
      <c r="BV15" s="943"/>
    </row>
    <row r="16" spans="1:74" ht="14.85" customHeight="1">
      <c r="B16" s="978" t="s">
        <v>1956</v>
      </c>
      <c r="C16" s="914"/>
      <c r="D16" s="942"/>
      <c r="E16" s="939"/>
      <c r="F16" s="979">
        <f>F8</f>
        <v>2017</v>
      </c>
      <c r="G16" s="980">
        <f>+F16+1</f>
        <v>2018</v>
      </c>
      <c r="H16" s="980">
        <f t="shared" ref="H16:P17" si="4">+G16+1</f>
        <v>2019</v>
      </c>
      <c r="I16" s="980">
        <f t="shared" si="4"/>
        <v>2020</v>
      </c>
      <c r="J16" s="980">
        <f t="shared" si="4"/>
        <v>2021</v>
      </c>
      <c r="K16" s="980">
        <f t="shared" si="4"/>
        <v>2022</v>
      </c>
      <c r="L16" s="980">
        <f t="shared" si="4"/>
        <v>2023</v>
      </c>
      <c r="M16" s="980">
        <f t="shared" si="4"/>
        <v>2024</v>
      </c>
      <c r="N16" s="980">
        <f t="shared" si="4"/>
        <v>2025</v>
      </c>
      <c r="O16" s="981">
        <f t="shared" si="4"/>
        <v>2026</v>
      </c>
      <c r="P16" s="981">
        <f t="shared" si="4"/>
        <v>2027</v>
      </c>
      <c r="Q16" s="982"/>
      <c r="R16" s="943"/>
      <c r="S16" s="943"/>
      <c r="T16" s="943"/>
      <c r="U16" s="943"/>
      <c r="V16" s="943"/>
      <c r="W16" s="943"/>
      <c r="X16" s="943"/>
      <c r="Y16" s="943"/>
      <c r="Z16" s="943"/>
      <c r="AA16" s="943"/>
      <c r="AB16" s="943"/>
      <c r="AC16" s="943"/>
      <c r="AD16" s="943"/>
      <c r="AE16" s="943"/>
      <c r="AF16" s="943"/>
      <c r="AG16" s="943"/>
      <c r="AH16" s="943"/>
      <c r="AI16" s="943"/>
      <c r="AJ16" s="943"/>
      <c r="AK16" s="943"/>
      <c r="AL16" s="943"/>
      <c r="AM16" s="943"/>
      <c r="AN16" s="943"/>
      <c r="AO16" s="943"/>
      <c r="AP16" s="943"/>
      <c r="AQ16" s="943"/>
      <c r="AR16" s="943"/>
      <c r="AS16" s="943"/>
      <c r="AT16" s="943"/>
      <c r="AU16" s="943"/>
      <c r="AV16" s="943"/>
      <c r="AW16" s="943"/>
      <c r="AX16" s="943"/>
      <c r="AY16" s="943"/>
      <c r="AZ16" s="943"/>
      <c r="BA16" s="943"/>
      <c r="BB16" s="943"/>
      <c r="BC16" s="943"/>
      <c r="BD16" s="943"/>
      <c r="BE16" s="943"/>
      <c r="BF16" s="943"/>
      <c r="BG16" s="943"/>
      <c r="BH16" s="943"/>
      <c r="BI16" s="943"/>
      <c r="BJ16" s="943"/>
      <c r="BK16" s="943"/>
      <c r="BL16" s="943"/>
      <c r="BM16" s="943"/>
      <c r="BN16" s="943"/>
      <c r="BO16" s="943"/>
      <c r="BP16" s="943"/>
      <c r="BQ16" s="943"/>
      <c r="BR16" s="943"/>
      <c r="BS16" s="943"/>
      <c r="BT16" s="943"/>
      <c r="BU16" s="943"/>
      <c r="BV16" s="943"/>
    </row>
    <row r="17" spans="2:74" ht="14.85" customHeight="1">
      <c r="B17" s="926"/>
      <c r="C17" s="926" t="s">
        <v>1958</v>
      </c>
      <c r="D17" s="983">
        <v>3</v>
      </c>
      <c r="E17" s="926"/>
      <c r="F17" s="984">
        <f>+D17+1</f>
        <v>4</v>
      </c>
      <c r="G17" s="985">
        <f>+F17+1</f>
        <v>5</v>
      </c>
      <c r="H17" s="985">
        <f t="shared" si="4"/>
        <v>6</v>
      </c>
      <c r="I17" s="985">
        <f t="shared" si="4"/>
        <v>7</v>
      </c>
      <c r="J17" s="985">
        <f t="shared" si="4"/>
        <v>8</v>
      </c>
      <c r="K17" s="985">
        <f t="shared" si="4"/>
        <v>9</v>
      </c>
      <c r="L17" s="985">
        <f t="shared" si="4"/>
        <v>10</v>
      </c>
      <c r="M17" s="985">
        <f t="shared" si="4"/>
        <v>11</v>
      </c>
      <c r="N17" s="985">
        <f t="shared" si="4"/>
        <v>12</v>
      </c>
      <c r="O17" s="986">
        <f t="shared" si="4"/>
        <v>13</v>
      </c>
      <c r="P17" s="986">
        <f t="shared" si="4"/>
        <v>14</v>
      </c>
      <c r="Q17" s="987"/>
      <c r="R17" s="943"/>
      <c r="S17" s="943"/>
      <c r="T17" s="943"/>
      <c r="U17" s="943"/>
      <c r="V17" s="943"/>
      <c r="W17" s="943"/>
      <c r="X17" s="943"/>
      <c r="Y17" s="943"/>
      <c r="Z17" s="943"/>
      <c r="AA17" s="943"/>
      <c r="AB17" s="943"/>
      <c r="AC17" s="943"/>
      <c r="AD17" s="943"/>
      <c r="AE17" s="943"/>
      <c r="AF17" s="943"/>
      <c r="AG17" s="943"/>
      <c r="AH17" s="943"/>
      <c r="AI17" s="943"/>
      <c r="AJ17" s="943"/>
      <c r="AK17" s="943"/>
      <c r="AL17" s="943"/>
      <c r="AM17" s="943"/>
      <c r="AN17" s="943"/>
      <c r="AO17" s="943"/>
      <c r="AP17" s="943"/>
      <c r="AQ17" s="943"/>
      <c r="AR17" s="943"/>
      <c r="AS17" s="943"/>
      <c r="AT17" s="943"/>
      <c r="AU17" s="943"/>
      <c r="AV17" s="943"/>
      <c r="AW17" s="943"/>
      <c r="AX17" s="943"/>
      <c r="AY17" s="943"/>
      <c r="AZ17" s="943"/>
      <c r="BA17" s="943"/>
      <c r="BB17" s="943"/>
      <c r="BC17" s="943"/>
      <c r="BD17" s="943"/>
      <c r="BE17" s="943"/>
      <c r="BF17" s="943"/>
      <c r="BG17" s="943"/>
      <c r="BH17" s="943"/>
      <c r="BI17" s="943"/>
      <c r="BJ17" s="943"/>
      <c r="BK17" s="943"/>
      <c r="BL17" s="943"/>
      <c r="BM17" s="943"/>
      <c r="BN17" s="943"/>
      <c r="BO17" s="943"/>
      <c r="BP17" s="943"/>
      <c r="BQ17" s="943"/>
      <c r="BR17" s="943"/>
      <c r="BS17" s="943"/>
      <c r="BT17" s="943"/>
      <c r="BU17" s="943"/>
      <c r="BV17" s="943"/>
    </row>
    <row r="18" spans="2:74" ht="14.85" customHeight="1">
      <c r="B18" s="926"/>
      <c r="C18" s="988" t="s">
        <v>1959</v>
      </c>
      <c r="D18" s="989">
        <f ca="1">'Hist BS'!I22</f>
        <v>516</v>
      </c>
      <c r="E18" s="939"/>
      <c r="F18" s="990">
        <f ca="1">IFERROR($D18/SUMIF($F$10:$P$10,"&gt;"&amp;$D$17,$F$14:$P$14)*HLOOKUP(F17,$F$10:$P$14,ROWS($D$10:$D$14),FALSE),0)</f>
        <v>341.26984126984132</v>
      </c>
      <c r="G18" s="991">
        <f t="shared" ref="G18:P18" ca="1" si="5">IFERROR($D18/SUMIF($F$10:$P$10,"&gt;"&amp;$D$17,$F$14:$P$14)*HLOOKUP(G17,$F$10:$P$14,ROWS($D$10:$D$14),FALSE),0)</f>
        <v>116.48677248677249</v>
      </c>
      <c r="H18" s="991">
        <f t="shared" ca="1" si="5"/>
        <v>58.243386243386247</v>
      </c>
      <c r="I18" s="991">
        <f t="shared" ca="1" si="5"/>
        <v>0</v>
      </c>
      <c r="J18" s="991">
        <f t="shared" ca="1" si="5"/>
        <v>0</v>
      </c>
      <c r="K18" s="991">
        <f t="shared" ca="1" si="5"/>
        <v>0</v>
      </c>
      <c r="L18" s="991">
        <f t="shared" ca="1" si="5"/>
        <v>0</v>
      </c>
      <c r="M18" s="991">
        <f t="shared" ca="1" si="5"/>
        <v>0</v>
      </c>
      <c r="N18" s="991">
        <f t="shared" ca="1" si="5"/>
        <v>0</v>
      </c>
      <c r="O18" s="992">
        <f t="shared" ca="1" si="5"/>
        <v>0</v>
      </c>
      <c r="P18" s="992">
        <f t="shared" ca="1" si="5"/>
        <v>0</v>
      </c>
      <c r="Q18" s="993"/>
      <c r="R18" s="994" t="b">
        <f ca="1">D18=SUM(F18:P18)</f>
        <v>1</v>
      </c>
      <c r="S18" s="943"/>
      <c r="T18" s="943"/>
      <c r="U18" s="943"/>
      <c r="V18" s="943"/>
      <c r="W18" s="943"/>
      <c r="X18" s="943"/>
      <c r="Y18" s="943"/>
      <c r="Z18" s="943"/>
      <c r="AA18" s="943"/>
      <c r="AB18" s="943"/>
      <c r="AC18" s="943"/>
      <c r="AD18" s="943"/>
      <c r="AE18" s="943"/>
      <c r="AF18" s="943"/>
      <c r="AG18" s="943"/>
      <c r="AH18" s="943"/>
      <c r="AI18" s="943"/>
      <c r="AJ18" s="943"/>
      <c r="AK18" s="943"/>
      <c r="AL18" s="943"/>
      <c r="AM18" s="943"/>
      <c r="AN18" s="943"/>
      <c r="AO18" s="943"/>
      <c r="AP18" s="943"/>
      <c r="AQ18" s="943"/>
      <c r="AR18" s="943"/>
      <c r="AS18" s="943"/>
      <c r="AT18" s="943"/>
      <c r="AU18" s="943"/>
      <c r="AV18" s="943"/>
      <c r="AW18" s="943"/>
      <c r="AX18" s="943"/>
      <c r="AY18" s="943"/>
      <c r="AZ18" s="943"/>
      <c r="BA18" s="943"/>
      <c r="BB18" s="943"/>
      <c r="BC18" s="943"/>
      <c r="BD18" s="943"/>
      <c r="BE18" s="943"/>
      <c r="BF18" s="943"/>
      <c r="BG18" s="943"/>
      <c r="BH18" s="943"/>
      <c r="BI18" s="943"/>
      <c r="BJ18" s="943"/>
      <c r="BK18" s="943"/>
      <c r="BL18" s="943"/>
      <c r="BM18" s="943"/>
      <c r="BN18" s="943"/>
      <c r="BO18" s="943"/>
      <c r="BP18" s="943"/>
      <c r="BQ18" s="943"/>
      <c r="BR18" s="943"/>
      <c r="BS18" s="943"/>
      <c r="BT18" s="943"/>
      <c r="BU18" s="943"/>
      <c r="BV18" s="943"/>
    </row>
    <row r="19" spans="2:74" ht="14.85" customHeight="1">
      <c r="B19" s="914"/>
      <c r="C19" s="914"/>
      <c r="D19" s="942"/>
      <c r="E19" s="939"/>
      <c r="F19" s="942"/>
      <c r="G19" s="942"/>
      <c r="H19" s="942"/>
      <c r="I19" s="942"/>
      <c r="J19" s="942"/>
      <c r="K19" s="942"/>
      <c r="L19" s="942"/>
      <c r="M19" s="942"/>
      <c r="N19" s="942"/>
      <c r="O19" s="942"/>
      <c r="P19" s="942"/>
      <c r="Q19" s="939"/>
      <c r="R19" s="943"/>
      <c r="S19" s="943"/>
      <c r="T19" s="943"/>
      <c r="U19" s="943"/>
      <c r="V19" s="943"/>
      <c r="W19" s="943"/>
      <c r="X19" s="943"/>
      <c r="Y19" s="943"/>
      <c r="Z19" s="943"/>
      <c r="AA19" s="943"/>
      <c r="AB19" s="943"/>
      <c r="AC19" s="943"/>
      <c r="AD19" s="943"/>
      <c r="AE19" s="943"/>
      <c r="AF19" s="943"/>
      <c r="AG19" s="943"/>
      <c r="AH19" s="943"/>
      <c r="AI19" s="943"/>
      <c r="AJ19" s="943"/>
      <c r="AK19" s="943"/>
      <c r="AL19" s="943"/>
      <c r="AM19" s="943"/>
      <c r="AN19" s="943"/>
      <c r="AO19" s="943"/>
      <c r="AP19" s="943"/>
      <c r="AQ19" s="943"/>
      <c r="AR19" s="943"/>
      <c r="AS19" s="943"/>
      <c r="AT19" s="943"/>
      <c r="AU19" s="943"/>
      <c r="AV19" s="943"/>
      <c r="AW19" s="943"/>
      <c r="AX19" s="943"/>
      <c r="AY19" s="943"/>
      <c r="AZ19" s="943"/>
      <c r="BA19" s="943"/>
      <c r="BB19" s="943"/>
      <c r="BC19" s="943"/>
      <c r="BD19" s="943"/>
      <c r="BE19" s="943"/>
      <c r="BF19" s="943"/>
      <c r="BG19" s="943"/>
      <c r="BH19" s="943"/>
      <c r="BI19" s="943"/>
      <c r="BJ19" s="943"/>
      <c r="BK19" s="943"/>
      <c r="BL19" s="943"/>
      <c r="BM19" s="943"/>
      <c r="BN19" s="943"/>
      <c r="BO19" s="943"/>
      <c r="BP19" s="943"/>
      <c r="BQ19" s="943"/>
      <c r="BR19" s="943"/>
      <c r="BS19" s="943"/>
      <c r="BT19" s="943"/>
      <c r="BU19" s="943"/>
      <c r="BV19" s="943"/>
    </row>
    <row r="20" spans="2:74" ht="14.85" customHeight="1">
      <c r="B20" s="995"/>
      <c r="C20" s="945"/>
      <c r="D20" s="946" t="s">
        <v>1960</v>
      </c>
      <c r="E20" s="938"/>
      <c r="F20" s="948">
        <v>1</v>
      </c>
      <c r="G20" s="949">
        <f>+F20+1</f>
        <v>2</v>
      </c>
      <c r="H20" s="949">
        <f t="shared" ref="H20:O20" si="6">+G20+1</f>
        <v>3</v>
      </c>
      <c r="I20" s="949">
        <f t="shared" si="6"/>
        <v>4</v>
      </c>
      <c r="J20" s="949">
        <f t="shared" si="6"/>
        <v>5</v>
      </c>
      <c r="K20" s="949">
        <f t="shared" si="6"/>
        <v>6</v>
      </c>
      <c r="L20" s="949">
        <f t="shared" si="6"/>
        <v>7</v>
      </c>
      <c r="M20" s="949">
        <f t="shared" si="6"/>
        <v>8</v>
      </c>
      <c r="N20" s="949">
        <f t="shared" si="6"/>
        <v>9</v>
      </c>
      <c r="O20" s="950">
        <f t="shared" si="6"/>
        <v>10</v>
      </c>
      <c r="P20" s="950">
        <f>+O20+1</f>
        <v>11</v>
      </c>
      <c r="Q20" s="951"/>
      <c r="R20" s="943"/>
      <c r="S20" s="943"/>
      <c r="T20" s="943"/>
      <c r="U20" s="943"/>
      <c r="V20" s="943"/>
      <c r="W20" s="943"/>
      <c r="X20" s="943"/>
      <c r="Y20" s="943"/>
      <c r="Z20" s="943"/>
      <c r="AA20" s="943"/>
      <c r="AB20" s="943"/>
      <c r="AC20" s="943"/>
      <c r="AD20" s="943"/>
      <c r="AE20" s="943"/>
      <c r="AF20" s="943"/>
      <c r="AG20" s="943"/>
      <c r="AH20" s="943"/>
      <c r="AI20" s="943"/>
      <c r="AJ20" s="943"/>
      <c r="AK20" s="943"/>
      <c r="AL20" s="943"/>
      <c r="AM20" s="943"/>
      <c r="AN20" s="943"/>
      <c r="AO20" s="943"/>
      <c r="AP20" s="943"/>
      <c r="AQ20" s="943"/>
      <c r="AR20" s="943"/>
      <c r="AS20" s="943"/>
      <c r="AT20" s="943"/>
      <c r="AU20" s="943"/>
      <c r="AV20" s="943"/>
      <c r="AW20" s="943"/>
      <c r="AX20" s="943"/>
      <c r="AY20" s="943"/>
      <c r="AZ20" s="943"/>
      <c r="BA20" s="943"/>
      <c r="BB20" s="943"/>
      <c r="BC20" s="943"/>
      <c r="BD20" s="943"/>
      <c r="BE20" s="943"/>
      <c r="BF20" s="943"/>
      <c r="BG20" s="943"/>
      <c r="BH20" s="943"/>
      <c r="BI20" s="943"/>
      <c r="BJ20" s="943"/>
      <c r="BK20" s="943"/>
      <c r="BL20" s="943"/>
      <c r="BM20" s="943"/>
      <c r="BN20" s="943"/>
      <c r="BO20" s="943"/>
      <c r="BP20" s="943"/>
      <c r="BQ20" s="943"/>
      <c r="BR20" s="943"/>
      <c r="BS20" s="943"/>
      <c r="BT20" s="943"/>
      <c r="BU20" s="943"/>
      <c r="BV20" s="943"/>
    </row>
    <row r="21" spans="2:74" ht="14.85" customHeight="1">
      <c r="B21" s="926"/>
      <c r="C21" s="952" t="s">
        <v>1955</v>
      </c>
      <c r="D21" s="996">
        <v>0.75</v>
      </c>
      <c r="E21" s="938"/>
      <c r="F21" s="954">
        <f t="shared" ref="F21:P23" ca="1" si="7">OFFSET(F$50,MATCH($C21,$C$51:$C$62,),)</f>
        <v>0.33329999999999999</v>
      </c>
      <c r="G21" s="955">
        <f t="shared" ca="1" si="7"/>
        <v>0.44450000000000001</v>
      </c>
      <c r="H21" s="955">
        <f t="shared" ca="1" si="7"/>
        <v>0.14810000000000001</v>
      </c>
      <c r="I21" s="955">
        <f t="shared" ca="1" si="7"/>
        <v>7.4099999999999999E-2</v>
      </c>
      <c r="J21" s="955">
        <f t="shared" ca="1" si="7"/>
        <v>0</v>
      </c>
      <c r="K21" s="955">
        <f t="shared" ca="1" si="7"/>
        <v>0</v>
      </c>
      <c r="L21" s="955">
        <f t="shared" ca="1" si="7"/>
        <v>0</v>
      </c>
      <c r="M21" s="955">
        <f t="shared" ca="1" si="7"/>
        <v>0</v>
      </c>
      <c r="N21" s="955">
        <f t="shared" ca="1" si="7"/>
        <v>0</v>
      </c>
      <c r="O21" s="956">
        <f t="shared" ca="1" si="7"/>
        <v>0</v>
      </c>
      <c r="P21" s="957">
        <f t="shared" ca="1" si="7"/>
        <v>0</v>
      </c>
      <c r="Q21" s="958"/>
      <c r="R21" s="943"/>
      <c r="S21" s="943"/>
      <c r="T21" s="943"/>
      <c r="U21" s="943"/>
      <c r="V21" s="943"/>
      <c r="W21" s="943"/>
      <c r="X21" s="943"/>
      <c r="Y21" s="943"/>
      <c r="Z21" s="943"/>
      <c r="AA21" s="943"/>
      <c r="AB21" s="943"/>
      <c r="AC21" s="943"/>
      <c r="AD21" s="943"/>
      <c r="AE21" s="943"/>
      <c r="AF21" s="943"/>
      <c r="AG21" s="943"/>
      <c r="AH21" s="943"/>
      <c r="AI21" s="943"/>
      <c r="AJ21" s="943"/>
      <c r="AK21" s="943"/>
      <c r="AL21" s="943"/>
      <c r="AM21" s="943"/>
      <c r="AN21" s="943"/>
      <c r="AO21" s="943"/>
      <c r="AP21" s="943"/>
      <c r="AQ21" s="943"/>
      <c r="AR21" s="943"/>
      <c r="AS21" s="943"/>
      <c r="AT21" s="943"/>
      <c r="AU21" s="943"/>
      <c r="AV21" s="943"/>
      <c r="AW21" s="943"/>
      <c r="AX21" s="943"/>
      <c r="AY21" s="943"/>
      <c r="AZ21" s="943"/>
      <c r="BA21" s="943"/>
      <c r="BB21" s="943"/>
      <c r="BC21" s="943"/>
      <c r="BD21" s="943"/>
      <c r="BE21" s="943"/>
      <c r="BF21" s="943"/>
      <c r="BG21" s="943"/>
      <c r="BH21" s="943"/>
      <c r="BI21" s="943"/>
      <c r="BJ21" s="943"/>
      <c r="BK21" s="943"/>
      <c r="BL21" s="943"/>
      <c r="BM21" s="943"/>
      <c r="BN21" s="943"/>
      <c r="BO21" s="943"/>
      <c r="BP21" s="943"/>
      <c r="BQ21" s="943"/>
      <c r="BR21" s="943"/>
      <c r="BS21" s="943"/>
      <c r="BT21" s="943"/>
      <c r="BU21" s="943"/>
      <c r="BV21" s="943"/>
    </row>
    <row r="22" spans="2:74" ht="14.85" customHeight="1">
      <c r="B22" s="926"/>
      <c r="C22" s="952" t="s">
        <v>1954</v>
      </c>
      <c r="D22" s="997">
        <v>0.25</v>
      </c>
      <c r="E22" s="938"/>
      <c r="F22" s="998">
        <f t="shared" ca="1" si="7"/>
        <v>0.2</v>
      </c>
      <c r="G22" s="999">
        <f ca="1">OFFSET(G$50,MATCH($C22,$C$51:$C$62,),)</f>
        <v>0.32</v>
      </c>
      <c r="H22" s="999">
        <f t="shared" ca="1" si="7"/>
        <v>0.192</v>
      </c>
      <c r="I22" s="999">
        <f t="shared" ca="1" si="7"/>
        <v>0.1152</v>
      </c>
      <c r="J22" s="999">
        <f t="shared" ca="1" si="7"/>
        <v>0.1152</v>
      </c>
      <c r="K22" s="999">
        <f t="shared" ca="1" si="7"/>
        <v>5.7599999999999998E-2</v>
      </c>
      <c r="L22" s="999">
        <f t="shared" ca="1" si="7"/>
        <v>0</v>
      </c>
      <c r="M22" s="999">
        <f t="shared" ca="1" si="7"/>
        <v>0</v>
      </c>
      <c r="N22" s="999">
        <f t="shared" ca="1" si="7"/>
        <v>0</v>
      </c>
      <c r="O22" s="1000">
        <f t="shared" ca="1" si="7"/>
        <v>0</v>
      </c>
      <c r="P22" s="957">
        <f t="shared" ca="1" si="7"/>
        <v>0</v>
      </c>
      <c r="Q22" s="958"/>
      <c r="R22" s="943"/>
      <c r="S22" s="943"/>
      <c r="T22" s="943"/>
      <c r="U22" s="943"/>
      <c r="V22" s="943"/>
      <c r="W22" s="943"/>
      <c r="X22" s="943"/>
      <c r="Y22" s="943"/>
      <c r="Z22" s="943"/>
      <c r="AA22" s="943"/>
      <c r="AB22" s="943"/>
      <c r="AC22" s="943"/>
      <c r="AD22" s="943"/>
      <c r="AE22" s="943"/>
      <c r="AF22" s="943"/>
      <c r="AG22" s="943"/>
      <c r="AH22" s="943"/>
      <c r="AI22" s="943"/>
      <c r="AJ22" s="943"/>
      <c r="AK22" s="943"/>
      <c r="AL22" s="943"/>
      <c r="AM22" s="943"/>
      <c r="AN22" s="943"/>
      <c r="AO22" s="943"/>
      <c r="AP22" s="943"/>
      <c r="AQ22" s="943"/>
      <c r="AR22" s="943"/>
      <c r="AS22" s="943"/>
      <c r="AT22" s="943"/>
      <c r="AU22" s="943"/>
      <c r="AV22" s="943"/>
      <c r="AW22" s="943"/>
      <c r="AX22" s="943"/>
      <c r="AY22" s="943"/>
      <c r="AZ22" s="943"/>
      <c r="BA22" s="943"/>
      <c r="BB22" s="943"/>
      <c r="BC22" s="943"/>
      <c r="BD22" s="943"/>
      <c r="BE22" s="943"/>
      <c r="BF22" s="943"/>
      <c r="BG22" s="943"/>
      <c r="BH22" s="943"/>
      <c r="BI22" s="943"/>
      <c r="BJ22" s="943"/>
      <c r="BK22" s="943"/>
      <c r="BL22" s="943"/>
      <c r="BM22" s="943"/>
      <c r="BN22" s="943"/>
      <c r="BO22" s="943"/>
      <c r="BP22" s="943"/>
      <c r="BQ22" s="943"/>
      <c r="BR22" s="943"/>
      <c r="BS22" s="943"/>
      <c r="BT22" s="943"/>
      <c r="BU22" s="943"/>
      <c r="BV22" s="943"/>
    </row>
    <row r="23" spans="2:74" ht="14.85" customHeight="1">
      <c r="B23" s="926"/>
      <c r="C23" s="952" t="s">
        <v>1953</v>
      </c>
      <c r="D23" s="1001">
        <v>0</v>
      </c>
      <c r="E23" s="938"/>
      <c r="F23" s="961">
        <f t="shared" ca="1" si="7"/>
        <v>0.1429</v>
      </c>
      <c r="G23" s="962">
        <f t="shared" ca="1" si="7"/>
        <v>0.24489999999999998</v>
      </c>
      <c r="H23" s="962">
        <f t="shared" ca="1" si="7"/>
        <v>0.17489999999999997</v>
      </c>
      <c r="I23" s="962">
        <f t="shared" ca="1" si="7"/>
        <v>0.1249</v>
      </c>
      <c r="J23" s="962">
        <f t="shared" ca="1" si="7"/>
        <v>8.929999999999999E-2</v>
      </c>
      <c r="K23" s="962">
        <f t="shared" ca="1" si="7"/>
        <v>8.9200000000000002E-2</v>
      </c>
      <c r="L23" s="962">
        <f t="shared" ca="1" si="7"/>
        <v>8.929999999999999E-2</v>
      </c>
      <c r="M23" s="962">
        <f t="shared" ca="1" si="7"/>
        <v>4.4600000000000001E-2</v>
      </c>
      <c r="N23" s="962">
        <f t="shared" ca="1" si="7"/>
        <v>0</v>
      </c>
      <c r="O23" s="963">
        <f t="shared" ca="1" si="7"/>
        <v>0</v>
      </c>
      <c r="P23" s="957">
        <f t="shared" ca="1" si="7"/>
        <v>0</v>
      </c>
      <c r="Q23" s="958"/>
      <c r="R23" s="943"/>
      <c r="S23" s="943"/>
      <c r="T23" s="943"/>
      <c r="U23" s="943"/>
      <c r="V23" s="943"/>
      <c r="W23" s="943"/>
      <c r="X23" s="943"/>
      <c r="Y23" s="943"/>
      <c r="Z23" s="943"/>
      <c r="AA23" s="943"/>
      <c r="AB23" s="943"/>
      <c r="AC23" s="943"/>
      <c r="AD23" s="943"/>
      <c r="AE23" s="943"/>
      <c r="AF23" s="943"/>
      <c r="AG23" s="943"/>
      <c r="AH23" s="943"/>
      <c r="AI23" s="943"/>
      <c r="AJ23" s="943"/>
      <c r="AK23" s="943"/>
      <c r="AL23" s="943"/>
      <c r="AM23" s="943"/>
      <c r="AN23" s="943"/>
      <c r="AO23" s="943"/>
      <c r="AP23" s="943"/>
      <c r="AQ23" s="943"/>
      <c r="AR23" s="943"/>
      <c r="AS23" s="943"/>
      <c r="AT23" s="943"/>
      <c r="AU23" s="943"/>
      <c r="AV23" s="943"/>
      <c r="AW23" s="943"/>
      <c r="AX23" s="943"/>
      <c r="AY23" s="943"/>
      <c r="AZ23" s="943"/>
      <c r="BA23" s="943"/>
      <c r="BB23" s="943"/>
      <c r="BC23" s="943"/>
      <c r="BD23" s="943"/>
      <c r="BE23" s="943"/>
      <c r="BF23" s="943"/>
      <c r="BG23" s="943"/>
      <c r="BH23" s="943"/>
      <c r="BI23" s="943"/>
      <c r="BJ23" s="943"/>
      <c r="BK23" s="943"/>
      <c r="BL23" s="943"/>
      <c r="BM23" s="943"/>
      <c r="BN23" s="943"/>
      <c r="BO23" s="943"/>
      <c r="BP23" s="943"/>
      <c r="BQ23" s="943"/>
      <c r="BR23" s="943"/>
      <c r="BS23" s="943"/>
      <c r="BT23" s="943"/>
      <c r="BU23" s="943"/>
      <c r="BV23" s="943"/>
    </row>
    <row r="24" spans="2:74" ht="14.85" customHeight="1">
      <c r="B24" s="964"/>
      <c r="C24" s="965"/>
      <c r="D24" s="1002"/>
      <c r="E24" s="938"/>
      <c r="F24" s="967"/>
      <c r="G24" s="967"/>
      <c r="H24" s="967"/>
      <c r="I24" s="967"/>
      <c r="J24" s="967"/>
      <c r="K24" s="967"/>
      <c r="L24" s="967"/>
      <c r="M24" s="967"/>
      <c r="N24" s="967"/>
      <c r="O24" s="967"/>
      <c r="P24" s="967"/>
      <c r="Q24" s="993"/>
      <c r="R24" s="943"/>
      <c r="S24" s="943"/>
      <c r="T24" s="943"/>
      <c r="U24" s="943"/>
      <c r="V24" s="943"/>
      <c r="W24" s="943"/>
      <c r="X24" s="943"/>
      <c r="Y24" s="943"/>
      <c r="Z24" s="943"/>
      <c r="AA24" s="943"/>
      <c r="AB24" s="943"/>
      <c r="AC24" s="943"/>
      <c r="AD24" s="943"/>
      <c r="AE24" s="943"/>
      <c r="AF24" s="943"/>
      <c r="AG24" s="943"/>
      <c r="AH24" s="943"/>
      <c r="AI24" s="943"/>
      <c r="AJ24" s="943"/>
      <c r="AK24" s="943"/>
      <c r="AL24" s="943"/>
      <c r="AM24" s="943"/>
      <c r="AN24" s="943"/>
      <c r="AO24" s="943"/>
      <c r="AP24" s="943"/>
      <c r="AQ24" s="943"/>
      <c r="AR24" s="943"/>
      <c r="AS24" s="943"/>
      <c r="AT24" s="943"/>
      <c r="AU24" s="943"/>
      <c r="AV24" s="943"/>
      <c r="AW24" s="943"/>
      <c r="AX24" s="943"/>
      <c r="AY24" s="943"/>
      <c r="AZ24" s="943"/>
      <c r="BA24" s="943"/>
      <c r="BB24" s="943"/>
      <c r="BC24" s="943"/>
      <c r="BD24" s="943"/>
      <c r="BE24" s="943"/>
      <c r="BF24" s="943"/>
      <c r="BG24" s="943"/>
      <c r="BH24" s="943"/>
      <c r="BI24" s="943"/>
      <c r="BJ24" s="943"/>
      <c r="BK24" s="943"/>
      <c r="BL24" s="943"/>
      <c r="BM24" s="943"/>
      <c r="BN24" s="943"/>
      <c r="BO24" s="943"/>
      <c r="BP24" s="943"/>
      <c r="BQ24" s="943"/>
      <c r="BR24" s="943"/>
      <c r="BS24" s="943"/>
      <c r="BT24" s="943"/>
      <c r="BU24" s="943"/>
      <c r="BV24" s="943"/>
    </row>
    <row r="25" spans="2:74" ht="14.85" customHeight="1">
      <c r="B25" s="978" t="s">
        <v>1957</v>
      </c>
      <c r="C25" s="945"/>
      <c r="D25" s="1003"/>
      <c r="E25" s="938"/>
      <c r="F25" s="971">
        <f t="shared" ref="F25:P25" ca="1" si="8">SUMPRODUCT($D$21:$D$23,F21:F23)</f>
        <v>0.29997499999999999</v>
      </c>
      <c r="G25" s="972">
        <f t="shared" ca="1" si="8"/>
        <v>0.41337499999999999</v>
      </c>
      <c r="H25" s="972">
        <f t="shared" ca="1" si="8"/>
        <v>0.15907500000000002</v>
      </c>
      <c r="I25" s="972">
        <f t="shared" ca="1" si="8"/>
        <v>8.4375000000000006E-2</v>
      </c>
      <c r="J25" s="972">
        <f t="shared" ca="1" si="8"/>
        <v>2.8799999999999999E-2</v>
      </c>
      <c r="K25" s="972">
        <f t="shared" ca="1" si="8"/>
        <v>1.44E-2</v>
      </c>
      <c r="L25" s="972">
        <f t="shared" ca="1" si="8"/>
        <v>0</v>
      </c>
      <c r="M25" s="972">
        <f t="shared" ca="1" si="8"/>
        <v>0</v>
      </c>
      <c r="N25" s="972">
        <f t="shared" ca="1" si="8"/>
        <v>0</v>
      </c>
      <c r="O25" s="973">
        <f t="shared" ca="1" si="8"/>
        <v>0</v>
      </c>
      <c r="P25" s="973">
        <f t="shared" ca="1" si="8"/>
        <v>0</v>
      </c>
      <c r="Q25" s="974"/>
      <c r="R25" s="943"/>
      <c r="S25" s="943"/>
      <c r="T25" s="943"/>
      <c r="U25" s="943"/>
      <c r="V25" s="943"/>
      <c r="W25" s="943"/>
      <c r="X25" s="943"/>
      <c r="Y25" s="943"/>
      <c r="Z25" s="943"/>
      <c r="AA25" s="943"/>
      <c r="AB25" s="943"/>
      <c r="AC25" s="943"/>
      <c r="AD25" s="943"/>
      <c r="AE25" s="943"/>
      <c r="AF25" s="943"/>
      <c r="AG25" s="943"/>
      <c r="AH25" s="943"/>
      <c r="AI25" s="943"/>
      <c r="AJ25" s="943"/>
      <c r="AK25" s="943"/>
      <c r="AL25" s="943"/>
      <c r="AM25" s="943"/>
      <c r="AN25" s="943"/>
      <c r="AO25" s="943"/>
      <c r="AP25" s="943"/>
      <c r="AQ25" s="943"/>
      <c r="AR25" s="943"/>
      <c r="AS25" s="943"/>
      <c r="AT25" s="943"/>
      <c r="AU25" s="943"/>
      <c r="AV25" s="943"/>
      <c r="AW25" s="943"/>
      <c r="AX25" s="943"/>
      <c r="AY25" s="943"/>
      <c r="AZ25" s="943"/>
      <c r="BA25" s="943"/>
      <c r="BB25" s="943"/>
      <c r="BC25" s="943"/>
      <c r="BD25" s="943"/>
      <c r="BE25" s="943"/>
      <c r="BF25" s="943"/>
      <c r="BG25" s="943"/>
      <c r="BH25" s="943"/>
      <c r="BI25" s="943"/>
      <c r="BJ25" s="943"/>
      <c r="BK25" s="943"/>
      <c r="BL25" s="943"/>
      <c r="BM25" s="943"/>
      <c r="BN25" s="943"/>
      <c r="BO25" s="943"/>
      <c r="BP25" s="943"/>
      <c r="BQ25" s="943"/>
      <c r="BR25" s="943"/>
      <c r="BS25" s="943"/>
      <c r="BT25" s="943"/>
      <c r="BU25" s="943"/>
      <c r="BV25" s="943"/>
    </row>
    <row r="26" spans="2:74" ht="14.85" customHeight="1">
      <c r="B26" s="1004"/>
      <c r="C26" s="914"/>
      <c r="D26" s="939"/>
      <c r="E26" s="939"/>
      <c r="F26" s="1005"/>
      <c r="G26" s="1005"/>
      <c r="H26" s="1005"/>
      <c r="I26" s="1005"/>
      <c r="J26" s="1005"/>
      <c r="K26" s="1005"/>
      <c r="L26" s="1005"/>
      <c r="M26" s="1005"/>
      <c r="N26" s="1005"/>
      <c r="O26" s="1005"/>
      <c r="P26" s="1005"/>
      <c r="Q26" s="914"/>
      <c r="R26" s="943"/>
      <c r="S26" s="943"/>
      <c r="T26" s="943"/>
      <c r="U26" s="943"/>
      <c r="V26" s="943"/>
      <c r="W26" s="943"/>
      <c r="X26" s="943"/>
      <c r="Y26" s="943"/>
      <c r="Z26" s="943"/>
      <c r="AA26" s="943"/>
      <c r="AB26" s="943"/>
      <c r="AC26" s="943"/>
      <c r="AD26" s="943"/>
      <c r="AE26" s="943"/>
      <c r="AF26" s="943"/>
      <c r="AG26" s="943"/>
      <c r="AH26" s="943"/>
      <c r="AI26" s="943"/>
      <c r="AJ26" s="943"/>
      <c r="AK26" s="943"/>
      <c r="AL26" s="943"/>
      <c r="AM26" s="943"/>
      <c r="AN26" s="943"/>
      <c r="AO26" s="943"/>
      <c r="AP26" s="943"/>
      <c r="AQ26" s="943"/>
      <c r="AR26" s="943"/>
      <c r="AS26" s="943"/>
      <c r="AT26" s="943"/>
      <c r="AU26" s="943"/>
      <c r="AV26" s="943"/>
      <c r="AW26" s="943"/>
      <c r="AX26" s="943"/>
      <c r="AY26" s="943"/>
      <c r="AZ26" s="943"/>
      <c r="BA26" s="943"/>
      <c r="BB26" s="943"/>
      <c r="BC26" s="943"/>
      <c r="BD26" s="943"/>
      <c r="BE26" s="943"/>
      <c r="BF26" s="943"/>
      <c r="BG26" s="943"/>
      <c r="BH26" s="943"/>
      <c r="BI26" s="943"/>
      <c r="BJ26" s="943"/>
      <c r="BK26" s="943"/>
      <c r="BL26" s="943"/>
      <c r="BM26" s="943"/>
      <c r="BN26" s="943"/>
      <c r="BO26" s="943"/>
      <c r="BP26" s="943"/>
      <c r="BQ26" s="943"/>
      <c r="BR26" s="943"/>
      <c r="BS26" s="943"/>
      <c r="BT26" s="943"/>
      <c r="BU26" s="943"/>
      <c r="BV26" s="943"/>
    </row>
    <row r="27" spans="2:74" ht="14.85" customHeight="1">
      <c r="B27" s="978" t="s">
        <v>1961</v>
      </c>
      <c r="C27" s="947"/>
      <c r="D27" s="1006"/>
      <c r="E27" s="939"/>
      <c r="F27" s="1007">
        <f>+F16</f>
        <v>2017</v>
      </c>
      <c r="G27" s="1008">
        <f>+F27+1</f>
        <v>2018</v>
      </c>
      <c r="H27" s="1008">
        <f t="shared" ref="H27:O27" si="9">+G27+1</f>
        <v>2019</v>
      </c>
      <c r="I27" s="1008">
        <f t="shared" si="9"/>
        <v>2020</v>
      </c>
      <c r="J27" s="1008">
        <f t="shared" si="9"/>
        <v>2021</v>
      </c>
      <c r="K27" s="1008">
        <f t="shared" si="9"/>
        <v>2022</v>
      </c>
      <c r="L27" s="1008">
        <f t="shared" si="9"/>
        <v>2023</v>
      </c>
      <c r="M27" s="1008">
        <f t="shared" si="9"/>
        <v>2024</v>
      </c>
      <c r="N27" s="1008">
        <f t="shared" si="9"/>
        <v>2025</v>
      </c>
      <c r="O27" s="1009">
        <f t="shared" si="9"/>
        <v>2026</v>
      </c>
      <c r="P27" s="1009">
        <f>+O27+1</f>
        <v>2027</v>
      </c>
      <c r="Q27" s="951"/>
      <c r="R27" s="943"/>
      <c r="S27" s="943"/>
      <c r="T27" s="943"/>
      <c r="U27" s="943"/>
      <c r="V27" s="943"/>
      <c r="W27" s="943"/>
      <c r="X27" s="943"/>
      <c r="Y27" s="943"/>
      <c r="Z27" s="943"/>
      <c r="AA27" s="943"/>
      <c r="AB27" s="943"/>
      <c r="AC27" s="943"/>
      <c r="AD27" s="943"/>
      <c r="AE27" s="943"/>
      <c r="AF27" s="943"/>
      <c r="AG27" s="943"/>
      <c r="AH27" s="943"/>
      <c r="AI27" s="943"/>
      <c r="AJ27" s="943"/>
      <c r="AK27" s="943"/>
      <c r="AL27" s="943"/>
      <c r="AM27" s="943"/>
      <c r="AN27" s="943"/>
      <c r="AO27" s="943"/>
      <c r="AP27" s="943"/>
      <c r="AQ27" s="943"/>
      <c r="AR27" s="943"/>
      <c r="AS27" s="943"/>
      <c r="AT27" s="943"/>
      <c r="AU27" s="943"/>
      <c r="AV27" s="943"/>
      <c r="AW27" s="943"/>
      <c r="AX27" s="943"/>
      <c r="AY27" s="943"/>
      <c r="AZ27" s="943"/>
      <c r="BA27" s="943"/>
      <c r="BB27" s="943"/>
      <c r="BC27" s="943"/>
      <c r="BD27" s="943"/>
      <c r="BE27" s="943"/>
      <c r="BF27" s="943"/>
      <c r="BG27" s="943"/>
      <c r="BH27" s="943"/>
      <c r="BI27" s="943"/>
      <c r="BJ27" s="943"/>
      <c r="BK27" s="943"/>
      <c r="BL27" s="943"/>
      <c r="BM27" s="943"/>
      <c r="BN27" s="943"/>
      <c r="BO27" s="943"/>
      <c r="BP27" s="943"/>
      <c r="BQ27" s="943"/>
      <c r="BR27" s="943"/>
      <c r="BS27" s="943"/>
      <c r="BT27" s="943"/>
      <c r="BU27" s="943"/>
      <c r="BV27" s="943"/>
    </row>
    <row r="28" spans="2:74" ht="14.85" customHeight="1">
      <c r="B28" s="1010"/>
      <c r="C28" s="1011">
        <f>+F27</f>
        <v>2017</v>
      </c>
      <c r="D28" s="1012">
        <f t="array" ref="D28:D37">TRANSPOSE(DCF!F51:O51)</f>
        <v>581.68780593746681</v>
      </c>
      <c r="E28" s="1013"/>
      <c r="F28" s="1014">
        <f ca="1">IF($C28&gt;F$27,0,$D28*HLOOKUP(F$27-$C28+1,$F$20:$P$25,ROWS($D$20:$D$25),FALSE))</f>
        <v>174.49179958609159</v>
      </c>
      <c r="G28" s="1014">
        <f t="shared" ref="F28:P38" ca="1" si="10">IF($C28&gt;G$27,0,$D28*HLOOKUP(G$27-$C28+1,$F$20:$P$25,ROWS($D$20:$D$25),FALSE))</f>
        <v>240.45519677940032</v>
      </c>
      <c r="H28" s="1014">
        <f t="shared" ca="1" si="10"/>
        <v>92.531987729502546</v>
      </c>
      <c r="I28" s="1014">
        <f t="shared" ca="1" si="10"/>
        <v>49.079908625973765</v>
      </c>
      <c r="J28" s="1014">
        <f t="shared" ca="1" si="10"/>
        <v>16.752608810999043</v>
      </c>
      <c r="K28" s="1014">
        <f t="shared" ca="1" si="10"/>
        <v>8.3763044054995213</v>
      </c>
      <c r="L28" s="1014">
        <f t="shared" ca="1" si="10"/>
        <v>0</v>
      </c>
      <c r="M28" s="1014">
        <f t="shared" ca="1" si="10"/>
        <v>0</v>
      </c>
      <c r="N28" s="1014">
        <f t="shared" ca="1" si="10"/>
        <v>0</v>
      </c>
      <c r="O28" s="1014">
        <f t="shared" ca="1" si="10"/>
        <v>0</v>
      </c>
      <c r="P28" s="1014">
        <f t="shared" ca="1" si="10"/>
        <v>0</v>
      </c>
      <c r="Q28" s="1015"/>
      <c r="R28" s="1016"/>
      <c r="S28" s="943"/>
      <c r="T28" s="943"/>
      <c r="U28" s="943"/>
      <c r="V28" s="943"/>
      <c r="W28" s="943"/>
      <c r="X28" s="943"/>
      <c r="Y28" s="943"/>
      <c r="Z28" s="943"/>
      <c r="AA28" s="943"/>
      <c r="AB28" s="943"/>
      <c r="AC28" s="943"/>
      <c r="AD28" s="943"/>
      <c r="AE28" s="943"/>
      <c r="AF28" s="943"/>
      <c r="AG28" s="943"/>
      <c r="AH28" s="943"/>
      <c r="AI28" s="943"/>
      <c r="AJ28" s="943"/>
      <c r="AK28" s="943"/>
      <c r="AL28" s="943"/>
      <c r="AM28" s="943"/>
      <c r="AN28" s="943"/>
      <c r="AO28" s="943"/>
      <c r="AP28" s="943"/>
      <c r="AQ28" s="943"/>
      <c r="AR28" s="943"/>
      <c r="AS28" s="943"/>
      <c r="AT28" s="943"/>
      <c r="AU28" s="943"/>
      <c r="AV28" s="943"/>
      <c r="AW28" s="943"/>
      <c r="AX28" s="943"/>
      <c r="AY28" s="943"/>
      <c r="AZ28" s="943"/>
      <c r="BA28" s="943"/>
      <c r="BB28" s="943"/>
      <c r="BC28" s="943"/>
      <c r="BD28" s="943"/>
      <c r="BE28" s="943"/>
      <c r="BF28" s="943"/>
      <c r="BG28" s="943"/>
      <c r="BH28" s="943"/>
      <c r="BI28" s="943"/>
      <c r="BJ28" s="943"/>
      <c r="BK28" s="943"/>
      <c r="BL28" s="943"/>
      <c r="BM28" s="943"/>
      <c r="BN28" s="943"/>
      <c r="BO28" s="943"/>
      <c r="BP28" s="943"/>
      <c r="BQ28" s="943"/>
      <c r="BR28" s="943"/>
      <c r="BS28" s="943"/>
      <c r="BT28" s="943"/>
      <c r="BU28" s="943"/>
      <c r="BV28" s="943"/>
    </row>
    <row r="29" spans="2:74" ht="14.85" customHeight="1">
      <c r="B29" s="1010"/>
      <c r="C29" s="1011">
        <f>C28+1</f>
        <v>2018</v>
      </c>
      <c r="D29" s="1017">
        <v>1353.0102125532039</v>
      </c>
      <c r="E29" s="1018"/>
      <c r="F29" s="1014">
        <f t="shared" si="10"/>
        <v>0</v>
      </c>
      <c r="G29" s="1014">
        <f t="shared" ca="1" si="10"/>
        <v>405.86923851064734</v>
      </c>
      <c r="H29" s="1014">
        <f t="shared" ca="1" si="10"/>
        <v>559.30059661418068</v>
      </c>
      <c r="I29" s="1014">
        <f t="shared" ca="1" si="10"/>
        <v>215.23009956190094</v>
      </c>
      <c r="J29" s="1014">
        <f t="shared" ca="1" si="10"/>
        <v>114.1602366841766</v>
      </c>
      <c r="K29" s="1014">
        <f t="shared" ca="1" si="10"/>
        <v>38.966694121532271</v>
      </c>
      <c r="L29" s="1014">
        <f t="shared" ca="1" si="10"/>
        <v>19.483347060766135</v>
      </c>
      <c r="M29" s="1014">
        <f t="shared" ca="1" si="10"/>
        <v>0</v>
      </c>
      <c r="N29" s="1014">
        <f t="shared" ca="1" si="10"/>
        <v>0</v>
      </c>
      <c r="O29" s="1014">
        <f t="shared" ca="1" si="10"/>
        <v>0</v>
      </c>
      <c r="P29" s="1014">
        <f t="shared" ca="1" si="10"/>
        <v>0</v>
      </c>
      <c r="Q29" s="1015"/>
      <c r="R29" s="943"/>
      <c r="S29" s="943"/>
      <c r="T29" s="943"/>
      <c r="U29" s="943"/>
      <c r="V29" s="943"/>
      <c r="W29" s="943"/>
      <c r="X29" s="943"/>
      <c r="Y29" s="943"/>
      <c r="Z29" s="943"/>
      <c r="AA29" s="943"/>
      <c r="AB29" s="943"/>
      <c r="AC29" s="943"/>
      <c r="AD29" s="943"/>
      <c r="AE29" s="943"/>
      <c r="AF29" s="943"/>
      <c r="AG29" s="943"/>
      <c r="AH29" s="943"/>
      <c r="AI29" s="943"/>
      <c r="AJ29" s="943"/>
      <c r="AK29" s="943"/>
      <c r="AL29" s="943"/>
      <c r="AM29" s="943"/>
      <c r="AN29" s="943"/>
      <c r="AO29" s="943"/>
      <c r="AP29" s="943"/>
      <c r="AQ29" s="943"/>
      <c r="AR29" s="943"/>
      <c r="AS29" s="943"/>
      <c r="AT29" s="943"/>
      <c r="AU29" s="943"/>
      <c r="AV29" s="943"/>
      <c r="AW29" s="943"/>
      <c r="AX29" s="943"/>
      <c r="AY29" s="943"/>
      <c r="AZ29" s="943"/>
      <c r="BA29" s="943"/>
      <c r="BB29" s="943"/>
      <c r="BC29" s="943"/>
      <c r="BD29" s="943"/>
      <c r="BE29" s="943"/>
      <c r="BF29" s="943"/>
      <c r="BG29" s="943"/>
      <c r="BH29" s="943"/>
      <c r="BI29" s="943"/>
      <c r="BJ29" s="943"/>
      <c r="BK29" s="943"/>
      <c r="BL29" s="943"/>
      <c r="BM29" s="943"/>
      <c r="BN29" s="943"/>
      <c r="BO29" s="943"/>
      <c r="BP29" s="943"/>
      <c r="BQ29" s="943"/>
      <c r="BR29" s="943"/>
      <c r="BS29" s="943"/>
      <c r="BT29" s="943"/>
      <c r="BU29" s="943"/>
      <c r="BV29" s="943"/>
    </row>
    <row r="30" spans="2:74" ht="14.85" customHeight="1">
      <c r="B30" s="1010"/>
      <c r="C30" s="1011">
        <f t="shared" ref="C30:C38" si="11">C29+1</f>
        <v>2019</v>
      </c>
      <c r="D30" s="1017">
        <v>3086.8524631258651</v>
      </c>
      <c r="E30" s="1018"/>
      <c r="F30" s="1014">
        <f t="shared" si="10"/>
        <v>0</v>
      </c>
      <c r="G30" s="1014">
        <f t="shared" si="10"/>
        <v>0</v>
      </c>
      <c r="H30" s="1014">
        <f t="shared" ca="1" si="10"/>
        <v>925.97856762618142</v>
      </c>
      <c r="I30" s="1014">
        <f t="shared" ca="1" si="10"/>
        <v>1276.0276369446544</v>
      </c>
      <c r="J30" s="1014">
        <f t="shared" ca="1" si="10"/>
        <v>491.04105557174705</v>
      </c>
      <c r="K30" s="1014">
        <f t="shared" ca="1" si="10"/>
        <v>260.45317657624491</v>
      </c>
      <c r="L30" s="1014">
        <f t="shared" ca="1" si="10"/>
        <v>88.901350938024919</v>
      </c>
      <c r="M30" s="1014">
        <f t="shared" ca="1" si="10"/>
        <v>44.450675469012459</v>
      </c>
      <c r="N30" s="1014">
        <f t="shared" ca="1" si="10"/>
        <v>0</v>
      </c>
      <c r="O30" s="1014">
        <f t="shared" ca="1" si="10"/>
        <v>0</v>
      </c>
      <c r="P30" s="1014">
        <f t="shared" ca="1" si="10"/>
        <v>0</v>
      </c>
      <c r="Q30" s="1015"/>
      <c r="R30" s="943"/>
      <c r="S30" s="943"/>
      <c r="T30" s="943"/>
      <c r="U30" s="943"/>
      <c r="V30" s="943"/>
      <c r="W30" s="943"/>
      <c r="X30" s="943"/>
      <c r="Y30" s="943"/>
      <c r="Z30" s="943"/>
      <c r="AA30" s="943"/>
      <c r="AB30" s="943"/>
      <c r="AC30" s="943"/>
      <c r="AD30" s="943"/>
      <c r="AE30" s="943"/>
      <c r="AF30" s="943"/>
      <c r="AG30" s="943"/>
      <c r="AH30" s="943"/>
      <c r="AI30" s="943"/>
      <c r="AJ30" s="943"/>
      <c r="AK30" s="943"/>
      <c r="AL30" s="943"/>
      <c r="AM30" s="943"/>
      <c r="AN30" s="943"/>
      <c r="AO30" s="943"/>
      <c r="AP30" s="943"/>
      <c r="AQ30" s="943"/>
      <c r="AR30" s="943"/>
      <c r="AS30" s="943"/>
      <c r="AT30" s="943"/>
      <c r="AU30" s="943"/>
      <c r="AV30" s="943"/>
      <c r="AW30" s="943"/>
      <c r="AX30" s="943"/>
      <c r="AY30" s="943"/>
      <c r="AZ30" s="943"/>
      <c r="BA30" s="943"/>
      <c r="BB30" s="943"/>
      <c r="BC30" s="943"/>
      <c r="BD30" s="943"/>
      <c r="BE30" s="943"/>
      <c r="BF30" s="943"/>
      <c r="BG30" s="943"/>
      <c r="BH30" s="943"/>
      <c r="BI30" s="943"/>
      <c r="BJ30" s="943"/>
      <c r="BK30" s="943"/>
      <c r="BL30" s="943"/>
      <c r="BM30" s="943"/>
      <c r="BN30" s="943"/>
      <c r="BO30" s="943"/>
      <c r="BP30" s="943"/>
      <c r="BQ30" s="943"/>
      <c r="BR30" s="943"/>
      <c r="BS30" s="943"/>
      <c r="BT30" s="943"/>
      <c r="BU30" s="943"/>
      <c r="BV30" s="943"/>
    </row>
    <row r="31" spans="2:74" ht="14.85" customHeight="1">
      <c r="B31" s="1010"/>
      <c r="C31" s="1011">
        <f t="shared" si="11"/>
        <v>2020</v>
      </c>
      <c r="D31" s="1017">
        <v>5465.1772967519719</v>
      </c>
      <c r="E31" s="1018"/>
      <c r="F31" s="1014">
        <f t="shared" si="10"/>
        <v>0</v>
      </c>
      <c r="G31" s="1014">
        <f t="shared" si="10"/>
        <v>0</v>
      </c>
      <c r="H31" s="1014">
        <f t="shared" si="10"/>
        <v>0</v>
      </c>
      <c r="I31" s="1014">
        <f t="shared" ca="1" si="10"/>
        <v>1639.4165595931727</v>
      </c>
      <c r="J31" s="1014">
        <f t="shared" ca="1" si="10"/>
        <v>2259.1676650448462</v>
      </c>
      <c r="K31" s="1014">
        <f t="shared" ca="1" si="10"/>
        <v>869.37307848082003</v>
      </c>
      <c r="L31" s="1014">
        <f t="shared" ca="1" si="10"/>
        <v>461.12433441344768</v>
      </c>
      <c r="M31" s="1014">
        <f t="shared" ca="1" si="10"/>
        <v>157.39710614645679</v>
      </c>
      <c r="N31" s="1014">
        <f t="shared" ca="1" si="10"/>
        <v>78.698553073228396</v>
      </c>
      <c r="O31" s="1014">
        <f t="shared" ca="1" si="10"/>
        <v>0</v>
      </c>
      <c r="P31" s="1014">
        <f t="shared" ca="1" si="10"/>
        <v>0</v>
      </c>
      <c r="Q31" s="1015"/>
      <c r="R31" s="943"/>
      <c r="S31" s="943"/>
      <c r="T31" s="943"/>
      <c r="U31" s="943"/>
      <c r="V31" s="943"/>
      <c r="W31" s="943"/>
      <c r="X31" s="943"/>
      <c r="Y31" s="943"/>
      <c r="Z31" s="943"/>
      <c r="AA31" s="943"/>
      <c r="AB31" s="943"/>
      <c r="AC31" s="943"/>
      <c r="AD31" s="943"/>
      <c r="AE31" s="943"/>
      <c r="AF31" s="943"/>
      <c r="AG31" s="943"/>
      <c r="AH31" s="943"/>
      <c r="AI31" s="943"/>
      <c r="AJ31" s="943"/>
      <c r="AK31" s="943"/>
      <c r="AL31" s="943"/>
      <c r="AM31" s="943"/>
      <c r="AN31" s="943"/>
      <c r="AO31" s="943"/>
      <c r="AP31" s="943"/>
      <c r="AQ31" s="943"/>
      <c r="AR31" s="943"/>
      <c r="AS31" s="943"/>
      <c r="AT31" s="943"/>
      <c r="AU31" s="943"/>
      <c r="AV31" s="943"/>
      <c r="AW31" s="943"/>
      <c r="AX31" s="943"/>
      <c r="AY31" s="943"/>
      <c r="AZ31" s="943"/>
      <c r="BA31" s="943"/>
      <c r="BB31" s="943"/>
      <c r="BC31" s="943"/>
      <c r="BD31" s="943"/>
      <c r="BE31" s="943"/>
      <c r="BF31" s="943"/>
      <c r="BG31" s="943"/>
      <c r="BH31" s="943"/>
      <c r="BI31" s="943"/>
      <c r="BJ31" s="943"/>
      <c r="BK31" s="943"/>
      <c r="BL31" s="943"/>
      <c r="BM31" s="943"/>
      <c r="BN31" s="943"/>
      <c r="BO31" s="943"/>
      <c r="BP31" s="943"/>
      <c r="BQ31" s="943"/>
      <c r="BR31" s="943"/>
      <c r="BS31" s="943"/>
      <c r="BT31" s="943"/>
      <c r="BU31" s="943"/>
      <c r="BV31" s="943"/>
    </row>
    <row r="32" spans="2:74" ht="14.85" customHeight="1">
      <c r="B32" s="1010"/>
      <c r="C32" s="1011">
        <f t="shared" si="11"/>
        <v>2021</v>
      </c>
      <c r="D32" s="1017">
        <v>8471.0248099655564</v>
      </c>
      <c r="E32" s="1018"/>
      <c r="F32" s="1014">
        <f t="shared" si="10"/>
        <v>0</v>
      </c>
      <c r="G32" s="1014">
        <f t="shared" si="10"/>
        <v>0</v>
      </c>
      <c r="H32" s="1014">
        <f t="shared" si="10"/>
        <v>0</v>
      </c>
      <c r="I32" s="1014">
        <f t="shared" si="10"/>
        <v>0</v>
      </c>
      <c r="J32" s="1014">
        <f t="shared" ca="1" si="10"/>
        <v>2541.0956673694177</v>
      </c>
      <c r="K32" s="1014">
        <f t="shared" ca="1" si="10"/>
        <v>3501.7098808195119</v>
      </c>
      <c r="L32" s="1014">
        <f t="shared" ca="1" si="10"/>
        <v>1347.5282716452712</v>
      </c>
      <c r="M32" s="1014">
        <f t="shared" ca="1" si="10"/>
        <v>714.74271834084391</v>
      </c>
      <c r="N32" s="1014">
        <f t="shared" ca="1" si="10"/>
        <v>243.96551452700803</v>
      </c>
      <c r="O32" s="1014">
        <f t="shared" ca="1" si="10"/>
        <v>121.98275726350401</v>
      </c>
      <c r="P32" s="1014">
        <f t="shared" ca="1" si="10"/>
        <v>0</v>
      </c>
      <c r="Q32" s="1015"/>
      <c r="R32" s="943"/>
      <c r="S32" s="943"/>
      <c r="T32" s="943"/>
      <c r="U32" s="943"/>
      <c r="V32" s="943"/>
      <c r="W32" s="943"/>
      <c r="X32" s="943"/>
      <c r="Y32" s="943"/>
      <c r="Z32" s="943"/>
      <c r="AA32" s="943"/>
      <c r="AB32" s="943"/>
      <c r="AC32" s="943"/>
      <c r="AD32" s="943"/>
      <c r="AE32" s="943"/>
      <c r="AF32" s="943"/>
      <c r="AG32" s="943"/>
      <c r="AH32" s="943"/>
      <c r="AI32" s="943"/>
      <c r="AJ32" s="943"/>
      <c r="AK32" s="943"/>
      <c r="AL32" s="943"/>
      <c r="AM32" s="943"/>
      <c r="AN32" s="943"/>
      <c r="AO32" s="943"/>
      <c r="AP32" s="943"/>
      <c r="AQ32" s="943"/>
      <c r="AR32" s="943"/>
      <c r="AS32" s="943"/>
      <c r="AT32" s="943"/>
      <c r="AU32" s="943"/>
      <c r="AV32" s="943"/>
      <c r="AW32" s="943"/>
      <c r="AX32" s="943"/>
      <c r="AY32" s="943"/>
      <c r="AZ32" s="943"/>
      <c r="BA32" s="943"/>
      <c r="BB32" s="943"/>
      <c r="BC32" s="943"/>
      <c r="BD32" s="943"/>
      <c r="BE32" s="943"/>
      <c r="BF32" s="943"/>
      <c r="BG32" s="943"/>
      <c r="BH32" s="943"/>
      <c r="BI32" s="943"/>
      <c r="BJ32" s="943"/>
      <c r="BK32" s="943"/>
      <c r="BL32" s="943"/>
      <c r="BM32" s="943"/>
      <c r="BN32" s="943"/>
      <c r="BO32" s="943"/>
      <c r="BP32" s="943"/>
      <c r="BQ32" s="943"/>
      <c r="BR32" s="943"/>
      <c r="BS32" s="943"/>
      <c r="BT32" s="943"/>
      <c r="BU32" s="943"/>
      <c r="BV32" s="943"/>
    </row>
    <row r="33" spans="1:74" ht="14.85" customHeight="1">
      <c r="B33" s="1010"/>
      <c r="C33" s="1011">
        <f t="shared" si="11"/>
        <v>2022</v>
      </c>
      <c r="D33" s="1017">
        <v>11859.434733951779</v>
      </c>
      <c r="E33" s="1018"/>
      <c r="F33" s="1014">
        <f t="shared" si="10"/>
        <v>0</v>
      </c>
      <c r="G33" s="1014">
        <f t="shared" si="10"/>
        <v>0</v>
      </c>
      <c r="H33" s="1014">
        <f t="shared" si="10"/>
        <v>0</v>
      </c>
      <c r="I33" s="1014">
        <f t="shared" si="10"/>
        <v>0</v>
      </c>
      <c r="J33" s="1014">
        <f t="shared" si="10"/>
        <v>0</v>
      </c>
      <c r="K33" s="1014">
        <f t="shared" ca="1" si="10"/>
        <v>3557.533934317185</v>
      </c>
      <c r="L33" s="1014">
        <f t="shared" ca="1" si="10"/>
        <v>4902.3938331473164</v>
      </c>
      <c r="M33" s="1014">
        <f t="shared" ca="1" si="10"/>
        <v>1886.5395803033796</v>
      </c>
      <c r="N33" s="1014">
        <f t="shared" ca="1" si="10"/>
        <v>1000.6398056771815</v>
      </c>
      <c r="O33" s="1014">
        <f t="shared" ca="1" si="10"/>
        <v>341.55172033781122</v>
      </c>
      <c r="P33" s="1014">
        <f t="shared" ca="1" si="10"/>
        <v>170.77586016890561</v>
      </c>
      <c r="Q33" s="1015"/>
      <c r="R33" s="943"/>
      <c r="S33" s="943"/>
      <c r="T33" s="943"/>
      <c r="U33" s="943"/>
      <c r="V33" s="943"/>
      <c r="W33" s="943"/>
      <c r="X33" s="943"/>
      <c r="Y33" s="943"/>
      <c r="Z33" s="943"/>
      <c r="AA33" s="943"/>
      <c r="AB33" s="943"/>
      <c r="AC33" s="943"/>
      <c r="AD33" s="943"/>
      <c r="AE33" s="943"/>
      <c r="AF33" s="943"/>
      <c r="AG33" s="943"/>
      <c r="AH33" s="943"/>
      <c r="AI33" s="943"/>
      <c r="AJ33" s="943"/>
      <c r="AK33" s="943"/>
      <c r="AL33" s="943"/>
      <c r="AM33" s="943"/>
      <c r="AN33" s="943"/>
      <c r="AO33" s="943"/>
      <c r="AP33" s="943"/>
      <c r="AQ33" s="943"/>
      <c r="AR33" s="943"/>
      <c r="AS33" s="943"/>
      <c r="AT33" s="943"/>
      <c r="AU33" s="943"/>
      <c r="AV33" s="943"/>
      <c r="AW33" s="943"/>
      <c r="AX33" s="943"/>
      <c r="AY33" s="943"/>
      <c r="AZ33" s="943"/>
      <c r="BA33" s="943"/>
      <c r="BB33" s="943"/>
      <c r="BC33" s="943"/>
      <c r="BD33" s="943"/>
      <c r="BE33" s="943"/>
      <c r="BF33" s="943"/>
      <c r="BG33" s="943"/>
      <c r="BH33" s="943"/>
      <c r="BI33" s="943"/>
      <c r="BJ33" s="943"/>
      <c r="BK33" s="943"/>
      <c r="BL33" s="943"/>
      <c r="BM33" s="943"/>
      <c r="BN33" s="943"/>
      <c r="BO33" s="943"/>
      <c r="BP33" s="943"/>
      <c r="BQ33" s="943"/>
      <c r="BR33" s="943"/>
      <c r="BS33" s="943"/>
      <c r="BT33" s="943"/>
      <c r="BU33" s="943"/>
      <c r="BV33" s="943"/>
    </row>
    <row r="34" spans="1:74" ht="14.85" customHeight="1">
      <c r="B34" s="1010"/>
      <c r="C34" s="1011">
        <f t="shared" si="11"/>
        <v>2023</v>
      </c>
      <c r="D34" s="1017">
        <v>15417.265154137312</v>
      </c>
      <c r="E34" s="1018"/>
      <c r="F34" s="1014">
        <f t="shared" si="10"/>
        <v>0</v>
      </c>
      <c r="G34" s="1014">
        <f t="shared" si="10"/>
        <v>0</v>
      </c>
      <c r="H34" s="1014">
        <f t="shared" si="10"/>
        <v>0</v>
      </c>
      <c r="I34" s="1014">
        <f t="shared" si="10"/>
        <v>0</v>
      </c>
      <c r="J34" s="1014">
        <f t="shared" si="10"/>
        <v>0</v>
      </c>
      <c r="K34" s="1014">
        <f t="shared" si="10"/>
        <v>0</v>
      </c>
      <c r="L34" s="1014">
        <f t="shared" ca="1" si="10"/>
        <v>4624.7941146123403</v>
      </c>
      <c r="M34" s="1014">
        <f t="shared" ca="1" si="10"/>
        <v>6373.1119830915113</v>
      </c>
      <c r="N34" s="1014">
        <f t="shared" ca="1" si="10"/>
        <v>2452.5014543943935</v>
      </c>
      <c r="O34" s="1014">
        <f t="shared" ca="1" si="10"/>
        <v>1300.8317473803359</v>
      </c>
      <c r="P34" s="1014">
        <f t="shared" ca="1" si="10"/>
        <v>444.0172364391546</v>
      </c>
      <c r="Q34" s="1015"/>
      <c r="R34" s="943"/>
      <c r="S34" s="943"/>
      <c r="T34" s="943"/>
      <c r="U34" s="943"/>
      <c r="V34" s="943"/>
      <c r="W34" s="943"/>
      <c r="X34" s="943"/>
      <c r="Y34" s="943"/>
      <c r="Z34" s="943"/>
      <c r="AA34" s="943"/>
      <c r="AB34" s="943"/>
      <c r="AC34" s="943"/>
      <c r="AD34" s="943"/>
      <c r="AE34" s="943"/>
      <c r="AF34" s="943"/>
      <c r="AG34" s="943"/>
      <c r="AH34" s="943"/>
      <c r="AI34" s="943"/>
      <c r="AJ34" s="943"/>
      <c r="AK34" s="943"/>
      <c r="AL34" s="943"/>
      <c r="AM34" s="943"/>
      <c r="AN34" s="943"/>
      <c r="AO34" s="943"/>
      <c r="AP34" s="943"/>
      <c r="AQ34" s="943"/>
      <c r="AR34" s="943"/>
      <c r="AS34" s="943"/>
      <c r="AT34" s="943"/>
      <c r="AU34" s="943"/>
      <c r="AV34" s="943"/>
      <c r="AW34" s="943"/>
      <c r="AX34" s="943"/>
      <c r="AY34" s="943"/>
      <c r="AZ34" s="943"/>
      <c r="BA34" s="943"/>
      <c r="BB34" s="943"/>
      <c r="BC34" s="943"/>
      <c r="BD34" s="943"/>
      <c r="BE34" s="943"/>
      <c r="BF34" s="943"/>
      <c r="BG34" s="943"/>
      <c r="BH34" s="943"/>
      <c r="BI34" s="943"/>
      <c r="BJ34" s="943"/>
      <c r="BK34" s="943"/>
      <c r="BL34" s="943"/>
      <c r="BM34" s="943"/>
      <c r="BN34" s="943"/>
      <c r="BO34" s="943"/>
      <c r="BP34" s="943"/>
      <c r="BQ34" s="943"/>
      <c r="BR34" s="943"/>
      <c r="BS34" s="943"/>
      <c r="BT34" s="943"/>
      <c r="BU34" s="943"/>
      <c r="BV34" s="943"/>
    </row>
    <row r="35" spans="1:74" ht="14.85" customHeight="1">
      <c r="B35" s="1010"/>
      <c r="C35" s="1011">
        <f t="shared" si="11"/>
        <v>2024</v>
      </c>
      <c r="D35" s="1017">
        <v>18500.718184964775</v>
      </c>
      <c r="E35" s="1018"/>
      <c r="F35" s="1014">
        <f t="shared" si="10"/>
        <v>0</v>
      </c>
      <c r="G35" s="1014">
        <f t="shared" si="10"/>
        <v>0</v>
      </c>
      <c r="H35" s="1014">
        <f t="shared" si="10"/>
        <v>0</v>
      </c>
      <c r="I35" s="1014">
        <f t="shared" si="10"/>
        <v>0</v>
      </c>
      <c r="J35" s="1014">
        <f t="shared" si="10"/>
        <v>0</v>
      </c>
      <c r="K35" s="1014">
        <f t="shared" si="10"/>
        <v>0</v>
      </c>
      <c r="L35" s="1014">
        <f t="shared" si="10"/>
        <v>0</v>
      </c>
      <c r="M35" s="1014">
        <f t="shared" ca="1" si="10"/>
        <v>5549.7529375348086</v>
      </c>
      <c r="N35" s="1014">
        <f t="shared" ca="1" si="10"/>
        <v>7647.7343797098138</v>
      </c>
      <c r="O35" s="1014">
        <f t="shared" ca="1" si="10"/>
        <v>2943.0017452732718</v>
      </c>
      <c r="P35" s="1014">
        <f t="shared" ca="1" si="10"/>
        <v>1560.998096856403</v>
      </c>
      <c r="Q35" s="1015"/>
      <c r="R35" s="943"/>
      <c r="S35" s="943"/>
      <c r="T35" s="943"/>
      <c r="U35" s="943"/>
      <c r="V35" s="943"/>
      <c r="W35" s="943"/>
      <c r="X35" s="943"/>
      <c r="Y35" s="943"/>
      <c r="Z35" s="943"/>
      <c r="AA35" s="943"/>
      <c r="AB35" s="943"/>
      <c r="AC35" s="943"/>
      <c r="AD35" s="943"/>
      <c r="AE35" s="943"/>
      <c r="AF35" s="943"/>
      <c r="AG35" s="943"/>
      <c r="AH35" s="943"/>
      <c r="AI35" s="943"/>
      <c r="AJ35" s="943"/>
      <c r="AK35" s="943"/>
      <c r="AL35" s="943"/>
      <c r="AM35" s="943"/>
      <c r="AN35" s="943"/>
      <c r="AO35" s="943"/>
      <c r="AP35" s="943"/>
      <c r="AQ35" s="943"/>
      <c r="AR35" s="943"/>
      <c r="AS35" s="943"/>
      <c r="AT35" s="943"/>
      <c r="AU35" s="943"/>
      <c r="AV35" s="943"/>
      <c r="AW35" s="943"/>
      <c r="AX35" s="943"/>
      <c r="AY35" s="943"/>
      <c r="AZ35" s="943"/>
      <c r="BA35" s="943"/>
      <c r="BB35" s="943"/>
      <c r="BC35" s="943"/>
      <c r="BD35" s="943"/>
      <c r="BE35" s="943"/>
      <c r="BF35" s="943"/>
      <c r="BG35" s="943"/>
      <c r="BH35" s="943"/>
      <c r="BI35" s="943"/>
      <c r="BJ35" s="943"/>
      <c r="BK35" s="943"/>
      <c r="BL35" s="943"/>
      <c r="BM35" s="943"/>
      <c r="BN35" s="943"/>
      <c r="BO35" s="943"/>
      <c r="BP35" s="943"/>
      <c r="BQ35" s="943"/>
      <c r="BR35" s="943"/>
      <c r="BS35" s="943"/>
      <c r="BT35" s="943"/>
      <c r="BU35" s="943"/>
      <c r="BV35" s="943"/>
    </row>
    <row r="36" spans="1:74" ht="14.85" customHeight="1">
      <c r="B36" s="1010"/>
      <c r="C36" s="1011">
        <f t="shared" si="11"/>
        <v>2025</v>
      </c>
      <c r="D36" s="1017">
        <v>20350.790003461254</v>
      </c>
      <c r="E36" s="1018"/>
      <c r="F36" s="1014">
        <f t="shared" si="10"/>
        <v>0</v>
      </c>
      <c r="G36" s="1014">
        <f t="shared" si="10"/>
        <v>0</v>
      </c>
      <c r="H36" s="1014">
        <f t="shared" si="10"/>
        <v>0</v>
      </c>
      <c r="I36" s="1014">
        <f t="shared" si="10"/>
        <v>0</v>
      </c>
      <c r="J36" s="1014">
        <f t="shared" si="10"/>
        <v>0</v>
      </c>
      <c r="K36" s="1014">
        <f t="shared" si="10"/>
        <v>0</v>
      </c>
      <c r="L36" s="1014">
        <f t="shared" si="10"/>
        <v>0</v>
      </c>
      <c r="M36" s="1014">
        <f t="shared" si="10"/>
        <v>0</v>
      </c>
      <c r="N36" s="1014">
        <f t="shared" ca="1" si="10"/>
        <v>6104.7282312882899</v>
      </c>
      <c r="O36" s="1014">
        <f t="shared" ca="1" si="10"/>
        <v>8412.5078176807965</v>
      </c>
      <c r="P36" s="1014">
        <f t="shared" ca="1" si="10"/>
        <v>3237.3019198005995</v>
      </c>
      <c r="Q36" s="1015"/>
      <c r="R36" s="943"/>
      <c r="S36" s="943"/>
      <c r="T36" s="943"/>
      <c r="U36" s="943"/>
      <c r="V36" s="943"/>
      <c r="W36" s="943"/>
      <c r="X36" s="943"/>
      <c r="Y36" s="943"/>
      <c r="Z36" s="943"/>
      <c r="AA36" s="943"/>
      <c r="AB36" s="943"/>
      <c r="AC36" s="943"/>
      <c r="AD36" s="943"/>
      <c r="AE36" s="943"/>
      <c r="AF36" s="943"/>
      <c r="AG36" s="943"/>
      <c r="AH36" s="943"/>
      <c r="AI36" s="943"/>
      <c r="AJ36" s="943"/>
      <c r="AK36" s="943"/>
      <c r="AL36" s="943"/>
      <c r="AM36" s="943"/>
      <c r="AN36" s="943"/>
      <c r="AO36" s="943"/>
      <c r="AP36" s="943"/>
      <c r="AQ36" s="943"/>
      <c r="AR36" s="943"/>
      <c r="AS36" s="943"/>
      <c r="AT36" s="943"/>
      <c r="AU36" s="943"/>
      <c r="AV36" s="943"/>
      <c r="AW36" s="943"/>
      <c r="AX36" s="943"/>
      <c r="AY36" s="943"/>
      <c r="AZ36" s="943"/>
      <c r="BA36" s="943"/>
      <c r="BB36" s="943"/>
      <c r="BC36" s="943"/>
      <c r="BD36" s="943"/>
      <c r="BE36" s="943"/>
      <c r="BF36" s="943"/>
      <c r="BG36" s="943"/>
      <c r="BH36" s="943"/>
      <c r="BI36" s="943"/>
      <c r="BJ36" s="943"/>
      <c r="BK36" s="943"/>
      <c r="BL36" s="943"/>
      <c r="BM36" s="943"/>
      <c r="BN36" s="943"/>
      <c r="BO36" s="943"/>
      <c r="BP36" s="943"/>
      <c r="BQ36" s="943"/>
      <c r="BR36" s="943"/>
      <c r="BS36" s="943"/>
      <c r="BT36" s="943"/>
      <c r="BU36" s="943"/>
      <c r="BV36" s="943"/>
    </row>
    <row r="37" spans="1:74" ht="14.85" customHeight="1">
      <c r="B37" s="1010"/>
      <c r="C37" s="1011">
        <f t="shared" si="11"/>
        <v>2026</v>
      </c>
      <c r="D37" s="1017">
        <v>21368.329503634319</v>
      </c>
      <c r="E37" s="1018"/>
      <c r="F37" s="1014">
        <f t="shared" si="10"/>
        <v>0</v>
      </c>
      <c r="G37" s="1014">
        <f t="shared" si="10"/>
        <v>0</v>
      </c>
      <c r="H37" s="1014">
        <f t="shared" si="10"/>
        <v>0</v>
      </c>
      <c r="I37" s="1014">
        <f t="shared" si="10"/>
        <v>0</v>
      </c>
      <c r="J37" s="1014">
        <f t="shared" si="10"/>
        <v>0</v>
      </c>
      <c r="K37" s="1014">
        <f t="shared" si="10"/>
        <v>0</v>
      </c>
      <c r="L37" s="1014">
        <f t="shared" si="10"/>
        <v>0</v>
      </c>
      <c r="M37" s="1014">
        <f t="shared" si="10"/>
        <v>0</v>
      </c>
      <c r="N37" s="1014">
        <f t="shared" si="10"/>
        <v>0</v>
      </c>
      <c r="O37" s="1014">
        <f t="shared" ca="1" si="10"/>
        <v>6409.9646428527049</v>
      </c>
      <c r="P37" s="1014">
        <f t="shared" ca="1" si="10"/>
        <v>8833.1332085648355</v>
      </c>
      <c r="Q37" s="1015"/>
      <c r="R37" s="943"/>
      <c r="S37" s="943"/>
      <c r="T37" s="943"/>
      <c r="U37" s="943"/>
      <c r="V37" s="943"/>
      <c r="W37" s="943"/>
      <c r="X37" s="943"/>
      <c r="Y37" s="943"/>
      <c r="Z37" s="943"/>
      <c r="AA37" s="943"/>
      <c r="AB37" s="943"/>
      <c r="AC37" s="943"/>
      <c r="AD37" s="943"/>
      <c r="AE37" s="943"/>
      <c r="AF37" s="943"/>
      <c r="AG37" s="943"/>
      <c r="AH37" s="943"/>
      <c r="AI37" s="943"/>
      <c r="AJ37" s="943"/>
      <c r="AK37" s="943"/>
      <c r="AL37" s="943"/>
      <c r="AM37" s="943"/>
      <c r="AN37" s="943"/>
      <c r="AO37" s="943"/>
      <c r="AP37" s="943"/>
      <c r="AQ37" s="943"/>
      <c r="AR37" s="943"/>
      <c r="AS37" s="943"/>
      <c r="AT37" s="943"/>
      <c r="AU37" s="943"/>
      <c r="AV37" s="943"/>
      <c r="AW37" s="943"/>
      <c r="AX37" s="943"/>
      <c r="AY37" s="943"/>
      <c r="AZ37" s="943"/>
      <c r="BA37" s="943"/>
      <c r="BB37" s="943"/>
      <c r="BC37" s="943"/>
      <c r="BD37" s="943"/>
      <c r="BE37" s="943"/>
      <c r="BF37" s="943"/>
      <c r="BG37" s="943"/>
      <c r="BH37" s="943"/>
      <c r="BI37" s="943"/>
      <c r="BJ37" s="943"/>
      <c r="BK37" s="943"/>
      <c r="BL37" s="943"/>
      <c r="BM37" s="943"/>
      <c r="BN37" s="943"/>
      <c r="BO37" s="943"/>
      <c r="BP37" s="943"/>
      <c r="BQ37" s="943"/>
      <c r="BR37" s="943"/>
      <c r="BS37" s="943"/>
      <c r="BT37" s="943"/>
      <c r="BU37" s="943"/>
      <c r="BV37" s="943"/>
    </row>
    <row r="38" spans="1:74" ht="14.85" customHeight="1" outlineLevel="1">
      <c r="B38" s="1010"/>
      <c r="C38" s="1011">
        <f t="shared" si="11"/>
        <v>2027</v>
      </c>
      <c r="D38" s="1019"/>
      <c r="E38" s="1018"/>
      <c r="F38" s="1014">
        <f t="shared" si="10"/>
        <v>0</v>
      </c>
      <c r="G38" s="1014">
        <f t="shared" si="10"/>
        <v>0</v>
      </c>
      <c r="H38" s="1014">
        <f t="shared" si="10"/>
        <v>0</v>
      </c>
      <c r="I38" s="1014">
        <f t="shared" si="10"/>
        <v>0</v>
      </c>
      <c r="J38" s="1014">
        <f t="shared" si="10"/>
        <v>0</v>
      </c>
      <c r="K38" s="1014">
        <f t="shared" si="10"/>
        <v>0</v>
      </c>
      <c r="L38" s="1014">
        <f t="shared" si="10"/>
        <v>0</v>
      </c>
      <c r="M38" s="1014">
        <f t="shared" si="10"/>
        <v>0</v>
      </c>
      <c r="N38" s="1014">
        <f t="shared" si="10"/>
        <v>0</v>
      </c>
      <c r="O38" s="1014">
        <f t="shared" si="10"/>
        <v>0</v>
      </c>
      <c r="P38" s="1014">
        <f ca="1">IF($C38&gt;P$27,0,$D38*HLOOKUP(P$27-$C38+1,$F$20:$P$25,ROWS($D$20:$D$25),FALSE))</f>
        <v>0</v>
      </c>
      <c r="Q38" s="1015"/>
      <c r="R38" s="943"/>
      <c r="S38" s="943"/>
      <c r="T38" s="943"/>
      <c r="U38" s="943"/>
      <c r="V38" s="943"/>
      <c r="W38" s="943"/>
      <c r="X38" s="943"/>
      <c r="Y38" s="943"/>
      <c r="Z38" s="943"/>
      <c r="AA38" s="943"/>
      <c r="AB38" s="943"/>
      <c r="AC38" s="943"/>
      <c r="AD38" s="943"/>
      <c r="AE38" s="943"/>
      <c r="AF38" s="943"/>
      <c r="AG38" s="943"/>
      <c r="AH38" s="943"/>
      <c r="AI38" s="943"/>
      <c r="AJ38" s="943"/>
      <c r="AK38" s="943"/>
      <c r="AL38" s="943"/>
      <c r="AM38" s="943"/>
      <c r="AN38" s="943"/>
      <c r="AO38" s="943"/>
      <c r="AP38" s="943"/>
      <c r="AQ38" s="943"/>
      <c r="AR38" s="943"/>
      <c r="AS38" s="943"/>
      <c r="AT38" s="943"/>
      <c r="AU38" s="943"/>
      <c r="AV38" s="943"/>
      <c r="AW38" s="943"/>
      <c r="AX38" s="943"/>
      <c r="AY38" s="943"/>
      <c r="AZ38" s="943"/>
      <c r="BA38" s="943"/>
      <c r="BB38" s="943"/>
      <c r="BC38" s="943"/>
      <c r="BD38" s="943"/>
      <c r="BE38" s="943"/>
      <c r="BF38" s="943"/>
      <c r="BG38" s="943"/>
      <c r="BH38" s="943"/>
      <c r="BI38" s="943"/>
      <c r="BJ38" s="943"/>
      <c r="BK38" s="943"/>
      <c r="BL38" s="943"/>
      <c r="BM38" s="943"/>
      <c r="BN38" s="943"/>
      <c r="BO38" s="943"/>
      <c r="BP38" s="943"/>
      <c r="BQ38" s="943"/>
      <c r="BR38" s="943"/>
      <c r="BS38" s="943"/>
      <c r="BT38" s="943"/>
      <c r="BU38" s="943"/>
      <c r="BV38" s="943"/>
    </row>
    <row r="39" spans="1:74" ht="14.85" customHeight="1">
      <c r="B39" s="1020"/>
      <c r="C39" s="1021"/>
      <c r="D39" s="939"/>
      <c r="E39" s="939"/>
      <c r="F39" s="1014"/>
      <c r="G39" s="1014"/>
      <c r="H39" s="1014"/>
      <c r="I39" s="1014"/>
      <c r="J39" s="1014"/>
      <c r="K39" s="1014"/>
      <c r="L39" s="1014"/>
      <c r="M39" s="1014"/>
      <c r="N39" s="1014"/>
      <c r="O39" s="1014"/>
      <c r="P39" s="1014"/>
      <c r="Q39" s="1022"/>
      <c r="R39" s="943"/>
      <c r="S39" s="943"/>
      <c r="T39" s="943"/>
      <c r="U39" s="943"/>
      <c r="V39" s="943"/>
      <c r="W39" s="943"/>
      <c r="X39" s="943"/>
      <c r="Y39" s="943"/>
      <c r="Z39" s="943"/>
      <c r="AA39" s="943"/>
      <c r="AB39" s="943"/>
      <c r="AC39" s="943"/>
      <c r="AD39" s="943"/>
      <c r="AE39" s="943"/>
      <c r="AF39" s="943"/>
      <c r="AG39" s="943"/>
      <c r="AH39" s="943"/>
      <c r="AI39" s="943"/>
      <c r="AJ39" s="943"/>
      <c r="AK39" s="943"/>
      <c r="AL39" s="943"/>
      <c r="AM39" s="943"/>
      <c r="AN39" s="943"/>
      <c r="AO39" s="943"/>
      <c r="AP39" s="943"/>
      <c r="AQ39" s="943"/>
      <c r="AR39" s="943"/>
      <c r="AS39" s="943"/>
      <c r="AT39" s="943"/>
      <c r="AU39" s="943"/>
      <c r="AV39" s="943"/>
      <c r="AW39" s="943"/>
      <c r="AX39" s="943"/>
      <c r="AY39" s="943"/>
      <c r="AZ39" s="943"/>
      <c r="BA39" s="943"/>
      <c r="BB39" s="943"/>
      <c r="BC39" s="943"/>
      <c r="BD39" s="943"/>
      <c r="BE39" s="943"/>
      <c r="BF39" s="943"/>
      <c r="BG39" s="943"/>
      <c r="BH39" s="943"/>
      <c r="BI39" s="943"/>
      <c r="BJ39" s="943"/>
      <c r="BK39" s="943"/>
      <c r="BL39" s="943"/>
      <c r="BM39" s="943"/>
      <c r="BN39" s="943"/>
      <c r="BO39" s="943"/>
      <c r="BP39" s="943"/>
      <c r="BQ39" s="943"/>
      <c r="BR39" s="943"/>
      <c r="BS39" s="943"/>
      <c r="BT39" s="943"/>
      <c r="BU39" s="943"/>
      <c r="BV39" s="943"/>
    </row>
    <row r="40" spans="1:74" ht="14.85" customHeight="1">
      <c r="B40" s="945" t="s">
        <v>1962</v>
      </c>
      <c r="C40" s="945"/>
      <c r="D40" s="939"/>
      <c r="E40" s="939"/>
      <c r="F40" s="1023">
        <f ca="1">SUM(F28:F39)</f>
        <v>174.49179958609159</v>
      </c>
      <c r="G40" s="1024">
        <f t="shared" ref="G40:P40" ca="1" si="12">SUM(G28:G39)</f>
        <v>646.32443529004763</v>
      </c>
      <c r="H40" s="1024">
        <f t="shared" ca="1" si="12"/>
        <v>1577.8111519698646</v>
      </c>
      <c r="I40" s="1024">
        <f t="shared" ca="1" si="12"/>
        <v>3179.754204725702</v>
      </c>
      <c r="J40" s="1024">
        <f t="shared" ca="1" si="12"/>
        <v>5422.2172334811867</v>
      </c>
      <c r="K40" s="1024">
        <f t="shared" ca="1" si="12"/>
        <v>8236.4130687207944</v>
      </c>
      <c r="L40" s="1024">
        <f t="shared" ca="1" si="12"/>
        <v>11444.225251817166</v>
      </c>
      <c r="M40" s="1024">
        <f t="shared" ca="1" si="12"/>
        <v>14725.995000886014</v>
      </c>
      <c r="N40" s="1024">
        <f t="shared" ca="1" si="12"/>
        <v>17528.267938669916</v>
      </c>
      <c r="O40" s="1025">
        <f t="shared" ca="1" si="12"/>
        <v>19529.840430788427</v>
      </c>
      <c r="P40" s="1025">
        <f t="shared" ca="1" si="12"/>
        <v>14246.226321829898</v>
      </c>
      <c r="Q40" s="1026"/>
      <c r="R40" s="943"/>
      <c r="S40" s="943"/>
      <c r="T40" s="943"/>
      <c r="U40" s="943"/>
      <c r="V40" s="943"/>
      <c r="W40" s="943"/>
      <c r="X40" s="943"/>
      <c r="Y40" s="943"/>
      <c r="Z40" s="943"/>
      <c r="AA40" s="943"/>
      <c r="AB40" s="943"/>
      <c r="AC40" s="943"/>
      <c r="AD40" s="943"/>
      <c r="AE40" s="943"/>
      <c r="AF40" s="943"/>
      <c r="AG40" s="943"/>
      <c r="AH40" s="943"/>
      <c r="AI40" s="943"/>
      <c r="AJ40" s="943"/>
      <c r="AK40" s="943"/>
      <c r="AL40" s="943"/>
      <c r="AM40" s="943"/>
      <c r="AN40" s="943"/>
      <c r="AO40" s="943"/>
      <c r="AP40" s="943"/>
      <c r="AQ40" s="943"/>
      <c r="AR40" s="943"/>
      <c r="AS40" s="943"/>
      <c r="AT40" s="943"/>
      <c r="AU40" s="943"/>
      <c r="AV40" s="943"/>
      <c r="AW40" s="943"/>
      <c r="AX40" s="943"/>
      <c r="AY40" s="943"/>
      <c r="AZ40" s="943"/>
      <c r="BA40" s="943"/>
      <c r="BB40" s="943"/>
      <c r="BC40" s="943"/>
      <c r="BD40" s="943"/>
      <c r="BE40" s="943"/>
      <c r="BF40" s="943"/>
      <c r="BG40" s="943"/>
      <c r="BH40" s="943"/>
      <c r="BI40" s="943"/>
      <c r="BJ40" s="943"/>
      <c r="BK40" s="943"/>
      <c r="BL40" s="943"/>
      <c r="BM40" s="943"/>
      <c r="BN40" s="943"/>
      <c r="BO40" s="943"/>
      <c r="BP40" s="943"/>
      <c r="BQ40" s="943"/>
      <c r="BR40" s="943"/>
      <c r="BS40" s="943"/>
      <c r="BT40" s="943"/>
      <c r="BU40" s="943"/>
      <c r="BV40" s="943"/>
    </row>
    <row r="41" spans="1:74" ht="14.85" customHeight="1">
      <c r="B41" s="939"/>
      <c r="C41" s="914"/>
      <c r="D41" s="939"/>
      <c r="E41" s="939"/>
      <c r="F41" s="1027"/>
      <c r="G41" s="1027"/>
      <c r="H41" s="1027"/>
      <c r="I41" s="1027"/>
      <c r="J41" s="1027"/>
      <c r="K41" s="1027"/>
      <c r="L41" s="1027"/>
      <c r="M41" s="1027"/>
      <c r="N41" s="1027"/>
      <c r="O41" s="1028"/>
      <c r="P41" s="1028"/>
      <c r="Q41" s="914"/>
      <c r="R41" s="943"/>
      <c r="S41" s="943"/>
      <c r="T41" s="943"/>
      <c r="U41" s="943"/>
      <c r="V41" s="943"/>
      <c r="W41" s="943"/>
      <c r="X41" s="943"/>
      <c r="Y41" s="943"/>
      <c r="Z41" s="943"/>
      <c r="AA41" s="943"/>
      <c r="AB41" s="943"/>
      <c r="AC41" s="943"/>
      <c r="AD41" s="943"/>
      <c r="AE41" s="943"/>
      <c r="AF41" s="943"/>
      <c r="AG41" s="943"/>
      <c r="AH41" s="943"/>
      <c r="AI41" s="943"/>
      <c r="AJ41" s="943"/>
      <c r="AK41" s="943"/>
      <c r="AL41" s="943"/>
      <c r="AM41" s="943"/>
      <c r="AN41" s="943"/>
      <c r="AO41" s="943"/>
      <c r="AP41" s="943"/>
      <c r="AQ41" s="943"/>
      <c r="AR41" s="943"/>
      <c r="AS41" s="943"/>
      <c r="AT41" s="943"/>
      <c r="AU41" s="943"/>
      <c r="AV41" s="943"/>
      <c r="AW41" s="943"/>
      <c r="AX41" s="943"/>
      <c r="AY41" s="943"/>
      <c r="AZ41" s="943"/>
      <c r="BA41" s="943"/>
      <c r="BB41" s="943"/>
      <c r="BC41" s="943"/>
      <c r="BD41" s="943"/>
      <c r="BE41" s="943"/>
      <c r="BF41" s="943"/>
      <c r="BG41" s="943"/>
      <c r="BH41" s="943"/>
      <c r="BI41" s="943"/>
      <c r="BJ41" s="943"/>
      <c r="BK41" s="943"/>
      <c r="BL41" s="943"/>
      <c r="BM41" s="943"/>
      <c r="BN41" s="943"/>
      <c r="BO41" s="943"/>
      <c r="BP41" s="943"/>
      <c r="BQ41" s="943"/>
      <c r="BR41" s="943"/>
      <c r="BS41" s="943"/>
      <c r="BT41" s="943"/>
      <c r="BU41" s="943"/>
      <c r="BV41" s="943"/>
    </row>
    <row r="42" spans="1:74" ht="14.85" customHeight="1">
      <c r="B42" s="939"/>
      <c r="C42" s="947" t="s">
        <v>1963</v>
      </c>
      <c r="D42" s="939"/>
      <c r="E42" s="939"/>
      <c r="F42" s="1029">
        <f t="shared" ref="F42:O42" ca="1" si="13">+F40+F18</f>
        <v>515.76164085593291</v>
      </c>
      <c r="G42" s="1030">
        <f t="shared" ca="1" si="13"/>
        <v>762.81120777682008</v>
      </c>
      <c r="H42" s="1030">
        <f t="shared" ca="1" si="13"/>
        <v>1636.0545382132509</v>
      </c>
      <c r="I42" s="1030">
        <f t="shared" ca="1" si="13"/>
        <v>3179.754204725702</v>
      </c>
      <c r="J42" s="1030">
        <f t="shared" ca="1" si="13"/>
        <v>5422.2172334811867</v>
      </c>
      <c r="K42" s="1030">
        <f t="shared" ca="1" si="13"/>
        <v>8236.4130687207944</v>
      </c>
      <c r="L42" s="1030">
        <f t="shared" ca="1" si="13"/>
        <v>11444.225251817166</v>
      </c>
      <c r="M42" s="1030">
        <f t="shared" ca="1" si="13"/>
        <v>14725.995000886014</v>
      </c>
      <c r="N42" s="1030">
        <f t="shared" ca="1" si="13"/>
        <v>17528.267938669916</v>
      </c>
      <c r="O42" s="1031">
        <f t="shared" ca="1" si="13"/>
        <v>19529.840430788427</v>
      </c>
      <c r="P42" s="1032" t="s">
        <v>13</v>
      </c>
      <c r="Q42" s="1033"/>
      <c r="R42" s="943"/>
      <c r="S42" s="943"/>
      <c r="T42" s="943"/>
      <c r="U42" s="943"/>
      <c r="V42" s="943"/>
      <c r="W42" s="943"/>
      <c r="X42" s="943"/>
      <c r="Y42" s="943"/>
      <c r="Z42" s="943"/>
      <c r="AA42" s="943"/>
      <c r="AB42" s="943"/>
      <c r="AC42" s="943"/>
      <c r="AD42" s="943"/>
      <c r="AE42" s="943"/>
      <c r="AF42" s="943"/>
      <c r="AG42" s="943"/>
      <c r="AH42" s="943"/>
      <c r="AI42" s="943"/>
      <c r="AJ42" s="943"/>
      <c r="AK42" s="943"/>
      <c r="AL42" s="943"/>
      <c r="AM42" s="943"/>
      <c r="AN42" s="943"/>
      <c r="AO42" s="943"/>
      <c r="AP42" s="943"/>
      <c r="AQ42" s="943"/>
      <c r="AR42" s="943"/>
      <c r="AS42" s="943"/>
      <c r="AT42" s="943"/>
      <c r="AU42" s="943"/>
      <c r="AV42" s="943"/>
      <c r="AW42" s="943"/>
      <c r="AX42" s="943"/>
      <c r="AY42" s="943"/>
      <c r="AZ42" s="943"/>
      <c r="BA42" s="943"/>
      <c r="BB42" s="943"/>
      <c r="BC42" s="943"/>
      <c r="BD42" s="943"/>
      <c r="BE42" s="943"/>
      <c r="BF42" s="943"/>
      <c r="BG42" s="943"/>
      <c r="BH42" s="943"/>
      <c r="BI42" s="943"/>
      <c r="BJ42" s="943"/>
      <c r="BK42" s="943"/>
      <c r="BL42" s="943"/>
      <c r="BM42" s="943"/>
      <c r="BN42" s="943"/>
      <c r="BO42" s="943"/>
      <c r="BP42" s="943"/>
      <c r="BQ42" s="943"/>
      <c r="BR42" s="943"/>
      <c r="BS42" s="943"/>
      <c r="BT42" s="943"/>
      <c r="BU42" s="943"/>
      <c r="BV42" s="943"/>
    </row>
    <row r="43" spans="1:74" ht="14.85" customHeight="1">
      <c r="B43" s="939"/>
      <c r="C43" s="939"/>
      <c r="D43" s="939"/>
      <c r="E43" s="939"/>
      <c r="F43" s="939"/>
      <c r="G43" s="939"/>
      <c r="H43" s="939"/>
      <c r="I43" s="939"/>
      <c r="J43" s="939"/>
      <c r="K43" s="939"/>
      <c r="L43" s="939"/>
      <c r="M43" s="939"/>
      <c r="N43" s="939"/>
      <c r="O43" s="939"/>
      <c r="P43" s="939"/>
      <c r="Q43" s="939"/>
      <c r="R43" s="943"/>
      <c r="S43" s="943"/>
      <c r="T43" s="943"/>
      <c r="U43" s="943"/>
      <c r="V43" s="943"/>
      <c r="W43" s="943"/>
      <c r="X43" s="943"/>
      <c r="Y43" s="943"/>
      <c r="Z43" s="943"/>
      <c r="AA43" s="943"/>
      <c r="AB43" s="943"/>
      <c r="AC43" s="943"/>
      <c r="AD43" s="943"/>
      <c r="AE43" s="943"/>
      <c r="AF43" s="943"/>
      <c r="AG43" s="943"/>
      <c r="AH43" s="943"/>
      <c r="AI43" s="943"/>
      <c r="AJ43" s="943"/>
      <c r="AK43" s="943"/>
      <c r="AL43" s="943"/>
      <c r="AM43" s="943"/>
      <c r="AN43" s="943"/>
      <c r="AO43" s="943"/>
      <c r="AP43" s="943"/>
      <c r="AQ43" s="943"/>
      <c r="AR43" s="943"/>
      <c r="AS43" s="943"/>
      <c r="AT43" s="943"/>
      <c r="AU43" s="943"/>
      <c r="AV43" s="943"/>
      <c r="AW43" s="943"/>
      <c r="AX43" s="943"/>
      <c r="AY43" s="943"/>
      <c r="AZ43" s="943"/>
      <c r="BA43" s="943"/>
      <c r="BB43" s="943"/>
      <c r="BC43" s="943"/>
      <c r="BD43" s="943"/>
      <c r="BE43" s="943"/>
      <c r="BF43" s="943"/>
      <c r="BG43" s="943"/>
      <c r="BH43" s="943"/>
      <c r="BI43" s="943"/>
      <c r="BJ43" s="943"/>
      <c r="BK43" s="943"/>
      <c r="BL43" s="943"/>
      <c r="BM43" s="943"/>
      <c r="BN43" s="943"/>
      <c r="BO43" s="943"/>
      <c r="BP43" s="943"/>
      <c r="BQ43" s="943"/>
      <c r="BR43" s="943"/>
      <c r="BS43" s="943"/>
      <c r="BT43" s="943"/>
      <c r="BU43" s="943"/>
      <c r="BV43" s="943"/>
    </row>
    <row r="44" spans="1:74" ht="14.85" customHeight="1">
      <c r="B44" s="455" t="s">
        <v>86</v>
      </c>
      <c r="D44" s="947"/>
      <c r="E44" s="914"/>
      <c r="F44" s="914"/>
      <c r="G44" s="914"/>
      <c r="H44" s="914"/>
      <c r="I44" s="914"/>
      <c r="J44" s="914"/>
      <c r="K44" s="914"/>
      <c r="L44" s="914"/>
      <c r="M44" s="914"/>
      <c r="N44" s="914"/>
      <c r="O44" s="914"/>
      <c r="P44" s="914"/>
      <c r="Q44" s="914"/>
      <c r="R44" s="901"/>
      <c r="S44" s="901"/>
      <c r="T44" s="901"/>
      <c r="U44" s="901"/>
      <c r="V44" s="901"/>
      <c r="W44" s="901"/>
      <c r="X44" s="901"/>
      <c r="Y44" s="901"/>
      <c r="Z44" s="901"/>
      <c r="AA44" s="901"/>
      <c r="AB44" s="901"/>
      <c r="AC44" s="901"/>
      <c r="AD44" s="901"/>
      <c r="AE44" s="901"/>
      <c r="AF44" s="901"/>
      <c r="AG44" s="901"/>
      <c r="AH44" s="901"/>
      <c r="AI44" s="901"/>
      <c r="AJ44" s="901"/>
      <c r="AK44" s="901"/>
      <c r="AL44" s="901"/>
      <c r="AM44" s="901"/>
      <c r="AN44" s="901"/>
      <c r="AO44" s="901"/>
      <c r="AP44" s="901"/>
      <c r="AQ44" s="901"/>
      <c r="AR44" s="901"/>
      <c r="AS44" s="901"/>
      <c r="AT44" s="901"/>
      <c r="AU44" s="901"/>
      <c r="AV44" s="901"/>
      <c r="AW44" s="901"/>
      <c r="AX44" s="901"/>
      <c r="AY44" s="901"/>
      <c r="AZ44" s="901"/>
      <c r="BA44" s="901"/>
      <c r="BB44" s="901"/>
      <c r="BC44" s="901"/>
      <c r="BD44" s="901"/>
      <c r="BE44" s="901"/>
      <c r="BF44" s="901"/>
      <c r="BG44" s="901"/>
      <c r="BH44" s="901"/>
      <c r="BI44" s="901"/>
      <c r="BJ44" s="901"/>
      <c r="BK44" s="901"/>
      <c r="BL44" s="901"/>
      <c r="BM44" s="901"/>
      <c r="BN44" s="901"/>
      <c r="BO44" s="901"/>
      <c r="BP44" s="901"/>
      <c r="BQ44" s="901"/>
      <c r="BR44" s="901"/>
      <c r="BS44" s="901"/>
      <c r="BT44" s="901"/>
      <c r="BU44" s="901"/>
      <c r="BV44" s="901"/>
    </row>
    <row r="45" spans="1:74" ht="14.85" customHeight="1">
      <c r="A45" s="1034" t="s">
        <v>270</v>
      </c>
      <c r="B45" s="1035" t="str">
        <f>"Based on the balance sheet provided by Management as of the Valuation Date."</f>
        <v>Based on the balance sheet provided by Management as of the Valuation Date.</v>
      </c>
      <c r="E45" s="1036"/>
      <c r="F45" s="1036"/>
      <c r="G45" s="1036"/>
      <c r="H45" s="1036"/>
      <c r="I45" s="1036"/>
      <c r="J45" s="1036"/>
      <c r="K45" s="988"/>
      <c r="L45" s="988"/>
      <c r="M45" s="914"/>
      <c r="N45" s="914"/>
      <c r="O45" s="914"/>
      <c r="P45" s="914"/>
      <c r="Q45" s="914"/>
      <c r="R45" s="901"/>
      <c r="S45" s="901"/>
      <c r="T45" s="901"/>
      <c r="U45" s="901"/>
      <c r="V45" s="901"/>
      <c r="W45" s="901"/>
      <c r="X45" s="901"/>
      <c r="Y45" s="901"/>
      <c r="Z45" s="901"/>
      <c r="AA45" s="901"/>
      <c r="AB45" s="901"/>
      <c r="AC45" s="901"/>
      <c r="AD45" s="901"/>
      <c r="AE45" s="901"/>
      <c r="AF45" s="901"/>
      <c r="AG45" s="901"/>
      <c r="AH45" s="901"/>
      <c r="AI45" s="901"/>
      <c r="AJ45" s="901"/>
      <c r="AK45" s="901"/>
      <c r="AL45" s="901"/>
      <c r="AM45" s="901"/>
      <c r="AN45" s="901"/>
      <c r="AO45" s="901"/>
      <c r="AP45" s="901"/>
      <c r="AQ45" s="901"/>
      <c r="AR45" s="901"/>
      <c r="AS45" s="901"/>
      <c r="AT45" s="901"/>
      <c r="AU45" s="901"/>
      <c r="AV45" s="901"/>
      <c r="AW45" s="901"/>
      <c r="AX45" s="901"/>
      <c r="AY45" s="901"/>
      <c r="AZ45" s="901"/>
      <c r="BA45" s="901"/>
      <c r="BB45" s="901"/>
      <c r="BC45" s="901"/>
      <c r="BD45" s="901"/>
      <c r="BE45" s="901"/>
      <c r="BF45" s="901"/>
      <c r="BG45" s="901"/>
      <c r="BH45" s="901"/>
      <c r="BI45" s="901"/>
      <c r="BJ45" s="901"/>
      <c r="BK45" s="901"/>
      <c r="BL45" s="901"/>
      <c r="BM45" s="901"/>
      <c r="BN45" s="901"/>
      <c r="BO45" s="901"/>
      <c r="BP45" s="901"/>
      <c r="BQ45" s="901"/>
      <c r="BR45" s="901"/>
      <c r="BS45" s="901"/>
      <c r="BT45" s="901"/>
      <c r="BU45" s="901"/>
      <c r="BV45" s="901"/>
    </row>
    <row r="46" spans="1:74" ht="14.85" customHeight="1">
      <c r="A46" s="1034" t="s">
        <v>269</v>
      </c>
      <c r="B46" s="2085" t="s">
        <v>1964</v>
      </c>
      <c r="C46" s="2085"/>
      <c r="D46" s="2085"/>
      <c r="E46" s="2085"/>
      <c r="F46" s="2085"/>
      <c r="G46" s="2085"/>
      <c r="H46" s="2085"/>
      <c r="I46" s="2085"/>
      <c r="J46" s="2085"/>
      <c r="K46" s="2085"/>
      <c r="L46" s="2085"/>
      <c r="M46" s="2085"/>
      <c r="N46" s="2085"/>
      <c r="O46" s="2085"/>
      <c r="P46" s="1037"/>
      <c r="Q46" s="1037"/>
      <c r="R46" s="901"/>
      <c r="S46" s="901"/>
      <c r="T46" s="901"/>
      <c r="U46" s="901"/>
      <c r="V46" s="901"/>
      <c r="W46" s="901"/>
      <c r="X46" s="901"/>
      <c r="Y46" s="901"/>
      <c r="Z46" s="901"/>
      <c r="AA46" s="901"/>
      <c r="AB46" s="901"/>
      <c r="AC46" s="901"/>
      <c r="AD46" s="901"/>
      <c r="AE46" s="901"/>
      <c r="AF46" s="901"/>
      <c r="AG46" s="901"/>
      <c r="AH46" s="901"/>
      <c r="AI46" s="901"/>
      <c r="AJ46" s="901"/>
      <c r="AK46" s="901"/>
      <c r="AL46" s="901"/>
      <c r="AM46" s="901"/>
      <c r="AN46" s="901"/>
      <c r="AO46" s="901"/>
      <c r="AP46" s="901"/>
      <c r="AQ46" s="901"/>
      <c r="AR46" s="901"/>
      <c r="AS46" s="901"/>
      <c r="AT46" s="901"/>
      <c r="AU46" s="901"/>
      <c r="AV46" s="901"/>
      <c r="AW46" s="901"/>
      <c r="AX46" s="901"/>
      <c r="AY46" s="901"/>
      <c r="AZ46" s="901"/>
      <c r="BA46" s="901"/>
      <c r="BB46" s="901"/>
      <c r="BC46" s="901"/>
      <c r="BD46" s="901"/>
      <c r="BE46" s="901"/>
      <c r="BF46" s="901"/>
      <c r="BG46" s="901"/>
      <c r="BH46" s="901"/>
      <c r="BI46" s="901"/>
      <c r="BJ46" s="901"/>
      <c r="BK46" s="901"/>
      <c r="BL46" s="901"/>
      <c r="BM46" s="901"/>
      <c r="BN46" s="901"/>
      <c r="BO46" s="901"/>
      <c r="BP46" s="901"/>
      <c r="BQ46" s="901"/>
      <c r="BR46" s="901"/>
      <c r="BS46" s="901"/>
      <c r="BT46" s="901"/>
      <c r="BU46" s="901"/>
      <c r="BV46" s="901"/>
    </row>
    <row r="47" spans="1:74" ht="14.85" customHeight="1">
      <c r="B47" s="1038"/>
      <c r="D47" s="1037"/>
      <c r="E47" s="1037"/>
      <c r="F47" s="1037"/>
      <c r="G47" s="1037"/>
      <c r="H47" s="1037"/>
      <c r="I47" s="1037"/>
      <c r="J47" s="1037"/>
      <c r="K47" s="1037"/>
      <c r="L47" s="1037"/>
      <c r="M47" s="1037"/>
      <c r="N47" s="1037"/>
      <c r="O47" s="1037"/>
      <c r="P47" s="1037"/>
      <c r="Q47" s="1037"/>
      <c r="R47" s="901"/>
      <c r="S47" s="901"/>
      <c r="T47" s="901"/>
      <c r="U47" s="901"/>
      <c r="V47" s="901"/>
      <c r="W47" s="901"/>
      <c r="X47" s="901"/>
      <c r="Y47" s="901"/>
      <c r="Z47" s="901"/>
      <c r="AA47" s="901"/>
      <c r="AB47" s="901"/>
      <c r="AC47" s="901"/>
      <c r="AD47" s="901"/>
      <c r="AE47" s="901"/>
      <c r="AF47" s="901"/>
      <c r="AG47" s="901"/>
      <c r="AH47" s="901"/>
      <c r="AI47" s="901"/>
      <c r="AJ47" s="901"/>
      <c r="AK47" s="901"/>
      <c r="AL47" s="901"/>
      <c r="AM47" s="901"/>
      <c r="AN47" s="901"/>
      <c r="AO47" s="901"/>
      <c r="AP47" s="901"/>
      <c r="AQ47" s="901"/>
      <c r="AR47" s="901"/>
      <c r="AS47" s="901"/>
      <c r="AT47" s="901"/>
      <c r="AU47" s="901"/>
      <c r="AV47" s="901"/>
      <c r="AW47" s="901"/>
      <c r="AX47" s="901"/>
      <c r="AY47" s="901"/>
      <c r="AZ47" s="901"/>
      <c r="BA47" s="901"/>
      <c r="BB47" s="901"/>
      <c r="BC47" s="901"/>
      <c r="BD47" s="901"/>
      <c r="BE47" s="901"/>
      <c r="BF47" s="901"/>
      <c r="BG47" s="901"/>
      <c r="BH47" s="901"/>
      <c r="BI47" s="901"/>
      <c r="BJ47" s="901"/>
      <c r="BK47" s="901"/>
      <c r="BL47" s="901"/>
      <c r="BM47" s="901"/>
      <c r="BN47" s="901"/>
      <c r="BO47" s="901"/>
      <c r="BP47" s="901"/>
      <c r="BQ47" s="901"/>
      <c r="BR47" s="901"/>
      <c r="BS47" s="901"/>
      <c r="BT47" s="901"/>
      <c r="BU47" s="901"/>
      <c r="BV47" s="901"/>
    </row>
    <row r="48" spans="1:74" s="926" customFormat="1" ht="14.85" customHeight="1">
      <c r="C48" s="939"/>
      <c r="D48" s="939"/>
      <c r="E48" s="939"/>
      <c r="F48" s="1039"/>
      <c r="G48" s="939"/>
      <c r="H48" s="939"/>
      <c r="I48" s="939"/>
      <c r="J48" s="939"/>
      <c r="K48" s="939"/>
      <c r="L48" s="939"/>
      <c r="M48" s="939"/>
      <c r="N48" s="939"/>
      <c r="O48" s="939"/>
      <c r="P48" s="939"/>
      <c r="Q48" s="939"/>
      <c r="R48" s="939"/>
      <c r="S48" s="939"/>
      <c r="T48" s="939"/>
      <c r="U48" s="939"/>
      <c r="V48" s="939"/>
      <c r="W48" s="939"/>
      <c r="X48" s="939"/>
      <c r="Y48" s="939"/>
      <c r="Z48" s="939"/>
      <c r="AA48" s="939"/>
      <c r="AB48" s="939"/>
      <c r="AC48" s="939"/>
      <c r="AD48" s="939"/>
      <c r="AE48" s="939"/>
      <c r="AF48" s="939"/>
      <c r="AG48" s="939"/>
      <c r="AH48" s="939"/>
      <c r="AI48" s="939"/>
      <c r="AJ48" s="939"/>
      <c r="AK48" s="939"/>
      <c r="AL48" s="939"/>
      <c r="AM48" s="939"/>
      <c r="AN48" s="939"/>
      <c r="AO48" s="939"/>
      <c r="AP48" s="939"/>
      <c r="AQ48" s="939"/>
      <c r="AR48" s="939"/>
      <c r="AS48" s="939"/>
      <c r="AT48" s="939"/>
      <c r="AU48" s="939"/>
      <c r="AV48" s="939"/>
      <c r="AW48" s="939"/>
      <c r="AX48" s="939"/>
      <c r="AY48" s="939"/>
      <c r="AZ48" s="939"/>
      <c r="BA48" s="939"/>
      <c r="BB48" s="939"/>
      <c r="BC48" s="939"/>
      <c r="BD48" s="939"/>
      <c r="BE48" s="939"/>
      <c r="BF48" s="939"/>
      <c r="BG48" s="939"/>
      <c r="BH48" s="939"/>
      <c r="BI48" s="939"/>
      <c r="BJ48" s="939"/>
      <c r="BK48" s="939"/>
      <c r="BL48" s="939"/>
      <c r="BM48" s="939"/>
      <c r="BN48" s="939"/>
      <c r="BO48" s="939"/>
      <c r="BP48" s="939"/>
      <c r="BQ48" s="939"/>
      <c r="BR48" s="939"/>
      <c r="BS48" s="939"/>
      <c r="BT48" s="939"/>
      <c r="BU48" s="939"/>
      <c r="BV48" s="939"/>
    </row>
    <row r="49" spans="2:72" ht="14.85" customHeight="1">
      <c r="B49" s="1040" t="s">
        <v>1965</v>
      </c>
      <c r="C49" s="943"/>
      <c r="D49" s="943"/>
      <c r="E49" s="943"/>
      <c r="F49" s="943"/>
      <c r="G49" s="943"/>
      <c r="H49" s="943"/>
      <c r="I49" s="943"/>
      <c r="J49" s="943"/>
      <c r="K49" s="943"/>
      <c r="L49" s="943"/>
      <c r="M49" s="943"/>
      <c r="N49" s="943"/>
      <c r="O49" s="943"/>
      <c r="P49" s="943"/>
      <c r="Q49" s="943"/>
      <c r="R49" s="943"/>
      <c r="S49" s="943"/>
      <c r="T49" s="943"/>
      <c r="U49" s="943"/>
      <c r="V49" s="943"/>
      <c r="W49" s="943"/>
      <c r="X49" s="943"/>
      <c r="Y49" s="943"/>
      <c r="Z49" s="943"/>
      <c r="AA49" s="943"/>
      <c r="AB49" s="943"/>
      <c r="AC49" s="943"/>
      <c r="AD49" s="943"/>
      <c r="AE49" s="943"/>
      <c r="AF49" s="943"/>
      <c r="AG49" s="943"/>
      <c r="AH49" s="943"/>
      <c r="AI49" s="943"/>
      <c r="AJ49" s="943"/>
      <c r="AK49" s="943"/>
      <c r="AL49" s="943"/>
      <c r="AM49" s="943"/>
      <c r="AN49" s="943"/>
      <c r="AO49" s="943"/>
      <c r="AP49" s="943"/>
      <c r="AQ49" s="943"/>
      <c r="AR49" s="943"/>
      <c r="AS49" s="943"/>
      <c r="AT49" s="943"/>
      <c r="AU49" s="943"/>
      <c r="AV49" s="943"/>
      <c r="AW49" s="943"/>
      <c r="AX49" s="943"/>
      <c r="AY49" s="943"/>
      <c r="AZ49" s="943"/>
      <c r="BA49" s="943"/>
      <c r="BB49" s="943"/>
      <c r="BC49" s="943"/>
      <c r="BD49" s="943"/>
      <c r="BE49" s="943"/>
      <c r="BF49" s="943"/>
      <c r="BG49" s="943"/>
      <c r="BH49" s="943"/>
      <c r="BI49" s="943"/>
      <c r="BJ49" s="943"/>
      <c r="BK49" s="943"/>
      <c r="BL49" s="943"/>
      <c r="BM49" s="943"/>
      <c r="BN49" s="943"/>
      <c r="BO49" s="943"/>
      <c r="BP49" s="943"/>
      <c r="BQ49" s="943"/>
      <c r="BR49" s="943"/>
      <c r="BS49" s="943"/>
      <c r="BT49" s="943"/>
    </row>
    <row r="50" spans="2:72" ht="14.85" customHeight="1">
      <c r="B50" s="943"/>
      <c r="C50" s="943"/>
      <c r="D50" s="943"/>
      <c r="E50" s="943"/>
      <c r="F50" s="1041"/>
      <c r="G50" s="1041"/>
      <c r="H50" s="1041"/>
      <c r="I50" s="1041"/>
      <c r="J50" s="1041"/>
      <c r="K50" s="1041"/>
      <c r="L50" s="1041"/>
      <c r="M50" s="1041"/>
      <c r="N50" s="1041"/>
      <c r="O50" s="1041"/>
      <c r="P50" s="1041"/>
      <c r="Q50" s="1041"/>
      <c r="R50" s="1041"/>
      <c r="S50" s="1041"/>
      <c r="T50" s="1041"/>
      <c r="U50" s="1041"/>
      <c r="V50" s="1041"/>
      <c r="W50" s="1041"/>
      <c r="X50" s="1041"/>
      <c r="Y50" s="1041"/>
      <c r="Z50" s="1041"/>
      <c r="AA50" s="1041"/>
      <c r="AB50" s="1041"/>
      <c r="AC50" s="1041"/>
      <c r="AD50" s="1041"/>
      <c r="AE50" s="1041"/>
      <c r="AF50" s="1041"/>
      <c r="AG50" s="1041"/>
      <c r="AH50" s="1041"/>
      <c r="AI50" s="1041"/>
      <c r="AJ50" s="1041"/>
      <c r="AK50" s="1041"/>
      <c r="AL50" s="1041"/>
      <c r="AM50" s="1041"/>
      <c r="AN50" s="1041"/>
      <c r="AO50" s="1041"/>
      <c r="AP50" s="1041"/>
      <c r="AQ50" s="1041"/>
      <c r="AR50" s="1041"/>
      <c r="AS50" s="1041"/>
      <c r="AT50" s="1041"/>
      <c r="AU50" s="1041"/>
      <c r="AV50" s="1041"/>
      <c r="AW50" s="1041"/>
      <c r="AX50" s="1041"/>
      <c r="AY50" s="1041"/>
      <c r="AZ50" s="1041"/>
      <c r="BA50" s="1041"/>
      <c r="BB50" s="1041"/>
      <c r="BC50" s="1041"/>
      <c r="BD50" s="1041"/>
      <c r="BE50" s="1041"/>
      <c r="BF50" s="1041"/>
      <c r="BG50" s="1041"/>
      <c r="BH50" s="943"/>
      <c r="BI50" s="943"/>
      <c r="BJ50" s="943"/>
      <c r="BK50" s="943"/>
      <c r="BL50" s="943"/>
      <c r="BM50" s="943"/>
      <c r="BN50" s="943"/>
      <c r="BO50" s="943"/>
      <c r="BP50" s="943"/>
      <c r="BQ50" s="943"/>
      <c r="BR50" s="943"/>
      <c r="BS50" s="943"/>
      <c r="BT50" s="943"/>
    </row>
    <row r="51" spans="2:72" ht="14.85" customHeight="1">
      <c r="B51" s="943"/>
      <c r="C51" s="943"/>
      <c r="D51" s="943"/>
      <c r="E51" s="943"/>
      <c r="F51" s="943"/>
      <c r="G51" s="943"/>
      <c r="H51" s="943"/>
      <c r="I51" s="943"/>
      <c r="J51" s="943"/>
      <c r="K51" s="943"/>
      <c r="L51" s="943"/>
      <c r="M51" s="943"/>
      <c r="N51" s="943"/>
      <c r="O51" s="943"/>
      <c r="P51" s="943"/>
      <c r="Q51" s="943"/>
      <c r="R51" s="943"/>
      <c r="S51" s="943"/>
      <c r="T51" s="943"/>
      <c r="U51" s="943"/>
      <c r="V51" s="943"/>
      <c r="W51" s="943"/>
      <c r="X51" s="943"/>
      <c r="Y51" s="943"/>
      <c r="Z51" s="943"/>
      <c r="AA51" s="943"/>
      <c r="AB51" s="943"/>
      <c r="AC51" s="943"/>
      <c r="AD51" s="943"/>
      <c r="AE51" s="943"/>
      <c r="AF51" s="943"/>
      <c r="AG51" s="943"/>
      <c r="AH51" s="943"/>
      <c r="AI51" s="943"/>
      <c r="AJ51" s="943"/>
      <c r="AK51" s="943"/>
      <c r="AL51" s="943"/>
      <c r="AM51" s="943"/>
      <c r="AN51" s="943"/>
      <c r="AO51" s="943"/>
      <c r="AP51" s="943"/>
      <c r="AQ51" s="943"/>
      <c r="AR51" s="943"/>
      <c r="AS51" s="943"/>
      <c r="AT51" s="943"/>
      <c r="AU51" s="943"/>
      <c r="AV51" s="943"/>
      <c r="AW51" s="943"/>
      <c r="AX51" s="943"/>
      <c r="AY51" s="943"/>
      <c r="AZ51" s="943"/>
      <c r="BA51" s="943"/>
      <c r="BB51" s="943"/>
      <c r="BC51" s="943"/>
      <c r="BD51" s="943"/>
      <c r="BE51" s="943"/>
      <c r="BF51" s="943"/>
      <c r="BG51" s="943"/>
      <c r="BH51" s="943"/>
      <c r="BI51" s="943"/>
      <c r="BJ51" s="943"/>
      <c r="BK51" s="943"/>
      <c r="BL51" s="943"/>
      <c r="BM51" s="943"/>
      <c r="BN51" s="943"/>
      <c r="BO51" s="943"/>
      <c r="BP51" s="943"/>
      <c r="BQ51" s="943"/>
      <c r="BR51" s="943"/>
      <c r="BS51" s="943"/>
      <c r="BT51" s="943"/>
    </row>
    <row r="52" spans="2:72" ht="14.85" customHeight="1">
      <c r="C52" s="1042" t="s">
        <v>1910</v>
      </c>
      <c r="D52" s="901" t="s">
        <v>1911</v>
      </c>
      <c r="E52" s="901"/>
      <c r="F52" s="902" t="s">
        <v>868</v>
      </c>
      <c r="G52" s="903" t="s">
        <v>869</v>
      </c>
      <c r="H52" s="903" t="s">
        <v>870</v>
      </c>
      <c r="I52" s="903" t="s">
        <v>871</v>
      </c>
      <c r="J52" s="903" t="s">
        <v>872</v>
      </c>
      <c r="K52" s="903" t="s">
        <v>1912</v>
      </c>
      <c r="L52" s="903" t="s">
        <v>1913</v>
      </c>
      <c r="M52" s="903" t="s">
        <v>1914</v>
      </c>
      <c r="N52" s="903" t="s">
        <v>1915</v>
      </c>
      <c r="O52" s="903" t="s">
        <v>1915</v>
      </c>
      <c r="P52" s="903" t="s">
        <v>1916</v>
      </c>
      <c r="Q52" s="903" t="s">
        <v>1917</v>
      </c>
      <c r="R52" s="903" t="s">
        <v>1918</v>
      </c>
      <c r="S52" s="903" t="s">
        <v>1919</v>
      </c>
      <c r="T52" s="903" t="s">
        <v>1920</v>
      </c>
      <c r="U52" s="903" t="s">
        <v>1921</v>
      </c>
      <c r="V52" s="903" t="s">
        <v>1922</v>
      </c>
      <c r="W52" s="903" t="s">
        <v>1923</v>
      </c>
      <c r="X52" s="903" t="s">
        <v>1924</v>
      </c>
      <c r="Y52" s="903" t="s">
        <v>1925</v>
      </c>
      <c r="Z52" s="903" t="s">
        <v>1926</v>
      </c>
      <c r="AA52" s="903" t="s">
        <v>1927</v>
      </c>
      <c r="AB52" s="903" t="s">
        <v>1928</v>
      </c>
      <c r="AC52" s="903" t="s">
        <v>1929</v>
      </c>
      <c r="AD52" s="903" t="s">
        <v>1930</v>
      </c>
      <c r="AE52" s="903" t="s">
        <v>1931</v>
      </c>
      <c r="AF52" s="903" t="s">
        <v>1932</v>
      </c>
      <c r="AG52" s="903" t="s">
        <v>1933</v>
      </c>
      <c r="AH52" s="903" t="s">
        <v>1934</v>
      </c>
      <c r="AI52" s="903" t="s">
        <v>1935</v>
      </c>
      <c r="AJ52" s="903" t="s">
        <v>1936</v>
      </c>
      <c r="AK52" s="903" t="s">
        <v>1937</v>
      </c>
      <c r="AL52" s="903" t="s">
        <v>1938</v>
      </c>
      <c r="AM52" s="903" t="s">
        <v>1939</v>
      </c>
      <c r="AN52" s="903" t="s">
        <v>1940</v>
      </c>
      <c r="AO52" s="903" t="s">
        <v>1941</v>
      </c>
      <c r="AP52" s="903" t="s">
        <v>1942</v>
      </c>
      <c r="AQ52" s="903" t="s">
        <v>1943</v>
      </c>
      <c r="AR52" s="903" t="s">
        <v>1944</v>
      </c>
      <c r="AS52" s="903" t="s">
        <v>1945</v>
      </c>
      <c r="AT52" s="904" t="s">
        <v>1946</v>
      </c>
      <c r="AU52" s="901"/>
      <c r="AV52" s="901"/>
      <c r="AW52" s="901"/>
      <c r="AX52" s="901"/>
      <c r="AY52" s="901"/>
      <c r="AZ52" s="901"/>
      <c r="BA52" s="901"/>
      <c r="BB52" s="901"/>
      <c r="BC52" s="901"/>
      <c r="BD52" s="901"/>
      <c r="BE52" s="901"/>
      <c r="BF52" s="901"/>
      <c r="BG52" s="901"/>
      <c r="BH52" s="901"/>
      <c r="BI52" s="901"/>
      <c r="BJ52" s="901"/>
      <c r="BK52" s="901"/>
      <c r="BL52" s="901"/>
      <c r="BM52" s="901"/>
      <c r="BN52" s="901"/>
      <c r="BO52" s="901"/>
      <c r="BP52" s="901"/>
      <c r="BQ52" s="901"/>
      <c r="BR52" s="901"/>
      <c r="BS52" s="901"/>
    </row>
    <row r="53" spans="2:72" ht="14.85" customHeight="1">
      <c r="C53" s="905" t="s">
        <v>1947</v>
      </c>
      <c r="D53" s="901" t="s">
        <v>1948</v>
      </c>
      <c r="E53" s="901"/>
      <c r="F53" s="906">
        <v>3.7499999999999999E-2</v>
      </c>
      <c r="G53" s="907">
        <v>7.2190000000000004E-2</v>
      </c>
      <c r="H53" s="907">
        <v>6.6769999999999996E-2</v>
      </c>
      <c r="I53" s="907">
        <v>6.1769999999999999E-2</v>
      </c>
      <c r="J53" s="907">
        <v>5.713E-2</v>
      </c>
      <c r="K53" s="907">
        <v>5.2850000000000001E-2</v>
      </c>
      <c r="L53" s="907">
        <v>4.888E-2</v>
      </c>
      <c r="M53" s="907">
        <v>4.5220000000000003E-2</v>
      </c>
      <c r="N53" s="907">
        <v>4.462E-2</v>
      </c>
      <c r="O53" s="907">
        <v>4.462E-2</v>
      </c>
      <c r="P53" s="907">
        <v>4.4609999999999997E-2</v>
      </c>
      <c r="Q53" s="907">
        <v>4.462E-2</v>
      </c>
      <c r="R53" s="907">
        <v>4.4609999999999997E-2</v>
      </c>
      <c r="S53" s="907">
        <v>4.462E-2</v>
      </c>
      <c r="T53" s="907">
        <v>4.4609999999999997E-2</v>
      </c>
      <c r="U53" s="907">
        <v>4.462E-2</v>
      </c>
      <c r="V53" s="907">
        <v>4.4609999999999997E-2</v>
      </c>
      <c r="W53" s="907">
        <v>4.462E-2</v>
      </c>
      <c r="X53" s="907">
        <v>4.4609999999999997E-2</v>
      </c>
      <c r="Y53" s="907">
        <v>4.462E-2</v>
      </c>
      <c r="Z53" s="907">
        <v>4.4609999999999997E-2</v>
      </c>
      <c r="AA53" s="907">
        <v>2.231E-2</v>
      </c>
      <c r="AB53" s="907"/>
      <c r="AC53" s="907"/>
      <c r="AD53" s="907"/>
      <c r="AE53" s="907"/>
      <c r="AF53" s="907"/>
      <c r="AG53" s="907"/>
      <c r="AH53" s="907"/>
      <c r="AI53" s="907"/>
      <c r="AJ53" s="907"/>
      <c r="AK53" s="907"/>
      <c r="AL53" s="908"/>
      <c r="AM53" s="908"/>
      <c r="AN53" s="908"/>
      <c r="AO53" s="908"/>
      <c r="AP53" s="908"/>
      <c r="AQ53" s="908"/>
      <c r="AR53" s="908"/>
      <c r="AS53" s="908"/>
      <c r="AT53" s="909"/>
      <c r="AU53" s="901"/>
      <c r="AV53" s="901"/>
      <c r="AW53" s="901"/>
      <c r="AX53" s="901"/>
      <c r="AY53" s="901"/>
      <c r="AZ53" s="901"/>
      <c r="BA53" s="901"/>
      <c r="BB53" s="901"/>
      <c r="BC53" s="901"/>
      <c r="BD53" s="901"/>
      <c r="BE53" s="901"/>
      <c r="BF53" s="901"/>
      <c r="BG53" s="901"/>
      <c r="BH53" s="901"/>
      <c r="BI53" s="901"/>
      <c r="BJ53" s="901"/>
      <c r="BK53" s="901"/>
      <c r="BL53" s="901"/>
      <c r="BM53" s="901"/>
      <c r="BN53" s="901"/>
      <c r="BO53" s="901"/>
      <c r="BP53" s="901"/>
      <c r="BQ53" s="901"/>
      <c r="BR53" s="901"/>
      <c r="BS53" s="901"/>
    </row>
    <row r="54" spans="2:72" ht="14.85" customHeight="1">
      <c r="C54" s="910" t="s">
        <v>1949</v>
      </c>
      <c r="D54" s="901" t="s">
        <v>1950</v>
      </c>
      <c r="E54" s="901"/>
      <c r="F54" s="911">
        <v>1.2999999999999999E-2</v>
      </c>
      <c r="G54" s="912">
        <v>2.564E-2</v>
      </c>
      <c r="H54" s="912">
        <v>2.564E-2</v>
      </c>
      <c r="I54" s="912">
        <v>2.564E-2</v>
      </c>
      <c r="J54" s="912">
        <v>2.564E-2</v>
      </c>
      <c r="K54" s="912">
        <v>2.564E-2</v>
      </c>
      <c r="L54" s="912">
        <v>2.564E-2</v>
      </c>
      <c r="M54" s="912">
        <v>2.564E-2</v>
      </c>
      <c r="N54" s="912">
        <v>2.564E-2</v>
      </c>
      <c r="O54" s="912">
        <v>2.564E-2</v>
      </c>
      <c r="P54" s="912">
        <v>2.564E-2</v>
      </c>
      <c r="Q54" s="912">
        <v>2.564E-2</v>
      </c>
      <c r="R54" s="912">
        <v>2.564E-2</v>
      </c>
      <c r="S54" s="912">
        <v>2.564E-2</v>
      </c>
      <c r="T54" s="912">
        <v>2.564E-2</v>
      </c>
      <c r="U54" s="912">
        <v>2.564E-2</v>
      </c>
      <c r="V54" s="912">
        <v>2.564E-2</v>
      </c>
      <c r="W54" s="912">
        <v>2.564E-2</v>
      </c>
      <c r="X54" s="912">
        <v>2.564E-2</v>
      </c>
      <c r="Y54" s="912">
        <v>2.564E-2</v>
      </c>
      <c r="Z54" s="912">
        <v>2.564E-2</v>
      </c>
      <c r="AA54" s="912">
        <v>2.564E-2</v>
      </c>
      <c r="AB54" s="912">
        <v>2.564E-2</v>
      </c>
      <c r="AC54" s="912">
        <v>2.564E-2</v>
      </c>
      <c r="AD54" s="912">
        <v>2.564E-2</v>
      </c>
      <c r="AE54" s="912">
        <v>2.564E-2</v>
      </c>
      <c r="AF54" s="912">
        <v>2.564E-2</v>
      </c>
      <c r="AG54" s="912">
        <v>2.564E-2</v>
      </c>
      <c r="AH54" s="912">
        <v>2.564E-2</v>
      </c>
      <c r="AI54" s="912">
        <v>2.564E-2</v>
      </c>
      <c r="AJ54" s="912">
        <v>2.564E-2</v>
      </c>
      <c r="AK54" s="912">
        <v>2.564E-2</v>
      </c>
      <c r="AL54" s="912">
        <v>2.564E-2</v>
      </c>
      <c r="AM54" s="912">
        <v>2.564E-2</v>
      </c>
      <c r="AN54" s="912">
        <v>2.564E-2</v>
      </c>
      <c r="AO54" s="912">
        <v>2.564E-2</v>
      </c>
      <c r="AP54" s="912">
        <v>2.564E-2</v>
      </c>
      <c r="AQ54" s="912">
        <v>2.564E-2</v>
      </c>
      <c r="AR54" s="912">
        <v>2.564E-2</v>
      </c>
      <c r="AS54" s="912">
        <v>2.564E-2</v>
      </c>
      <c r="AT54" s="913">
        <v>2.564E-2</v>
      </c>
      <c r="AU54" s="901"/>
      <c r="AV54" s="901"/>
      <c r="AW54" s="901"/>
      <c r="AX54" s="901"/>
      <c r="AY54" s="901"/>
      <c r="AZ54" s="901"/>
      <c r="BA54" s="901"/>
      <c r="BB54" s="901"/>
      <c r="BC54" s="901"/>
      <c r="BD54" s="901"/>
      <c r="BE54" s="901"/>
      <c r="BF54" s="901"/>
      <c r="BG54" s="901"/>
      <c r="BH54" s="901"/>
      <c r="BI54" s="901"/>
      <c r="BJ54" s="901"/>
      <c r="BK54" s="901"/>
      <c r="BL54" s="901"/>
      <c r="BM54" s="901"/>
      <c r="BN54" s="901"/>
      <c r="BO54" s="901"/>
      <c r="BP54" s="901"/>
      <c r="BQ54" s="901"/>
      <c r="BR54" s="901"/>
      <c r="BS54" s="901"/>
    </row>
    <row r="55" spans="2:72" ht="14.85" customHeight="1">
      <c r="C55" s="910" t="s">
        <v>1951</v>
      </c>
      <c r="D55" s="901" t="s">
        <v>1948</v>
      </c>
      <c r="E55" s="901"/>
      <c r="F55" s="911">
        <v>0.05</v>
      </c>
      <c r="G55" s="912">
        <v>9.5000000000000001E-2</v>
      </c>
      <c r="H55" s="912">
        <v>8.5500000000000007E-2</v>
      </c>
      <c r="I55" s="912">
        <v>7.6999999999999999E-2</v>
      </c>
      <c r="J55" s="912">
        <v>6.93E-2</v>
      </c>
      <c r="K55" s="912">
        <v>6.2300000000000008E-2</v>
      </c>
      <c r="L55" s="912">
        <v>5.9000000000000004E-2</v>
      </c>
      <c r="M55" s="912">
        <v>5.9000000000000004E-2</v>
      </c>
      <c r="N55" s="912">
        <v>5.91E-2</v>
      </c>
      <c r="O55" s="912">
        <v>5.91E-2</v>
      </c>
      <c r="P55" s="912">
        <v>5.9000000000000004E-2</v>
      </c>
      <c r="Q55" s="912">
        <v>5.91E-2</v>
      </c>
      <c r="R55" s="912">
        <v>5.9000000000000004E-2</v>
      </c>
      <c r="S55" s="912">
        <v>5.91E-2</v>
      </c>
      <c r="T55" s="912">
        <v>5.9000000000000004E-2</v>
      </c>
      <c r="U55" s="912">
        <v>5.91E-2</v>
      </c>
      <c r="V55" s="912">
        <v>2.9500000000000002E-2</v>
      </c>
      <c r="W55" s="912">
        <v>0</v>
      </c>
      <c r="X55" s="912">
        <v>0</v>
      </c>
      <c r="Y55" s="912">
        <v>0</v>
      </c>
      <c r="Z55" s="912">
        <v>0</v>
      </c>
      <c r="AA55" s="912">
        <v>0</v>
      </c>
      <c r="AB55" s="912"/>
      <c r="AC55" s="912"/>
      <c r="AD55" s="912"/>
      <c r="AE55" s="912"/>
      <c r="AF55" s="912"/>
      <c r="AG55" s="912"/>
      <c r="AH55" s="912"/>
      <c r="AI55" s="912"/>
      <c r="AJ55" s="912"/>
      <c r="AK55" s="912"/>
      <c r="AL55" s="914"/>
      <c r="AM55" s="914"/>
      <c r="AN55" s="914"/>
      <c r="AO55" s="914"/>
      <c r="AP55" s="914"/>
      <c r="AQ55" s="914"/>
      <c r="AR55" s="914"/>
      <c r="AS55" s="914"/>
      <c r="AT55" s="915"/>
      <c r="AU55" s="901"/>
      <c r="AV55" s="901"/>
      <c r="AW55" s="901"/>
      <c r="AX55" s="901"/>
      <c r="AY55" s="901"/>
      <c r="AZ55" s="901"/>
      <c r="BA55" s="901"/>
      <c r="BB55" s="901"/>
      <c r="BC55" s="901"/>
      <c r="BD55" s="901"/>
      <c r="BE55" s="901"/>
      <c r="BF55" s="901"/>
      <c r="BG55" s="901"/>
      <c r="BH55" s="901"/>
      <c r="BI55" s="901"/>
      <c r="BJ55" s="901"/>
      <c r="BK55" s="901"/>
      <c r="BL55" s="901"/>
      <c r="BM55" s="901"/>
      <c r="BN55" s="901"/>
      <c r="BO55" s="901"/>
      <c r="BP55" s="901"/>
      <c r="BQ55" s="901"/>
      <c r="BR55" s="901"/>
      <c r="BS55" s="901"/>
    </row>
    <row r="56" spans="2:72" ht="14.85" customHeight="1">
      <c r="C56" s="910" t="s">
        <v>1952</v>
      </c>
      <c r="D56" s="901" t="s">
        <v>1948</v>
      </c>
      <c r="E56" s="901"/>
      <c r="F56" s="911">
        <v>0.1</v>
      </c>
      <c r="G56" s="912">
        <v>0.18</v>
      </c>
      <c r="H56" s="912">
        <v>0.14399999999999999</v>
      </c>
      <c r="I56" s="912">
        <v>0.1152</v>
      </c>
      <c r="J56" s="912">
        <v>9.2200000000000004E-2</v>
      </c>
      <c r="K56" s="912">
        <v>7.3700000000000002E-2</v>
      </c>
      <c r="L56" s="912">
        <v>6.5500000000000003E-2</v>
      </c>
      <c r="M56" s="912">
        <v>6.5500000000000003E-2</v>
      </c>
      <c r="N56" s="912">
        <v>6.5600000000000006E-2</v>
      </c>
      <c r="O56" s="912">
        <v>6.5600000000000006E-2</v>
      </c>
      <c r="P56" s="912">
        <v>6.5500000000000003E-2</v>
      </c>
      <c r="Q56" s="912">
        <v>3.2800000000000003E-2</v>
      </c>
      <c r="R56" s="912"/>
      <c r="S56" s="912"/>
      <c r="T56" s="912"/>
      <c r="U56" s="912"/>
      <c r="V56" s="912"/>
      <c r="W56" s="912"/>
      <c r="X56" s="912"/>
      <c r="Y56" s="912"/>
      <c r="Z56" s="912"/>
      <c r="AA56" s="912"/>
      <c r="AB56" s="912"/>
      <c r="AC56" s="912"/>
      <c r="AD56" s="912"/>
      <c r="AE56" s="912"/>
      <c r="AF56" s="912"/>
      <c r="AG56" s="912"/>
      <c r="AH56" s="912"/>
      <c r="AI56" s="912"/>
      <c r="AJ56" s="912"/>
      <c r="AK56" s="912"/>
      <c r="AL56" s="914"/>
      <c r="AM56" s="914"/>
      <c r="AN56" s="914"/>
      <c r="AO56" s="914"/>
      <c r="AP56" s="914"/>
      <c r="AQ56" s="914"/>
      <c r="AR56" s="914"/>
      <c r="AS56" s="914"/>
      <c r="AT56" s="915"/>
      <c r="AU56" s="901"/>
      <c r="AV56" s="901"/>
      <c r="AW56" s="901"/>
      <c r="AX56" s="901"/>
      <c r="AY56" s="901"/>
      <c r="AZ56" s="901"/>
      <c r="BA56" s="901"/>
      <c r="BB56" s="901"/>
      <c r="BC56" s="901"/>
      <c r="BD56" s="901"/>
      <c r="BE56" s="901"/>
      <c r="BF56" s="901"/>
      <c r="BG56" s="901"/>
      <c r="BH56" s="901"/>
      <c r="BI56" s="901"/>
      <c r="BJ56" s="901"/>
      <c r="BK56" s="901"/>
      <c r="BL56" s="901"/>
      <c r="BM56" s="901"/>
      <c r="BN56" s="901"/>
      <c r="BO56" s="901"/>
      <c r="BP56" s="901"/>
      <c r="BQ56" s="901"/>
      <c r="BR56" s="901"/>
      <c r="BS56" s="901"/>
    </row>
    <row r="57" spans="2:72" ht="14.85" customHeight="1">
      <c r="C57" s="910" t="s">
        <v>1953</v>
      </c>
      <c r="D57" s="901" t="s">
        <v>1948</v>
      </c>
      <c r="E57" s="901"/>
      <c r="F57" s="911">
        <v>0.1429</v>
      </c>
      <c r="G57" s="912">
        <v>0.24489999999999998</v>
      </c>
      <c r="H57" s="912">
        <v>0.17489999999999997</v>
      </c>
      <c r="I57" s="912">
        <v>0.1249</v>
      </c>
      <c r="J57" s="912">
        <v>8.929999999999999E-2</v>
      </c>
      <c r="K57" s="912">
        <v>8.9200000000000002E-2</v>
      </c>
      <c r="L57" s="912">
        <v>8.929999999999999E-2</v>
      </c>
      <c r="M57" s="912">
        <v>4.4600000000000001E-2</v>
      </c>
      <c r="N57" s="912">
        <v>0</v>
      </c>
      <c r="O57" s="912">
        <v>0</v>
      </c>
      <c r="P57" s="912">
        <v>0</v>
      </c>
      <c r="Q57" s="912">
        <v>0</v>
      </c>
      <c r="R57" s="912">
        <v>0</v>
      </c>
      <c r="S57" s="912">
        <v>0</v>
      </c>
      <c r="T57" s="912">
        <v>0</v>
      </c>
      <c r="U57" s="912">
        <v>0</v>
      </c>
      <c r="V57" s="912">
        <v>0</v>
      </c>
      <c r="W57" s="912">
        <v>0</v>
      </c>
      <c r="X57" s="912">
        <v>0</v>
      </c>
      <c r="Y57" s="912">
        <v>0</v>
      </c>
      <c r="Z57" s="912">
        <v>0</v>
      </c>
      <c r="AA57" s="912">
        <v>0</v>
      </c>
      <c r="AB57" s="912"/>
      <c r="AC57" s="912"/>
      <c r="AD57" s="912"/>
      <c r="AE57" s="912"/>
      <c r="AF57" s="912"/>
      <c r="AG57" s="912"/>
      <c r="AH57" s="912"/>
      <c r="AI57" s="912"/>
      <c r="AJ57" s="912"/>
      <c r="AK57" s="912"/>
      <c r="AL57" s="914"/>
      <c r="AM57" s="914"/>
      <c r="AN57" s="914"/>
      <c r="AO57" s="914"/>
      <c r="AP57" s="914"/>
      <c r="AQ57" s="914"/>
      <c r="AR57" s="914"/>
      <c r="AS57" s="914"/>
      <c r="AT57" s="915"/>
      <c r="AU57" s="901"/>
      <c r="AV57" s="901"/>
      <c r="AW57" s="901"/>
      <c r="AX57" s="901"/>
      <c r="AY57" s="901"/>
      <c r="AZ57" s="901"/>
      <c r="BA57" s="901"/>
      <c r="BB57" s="901"/>
      <c r="BC57" s="901"/>
      <c r="BD57" s="901"/>
      <c r="BE57" s="901"/>
      <c r="BF57" s="901"/>
      <c r="BG57" s="901"/>
      <c r="BH57" s="901"/>
      <c r="BI57" s="901"/>
      <c r="BJ57" s="901"/>
      <c r="BK57" s="901"/>
      <c r="BL57" s="901"/>
      <c r="BM57" s="901"/>
      <c r="BN57" s="901"/>
      <c r="BO57" s="901"/>
      <c r="BP57" s="901"/>
      <c r="BQ57" s="901"/>
      <c r="BR57" s="901"/>
      <c r="BS57" s="901"/>
    </row>
    <row r="58" spans="2:72" ht="14.85" customHeight="1">
      <c r="C58" s="910" t="s">
        <v>1954</v>
      </c>
      <c r="D58" s="901" t="s">
        <v>1948</v>
      </c>
      <c r="E58" s="901"/>
      <c r="F58" s="911">
        <v>0.2</v>
      </c>
      <c r="G58" s="912">
        <v>0.32</v>
      </c>
      <c r="H58" s="912">
        <v>0.192</v>
      </c>
      <c r="I58" s="912">
        <v>0.1152</v>
      </c>
      <c r="J58" s="912">
        <v>0.1152</v>
      </c>
      <c r="K58" s="912">
        <v>5.7599999999999998E-2</v>
      </c>
      <c r="L58" s="912">
        <v>0</v>
      </c>
      <c r="M58" s="912">
        <v>0</v>
      </c>
      <c r="N58" s="912">
        <v>0</v>
      </c>
      <c r="O58" s="912">
        <v>0</v>
      </c>
      <c r="P58" s="912">
        <v>0</v>
      </c>
      <c r="Q58" s="912">
        <v>0</v>
      </c>
      <c r="R58" s="912">
        <v>0</v>
      </c>
      <c r="S58" s="912">
        <v>0</v>
      </c>
      <c r="T58" s="912">
        <v>0</v>
      </c>
      <c r="U58" s="912">
        <v>0</v>
      </c>
      <c r="V58" s="912">
        <v>0</v>
      </c>
      <c r="W58" s="912">
        <v>0</v>
      </c>
      <c r="X58" s="912">
        <v>0</v>
      </c>
      <c r="Y58" s="912">
        <v>0</v>
      </c>
      <c r="Z58" s="912">
        <v>0</v>
      </c>
      <c r="AA58" s="912">
        <v>0</v>
      </c>
      <c r="AB58" s="912"/>
      <c r="AC58" s="912"/>
      <c r="AD58" s="912"/>
      <c r="AE58" s="912"/>
      <c r="AF58" s="912"/>
      <c r="AG58" s="912"/>
      <c r="AH58" s="912"/>
      <c r="AI58" s="912"/>
      <c r="AJ58" s="912"/>
      <c r="AK58" s="912"/>
      <c r="AL58" s="914"/>
      <c r="AM58" s="914"/>
      <c r="AN58" s="914"/>
      <c r="AO58" s="914"/>
      <c r="AP58" s="914"/>
      <c r="AQ58" s="914"/>
      <c r="AR58" s="914"/>
      <c r="AS58" s="914"/>
      <c r="AT58" s="915"/>
      <c r="AU58" s="901"/>
      <c r="AV58" s="901"/>
      <c r="AW58" s="901"/>
      <c r="AX58" s="901"/>
      <c r="AY58" s="901"/>
      <c r="AZ58" s="901"/>
      <c r="BA58" s="901"/>
      <c r="BB58" s="901"/>
      <c r="BC58" s="901"/>
      <c r="BD58" s="901"/>
      <c r="BE58" s="901"/>
      <c r="BF58" s="901"/>
      <c r="BG58" s="901"/>
      <c r="BH58" s="901"/>
      <c r="BI58" s="901"/>
      <c r="BJ58" s="901"/>
      <c r="BK58" s="901"/>
      <c r="BL58" s="901"/>
      <c r="BM58" s="901"/>
      <c r="BN58" s="901"/>
      <c r="BO58" s="901"/>
      <c r="BP58" s="901"/>
      <c r="BQ58" s="901"/>
      <c r="BR58" s="901"/>
      <c r="BS58" s="901"/>
    </row>
    <row r="59" spans="2:72" ht="14.85" customHeight="1">
      <c r="C59" s="916" t="s">
        <v>1955</v>
      </c>
      <c r="D59" s="901" t="s">
        <v>1948</v>
      </c>
      <c r="E59" s="901"/>
      <c r="F59" s="917">
        <v>0.33329999999999999</v>
      </c>
      <c r="G59" s="918">
        <v>0.44450000000000001</v>
      </c>
      <c r="H59" s="918">
        <v>0.14810000000000001</v>
      </c>
      <c r="I59" s="918">
        <v>7.4099999999999999E-2</v>
      </c>
      <c r="J59" s="919"/>
      <c r="K59" s="918"/>
      <c r="L59" s="919"/>
      <c r="M59" s="918"/>
      <c r="N59" s="918"/>
      <c r="O59" s="918"/>
      <c r="P59" s="918"/>
      <c r="Q59" s="918"/>
      <c r="R59" s="918"/>
      <c r="S59" s="918"/>
      <c r="T59" s="918"/>
      <c r="U59" s="918"/>
      <c r="V59" s="918"/>
      <c r="W59" s="918"/>
      <c r="X59" s="918"/>
      <c r="Y59" s="918"/>
      <c r="Z59" s="918"/>
      <c r="AA59" s="918"/>
      <c r="AB59" s="918"/>
      <c r="AC59" s="918"/>
      <c r="AD59" s="918"/>
      <c r="AE59" s="918"/>
      <c r="AF59" s="918"/>
      <c r="AG59" s="918"/>
      <c r="AH59" s="918"/>
      <c r="AI59" s="918"/>
      <c r="AJ59" s="918"/>
      <c r="AK59" s="918"/>
      <c r="AL59" s="920"/>
      <c r="AM59" s="920"/>
      <c r="AN59" s="920"/>
      <c r="AO59" s="920"/>
      <c r="AP59" s="920"/>
      <c r="AQ59" s="920"/>
      <c r="AR59" s="920"/>
      <c r="AS59" s="920"/>
      <c r="AT59" s="921"/>
      <c r="AU59" s="901"/>
      <c r="AV59" s="901"/>
      <c r="AW59" s="901"/>
      <c r="AX59" s="901"/>
      <c r="AY59" s="901"/>
      <c r="AZ59" s="901"/>
      <c r="BA59" s="901"/>
      <c r="BB59" s="901"/>
      <c r="BC59" s="901"/>
      <c r="BD59" s="901"/>
      <c r="BE59" s="901"/>
      <c r="BF59" s="901"/>
      <c r="BG59" s="901"/>
      <c r="BH59" s="901"/>
      <c r="BI59" s="901"/>
      <c r="BJ59" s="901"/>
      <c r="BK59" s="901"/>
      <c r="BL59" s="901"/>
      <c r="BM59" s="901"/>
      <c r="BN59" s="901"/>
      <c r="BO59" s="901"/>
      <c r="BP59" s="901"/>
      <c r="BQ59" s="901"/>
      <c r="BR59" s="901"/>
      <c r="BS59" s="901"/>
    </row>
    <row r="60" spans="2:72" ht="14.85" customHeight="1">
      <c r="C60" s="905" t="s">
        <v>1966</v>
      </c>
      <c r="D60" s="901"/>
      <c r="E60" s="901"/>
      <c r="F60" s="911">
        <f>1/5</f>
        <v>0.2</v>
      </c>
      <c r="G60" s="912">
        <f>1/5</f>
        <v>0.2</v>
      </c>
      <c r="H60" s="912">
        <f>1/5</f>
        <v>0.2</v>
      </c>
      <c r="I60" s="912">
        <f>1/5</f>
        <v>0.2</v>
      </c>
      <c r="J60" s="912">
        <f>1/5</f>
        <v>0.2</v>
      </c>
      <c r="K60" s="912">
        <v>0</v>
      </c>
      <c r="L60" s="912">
        <v>0</v>
      </c>
      <c r="M60" s="912">
        <v>0</v>
      </c>
      <c r="N60" s="912">
        <v>0</v>
      </c>
      <c r="O60" s="912">
        <v>0</v>
      </c>
      <c r="P60" s="912">
        <v>0</v>
      </c>
      <c r="Q60" s="912">
        <v>0</v>
      </c>
      <c r="R60" s="912">
        <v>0</v>
      </c>
      <c r="S60" s="912">
        <v>0</v>
      </c>
      <c r="T60" s="912">
        <v>0</v>
      </c>
      <c r="U60" s="912">
        <v>0</v>
      </c>
      <c r="V60" s="912">
        <v>0</v>
      </c>
      <c r="W60" s="912">
        <v>0</v>
      </c>
      <c r="X60" s="912">
        <v>0</v>
      </c>
      <c r="Y60" s="912">
        <v>0</v>
      </c>
      <c r="Z60" s="912">
        <v>0</v>
      </c>
      <c r="AA60" s="912">
        <v>0</v>
      </c>
      <c r="AB60" s="912"/>
      <c r="AC60" s="914"/>
      <c r="AD60" s="914"/>
      <c r="AE60" s="914"/>
      <c r="AF60" s="914"/>
      <c r="AG60" s="914"/>
      <c r="AH60" s="914"/>
      <c r="AI60" s="914"/>
      <c r="AJ60" s="914"/>
      <c r="AK60" s="914"/>
      <c r="AL60" s="914"/>
      <c r="AM60" s="914"/>
      <c r="AN60" s="914"/>
      <c r="AO60" s="914"/>
      <c r="AP60" s="914"/>
      <c r="AQ60" s="914"/>
      <c r="AR60" s="914"/>
      <c r="AS60" s="914"/>
      <c r="AT60" s="915"/>
      <c r="AU60" s="901"/>
      <c r="AV60" s="901"/>
      <c r="AW60" s="901"/>
      <c r="AX60" s="901"/>
      <c r="AY60" s="901"/>
      <c r="AZ60" s="901"/>
      <c r="BA60" s="901"/>
      <c r="BB60" s="901"/>
      <c r="BC60" s="901"/>
      <c r="BD60" s="901"/>
      <c r="BE60" s="901"/>
      <c r="BF60" s="901"/>
      <c r="BG60" s="901"/>
      <c r="BH60" s="901"/>
      <c r="BI60" s="901"/>
      <c r="BJ60" s="901"/>
      <c r="BK60" s="901"/>
      <c r="BL60" s="901"/>
      <c r="BM60" s="901"/>
      <c r="BN60" s="901"/>
      <c r="BO60" s="901"/>
      <c r="BP60" s="901"/>
      <c r="BQ60" s="901"/>
      <c r="BR60" s="901"/>
      <c r="BS60" s="901"/>
    </row>
    <row r="61" spans="2:72" ht="14.85" customHeight="1">
      <c r="C61" s="910" t="s">
        <v>1967</v>
      </c>
      <c r="D61" s="901"/>
      <c r="E61" s="901"/>
      <c r="F61" s="911">
        <f>1/7</f>
        <v>0.14285714285714285</v>
      </c>
      <c r="G61" s="912">
        <f t="shared" ref="G61:L61" si="14">1/7</f>
        <v>0.14285714285714285</v>
      </c>
      <c r="H61" s="912">
        <f t="shared" si="14"/>
        <v>0.14285714285714285</v>
      </c>
      <c r="I61" s="912">
        <f t="shared" si="14"/>
        <v>0.14285714285714285</v>
      </c>
      <c r="J61" s="912">
        <f t="shared" si="14"/>
        <v>0.14285714285714285</v>
      </c>
      <c r="K61" s="912">
        <f t="shared" si="14"/>
        <v>0.14285714285714285</v>
      </c>
      <c r="L61" s="912">
        <f t="shared" si="14"/>
        <v>0.14285714285714285</v>
      </c>
      <c r="M61" s="912">
        <v>0</v>
      </c>
      <c r="N61" s="912">
        <v>0</v>
      </c>
      <c r="O61" s="912">
        <v>0</v>
      </c>
      <c r="P61" s="912">
        <v>0</v>
      </c>
      <c r="Q61" s="912">
        <v>0</v>
      </c>
      <c r="R61" s="912">
        <v>0</v>
      </c>
      <c r="S61" s="912">
        <v>0</v>
      </c>
      <c r="T61" s="912">
        <v>0</v>
      </c>
      <c r="U61" s="912">
        <v>0</v>
      </c>
      <c r="V61" s="912">
        <v>0</v>
      </c>
      <c r="W61" s="912">
        <v>0</v>
      </c>
      <c r="X61" s="912">
        <v>0</v>
      </c>
      <c r="Y61" s="912">
        <v>0</v>
      </c>
      <c r="Z61" s="912">
        <v>0</v>
      </c>
      <c r="AA61" s="912">
        <v>0</v>
      </c>
      <c r="AB61" s="912"/>
      <c r="AC61" s="914"/>
      <c r="AD61" s="914"/>
      <c r="AE61" s="914"/>
      <c r="AF61" s="914"/>
      <c r="AG61" s="914"/>
      <c r="AH61" s="914"/>
      <c r="AI61" s="914"/>
      <c r="AJ61" s="914"/>
      <c r="AK61" s="914"/>
      <c r="AL61" s="914"/>
      <c r="AM61" s="914"/>
      <c r="AN61" s="914"/>
      <c r="AO61" s="914"/>
      <c r="AP61" s="914"/>
      <c r="AQ61" s="914"/>
      <c r="AR61" s="914"/>
      <c r="AS61" s="914"/>
      <c r="AT61" s="915"/>
      <c r="AU61" s="901"/>
      <c r="AV61" s="901"/>
      <c r="AW61" s="901"/>
      <c r="AX61" s="901"/>
      <c r="AY61" s="901"/>
      <c r="AZ61" s="901"/>
      <c r="BA61" s="901"/>
      <c r="BB61" s="901"/>
      <c r="BC61" s="901"/>
      <c r="BD61" s="901"/>
      <c r="BE61" s="901"/>
      <c r="BF61" s="901"/>
      <c r="BG61" s="901"/>
      <c r="BH61" s="901"/>
      <c r="BI61" s="901"/>
      <c r="BJ61" s="901"/>
      <c r="BK61" s="901"/>
      <c r="BL61" s="901"/>
      <c r="BM61" s="901"/>
      <c r="BN61" s="901"/>
      <c r="BO61" s="901"/>
      <c r="BP61" s="901"/>
      <c r="BQ61" s="901"/>
      <c r="BR61" s="901"/>
      <c r="BS61" s="901"/>
    </row>
    <row r="62" spans="2:72" ht="14.85" customHeight="1">
      <c r="C62" s="910" t="s">
        <v>1968</v>
      </c>
      <c r="D62" s="901"/>
      <c r="E62" s="901"/>
      <c r="F62" s="911">
        <f>1/10</f>
        <v>0.1</v>
      </c>
      <c r="G62" s="912">
        <f t="shared" ref="G62:P62" si="15">1/10</f>
        <v>0.1</v>
      </c>
      <c r="H62" s="912">
        <f t="shared" si="15"/>
        <v>0.1</v>
      </c>
      <c r="I62" s="912">
        <f t="shared" si="15"/>
        <v>0.1</v>
      </c>
      <c r="J62" s="912">
        <f t="shared" si="15"/>
        <v>0.1</v>
      </c>
      <c r="K62" s="912">
        <f t="shared" si="15"/>
        <v>0.1</v>
      </c>
      <c r="L62" s="912">
        <f t="shared" si="15"/>
        <v>0.1</v>
      </c>
      <c r="M62" s="912">
        <f t="shared" si="15"/>
        <v>0.1</v>
      </c>
      <c r="N62" s="912">
        <f t="shared" si="15"/>
        <v>0.1</v>
      </c>
      <c r="O62" s="912">
        <f t="shared" si="15"/>
        <v>0.1</v>
      </c>
      <c r="P62" s="912">
        <f t="shared" si="15"/>
        <v>0.1</v>
      </c>
      <c r="Q62" s="912">
        <v>0</v>
      </c>
      <c r="R62" s="912">
        <v>0</v>
      </c>
      <c r="S62" s="912">
        <v>0</v>
      </c>
      <c r="T62" s="912">
        <v>0</v>
      </c>
      <c r="U62" s="912">
        <v>0</v>
      </c>
      <c r="V62" s="912">
        <v>0</v>
      </c>
      <c r="W62" s="912">
        <v>0</v>
      </c>
      <c r="X62" s="912">
        <v>0</v>
      </c>
      <c r="Y62" s="912">
        <v>0</v>
      </c>
      <c r="Z62" s="912">
        <v>0</v>
      </c>
      <c r="AA62" s="912">
        <v>0</v>
      </c>
      <c r="AB62" s="912"/>
      <c r="AC62" s="914"/>
      <c r="AD62" s="914"/>
      <c r="AE62" s="914"/>
      <c r="AF62" s="914"/>
      <c r="AG62" s="914"/>
      <c r="AH62" s="914"/>
      <c r="AI62" s="914"/>
      <c r="AJ62" s="914"/>
      <c r="AK62" s="914"/>
      <c r="AL62" s="914"/>
      <c r="AM62" s="914"/>
      <c r="AN62" s="914"/>
      <c r="AO62" s="914"/>
      <c r="AP62" s="914"/>
      <c r="AQ62" s="914"/>
      <c r="AR62" s="914"/>
      <c r="AS62" s="914"/>
      <c r="AT62" s="915"/>
      <c r="AU62" s="901"/>
      <c r="AV62" s="901"/>
      <c r="AW62" s="901"/>
      <c r="AX62" s="901"/>
      <c r="AY62" s="901"/>
      <c r="AZ62" s="901"/>
      <c r="BA62" s="901"/>
      <c r="BB62" s="901"/>
      <c r="BC62" s="901"/>
      <c r="BD62" s="901"/>
      <c r="BE62" s="901"/>
      <c r="BF62" s="901"/>
      <c r="BG62" s="901"/>
      <c r="BH62" s="901"/>
      <c r="BI62" s="901"/>
      <c r="BJ62" s="901"/>
      <c r="BK62" s="901"/>
      <c r="BL62" s="901"/>
      <c r="BM62" s="901"/>
      <c r="BN62" s="901"/>
      <c r="BO62" s="901"/>
      <c r="BP62" s="901"/>
      <c r="BQ62" s="901"/>
      <c r="BR62" s="901"/>
      <c r="BS62" s="901"/>
    </row>
    <row r="63" spans="2:72" ht="14.85" customHeight="1">
      <c r="C63" s="910" t="s">
        <v>1969</v>
      </c>
      <c r="D63" s="901"/>
      <c r="E63" s="901"/>
      <c r="F63" s="911">
        <f>1/15</f>
        <v>6.6666666666666666E-2</v>
      </c>
      <c r="G63" s="912">
        <f t="shared" ref="G63:U63" si="16">1/15</f>
        <v>6.6666666666666666E-2</v>
      </c>
      <c r="H63" s="912">
        <f t="shared" si="16"/>
        <v>6.6666666666666666E-2</v>
      </c>
      <c r="I63" s="912">
        <f t="shared" si="16"/>
        <v>6.6666666666666666E-2</v>
      </c>
      <c r="J63" s="912">
        <f t="shared" si="16"/>
        <v>6.6666666666666666E-2</v>
      </c>
      <c r="K63" s="912">
        <f t="shared" si="16"/>
        <v>6.6666666666666666E-2</v>
      </c>
      <c r="L63" s="912">
        <f t="shared" si="16"/>
        <v>6.6666666666666666E-2</v>
      </c>
      <c r="M63" s="912">
        <f t="shared" si="16"/>
        <v>6.6666666666666666E-2</v>
      </c>
      <c r="N63" s="912">
        <f t="shared" si="16"/>
        <v>6.6666666666666666E-2</v>
      </c>
      <c r="O63" s="912">
        <f t="shared" si="16"/>
        <v>6.6666666666666666E-2</v>
      </c>
      <c r="P63" s="912">
        <f t="shared" si="16"/>
        <v>6.6666666666666666E-2</v>
      </c>
      <c r="Q63" s="912">
        <f t="shared" si="16"/>
        <v>6.6666666666666666E-2</v>
      </c>
      <c r="R63" s="912">
        <f t="shared" si="16"/>
        <v>6.6666666666666666E-2</v>
      </c>
      <c r="S63" s="912">
        <f t="shared" si="16"/>
        <v>6.6666666666666666E-2</v>
      </c>
      <c r="T63" s="912">
        <f t="shared" si="16"/>
        <v>6.6666666666666666E-2</v>
      </c>
      <c r="U63" s="912">
        <f t="shared" si="16"/>
        <v>6.6666666666666666E-2</v>
      </c>
      <c r="V63" s="912">
        <v>0</v>
      </c>
      <c r="W63" s="912">
        <v>0</v>
      </c>
      <c r="X63" s="912">
        <v>0</v>
      </c>
      <c r="Y63" s="912">
        <v>0</v>
      </c>
      <c r="Z63" s="912">
        <v>0</v>
      </c>
      <c r="AA63" s="912">
        <v>0</v>
      </c>
      <c r="AB63" s="912"/>
      <c r="AC63" s="914"/>
      <c r="AD63" s="914"/>
      <c r="AE63" s="914"/>
      <c r="AF63" s="914"/>
      <c r="AG63" s="914"/>
      <c r="AH63" s="914"/>
      <c r="AI63" s="914"/>
      <c r="AJ63" s="914"/>
      <c r="AK63" s="914"/>
      <c r="AL63" s="914"/>
      <c r="AM63" s="914"/>
      <c r="AN63" s="914"/>
      <c r="AO63" s="914"/>
      <c r="AP63" s="914"/>
      <c r="AQ63" s="914"/>
      <c r="AR63" s="914"/>
      <c r="AS63" s="914"/>
      <c r="AT63" s="915"/>
      <c r="AU63" s="901"/>
      <c r="AV63" s="901"/>
      <c r="AW63" s="901"/>
      <c r="AX63" s="901"/>
      <c r="AY63" s="901"/>
      <c r="AZ63" s="901"/>
      <c r="BA63" s="901"/>
      <c r="BB63" s="901"/>
      <c r="BC63" s="901"/>
      <c r="BD63" s="901"/>
      <c r="BE63" s="901"/>
      <c r="BF63" s="901"/>
      <c r="BG63" s="901"/>
      <c r="BH63" s="901"/>
      <c r="BI63" s="901"/>
      <c r="BJ63" s="901"/>
      <c r="BK63" s="901"/>
      <c r="BL63" s="901"/>
      <c r="BM63" s="901"/>
      <c r="BN63" s="901"/>
      <c r="BO63" s="901"/>
      <c r="BP63" s="901"/>
      <c r="BQ63" s="901"/>
      <c r="BR63" s="901"/>
      <c r="BS63" s="901"/>
    </row>
    <row r="64" spans="2:72" ht="14.85" customHeight="1">
      <c r="C64" s="916" t="s">
        <v>1970</v>
      </c>
      <c r="D64" s="901"/>
      <c r="E64" s="901"/>
      <c r="F64" s="917">
        <f>1/20</f>
        <v>0.05</v>
      </c>
      <c r="G64" s="918">
        <f t="shared" ref="G64:Z64" si="17">1/20</f>
        <v>0.05</v>
      </c>
      <c r="H64" s="918">
        <f t="shared" si="17"/>
        <v>0.05</v>
      </c>
      <c r="I64" s="918">
        <f t="shared" si="17"/>
        <v>0.05</v>
      </c>
      <c r="J64" s="918">
        <f t="shared" si="17"/>
        <v>0.05</v>
      </c>
      <c r="K64" s="918">
        <f t="shared" si="17"/>
        <v>0.05</v>
      </c>
      <c r="L64" s="918">
        <f t="shared" si="17"/>
        <v>0.05</v>
      </c>
      <c r="M64" s="918">
        <f t="shared" si="17"/>
        <v>0.05</v>
      </c>
      <c r="N64" s="918">
        <f t="shared" si="17"/>
        <v>0.05</v>
      </c>
      <c r="O64" s="918">
        <f t="shared" si="17"/>
        <v>0.05</v>
      </c>
      <c r="P64" s="918">
        <f t="shared" si="17"/>
        <v>0.05</v>
      </c>
      <c r="Q64" s="918">
        <f t="shared" si="17"/>
        <v>0.05</v>
      </c>
      <c r="R64" s="918">
        <f t="shared" si="17"/>
        <v>0.05</v>
      </c>
      <c r="S64" s="918">
        <f t="shared" si="17"/>
        <v>0.05</v>
      </c>
      <c r="T64" s="918">
        <f t="shared" si="17"/>
        <v>0.05</v>
      </c>
      <c r="U64" s="918">
        <f t="shared" si="17"/>
        <v>0.05</v>
      </c>
      <c r="V64" s="918">
        <f t="shared" si="17"/>
        <v>0.05</v>
      </c>
      <c r="W64" s="918">
        <f t="shared" si="17"/>
        <v>0.05</v>
      </c>
      <c r="X64" s="918">
        <f t="shared" si="17"/>
        <v>0.05</v>
      </c>
      <c r="Y64" s="918">
        <f t="shared" si="17"/>
        <v>0.05</v>
      </c>
      <c r="Z64" s="918">
        <f t="shared" si="17"/>
        <v>0.05</v>
      </c>
      <c r="AA64" s="918">
        <v>0</v>
      </c>
      <c r="AB64" s="918"/>
      <c r="AC64" s="920"/>
      <c r="AD64" s="920"/>
      <c r="AE64" s="920"/>
      <c r="AF64" s="920"/>
      <c r="AG64" s="920"/>
      <c r="AH64" s="920"/>
      <c r="AI64" s="920"/>
      <c r="AJ64" s="920"/>
      <c r="AK64" s="920"/>
      <c r="AL64" s="920"/>
      <c r="AM64" s="920"/>
      <c r="AN64" s="920"/>
      <c r="AO64" s="920"/>
      <c r="AP64" s="920"/>
      <c r="AQ64" s="920"/>
      <c r="AR64" s="920"/>
      <c r="AS64" s="920"/>
      <c r="AT64" s="921"/>
      <c r="AU64" s="901"/>
      <c r="AV64" s="901"/>
      <c r="AW64" s="901"/>
      <c r="AX64" s="901"/>
      <c r="AY64" s="901"/>
      <c r="AZ64" s="901"/>
      <c r="BA64" s="901"/>
      <c r="BB64" s="901"/>
      <c r="BC64" s="901"/>
      <c r="BD64" s="901"/>
      <c r="BE64" s="901"/>
      <c r="BF64" s="901"/>
      <c r="BG64" s="901"/>
      <c r="BH64" s="901"/>
      <c r="BI64" s="901"/>
      <c r="BJ64" s="901"/>
      <c r="BK64" s="901"/>
      <c r="BL64" s="901"/>
      <c r="BM64" s="901"/>
      <c r="BN64" s="901"/>
      <c r="BO64" s="901"/>
      <c r="BP64" s="901"/>
      <c r="BQ64" s="901"/>
      <c r="BR64" s="901"/>
      <c r="BS64" s="901"/>
    </row>
    <row r="65" spans="1:1" ht="14.85" customHeight="1"/>
    <row r="66" spans="1:1" s="1044" customFormat="1" ht="14.85" customHeight="1">
      <c r="A66" s="1043"/>
    </row>
    <row r="67" spans="1:1" s="1044" customFormat="1" ht="14.85" customHeight="1">
      <c r="A67" s="1043"/>
    </row>
    <row r="68" spans="1:1" s="1044" customFormat="1" ht="14.85" customHeight="1">
      <c r="A68" s="1043"/>
    </row>
    <row r="69" spans="1:1" s="1044" customFormat="1" ht="14.85" customHeight="1">
      <c r="A69" s="1043"/>
    </row>
    <row r="70" spans="1:1" s="1044" customFormat="1" ht="14.85" customHeight="1">
      <c r="A70" s="1043"/>
    </row>
    <row r="71" spans="1:1" s="1044" customFormat="1" ht="14.85" customHeight="1">
      <c r="A71" s="1043"/>
    </row>
    <row r="72" spans="1:1" s="1044" customFormat="1" ht="14.85" customHeight="1">
      <c r="A72" s="1043"/>
    </row>
    <row r="73" spans="1:1" s="1044" customFormat="1" ht="14.85" customHeight="1">
      <c r="A73" s="1043"/>
    </row>
    <row r="74" spans="1:1" s="1044" customFormat="1" ht="14.85" customHeight="1">
      <c r="A74" s="1043"/>
    </row>
    <row r="75" spans="1:1" s="1044" customFormat="1" ht="14.85" customHeight="1">
      <c r="A75" s="1043"/>
    </row>
    <row r="76" spans="1:1" s="1044" customFormat="1" ht="14.85" customHeight="1">
      <c r="A76" s="1043"/>
    </row>
    <row r="77" spans="1:1" s="1044" customFormat="1" ht="14.85" customHeight="1">
      <c r="A77" s="1043"/>
    </row>
    <row r="78" spans="1:1" s="1044" customFormat="1" ht="14.85" customHeight="1">
      <c r="A78" s="1043"/>
    </row>
    <row r="79" spans="1:1" s="1044" customFormat="1" ht="14.85" customHeight="1">
      <c r="A79" s="1043"/>
    </row>
    <row r="80" spans="1:1" s="1044" customFormat="1" ht="14.85" customHeight="1">
      <c r="A80" s="1043"/>
    </row>
    <row r="81" spans="1:1" s="1044" customFormat="1" ht="14.85" customHeight="1">
      <c r="A81" s="1043"/>
    </row>
    <row r="82" spans="1:1" s="1044" customFormat="1" ht="14.85" customHeight="1">
      <c r="A82" s="1043"/>
    </row>
    <row r="83" spans="1:1" s="1044" customFormat="1" ht="14.85" customHeight="1">
      <c r="A83" s="1043"/>
    </row>
    <row r="84" spans="1:1" s="1044" customFormat="1" ht="14.85" customHeight="1">
      <c r="A84" s="1043"/>
    </row>
    <row r="85" spans="1:1" s="1044" customFormat="1" ht="14.85" customHeight="1">
      <c r="A85" s="1043"/>
    </row>
    <row r="86" spans="1:1" s="1044" customFormat="1" ht="14.85" customHeight="1">
      <c r="A86" s="1043"/>
    </row>
    <row r="87" spans="1:1" s="1044" customFormat="1" ht="14.85" customHeight="1">
      <c r="A87" s="1043"/>
    </row>
    <row r="88" spans="1:1" s="1044" customFormat="1" ht="14.85" customHeight="1">
      <c r="A88" s="1043"/>
    </row>
    <row r="89" spans="1:1" s="1044" customFormat="1" ht="14.85" customHeight="1">
      <c r="A89" s="1043"/>
    </row>
    <row r="90" spans="1:1" s="1044" customFormat="1" ht="14.85" customHeight="1">
      <c r="A90" s="1043"/>
    </row>
    <row r="91" spans="1:1" s="1044" customFormat="1" ht="14.85" customHeight="1">
      <c r="A91" s="1043"/>
    </row>
    <row r="92" spans="1:1" s="1044" customFormat="1" ht="14.85" customHeight="1">
      <c r="A92" s="1043"/>
    </row>
    <row r="93" spans="1:1" s="1044" customFormat="1" ht="14.85" customHeight="1">
      <c r="A93" s="1043"/>
    </row>
    <row r="94" spans="1:1" s="1044" customFormat="1" ht="14.85" customHeight="1">
      <c r="A94" s="1043"/>
    </row>
    <row r="95" spans="1:1" s="1044" customFormat="1" ht="14.85" customHeight="1">
      <c r="A95" s="1043"/>
    </row>
    <row r="96" spans="1:1" s="1044" customFormat="1" ht="14.85" customHeight="1">
      <c r="A96" s="1043"/>
    </row>
    <row r="97" spans="1:1" s="1044" customFormat="1" ht="14.85" customHeight="1">
      <c r="A97" s="1043"/>
    </row>
    <row r="98" spans="1:1" s="1044" customFormat="1" ht="14.85" customHeight="1">
      <c r="A98" s="1043"/>
    </row>
    <row r="99" spans="1:1" s="1044" customFormat="1" ht="14.85" customHeight="1">
      <c r="A99" s="1043"/>
    </row>
    <row r="100" spans="1:1" s="1044" customFormat="1" ht="14.85" customHeight="1">
      <c r="A100" s="1043"/>
    </row>
    <row r="101" spans="1:1" s="1044" customFormat="1" ht="14.85" customHeight="1">
      <c r="A101" s="1043"/>
    </row>
    <row r="102" spans="1:1" s="1044" customFormat="1" ht="14.85" customHeight="1">
      <c r="A102" s="1043"/>
    </row>
    <row r="103" spans="1:1" s="1044" customFormat="1" ht="14.85" customHeight="1">
      <c r="A103" s="1043"/>
    </row>
    <row r="104" spans="1:1" s="1044" customFormat="1" ht="14.85" customHeight="1">
      <c r="A104" s="1043"/>
    </row>
    <row r="105" spans="1:1" s="1044" customFormat="1" ht="14.85" customHeight="1">
      <c r="A105" s="1043"/>
    </row>
    <row r="106" spans="1:1" s="1044" customFormat="1" ht="14.85" customHeight="1">
      <c r="A106" s="1043"/>
    </row>
    <row r="107" spans="1:1" s="1044" customFormat="1" ht="14.85" customHeight="1">
      <c r="A107" s="1043"/>
    </row>
    <row r="108" spans="1:1" s="1044" customFormat="1" ht="14.85" customHeight="1">
      <c r="A108" s="1043"/>
    </row>
    <row r="109" spans="1:1" s="1044" customFormat="1" ht="14.85" customHeight="1">
      <c r="A109" s="1043"/>
    </row>
    <row r="110" spans="1:1" s="1044" customFormat="1" ht="14.85" customHeight="1">
      <c r="A110" s="1043"/>
    </row>
    <row r="111" spans="1:1" s="1044" customFormat="1" ht="14.85" customHeight="1">
      <c r="A111" s="1043"/>
    </row>
    <row r="112" spans="1:1" s="1044" customFormat="1" ht="14.85" customHeight="1">
      <c r="A112" s="1043"/>
    </row>
    <row r="113" spans="1:1" s="1044" customFormat="1" ht="14.85" customHeight="1">
      <c r="A113" s="1043"/>
    </row>
    <row r="114" spans="1:1" s="1044" customFormat="1" ht="14.85" customHeight="1">
      <c r="A114" s="1043"/>
    </row>
    <row r="115" spans="1:1" s="1044" customFormat="1" ht="14.85" customHeight="1">
      <c r="A115" s="1043"/>
    </row>
    <row r="116" spans="1:1" s="1044" customFormat="1" ht="14.85" customHeight="1">
      <c r="A116" s="1043"/>
    </row>
    <row r="117" spans="1:1" s="1044" customFormat="1" ht="14.85" customHeight="1">
      <c r="A117" s="1043"/>
    </row>
    <row r="118" spans="1:1" s="1044" customFormat="1" ht="14.85" customHeight="1">
      <c r="A118" s="1043"/>
    </row>
    <row r="119" spans="1:1" s="1044" customFormat="1" ht="14.85" customHeight="1">
      <c r="A119" s="1043"/>
    </row>
    <row r="120" spans="1:1" s="1044" customFormat="1" ht="14.85" customHeight="1">
      <c r="A120" s="1043"/>
    </row>
    <row r="121" spans="1:1" s="1044" customFormat="1" ht="14.85" customHeight="1">
      <c r="A121" s="1043"/>
    </row>
    <row r="122" spans="1:1" s="1044" customFormat="1" ht="14.85" customHeight="1">
      <c r="A122" s="1043"/>
    </row>
    <row r="123" spans="1:1" s="1044" customFormat="1" ht="14.85" customHeight="1">
      <c r="A123" s="1043"/>
    </row>
    <row r="124" spans="1:1" s="1044" customFormat="1" ht="14.85" customHeight="1">
      <c r="A124" s="1043"/>
    </row>
    <row r="125" spans="1:1" s="1044" customFormat="1" ht="14.85" customHeight="1">
      <c r="A125" s="1043"/>
    </row>
    <row r="126" spans="1:1" s="1044" customFormat="1" ht="14.85" customHeight="1">
      <c r="A126" s="1043"/>
    </row>
    <row r="127" spans="1:1" s="1044" customFormat="1" ht="14.85" customHeight="1">
      <c r="A127" s="1043"/>
    </row>
    <row r="128" spans="1:1" s="1044" customFormat="1" ht="14.85" customHeight="1">
      <c r="A128" s="1043"/>
    </row>
    <row r="129" spans="1:1" s="1044" customFormat="1" ht="14.85" customHeight="1">
      <c r="A129" s="1043"/>
    </row>
    <row r="130" spans="1:1" s="1044" customFormat="1" ht="14.85" customHeight="1">
      <c r="A130" s="1043"/>
    </row>
    <row r="131" spans="1:1" s="1044" customFormat="1" ht="14.85" customHeight="1">
      <c r="A131" s="1043"/>
    </row>
    <row r="132" spans="1:1" s="1044" customFormat="1" ht="14.85" customHeight="1">
      <c r="A132" s="1043"/>
    </row>
    <row r="133" spans="1:1" s="1044" customFormat="1" ht="14.85" customHeight="1">
      <c r="A133" s="1043"/>
    </row>
    <row r="134" spans="1:1" s="1044" customFormat="1" ht="14.85" customHeight="1">
      <c r="A134" s="1043"/>
    </row>
    <row r="135" spans="1:1" s="1044" customFormat="1" ht="14.85" customHeight="1">
      <c r="A135" s="1043"/>
    </row>
    <row r="136" spans="1:1" s="1044" customFormat="1" ht="14.85" customHeight="1">
      <c r="A136" s="1043"/>
    </row>
    <row r="137" spans="1:1" s="1044" customFormat="1" ht="14.85" customHeight="1">
      <c r="A137" s="1043"/>
    </row>
    <row r="138" spans="1:1" s="1044" customFormat="1" ht="14.85" customHeight="1">
      <c r="A138" s="1043"/>
    </row>
    <row r="139" spans="1:1" s="1044" customFormat="1" ht="14.85" customHeight="1">
      <c r="A139" s="1043"/>
    </row>
    <row r="140" spans="1:1" s="1044" customFormat="1" ht="14.85" customHeight="1">
      <c r="A140" s="1043"/>
    </row>
    <row r="141" spans="1:1" s="1044" customFormat="1" ht="14.85" customHeight="1">
      <c r="A141" s="1043"/>
    </row>
    <row r="142" spans="1:1" s="1044" customFormat="1" ht="14.85" customHeight="1">
      <c r="A142" s="1043"/>
    </row>
    <row r="143" spans="1:1" s="1044" customFormat="1" ht="14.85" customHeight="1">
      <c r="A143" s="1043"/>
    </row>
    <row r="144" spans="1:1" s="1044" customFormat="1" ht="14.85" customHeight="1">
      <c r="A144" s="1043"/>
    </row>
    <row r="145" spans="1:1" s="1044" customFormat="1" ht="14.85" customHeight="1">
      <c r="A145" s="1043"/>
    </row>
    <row r="146" spans="1:1" s="1044" customFormat="1" ht="14.85" customHeight="1">
      <c r="A146" s="1043"/>
    </row>
    <row r="147" spans="1:1" s="1044" customFormat="1" ht="14.85" customHeight="1">
      <c r="A147" s="1043"/>
    </row>
    <row r="148" spans="1:1" s="1044" customFormat="1" ht="14.85" customHeight="1">
      <c r="A148" s="1043"/>
    </row>
    <row r="149" spans="1:1" s="1044" customFormat="1" ht="14.85" customHeight="1">
      <c r="A149" s="1043"/>
    </row>
    <row r="150" spans="1:1" s="1044" customFormat="1" ht="14.85" customHeight="1">
      <c r="A150" s="1043"/>
    </row>
    <row r="151" spans="1:1" s="1044" customFormat="1" ht="14.85" customHeight="1">
      <c r="A151" s="1043"/>
    </row>
    <row r="152" spans="1:1" s="1044" customFormat="1" ht="14.85" customHeight="1">
      <c r="A152" s="1043"/>
    </row>
    <row r="153" spans="1:1" s="1044" customFormat="1" ht="14.85" customHeight="1">
      <c r="A153" s="1043"/>
    </row>
    <row r="154" spans="1:1" s="1044" customFormat="1" ht="14.85" customHeight="1">
      <c r="A154" s="1043"/>
    </row>
    <row r="155" spans="1:1" s="1044" customFormat="1" ht="14.85" customHeight="1">
      <c r="A155" s="1043"/>
    </row>
    <row r="156" spans="1:1" s="1044" customFormat="1" ht="14.85" customHeight="1">
      <c r="A156" s="1043"/>
    </row>
    <row r="157" spans="1:1" s="1044" customFormat="1" ht="14.85" customHeight="1">
      <c r="A157" s="1043"/>
    </row>
    <row r="158" spans="1:1" s="1044" customFormat="1" ht="14.85" customHeight="1">
      <c r="A158" s="1043"/>
    </row>
    <row r="159" spans="1:1" s="1044" customFormat="1" ht="14.85" customHeight="1">
      <c r="A159" s="1043"/>
    </row>
    <row r="160" spans="1:1" s="1044" customFormat="1" ht="14.85" customHeight="1">
      <c r="A160" s="1043"/>
    </row>
    <row r="161" spans="1:1" s="1044" customFormat="1" ht="14.85" customHeight="1">
      <c r="A161" s="1043"/>
    </row>
    <row r="162" spans="1:1" s="1044" customFormat="1" ht="14.85" customHeight="1">
      <c r="A162" s="1043"/>
    </row>
    <row r="163" spans="1:1" s="1044" customFormat="1" ht="14.85" customHeight="1">
      <c r="A163" s="1043"/>
    </row>
    <row r="164" spans="1:1" s="1044" customFormat="1" ht="14.85" customHeight="1">
      <c r="A164" s="1043"/>
    </row>
    <row r="165" spans="1:1" s="1044" customFormat="1" ht="14.85" customHeight="1">
      <c r="A165" s="1043"/>
    </row>
    <row r="166" spans="1:1" s="1044" customFormat="1" ht="14.85" customHeight="1">
      <c r="A166" s="1043"/>
    </row>
    <row r="167" spans="1:1" s="1044" customFormat="1" ht="14.85" customHeight="1">
      <c r="A167" s="1043"/>
    </row>
    <row r="168" spans="1:1" ht="14.85" customHeight="1"/>
    <row r="169" spans="1:1" ht="14.85" customHeight="1"/>
    <row r="170" spans="1:1" ht="14.85" customHeight="1"/>
    <row r="171" spans="1:1" ht="14.85" customHeight="1"/>
    <row r="172" spans="1:1" ht="14.85" customHeight="1"/>
    <row r="173" spans="1:1" ht="14.85" customHeight="1"/>
    <row r="174" spans="1:1" ht="14.85" customHeight="1"/>
    <row r="175" spans="1:1" ht="14.85" customHeight="1"/>
    <row r="176" spans="1:1"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B46:O46"/>
  </mergeCells>
  <conditionalFormatting sqref="E4:M4">
    <cfRule type="cellIs" dxfId="306" priority="10" stopIfTrue="1" operator="equal">
      <formula>"input"</formula>
    </cfRule>
  </conditionalFormatting>
  <conditionalFormatting sqref="N4">
    <cfRule type="cellIs" dxfId="305" priority="7" stopIfTrue="1" operator="equal">
      <formula>"input"</formula>
    </cfRule>
  </conditionalFormatting>
  <conditionalFormatting sqref="N4">
    <cfRule type="cellIs" dxfId="304" priority="6" stopIfTrue="1" operator="equal">
      <formula>"input"</formula>
    </cfRule>
  </conditionalFormatting>
  <conditionalFormatting sqref="C4:D4">
    <cfRule type="cellIs" dxfId="303" priority="5" stopIfTrue="1" operator="equal">
      <formula>"input"</formula>
    </cfRule>
  </conditionalFormatting>
  <conditionalFormatting sqref="B4">
    <cfRule type="cellIs" dxfId="302" priority="3" stopIfTrue="1" operator="equal">
      <formula>"input"</formula>
    </cfRule>
  </conditionalFormatting>
  <conditionalFormatting sqref="O4">
    <cfRule type="cellIs" dxfId="301" priority="2" stopIfTrue="1" operator="equal">
      <formula>"input"</formula>
    </cfRule>
  </conditionalFormatting>
  <conditionalFormatting sqref="O4">
    <cfRule type="cellIs" dxfId="300" priority="1" stopIfTrue="1" operator="equal">
      <formula>"input"</formula>
    </cfRule>
  </conditionalFormatting>
  <dataValidations count="1">
    <dataValidation type="list" allowBlank="1" showInputMessage="1" showErrorMessage="1" sqref="C11:C12 C21:C23" xr:uid="{00000000-0002-0000-1100-000000000000}">
      <formula1>$C$51:$C$62</formula1>
    </dataValidation>
  </dataValidations>
  <pageMargins left="0.5" right="0.5" top="0.5" bottom="0.5" header="0.5" footer="0.5"/>
  <pageSetup paperSize="9" scale="85" orientation="landscape" r:id="rId1"/>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B1:U764"/>
  <sheetViews>
    <sheetView showGridLines="0" view="pageBreakPreview" zoomScale="80" zoomScaleNormal="100" zoomScaleSheetLayoutView="80" workbookViewId="0"/>
  </sheetViews>
  <sheetFormatPr defaultRowHeight="12.75"/>
  <cols>
    <col min="1" max="1" width="4.5" style="250" customWidth="1"/>
    <col min="2" max="2" width="50.83203125" style="250" customWidth="1"/>
    <col min="3" max="3" width="1.83203125" style="250" customWidth="1"/>
    <col min="4" max="8" width="15.83203125" style="250" customWidth="1"/>
    <col min="9" max="9" width="1.83203125" style="250" customWidth="1"/>
    <col min="10" max="10" width="15.83203125" style="250" customWidth="1"/>
    <col min="11" max="12" width="4.5" style="250" customWidth="1"/>
    <col min="13" max="13" width="50.83203125" style="250" customWidth="1"/>
    <col min="14" max="14" width="1.83203125" style="250" customWidth="1"/>
    <col min="15" max="19" width="15.83203125" style="250" customWidth="1"/>
    <col min="20" max="20" width="1.83203125" style="250" customWidth="1"/>
    <col min="21" max="21" width="15.83203125" style="250" customWidth="1"/>
    <col min="22" max="22" width="4.5" style="250" customWidth="1"/>
    <col min="23" max="16384" width="9.33203125" style="250"/>
  </cols>
  <sheetData>
    <row r="1" spans="2:21" ht="10.7" customHeight="1" thickBot="1"/>
    <row r="2" spans="2:21" ht="16.5" customHeight="1" thickTop="1">
      <c r="B2" s="258" t="str">
        <f>'MASTER PubCo Inputs'!$C$5</f>
        <v>ABC, Inc.</v>
      </c>
      <c r="C2" s="258"/>
      <c r="D2" s="258"/>
      <c r="E2" s="258"/>
      <c r="F2" s="258"/>
      <c r="G2" s="258"/>
      <c r="H2" s="258"/>
      <c r="I2" s="258"/>
      <c r="J2" s="258"/>
      <c r="K2" s="257"/>
      <c r="L2" s="257"/>
      <c r="M2" s="258" t="str">
        <f>'MASTER PubCo Inputs'!$C$5</f>
        <v>ABC, Inc.</v>
      </c>
      <c r="N2" s="258"/>
      <c r="O2" s="258"/>
      <c r="P2" s="258"/>
      <c r="Q2" s="258"/>
      <c r="R2" s="258"/>
      <c r="S2" s="258"/>
      <c r="T2" s="258"/>
      <c r="U2" s="258"/>
    </row>
    <row r="3" spans="2:21" ht="15.75" customHeight="1">
      <c r="B3" s="259" t="str">
        <f>VLOOKUP(B4,Outline!$E$8:$G$79,COLUMNS(Outline!$E$8:$G$8),FALSE)</f>
        <v>Exhibit C.3</v>
      </c>
      <c r="C3" s="259"/>
      <c r="D3" s="259"/>
      <c r="E3" s="259"/>
      <c r="F3" s="259"/>
      <c r="G3" s="259"/>
      <c r="H3" s="259"/>
      <c r="I3" s="259"/>
      <c r="J3" s="259"/>
      <c r="K3" s="257"/>
      <c r="L3" s="257"/>
      <c r="M3" s="259" t="str">
        <f>B3</f>
        <v>Exhibit C.3</v>
      </c>
      <c r="N3" s="259"/>
      <c r="O3" s="259"/>
      <c r="P3" s="259"/>
      <c r="Q3" s="259"/>
      <c r="R3" s="259"/>
      <c r="S3" s="259"/>
      <c r="T3" s="259"/>
      <c r="U3" s="259"/>
    </row>
    <row r="4" spans="2:21" ht="16.5" customHeight="1" thickBot="1">
      <c r="B4" s="924" t="s">
        <v>164</v>
      </c>
      <c r="C4" s="924"/>
      <c r="D4" s="924"/>
      <c r="E4" s="924"/>
      <c r="F4" s="924"/>
      <c r="G4" s="924"/>
      <c r="H4" s="924"/>
      <c r="I4" s="924"/>
      <c r="J4" s="925" t="str">
        <f>+'MASTER PubCo Inputs'!$C$21</f>
        <v>(in thousands of USD)</v>
      </c>
      <c r="K4" s="257"/>
      <c r="L4" s="257"/>
      <c r="M4" s="924" t="s">
        <v>580</v>
      </c>
      <c r="N4" s="924"/>
      <c r="O4" s="924"/>
      <c r="P4" s="924"/>
      <c r="Q4" s="924"/>
      <c r="R4" s="924"/>
      <c r="S4" s="924"/>
      <c r="T4" s="924"/>
      <c r="U4" s="924"/>
    </row>
    <row r="5" spans="2:21" s="467" customFormat="1" ht="14.85" customHeight="1" thickTop="1">
      <c r="B5" s="250"/>
      <c r="C5" s="250"/>
      <c r="D5" s="250"/>
      <c r="E5" s="250"/>
      <c r="F5" s="250"/>
      <c r="G5" s="250"/>
      <c r="H5" s="250"/>
      <c r="I5" s="250"/>
      <c r="J5" s="250"/>
      <c r="K5" s="250"/>
      <c r="M5" s="250"/>
      <c r="N5" s="250"/>
    </row>
    <row r="6" spans="2:21" s="467" customFormat="1" ht="14.85" customHeight="1">
      <c r="B6" s="250"/>
      <c r="C6" s="250"/>
      <c r="D6" s="250"/>
      <c r="E6" s="250"/>
      <c r="F6" s="250"/>
      <c r="G6" s="250"/>
      <c r="H6" s="250"/>
      <c r="I6" s="250"/>
      <c r="J6" s="1045" t="s">
        <v>785</v>
      </c>
      <c r="K6" s="250"/>
      <c r="M6" s="250"/>
      <c r="N6" s="250"/>
    </row>
    <row r="7" spans="2:21" ht="14.85" customHeight="1">
      <c r="H7" s="1046"/>
      <c r="J7" s="1047"/>
      <c r="U7" s="1046"/>
    </row>
    <row r="8" spans="2:21" ht="14.85" customHeight="1">
      <c r="C8" s="1048"/>
      <c r="D8" s="1049" t="s">
        <v>787</v>
      </c>
      <c r="E8" s="1050"/>
      <c r="F8" s="1050"/>
      <c r="G8" s="1050"/>
      <c r="H8" s="1051"/>
      <c r="I8" s="1052"/>
      <c r="J8" s="1053" t="s">
        <v>343</v>
      </c>
      <c r="N8" s="1054"/>
      <c r="O8" s="1049" t="s">
        <v>787</v>
      </c>
      <c r="P8" s="1050"/>
      <c r="Q8" s="1050"/>
      <c r="R8" s="1050"/>
      <c r="S8" s="1051"/>
      <c r="T8" s="1055"/>
      <c r="U8" s="1053" t="s">
        <v>343</v>
      </c>
    </row>
    <row r="9" spans="2:21" ht="14.85" customHeight="1">
      <c r="B9" s="723"/>
      <c r="C9" s="467"/>
      <c r="D9" s="1056">
        <f>E9-1</f>
        <v>2013</v>
      </c>
      <c r="E9" s="1057">
        <f>F9-1</f>
        <v>2014</v>
      </c>
      <c r="F9" s="1057">
        <f>G9-1</f>
        <v>2015</v>
      </c>
      <c r="G9" s="1057">
        <f>YEAR('MASTER PubCo Inputs'!C7)</f>
        <v>2016</v>
      </c>
      <c r="H9" s="1058">
        <f>'MASTER PubCo Inputs'!$C$6</f>
        <v>42735</v>
      </c>
      <c r="I9" s="1059"/>
      <c r="J9" s="1060">
        <f>'MASTER PubCo Inputs'!$C$6</f>
        <v>42735</v>
      </c>
      <c r="M9" s="1061"/>
      <c r="N9" s="346"/>
      <c r="O9" s="1057">
        <f>+D9</f>
        <v>2013</v>
      </c>
      <c r="P9" s="1057">
        <f>+E9</f>
        <v>2014</v>
      </c>
      <c r="Q9" s="1057">
        <f>+F9</f>
        <v>2015</v>
      </c>
      <c r="R9" s="1057">
        <f>+G9</f>
        <v>2016</v>
      </c>
      <c r="S9" s="1058">
        <f>+H9</f>
        <v>42735</v>
      </c>
      <c r="T9" s="1059"/>
      <c r="U9" s="1062">
        <f>+J9</f>
        <v>42735</v>
      </c>
    </row>
    <row r="10" spans="2:21" ht="14.85" customHeight="1">
      <c r="D10" s="275"/>
      <c r="E10" s="275"/>
      <c r="F10" s="275"/>
      <c r="G10" s="275"/>
      <c r="H10" s="275"/>
      <c r="I10" s="1063"/>
      <c r="J10" s="275"/>
      <c r="O10" s="275"/>
      <c r="P10" s="275"/>
      <c r="Q10" s="275"/>
      <c r="R10" s="275"/>
      <c r="S10" s="275"/>
      <c r="T10" s="275"/>
      <c r="U10" s="275"/>
    </row>
    <row r="11" spans="2:21" ht="14.85" customHeight="1">
      <c r="B11" s="250" t="s">
        <v>213</v>
      </c>
      <c r="D11" s="1064" t="s">
        <v>214</v>
      </c>
      <c r="E11" s="1064" t="s">
        <v>214</v>
      </c>
      <c r="F11" s="1064" t="s">
        <v>214</v>
      </c>
      <c r="G11" s="1064" t="s">
        <v>214</v>
      </c>
      <c r="H11" s="1064" t="s">
        <v>578</v>
      </c>
      <c r="I11" s="1064"/>
      <c r="J11" s="1064" t="s">
        <v>214</v>
      </c>
      <c r="M11" s="250" t="str">
        <f>B11</f>
        <v>Time in Period</v>
      </c>
      <c r="O11" s="275" t="str">
        <f>+D11</f>
        <v>1 Year</v>
      </c>
      <c r="P11" s="275" t="str">
        <f>+E11</f>
        <v>1 Year</v>
      </c>
      <c r="Q11" s="275" t="str">
        <f>+F11</f>
        <v>1 Year</v>
      </c>
      <c r="R11" s="275" t="str">
        <f>+G11</f>
        <v>1 Year</v>
      </c>
      <c r="S11" s="275" t="str">
        <f>+H11</f>
        <v>YTD</v>
      </c>
      <c r="T11" s="275"/>
      <c r="U11" s="275" t="str">
        <f>+J11</f>
        <v>1 Year</v>
      </c>
    </row>
    <row r="12" spans="2:21" ht="14.85" customHeight="1">
      <c r="D12" s="1065"/>
      <c r="E12" s="1065"/>
      <c r="F12" s="1065"/>
      <c r="G12" s="1065"/>
      <c r="H12" s="1065"/>
      <c r="I12" s="1065"/>
      <c r="J12" s="1065"/>
    </row>
    <row r="13" spans="2:21" ht="14.85" customHeight="1">
      <c r="B13" s="250" t="s">
        <v>168</v>
      </c>
      <c r="D13" s="381">
        <f t="shared" ref="D13:J13" ca="1" si="0">RANDBETWEEN(100,5000)</f>
        <v>593</v>
      </c>
      <c r="E13" s="381">
        <f t="shared" ca="1" si="0"/>
        <v>1208</v>
      </c>
      <c r="F13" s="381">
        <f t="shared" ca="1" si="0"/>
        <v>4237</v>
      </c>
      <c r="G13" s="381">
        <f t="shared" ca="1" si="0"/>
        <v>2307</v>
      </c>
      <c r="H13" s="381">
        <f t="shared" ca="1" si="0"/>
        <v>2002</v>
      </c>
      <c r="I13" s="1065"/>
      <c r="J13" s="381">
        <f t="shared" ca="1" si="0"/>
        <v>4443</v>
      </c>
      <c r="M13" s="250" t="str">
        <f>B13</f>
        <v>Revenue</v>
      </c>
      <c r="O13" s="1066">
        <f ca="1">IF(ISERROR(D13/D$13), "n/a", D13/D$13)</f>
        <v>1</v>
      </c>
      <c r="P13" s="1066">
        <f ca="1">IF(ISERROR(E13/E$13), "n/a", E13/E$13)</f>
        <v>1</v>
      </c>
      <c r="Q13" s="1066">
        <f ca="1">IF(ISERROR(F13/F$13), "n/a", F13/F$13)</f>
        <v>1</v>
      </c>
      <c r="R13" s="1066">
        <f ca="1">IF(ISERROR(G13/G$13), "n/a", G13/G$13)</f>
        <v>1</v>
      </c>
      <c r="S13" s="1066">
        <f ca="1">IF(ISERROR(H13/H$13), "n/a", H13/H$13)</f>
        <v>1</v>
      </c>
      <c r="T13" s="333"/>
      <c r="U13" s="1066">
        <f ca="1">IF(ISERROR(J13/J$13), "n/a", J13/J$13)</f>
        <v>1</v>
      </c>
    </row>
    <row r="14" spans="2:21" ht="14.85" customHeight="1">
      <c r="D14" s="1065"/>
      <c r="E14" s="1065"/>
      <c r="F14" s="1065"/>
      <c r="G14" s="1065"/>
      <c r="H14" s="1065"/>
      <c r="I14" s="1065"/>
      <c r="J14" s="1065"/>
      <c r="U14" s="333"/>
    </row>
    <row r="15" spans="2:21" ht="14.85" customHeight="1">
      <c r="B15" s="328" t="s">
        <v>215</v>
      </c>
      <c r="D15" s="381">
        <f ca="1">-RANDBETWEEN(100,5000)</f>
        <v>-2424</v>
      </c>
      <c r="E15" s="381">
        <f t="shared" ref="E15:J15" ca="1" si="1">-RANDBETWEEN(100,5000)</f>
        <v>-1159</v>
      </c>
      <c r="F15" s="381">
        <f t="shared" ca="1" si="1"/>
        <v>-3473</v>
      </c>
      <c r="G15" s="381">
        <f t="shared" ca="1" si="1"/>
        <v>-2472</v>
      </c>
      <c r="H15" s="381">
        <f t="shared" ca="1" si="1"/>
        <v>-2838</v>
      </c>
      <c r="I15" s="1065"/>
      <c r="J15" s="381">
        <f t="shared" ca="1" si="1"/>
        <v>-2134</v>
      </c>
      <c r="M15" s="328" t="str">
        <f>B15</f>
        <v>Cost of Sales (Goods Sold)</v>
      </c>
      <c r="O15" s="1066">
        <f ca="1">IF(ISERROR(D15/D$13), "n/a", D15/D$13)</f>
        <v>-4.0876897133220913</v>
      </c>
      <c r="P15" s="1066">
        <f ca="1">IF(ISERROR(E15/E$13), "n/a", E15/E$13)</f>
        <v>-0.95943708609271527</v>
      </c>
      <c r="Q15" s="1066">
        <f ca="1">IF(ISERROR(F15/F$13), "n/a", F15/F$13)</f>
        <v>-0.81968373849421761</v>
      </c>
      <c r="R15" s="1066">
        <f ca="1">IF(ISERROR(G15/G$13), "n/a", G15/G$13)</f>
        <v>-1.0715214564369311</v>
      </c>
      <c r="S15" s="1066">
        <f ca="1">IF(ISERROR(H15/H$13), "n/a", H15/H$13)</f>
        <v>-1.4175824175824177</v>
      </c>
      <c r="U15" s="1066">
        <f ca="1">IF(ISERROR(J15/J$13), "n/a", J15/J$13)</f>
        <v>-0.48030609948233177</v>
      </c>
    </row>
    <row r="16" spans="2:21" ht="14.85" customHeight="1">
      <c r="B16" s="346"/>
      <c r="C16" s="346"/>
      <c r="D16" s="1067"/>
      <c r="E16" s="1067"/>
      <c r="F16" s="1067"/>
      <c r="G16" s="1067"/>
      <c r="H16" s="1067"/>
      <c r="I16" s="1065"/>
      <c r="J16" s="1067"/>
      <c r="M16" s="346"/>
      <c r="N16" s="346"/>
      <c r="O16" s="346"/>
      <c r="P16" s="346"/>
      <c r="Q16" s="346"/>
      <c r="R16" s="346"/>
      <c r="S16" s="346"/>
      <c r="U16" s="346"/>
    </row>
    <row r="17" spans="2:21" ht="14.85" customHeight="1">
      <c r="B17" s="250" t="s">
        <v>172</v>
      </c>
      <c r="D17" s="381">
        <f ca="1">D13+D15</f>
        <v>-1831</v>
      </c>
      <c r="E17" s="381">
        <f ca="1">E13+E15</f>
        <v>49</v>
      </c>
      <c r="F17" s="381">
        <f ca="1">F13+F15</f>
        <v>764</v>
      </c>
      <c r="G17" s="381">
        <f ca="1">G13+G15</f>
        <v>-165</v>
      </c>
      <c r="H17" s="381">
        <f ca="1">H13+H15</f>
        <v>-836</v>
      </c>
      <c r="I17" s="1065"/>
      <c r="J17" s="381">
        <f ca="1">J13+J15</f>
        <v>2309</v>
      </c>
      <c r="M17" s="250" t="str">
        <f>B17</f>
        <v>Gross Profit</v>
      </c>
      <c r="O17" s="1066">
        <f ca="1">IF(ISERROR(D17/D$13), "n/a", D17/D$13)</f>
        <v>-3.0876897133220909</v>
      </c>
      <c r="P17" s="1066">
        <f ca="1">IF(ISERROR(E17/E$13), "n/a", E17/E$13)</f>
        <v>4.0562913907284767E-2</v>
      </c>
      <c r="Q17" s="1066">
        <f ca="1">IF(ISERROR(F17/F$13), "n/a", F17/F$13)</f>
        <v>0.18031626150578239</v>
      </c>
      <c r="R17" s="1066">
        <f ca="1">IF(ISERROR(G17/G$13), "n/a", G17/G$13)</f>
        <v>-7.1521456436931086E-2</v>
      </c>
      <c r="S17" s="1066">
        <f ca="1">IF(ISERROR(H17/H$13), "n/a", H17/H$13)</f>
        <v>-0.4175824175824176</v>
      </c>
      <c r="U17" s="1066">
        <f ca="1">IF(ISERROR(J17/J$13), "n/a", J17/J$13)</f>
        <v>0.51969390051766828</v>
      </c>
    </row>
    <row r="18" spans="2:21" ht="14.85" customHeight="1">
      <c r="D18" s="1065"/>
      <c r="E18" s="1065"/>
      <c r="F18" s="1065"/>
      <c r="G18" s="1065"/>
      <c r="H18" s="1065"/>
      <c r="I18" s="1065"/>
      <c r="J18" s="1065"/>
    </row>
    <row r="19" spans="2:21" ht="14.85" customHeight="1">
      <c r="B19" s="250" t="s">
        <v>174</v>
      </c>
      <c r="D19" s="1065"/>
      <c r="E19" s="1065"/>
      <c r="F19" s="1065"/>
      <c r="G19" s="1065"/>
      <c r="H19" s="1065"/>
      <c r="I19" s="1065"/>
      <c r="J19" s="1065"/>
      <c r="M19" s="250" t="str">
        <f t="shared" ref="M19:M24" si="2">B19</f>
        <v>Operating Expenses</v>
      </c>
    </row>
    <row r="20" spans="2:21" ht="14.85" customHeight="1">
      <c r="B20" s="328" t="s">
        <v>175</v>
      </c>
      <c r="D20" s="813">
        <f ca="1">-RANDBETWEEN(100,700)</f>
        <v>-621</v>
      </c>
      <c r="E20" s="813">
        <f t="shared" ref="E20:J24" ca="1" si="3">-RANDBETWEEN(100,700)</f>
        <v>-626</v>
      </c>
      <c r="F20" s="813">
        <f t="shared" ca="1" si="3"/>
        <v>-172</v>
      </c>
      <c r="G20" s="813">
        <f t="shared" ca="1" si="3"/>
        <v>-649</v>
      </c>
      <c r="H20" s="813">
        <f t="shared" ca="1" si="3"/>
        <v>-159</v>
      </c>
      <c r="I20" s="1065"/>
      <c r="J20" s="813">
        <f t="shared" ca="1" si="3"/>
        <v>-420</v>
      </c>
      <c r="M20" s="328" t="str">
        <f t="shared" si="2"/>
        <v>General &amp; Administrative</v>
      </c>
      <c r="O20" s="1066">
        <f t="shared" ref="O20:S24" ca="1" si="4">IF(ISERROR(D20/D$13), "n/a", D20/D$13)</f>
        <v>-1.0472175379426645</v>
      </c>
      <c r="P20" s="1066">
        <f t="shared" ca="1" si="4"/>
        <v>-0.51821192052980136</v>
      </c>
      <c r="Q20" s="1066">
        <f t="shared" ca="1" si="4"/>
        <v>-4.0594760443710173E-2</v>
      </c>
      <c r="R20" s="1066">
        <f t="shared" ca="1" si="4"/>
        <v>-0.28131772865192889</v>
      </c>
      <c r="S20" s="1066">
        <f t="shared" ca="1" si="4"/>
        <v>-7.9420579420579424E-2</v>
      </c>
      <c r="U20" s="1066">
        <f ca="1">IF(ISERROR(J20/J$13), "n/a", J20/J$13)</f>
        <v>-9.4530722484807567E-2</v>
      </c>
    </row>
    <row r="21" spans="2:21" ht="14.85" customHeight="1">
      <c r="B21" s="328" t="s">
        <v>176</v>
      </c>
      <c r="D21" s="813">
        <f ca="1">-RANDBETWEEN(100,700)</f>
        <v>-507</v>
      </c>
      <c r="E21" s="813">
        <f t="shared" ca="1" si="3"/>
        <v>-391</v>
      </c>
      <c r="F21" s="813">
        <f t="shared" ca="1" si="3"/>
        <v>-463</v>
      </c>
      <c r="G21" s="813">
        <f t="shared" ca="1" si="3"/>
        <v>-261</v>
      </c>
      <c r="H21" s="813">
        <f t="shared" ca="1" si="3"/>
        <v>-675</v>
      </c>
      <c r="I21" s="1065"/>
      <c r="J21" s="813">
        <f t="shared" ca="1" si="3"/>
        <v>-628</v>
      </c>
      <c r="M21" s="328" t="str">
        <f t="shared" si="2"/>
        <v>Sales &amp; Marketing</v>
      </c>
      <c r="O21" s="1066">
        <f t="shared" ca="1" si="4"/>
        <v>-0.85497470489038785</v>
      </c>
      <c r="P21" s="1066">
        <f t="shared" ca="1" si="4"/>
        <v>-0.32367549668874174</v>
      </c>
      <c r="Q21" s="1066">
        <f t="shared" ca="1" si="4"/>
        <v>-0.10927543072928959</v>
      </c>
      <c r="R21" s="1066">
        <f t="shared" ca="1" si="4"/>
        <v>-0.11313394018205461</v>
      </c>
      <c r="S21" s="1066">
        <f t="shared" ca="1" si="4"/>
        <v>-0.33716283716283718</v>
      </c>
      <c r="U21" s="1066">
        <f ca="1">IF(ISERROR(J21/J$13), "n/a", J21/J$13)</f>
        <v>-0.14134593742966464</v>
      </c>
    </row>
    <row r="22" spans="2:21" ht="14.85" customHeight="1">
      <c r="B22" s="328" t="s">
        <v>177</v>
      </c>
      <c r="D22" s="813">
        <f ca="1">-RANDBETWEEN(100,700)</f>
        <v>-188</v>
      </c>
      <c r="E22" s="813">
        <f t="shared" ca="1" si="3"/>
        <v>-328</v>
      </c>
      <c r="F22" s="813">
        <f t="shared" ca="1" si="3"/>
        <v>-313</v>
      </c>
      <c r="G22" s="813">
        <f t="shared" ca="1" si="3"/>
        <v>-689</v>
      </c>
      <c r="H22" s="813">
        <f t="shared" ca="1" si="3"/>
        <v>-473</v>
      </c>
      <c r="I22" s="1065"/>
      <c r="J22" s="813">
        <f t="shared" ca="1" si="3"/>
        <v>-546</v>
      </c>
      <c r="M22" s="328" t="str">
        <f t="shared" si="2"/>
        <v>Research &amp; Development</v>
      </c>
      <c r="O22" s="1066">
        <f t="shared" ca="1" si="4"/>
        <v>-0.31703204047217537</v>
      </c>
      <c r="P22" s="1066">
        <f t="shared" ca="1" si="4"/>
        <v>-0.27152317880794702</v>
      </c>
      <c r="Q22" s="1066">
        <f t="shared" ca="1" si="4"/>
        <v>-7.3873023365588861E-2</v>
      </c>
      <c r="R22" s="1066">
        <f t="shared" ca="1" si="4"/>
        <v>-0.29865626354573038</v>
      </c>
      <c r="S22" s="1066">
        <f t="shared" ca="1" si="4"/>
        <v>-0.23626373626373626</v>
      </c>
      <c r="U22" s="1066">
        <f ca="1">IF(ISERROR(J22/J$13), "n/a", J22/J$13)</f>
        <v>-0.12288993923024984</v>
      </c>
    </row>
    <row r="23" spans="2:21" ht="14.85" customHeight="1">
      <c r="B23" s="328" t="s">
        <v>178</v>
      </c>
      <c r="D23" s="813">
        <f ca="1">-RANDBETWEEN(100,700)</f>
        <v>-578</v>
      </c>
      <c r="E23" s="813">
        <f t="shared" ca="1" si="3"/>
        <v>-576</v>
      </c>
      <c r="F23" s="813">
        <f t="shared" ca="1" si="3"/>
        <v>-109</v>
      </c>
      <c r="G23" s="813">
        <f t="shared" ca="1" si="3"/>
        <v>-498</v>
      </c>
      <c r="H23" s="813">
        <f t="shared" ca="1" si="3"/>
        <v>-371</v>
      </c>
      <c r="I23" s="1065"/>
      <c r="J23" s="813">
        <f t="shared" ca="1" si="3"/>
        <v>-145</v>
      </c>
      <c r="M23" s="328" t="str">
        <f t="shared" si="2"/>
        <v>Depreciation &amp; Amortization</v>
      </c>
      <c r="O23" s="1066">
        <f t="shared" ca="1" si="4"/>
        <v>-0.97470489038785835</v>
      </c>
      <c r="P23" s="1066">
        <f t="shared" ca="1" si="4"/>
        <v>-0.47682119205298013</v>
      </c>
      <c r="Q23" s="1066">
        <f t="shared" ca="1" si="4"/>
        <v>-2.5725749350955864E-2</v>
      </c>
      <c r="R23" s="1066">
        <f t="shared" ca="1" si="4"/>
        <v>-0.21586475942782835</v>
      </c>
      <c r="S23" s="1066">
        <f t="shared" ca="1" si="4"/>
        <v>-0.18531468531468531</v>
      </c>
      <c r="U23" s="1066">
        <f ca="1">IF(ISERROR(J23/J$13), "n/a", J23/J$13)</f>
        <v>-3.2635606572135947E-2</v>
      </c>
    </row>
    <row r="24" spans="2:21" ht="14.85" customHeight="1">
      <c r="B24" s="328" t="s">
        <v>179</v>
      </c>
      <c r="D24" s="813">
        <f ca="1">-RANDBETWEEN(100,700)</f>
        <v>-660</v>
      </c>
      <c r="E24" s="813">
        <f t="shared" ca="1" si="3"/>
        <v>-132</v>
      </c>
      <c r="F24" s="813">
        <f t="shared" ca="1" si="3"/>
        <v>-275</v>
      </c>
      <c r="G24" s="813">
        <f t="shared" ca="1" si="3"/>
        <v>-341</v>
      </c>
      <c r="H24" s="813">
        <f t="shared" ca="1" si="3"/>
        <v>-490</v>
      </c>
      <c r="I24" s="1065"/>
      <c r="J24" s="813">
        <f t="shared" ca="1" si="3"/>
        <v>-135</v>
      </c>
      <c r="M24" s="328" t="str">
        <f t="shared" si="2"/>
        <v>Other Expenses</v>
      </c>
      <c r="O24" s="1066">
        <f t="shared" ca="1" si="4"/>
        <v>-1.1129848229342327</v>
      </c>
      <c r="P24" s="1066">
        <f t="shared" ca="1" si="4"/>
        <v>-0.10927152317880795</v>
      </c>
      <c r="Q24" s="1066">
        <f t="shared" ca="1" si="4"/>
        <v>-6.4904413500118011E-2</v>
      </c>
      <c r="R24" s="1066">
        <f t="shared" ca="1" si="4"/>
        <v>-0.14781100996965757</v>
      </c>
      <c r="S24" s="1066">
        <f t="shared" ca="1" si="4"/>
        <v>-0.24475524475524477</v>
      </c>
      <c r="U24" s="1066">
        <f ca="1">IF(ISERROR(J24/J$13), "n/a", J24/J$13)</f>
        <v>-3.0384875084402432E-2</v>
      </c>
    </row>
    <row r="25" spans="2:21" ht="14.85" customHeight="1">
      <c r="B25" s="346"/>
      <c r="C25" s="346"/>
      <c r="D25" s="1067"/>
      <c r="E25" s="1067"/>
      <c r="F25" s="1067"/>
      <c r="G25" s="1067"/>
      <c r="H25" s="1067"/>
      <c r="I25" s="1065"/>
      <c r="J25" s="1067"/>
      <c r="M25" s="346"/>
      <c r="N25" s="346"/>
      <c r="O25" s="346"/>
      <c r="P25" s="346"/>
      <c r="Q25" s="346"/>
      <c r="R25" s="346"/>
      <c r="S25" s="346"/>
      <c r="U25" s="346"/>
    </row>
    <row r="26" spans="2:21" ht="14.85" customHeight="1">
      <c r="B26" s="274" t="s">
        <v>169</v>
      </c>
      <c r="D26" s="381">
        <f ca="1">SUM(D20:D24)</f>
        <v>-2554</v>
      </c>
      <c r="E26" s="381">
        <f ca="1">SUM(E20:E24)</f>
        <v>-2053</v>
      </c>
      <c r="F26" s="381">
        <f ca="1">SUM(F20:F24)</f>
        <v>-1332</v>
      </c>
      <c r="G26" s="381">
        <f ca="1">SUM(G20:G24)</f>
        <v>-2438</v>
      </c>
      <c r="H26" s="381">
        <f ca="1">SUM(H20:H24)</f>
        <v>-2168</v>
      </c>
      <c r="I26" s="1065"/>
      <c r="J26" s="381">
        <f ca="1">SUM(J20:J24)</f>
        <v>-1874</v>
      </c>
      <c r="M26" s="274" t="str">
        <f>B26</f>
        <v>Total</v>
      </c>
      <c r="O26" s="1066">
        <f ca="1">IF(ISERROR(D26/D$13), "n/a", D26/D$13)</f>
        <v>-4.3069139966273191</v>
      </c>
      <c r="P26" s="1066">
        <f ca="1">IF(ISERROR(E26/E$13), "n/a", E26/E$13)</f>
        <v>-1.6995033112582782</v>
      </c>
      <c r="Q26" s="1066">
        <f ca="1">IF(ISERROR(F26/F$13), "n/a", F26/F$13)</f>
        <v>-0.31437337738966248</v>
      </c>
      <c r="R26" s="1066">
        <f ca="1">IF(ISERROR(G26/G$13), "n/a", G26/G$13)</f>
        <v>-1.0567837017771999</v>
      </c>
      <c r="S26" s="1066">
        <f ca="1">IF(ISERROR(H26/H$13), "n/a", H26/H$13)</f>
        <v>-1.0829170829170829</v>
      </c>
      <c r="U26" s="1066">
        <f ca="1">IF(ISERROR(J26/J$13), "n/a", J26/J$13)</f>
        <v>-0.42178708080126043</v>
      </c>
    </row>
    <row r="27" spans="2:21" ht="14.85" customHeight="1">
      <c r="D27" s="1065"/>
      <c r="E27" s="1065"/>
      <c r="F27" s="1065"/>
      <c r="G27" s="1065"/>
      <c r="H27" s="1065"/>
      <c r="I27" s="1065"/>
      <c r="J27" s="1065"/>
    </row>
    <row r="28" spans="2:21" ht="14.85" customHeight="1">
      <c r="B28" s="250" t="s">
        <v>216</v>
      </c>
      <c r="D28" s="381">
        <f ca="1">D17+D26</f>
        <v>-4385</v>
      </c>
      <c r="E28" s="381">
        <f ca="1">E17+E26</f>
        <v>-2004</v>
      </c>
      <c r="F28" s="381">
        <f ca="1">F17+F26</f>
        <v>-568</v>
      </c>
      <c r="G28" s="381">
        <f ca="1">G17+G26</f>
        <v>-2603</v>
      </c>
      <c r="H28" s="381">
        <f ca="1">H17+H26</f>
        <v>-3004</v>
      </c>
      <c r="I28" s="1065"/>
      <c r="J28" s="381">
        <f ca="1">J17+J26</f>
        <v>435</v>
      </c>
      <c r="M28" s="250" t="str">
        <f>B28</f>
        <v>Operating Income</v>
      </c>
      <c r="O28" s="1066">
        <f ca="1">IF(ISERROR(D28/D$13), "n/a", D28/D$13)</f>
        <v>-7.3946037099494095</v>
      </c>
      <c r="P28" s="1066">
        <f ca="1">IF(ISERROR(E28/E$13), "n/a", E28/E$13)</f>
        <v>-1.6589403973509933</v>
      </c>
      <c r="Q28" s="1066">
        <f ca="1">IF(ISERROR(F28/F$13), "n/a", F28/F$13)</f>
        <v>-0.13405711588388011</v>
      </c>
      <c r="R28" s="1066">
        <f ca="1">IF(ISERROR(G28/G$13), "n/a", G28/G$13)</f>
        <v>-1.1283051582141308</v>
      </c>
      <c r="S28" s="1066">
        <f ca="1">IF(ISERROR(H28/H$13), "n/a", H28/H$13)</f>
        <v>-1.5004995004995005</v>
      </c>
      <c r="U28" s="1066">
        <f ca="1">IF(ISERROR(J28/J$13), "n/a", J28/J$13)</f>
        <v>9.7906819716407828E-2</v>
      </c>
    </row>
    <row r="29" spans="2:21" ht="14.85" customHeight="1">
      <c r="D29" s="1065"/>
      <c r="E29" s="1065"/>
      <c r="F29" s="1065"/>
      <c r="G29" s="1065"/>
      <c r="H29" s="1065"/>
      <c r="I29" s="1065"/>
      <c r="J29" s="1065"/>
    </row>
    <row r="30" spans="2:21" ht="14.85" customHeight="1">
      <c r="B30" s="328" t="s">
        <v>217</v>
      </c>
      <c r="D30" s="813">
        <f t="shared" ref="D30:J32" ca="1" si="5">RANDBETWEEN(100,700)</f>
        <v>238</v>
      </c>
      <c r="E30" s="813">
        <f t="shared" ca="1" si="5"/>
        <v>637</v>
      </c>
      <c r="F30" s="813">
        <f t="shared" ca="1" si="5"/>
        <v>151</v>
      </c>
      <c r="G30" s="813">
        <f t="shared" ca="1" si="5"/>
        <v>443</v>
      </c>
      <c r="H30" s="813">
        <f t="shared" ca="1" si="5"/>
        <v>614</v>
      </c>
      <c r="I30" s="1065"/>
      <c r="J30" s="813">
        <f t="shared" ca="1" si="5"/>
        <v>166</v>
      </c>
      <c r="M30" s="328" t="str">
        <f>B30</f>
        <v>Interest Income/Expense, Net</v>
      </c>
      <c r="O30" s="1066">
        <f t="shared" ref="O30:S32" ca="1" si="6">IF(ISERROR(D30/D$13), "n/a", D30/D$13)</f>
        <v>0.40134907251264756</v>
      </c>
      <c r="P30" s="1066">
        <f t="shared" ca="1" si="6"/>
        <v>0.52731788079470199</v>
      </c>
      <c r="Q30" s="1066">
        <f t="shared" ca="1" si="6"/>
        <v>3.5638423412792067E-2</v>
      </c>
      <c r="R30" s="1066">
        <f t="shared" ca="1" si="6"/>
        <v>0.19202427394885133</v>
      </c>
      <c r="S30" s="1066">
        <f t="shared" ca="1" si="6"/>
        <v>0.30669330669330669</v>
      </c>
      <c r="U30" s="1066">
        <f ca="1">IF(ISERROR(J30/J$13), "n/a", J30/J$13)</f>
        <v>3.7362142696376326E-2</v>
      </c>
    </row>
    <row r="31" spans="2:21" ht="14.85" customHeight="1">
      <c r="B31" s="328" t="s">
        <v>218</v>
      </c>
      <c r="D31" s="813">
        <f t="shared" ca="1" si="5"/>
        <v>421</v>
      </c>
      <c r="E31" s="813">
        <f t="shared" ca="1" si="5"/>
        <v>480</v>
      </c>
      <c r="F31" s="813">
        <f t="shared" ca="1" si="5"/>
        <v>360</v>
      </c>
      <c r="G31" s="813">
        <f t="shared" ca="1" si="5"/>
        <v>353</v>
      </c>
      <c r="H31" s="813">
        <f t="shared" ca="1" si="5"/>
        <v>320</v>
      </c>
      <c r="I31" s="1065"/>
      <c r="J31" s="813">
        <f t="shared" ca="1" si="5"/>
        <v>484</v>
      </c>
      <c r="M31" s="328" t="str">
        <f>B31</f>
        <v>Other Income/Expense, Net</v>
      </c>
      <c r="O31" s="1066">
        <f t="shared" ca="1" si="6"/>
        <v>0.7099494097807757</v>
      </c>
      <c r="P31" s="1066">
        <f t="shared" ca="1" si="6"/>
        <v>0.39735099337748342</v>
      </c>
      <c r="Q31" s="1066">
        <f t="shared" ca="1" si="6"/>
        <v>8.4965777672881757E-2</v>
      </c>
      <c r="R31" s="1066">
        <f t="shared" ca="1" si="6"/>
        <v>0.15301257043779801</v>
      </c>
      <c r="S31" s="1066">
        <f t="shared" ca="1" si="6"/>
        <v>0.15984015984015984</v>
      </c>
      <c r="U31" s="1066">
        <f ca="1">IF(ISERROR(J31/J$13), "n/a", J31/J$13)</f>
        <v>0.10893540400630204</v>
      </c>
    </row>
    <row r="32" spans="2:21" ht="14.85" customHeight="1">
      <c r="B32" s="328" t="s">
        <v>219</v>
      </c>
      <c r="D32" s="813">
        <f t="shared" ca="1" si="5"/>
        <v>610</v>
      </c>
      <c r="E32" s="813">
        <f t="shared" ca="1" si="5"/>
        <v>345</v>
      </c>
      <c r="F32" s="813">
        <f t="shared" ca="1" si="5"/>
        <v>669</v>
      </c>
      <c r="G32" s="813">
        <f t="shared" ca="1" si="5"/>
        <v>400</v>
      </c>
      <c r="H32" s="813">
        <f t="shared" ca="1" si="5"/>
        <v>281</v>
      </c>
      <c r="I32" s="1065"/>
      <c r="J32" s="813">
        <f t="shared" ca="1" si="5"/>
        <v>125</v>
      </c>
      <c r="M32" s="328" t="str">
        <f>B32</f>
        <v>Nonrecurring Loss</v>
      </c>
      <c r="O32" s="1066">
        <f t="shared" ca="1" si="6"/>
        <v>1.0286677908937605</v>
      </c>
      <c r="P32" s="1066">
        <f t="shared" ca="1" si="6"/>
        <v>0.28559602649006621</v>
      </c>
      <c r="Q32" s="1066">
        <f t="shared" ca="1" si="6"/>
        <v>0.15789473684210525</v>
      </c>
      <c r="R32" s="1066">
        <f t="shared" ca="1" si="6"/>
        <v>0.17338534893801474</v>
      </c>
      <c r="S32" s="1066">
        <f t="shared" ca="1" si="6"/>
        <v>0.14035964035964035</v>
      </c>
      <c r="U32" s="1066">
        <f ca="1">IF(ISERROR(J32/J$13), "n/a", J32/J$13)</f>
        <v>2.8134143596668916E-2</v>
      </c>
    </row>
    <row r="33" spans="2:21" ht="14.85" customHeight="1">
      <c r="B33" s="346"/>
      <c r="C33" s="346"/>
      <c r="D33" s="1067"/>
      <c r="E33" s="1067"/>
      <c r="F33" s="1067"/>
      <c r="G33" s="1067"/>
      <c r="H33" s="1067"/>
      <c r="I33" s="1065"/>
      <c r="J33" s="1067"/>
      <c r="M33" s="346"/>
      <c r="N33" s="346"/>
      <c r="O33" s="346"/>
      <c r="P33" s="346"/>
      <c r="Q33" s="346"/>
      <c r="R33" s="346"/>
      <c r="S33" s="346"/>
      <c r="U33" s="346"/>
    </row>
    <row r="34" spans="2:21" ht="14.85" customHeight="1">
      <c r="B34" s="274" t="s">
        <v>220</v>
      </c>
      <c r="D34" s="381">
        <f ca="1">SUM(D28:D32)</f>
        <v>-3116</v>
      </c>
      <c r="E34" s="381">
        <f ca="1">SUM(E28:E32)</f>
        <v>-542</v>
      </c>
      <c r="F34" s="381">
        <f ca="1">SUM(F28:F32)</f>
        <v>612</v>
      </c>
      <c r="G34" s="381">
        <f ca="1">SUM(G28:G32)</f>
        <v>-1407</v>
      </c>
      <c r="H34" s="381">
        <f ca="1">SUM(H28:H32)</f>
        <v>-1789</v>
      </c>
      <c r="I34" s="1065"/>
      <c r="J34" s="381">
        <f ca="1">SUM(J28:J32)</f>
        <v>1210</v>
      </c>
      <c r="M34" s="274" t="str">
        <f>B34</f>
        <v>Pre-Tax Income (Loss)</v>
      </c>
      <c r="O34" s="1066">
        <f ca="1">IF(ISERROR(D34/D$13), "n/a", D34/D$13)</f>
        <v>-5.2546374367622262</v>
      </c>
      <c r="P34" s="1066">
        <f ca="1">IF(ISERROR(E34/E$13), "n/a", E34/E$13)</f>
        <v>-0.44867549668874174</v>
      </c>
      <c r="Q34" s="1066">
        <f ca="1">IF(ISERROR(F34/F$13), "n/a", F34/F$13)</f>
        <v>0.14444182204389899</v>
      </c>
      <c r="R34" s="1066">
        <f ca="1">IF(ISERROR(G34/G$13), "n/a", G34/G$13)</f>
        <v>-0.60988296488946681</v>
      </c>
      <c r="S34" s="1066">
        <f ca="1">IF(ISERROR(H34/H$13), "n/a", H34/H$13)</f>
        <v>-0.8936063936063936</v>
      </c>
      <c r="U34" s="1066">
        <f ca="1">IF(ISERROR(J34/J$13), "n/a", J34/J$13)</f>
        <v>0.2723385100157551</v>
      </c>
    </row>
    <row r="35" spans="2:21" ht="14.85" customHeight="1">
      <c r="D35" s="1065"/>
      <c r="E35" s="1065"/>
      <c r="F35" s="1065"/>
      <c r="G35" s="1065"/>
      <c r="H35" s="1065"/>
      <c r="I35" s="1065"/>
      <c r="J35" s="1065"/>
    </row>
    <row r="36" spans="2:21" ht="14.85" customHeight="1">
      <c r="B36" s="328" t="s">
        <v>221</v>
      </c>
      <c r="D36" s="813">
        <f ca="1">RANDBETWEEN(100,700)</f>
        <v>516</v>
      </c>
      <c r="E36" s="813">
        <f t="shared" ref="E36:J36" ca="1" si="7">RANDBETWEEN(100,700)</f>
        <v>160</v>
      </c>
      <c r="F36" s="813">
        <f t="shared" ca="1" si="7"/>
        <v>321</v>
      </c>
      <c r="G36" s="813">
        <f t="shared" ca="1" si="7"/>
        <v>415</v>
      </c>
      <c r="H36" s="813">
        <f t="shared" ca="1" si="7"/>
        <v>351</v>
      </c>
      <c r="I36" s="1065"/>
      <c r="J36" s="813">
        <f t="shared" ca="1" si="7"/>
        <v>644</v>
      </c>
      <c r="M36" s="328" t="str">
        <f>B36</f>
        <v>Income Taxes</v>
      </c>
      <c r="O36" s="1066">
        <f ca="1">IF(ISERROR(D36/D$13), "n/a", D36/D$13)</f>
        <v>0.8701517706576728</v>
      </c>
      <c r="P36" s="1066">
        <f ca="1">IF(ISERROR(E36/E$13), "n/a", E36/E$13)</f>
        <v>0.13245033112582782</v>
      </c>
      <c r="Q36" s="1066">
        <f ca="1">IF(ISERROR(F36/F$13), "n/a", F36/F$13)</f>
        <v>7.5761151758319573E-2</v>
      </c>
      <c r="R36" s="1066">
        <f ca="1">IF(ISERROR(G36/G$13), "n/a", G36/G$13)</f>
        <v>0.1798872995231903</v>
      </c>
      <c r="S36" s="1066">
        <f ca="1">IF(ISERROR(H36/H$13), "n/a", H36/H$13)</f>
        <v>0.17532467532467533</v>
      </c>
      <c r="U36" s="1068">
        <f ca="1">IF(ISERROR(J36/J$13), "n/a", J36/J$13)</f>
        <v>0.14494710781003825</v>
      </c>
    </row>
    <row r="37" spans="2:21" ht="14.85" customHeight="1">
      <c r="B37" s="346"/>
      <c r="C37" s="346"/>
      <c r="D37" s="1067"/>
      <c r="E37" s="1067"/>
      <c r="F37" s="1067"/>
      <c r="G37" s="1067"/>
      <c r="H37" s="1067"/>
      <c r="I37" s="1065"/>
      <c r="J37" s="1067"/>
      <c r="M37" s="346"/>
      <c r="N37" s="346"/>
      <c r="O37" s="346"/>
      <c r="P37" s="346"/>
      <c r="Q37" s="346"/>
      <c r="R37" s="346"/>
      <c r="S37" s="346"/>
      <c r="U37" s="346"/>
    </row>
    <row r="38" spans="2:21" ht="14.85" customHeight="1">
      <c r="B38" s="675" t="s">
        <v>222</v>
      </c>
      <c r="C38" s="675"/>
      <c r="D38" s="1069">
        <f ca="1">D34+D36</f>
        <v>-2600</v>
      </c>
      <c r="E38" s="1069">
        <f ca="1">E34+E36</f>
        <v>-382</v>
      </c>
      <c r="F38" s="1070">
        <f ca="1">F34+F36</f>
        <v>933</v>
      </c>
      <c r="G38" s="1069">
        <f ca="1">G34+G36</f>
        <v>-992</v>
      </c>
      <c r="H38" s="1069">
        <f ca="1">H34+H36</f>
        <v>-1438</v>
      </c>
      <c r="I38" s="1071"/>
      <c r="J38" s="1069">
        <f ca="1">J34+J36</f>
        <v>1854</v>
      </c>
      <c r="K38" s="467"/>
      <c r="L38" s="467"/>
      <c r="M38" s="675" t="str">
        <f>B38</f>
        <v>Net Income (Loss)</v>
      </c>
      <c r="N38" s="675"/>
      <c r="O38" s="1072">
        <f ca="1">IF(ISERROR(D38/D$13), "n/a", D38/D$13)</f>
        <v>-4.3844856661045535</v>
      </c>
      <c r="P38" s="1072">
        <f ca="1">IF(ISERROR(E38/E$13), "n/a", E38/E$13)</f>
        <v>-0.31622516556291391</v>
      </c>
      <c r="Q38" s="1072">
        <f ca="1">IF(ISERROR(F38/F$13), "n/a", F38/F$13)</f>
        <v>0.22020297380221854</v>
      </c>
      <c r="R38" s="1072">
        <f ca="1">IF(ISERROR(G38/G$13), "n/a", G38/G$13)</f>
        <v>-0.42999566536627654</v>
      </c>
      <c r="S38" s="1072">
        <f ca="1">IF(ISERROR(H38/H$13), "n/a", H38/H$13)</f>
        <v>-0.71828171828171827</v>
      </c>
      <c r="T38" s="467"/>
      <c r="U38" s="1072">
        <f ca="1">IF(ISERROR(J38/J$13), "n/a", J38/J$13)</f>
        <v>0.41728561782579338</v>
      </c>
    </row>
    <row r="39" spans="2:21" ht="14.85" customHeight="1">
      <c r="D39" s="1065"/>
      <c r="E39" s="1065"/>
      <c r="F39" s="1073"/>
      <c r="G39" s="1065"/>
      <c r="H39" s="1065"/>
      <c r="I39" s="1065"/>
      <c r="J39" s="1065"/>
    </row>
    <row r="40" spans="2:21" ht="14.85" customHeight="1">
      <c r="B40" s="253" t="s">
        <v>223</v>
      </c>
      <c r="D40" s="1065"/>
      <c r="E40" s="1065"/>
      <c r="F40" s="1065"/>
      <c r="G40" s="1065"/>
      <c r="H40" s="1065"/>
      <c r="I40" s="1065"/>
      <c r="J40" s="1065"/>
      <c r="M40" s="253" t="str">
        <f>B40</f>
        <v>Other Items:</v>
      </c>
    </row>
    <row r="41" spans="2:21" ht="14.85" customHeight="1">
      <c r="B41" s="328" t="s">
        <v>224</v>
      </c>
      <c r="D41" s="813">
        <f t="shared" ref="D41:J41" ca="1" si="8">RANDBETWEEN(100,700)</f>
        <v>321</v>
      </c>
      <c r="E41" s="813">
        <f t="shared" ca="1" si="8"/>
        <v>233</v>
      </c>
      <c r="F41" s="813">
        <f t="shared" ca="1" si="8"/>
        <v>323</v>
      </c>
      <c r="G41" s="813">
        <f t="shared" ca="1" si="8"/>
        <v>589</v>
      </c>
      <c r="H41" s="813">
        <f t="shared" ca="1" si="8"/>
        <v>658</v>
      </c>
      <c r="I41" s="1065"/>
      <c r="J41" s="813">
        <f t="shared" ca="1" si="8"/>
        <v>120</v>
      </c>
      <c r="M41" s="328" t="str">
        <f>B41</f>
        <v>Capital Expenditures</v>
      </c>
      <c r="O41" s="1066">
        <f ca="1">IF(ISERROR(D41/D$13), "n/a", D41/D$13)</f>
        <v>0.54131534569983142</v>
      </c>
      <c r="P41" s="1066">
        <f ca="1">IF(ISERROR(E41/E$13), "n/a", E41/E$13)</f>
        <v>0.19288079470198677</v>
      </c>
      <c r="Q41" s="1066">
        <f ca="1">IF(ISERROR(F41/F$13), "n/a", F41/F$13)</f>
        <v>7.623318385650224E-2</v>
      </c>
      <c r="R41" s="1066">
        <f ca="1">IF(ISERROR(G41/G$13), "n/a", G41/G$13)</f>
        <v>0.25530992631122668</v>
      </c>
      <c r="S41" s="1066">
        <f ca="1">IF(ISERROR(H41/H$13), "n/a", H41/H$13)</f>
        <v>0.32867132867132864</v>
      </c>
      <c r="U41" s="1066">
        <f ca="1">IF(ISERROR(J41/J$13), "n/a", J41/J$13)</f>
        <v>2.700877785280216E-2</v>
      </c>
    </row>
    <row r="42" spans="2:21" ht="14.85" customHeight="1">
      <c r="D42" s="1065"/>
      <c r="E42" s="1065"/>
      <c r="F42" s="1065"/>
      <c r="G42" s="1065"/>
      <c r="H42" s="1065"/>
      <c r="I42" s="1065"/>
      <c r="J42" s="1065"/>
    </row>
    <row r="43" spans="2:21" ht="14.85" customHeight="1">
      <c r="B43" s="328" t="s">
        <v>181</v>
      </c>
      <c r="D43" s="381">
        <f ca="1">D28-D23</f>
        <v>-3807</v>
      </c>
      <c r="E43" s="381">
        <f ca="1">E28-E23</f>
        <v>-1428</v>
      </c>
      <c r="F43" s="381">
        <f ca="1">F28-F23</f>
        <v>-459</v>
      </c>
      <c r="G43" s="381">
        <f ca="1">G28-G23</f>
        <v>-2105</v>
      </c>
      <c r="H43" s="381">
        <f ca="1">H28-H23</f>
        <v>-2633</v>
      </c>
      <c r="I43" s="1065"/>
      <c r="J43" s="381">
        <f ca="1">J28-J23</f>
        <v>580</v>
      </c>
      <c r="M43" s="328" t="str">
        <f>B43</f>
        <v>EBITDA</v>
      </c>
      <c r="O43" s="1066">
        <f ca="1">IF(ISERROR(D43/D$13), "n/a", D43/D$13)</f>
        <v>-6.4198988195615518</v>
      </c>
      <c r="P43" s="1066">
        <f ca="1">IF(ISERROR(E43/E$13), "n/a", E43/E$13)</f>
        <v>-1.1821192052980132</v>
      </c>
      <c r="Q43" s="1066">
        <f ca="1">IF(ISERROR(F43/F$13), "n/a", F43/F$13)</f>
        <v>-0.10833136653292424</v>
      </c>
      <c r="R43" s="1066">
        <f ca="1">IF(ISERROR(G43/G$13), "n/a", G43/G$13)</f>
        <v>-0.91244039878630256</v>
      </c>
      <c r="S43" s="1066">
        <f ca="1">IF(ISERROR(H43/H$13), "n/a", H43/H$13)</f>
        <v>-1.3151848151848151</v>
      </c>
      <c r="U43" s="1066">
        <f ca="1">IF(ISERROR(J43/J$13), "n/a", J43/J$13)</f>
        <v>0.13054242628854379</v>
      </c>
    </row>
    <row r="44" spans="2:21" ht="14.85" customHeight="1"/>
    <row r="45" spans="2:21" ht="14.85" customHeight="1">
      <c r="B45" s="356" t="s">
        <v>86</v>
      </c>
    </row>
    <row r="46" spans="2:21" ht="14.85" customHeight="1">
      <c r="B46" s="1074" t="s">
        <v>225</v>
      </c>
    </row>
    <row r="47" spans="2:21" ht="14.85" customHeight="1">
      <c r="B47" s="1074" t="s">
        <v>581</v>
      </c>
    </row>
    <row r="48" spans="2:21"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O4:U4">
    <cfRule type="cellIs" dxfId="299" priority="4" stopIfTrue="1" operator="equal">
      <formula>"input"</formula>
    </cfRule>
  </conditionalFormatting>
  <conditionalFormatting sqref="M4:N4">
    <cfRule type="cellIs" dxfId="298" priority="3" stopIfTrue="1" operator="equal">
      <formula>"input"</formula>
    </cfRule>
  </conditionalFormatting>
  <conditionalFormatting sqref="B4:I4">
    <cfRule type="cellIs" dxfId="297" priority="7" stopIfTrue="1" operator="equal">
      <formula>"input"</formula>
    </cfRule>
  </conditionalFormatting>
  <conditionalFormatting sqref="J4">
    <cfRule type="cellIs" dxfId="296" priority="2" stopIfTrue="1" operator="equal">
      <formula>"input"</formula>
    </cfRule>
  </conditionalFormatting>
  <conditionalFormatting sqref="J4">
    <cfRule type="cellIs" dxfId="295" priority="1" stopIfTrue="1" operator="equal">
      <formula>"input"</formula>
    </cfRule>
  </conditionalFormatting>
  <pageMargins left="0.5" right="0.5" top="0.5" bottom="0.5" header="0.5" footer="0.5"/>
  <pageSetup scale="95" fitToWidth="0" fitToHeight="0" orientation="landscape" r:id="rId1"/>
  <colBreaks count="1" manualBreakCount="1">
    <brk id="11" max="43" man="1"/>
  </colBreaks>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S764"/>
  <sheetViews>
    <sheetView showGridLines="0" view="pageBreakPreview" zoomScale="80" zoomScaleNormal="100" zoomScaleSheetLayoutView="80" workbookViewId="0"/>
  </sheetViews>
  <sheetFormatPr defaultRowHeight="12.75"/>
  <cols>
    <col min="1" max="1" width="4.5" style="250" customWidth="1"/>
    <col min="2" max="2" width="49.1640625" style="250" customWidth="1"/>
    <col min="3" max="3" width="2.83203125" style="250" customWidth="1"/>
    <col min="4" max="7" width="15.83203125" style="250" customWidth="1"/>
    <col min="8" max="8" width="2.83203125" style="250" customWidth="1"/>
    <col min="9" max="9" width="15.83203125" style="250" customWidth="1"/>
    <col min="10" max="11" width="4.5" style="250" customWidth="1"/>
    <col min="12" max="12" width="49.1640625" style="250" customWidth="1"/>
    <col min="13" max="13" width="2.83203125" style="250" customWidth="1"/>
    <col min="14" max="17" width="15.83203125" style="250" customWidth="1"/>
    <col min="18" max="18" width="2.83203125" style="250" customWidth="1"/>
    <col min="19" max="19" width="15.83203125" style="250" customWidth="1"/>
    <col min="20" max="20" width="4.5" style="250" customWidth="1"/>
    <col min="21" max="16384" width="9.33203125" style="250"/>
  </cols>
  <sheetData>
    <row r="1" spans="2:19" ht="10.7" customHeight="1" thickBot="1"/>
    <row r="2" spans="2:19" ht="16.5" customHeight="1" thickTop="1">
      <c r="B2" s="258" t="str">
        <f>'MASTER PubCo Inputs'!$C$5</f>
        <v>ABC, Inc.</v>
      </c>
      <c r="C2" s="258"/>
      <c r="D2" s="258"/>
      <c r="E2" s="258"/>
      <c r="F2" s="258"/>
      <c r="G2" s="258"/>
      <c r="H2" s="258"/>
      <c r="I2" s="258"/>
      <c r="J2" s="257"/>
      <c r="K2" s="257"/>
      <c r="L2" s="258" t="str">
        <f>'MASTER PubCo Inputs'!$C$5</f>
        <v>ABC, Inc.</v>
      </c>
      <c r="M2" s="258"/>
      <c r="N2" s="258"/>
      <c r="O2" s="258"/>
      <c r="P2" s="258"/>
      <c r="Q2" s="258"/>
      <c r="R2" s="258"/>
      <c r="S2" s="258"/>
    </row>
    <row r="3" spans="2:19" ht="15.75" customHeight="1">
      <c r="B3" s="259" t="str">
        <f>VLOOKUP(B4,Outline!$E$8:$G$79,COLUMNS(Outline!$E$8:$G$8),FALSE)</f>
        <v>Exhibit C.4</v>
      </c>
      <c r="C3" s="259"/>
      <c r="D3" s="259"/>
      <c r="E3" s="259"/>
      <c r="F3" s="259"/>
      <c r="G3" s="259"/>
      <c r="H3" s="259"/>
      <c r="I3" s="259"/>
      <c r="J3" s="257"/>
      <c r="K3" s="257"/>
      <c r="L3" s="259" t="str">
        <f>B3</f>
        <v>Exhibit C.4</v>
      </c>
      <c r="M3" s="259"/>
      <c r="N3" s="259"/>
      <c r="O3" s="259"/>
      <c r="P3" s="259"/>
      <c r="Q3" s="259"/>
      <c r="R3" s="259"/>
      <c r="S3" s="259"/>
    </row>
    <row r="4" spans="2:19" ht="16.5" customHeight="1" thickBot="1">
      <c r="B4" s="924" t="s">
        <v>165</v>
      </c>
      <c r="C4" s="924"/>
      <c r="D4" s="924"/>
      <c r="E4" s="924"/>
      <c r="F4" s="924"/>
      <c r="G4" s="924"/>
      <c r="H4" s="924"/>
      <c r="I4" s="925" t="str">
        <f>+'MASTER PubCo Inputs'!$C$21</f>
        <v>(in thousands of USD)</v>
      </c>
      <c r="J4" s="257"/>
      <c r="K4" s="257"/>
      <c r="L4" s="924" t="s">
        <v>789</v>
      </c>
      <c r="M4" s="924"/>
      <c r="N4" s="924"/>
      <c r="O4" s="924"/>
      <c r="P4" s="924"/>
      <c r="Q4" s="924"/>
      <c r="R4" s="924"/>
      <c r="S4" s="924"/>
    </row>
    <row r="5" spans="2:19" s="467" customFormat="1" ht="14.85" customHeight="1" thickTop="1">
      <c r="B5" s="250"/>
      <c r="C5" s="250"/>
      <c r="D5" s="250"/>
      <c r="E5" s="250"/>
      <c r="F5" s="250"/>
      <c r="G5" s="250"/>
      <c r="H5" s="250"/>
      <c r="I5" s="250"/>
      <c r="J5" s="250"/>
      <c r="L5" s="250"/>
      <c r="M5" s="250"/>
    </row>
    <row r="6" spans="2:19" s="467" customFormat="1" ht="14.85" customHeight="1">
      <c r="B6" s="250"/>
      <c r="C6" s="250"/>
      <c r="D6" s="250"/>
      <c r="E6" s="250"/>
      <c r="F6" s="250"/>
      <c r="G6" s="250"/>
      <c r="H6" s="250"/>
      <c r="I6" s="1045" t="s">
        <v>785</v>
      </c>
      <c r="J6" s="250"/>
      <c r="L6" s="250"/>
      <c r="M6" s="250"/>
    </row>
    <row r="7" spans="2:19" ht="14.85" customHeight="1">
      <c r="D7" s="1075" t="s">
        <v>788</v>
      </c>
      <c r="E7" s="1076"/>
      <c r="F7" s="1076"/>
      <c r="G7" s="1077"/>
      <c r="H7" s="1055"/>
      <c r="I7" s="1078" t="s">
        <v>227</v>
      </c>
      <c r="N7" s="1075" t="s">
        <v>788</v>
      </c>
      <c r="O7" s="1076"/>
      <c r="P7" s="1076"/>
      <c r="Q7" s="1077"/>
      <c r="R7" s="1055"/>
      <c r="S7" s="1078" t="s">
        <v>227</v>
      </c>
    </row>
    <row r="8" spans="2:19" ht="14.85" customHeight="1">
      <c r="B8" s="723"/>
      <c r="D8" s="1079">
        <f>'Hist IS'!D9</f>
        <v>2013</v>
      </c>
      <c r="E8" s="1080">
        <f>'Hist IS'!E9</f>
        <v>2014</v>
      </c>
      <c r="F8" s="1080">
        <f>'Hist IS'!F9</f>
        <v>2015</v>
      </c>
      <c r="G8" s="1081">
        <f>'Hist IS'!G9</f>
        <v>2016</v>
      </c>
      <c r="H8" s="1059"/>
      <c r="I8" s="1060">
        <f>'MASTER PubCo Inputs'!$C$6</f>
        <v>42735</v>
      </c>
      <c r="L8" s="723"/>
      <c r="N8" s="1079">
        <f>+D8</f>
        <v>2013</v>
      </c>
      <c r="O8" s="1080">
        <f>+E8</f>
        <v>2014</v>
      </c>
      <c r="P8" s="1080">
        <f>+F8</f>
        <v>2015</v>
      </c>
      <c r="Q8" s="1081">
        <f>+G8</f>
        <v>2016</v>
      </c>
      <c r="R8" s="1059"/>
      <c r="S8" s="1062">
        <f>+I8</f>
        <v>42735</v>
      </c>
    </row>
    <row r="9" spans="2:19" ht="14.85" customHeight="1">
      <c r="N9" s="275"/>
      <c r="O9" s="275"/>
      <c r="P9" s="275"/>
      <c r="Q9" s="275"/>
      <c r="R9" s="275"/>
      <c r="S9" s="275"/>
    </row>
    <row r="10" spans="2:19" ht="14.85" customHeight="1">
      <c r="B10" s="375" t="s">
        <v>228</v>
      </c>
      <c r="C10" s="1082"/>
      <c r="D10" s="1082"/>
      <c r="E10" s="1082"/>
      <c r="F10" s="1082"/>
      <c r="G10" s="1082"/>
      <c r="H10" s="1082"/>
      <c r="I10" s="1083"/>
      <c r="L10" s="375" t="s">
        <v>228</v>
      </c>
      <c r="M10" s="1082"/>
      <c r="N10" s="1084"/>
      <c r="O10" s="1084"/>
      <c r="P10" s="1084"/>
      <c r="Q10" s="1084"/>
      <c r="R10" s="1084"/>
      <c r="S10" s="1085"/>
    </row>
    <row r="11" spans="2:19" ht="14.85" customHeight="1"/>
    <row r="12" spans="2:19" ht="14.85" customHeight="1">
      <c r="B12" s="250" t="s">
        <v>229</v>
      </c>
      <c r="L12" s="250" t="str">
        <f t="shared" ref="L12:L18" si="0">B12</f>
        <v>Current Assets</v>
      </c>
    </row>
    <row r="13" spans="2:19" ht="14.85" customHeight="1">
      <c r="B13" s="328" t="s">
        <v>230</v>
      </c>
      <c r="D13" s="381">
        <f t="shared" ref="D13:D18" ca="1" si="1">RANDBETWEEN(500,2000)</f>
        <v>936</v>
      </c>
      <c r="E13" s="381">
        <f t="shared" ref="E13:I18" ca="1" si="2">RANDBETWEEN(500,2000)</f>
        <v>1627</v>
      </c>
      <c r="F13" s="381">
        <f t="shared" ca="1" si="2"/>
        <v>1648</v>
      </c>
      <c r="G13" s="381">
        <f t="shared" ca="1" si="2"/>
        <v>1038</v>
      </c>
      <c r="H13" s="381"/>
      <c r="I13" s="381">
        <f t="shared" ca="1" si="2"/>
        <v>582</v>
      </c>
      <c r="L13" s="328" t="str">
        <f t="shared" si="0"/>
        <v>Cash &amp; Equivalents</v>
      </c>
      <c r="N13" s="1066">
        <f t="shared" ref="N13:N18" ca="1" si="3">IF(ISERROR(D13/D$29), "n/a", D13/D$29)</f>
        <v>6.4918851435705374E-2</v>
      </c>
      <c r="O13" s="1066">
        <f t="shared" ref="O13:O18" ca="1" si="4">IF(ISERROR(E13/E$29), "n/a", E13/E$29)</f>
        <v>0.10957704741379311</v>
      </c>
      <c r="P13" s="1066">
        <f t="shared" ref="P13:P18" ca="1" si="5">IF(ISERROR(F13/F$29), "n/a", F13/F$29)</f>
        <v>0.11239939980903015</v>
      </c>
      <c r="Q13" s="1066">
        <f t="shared" ref="Q13:S18" ca="1" si="6">IF(ISERROR(G13/G$29), "n/a", G13/G$29)</f>
        <v>6.9969666329625882E-2</v>
      </c>
      <c r="S13" s="1066">
        <f t="shared" ca="1" si="6"/>
        <v>4.5815948988427932E-2</v>
      </c>
    </row>
    <row r="14" spans="2:19" ht="14.85" customHeight="1">
      <c r="B14" s="328" t="s">
        <v>253</v>
      </c>
      <c r="D14" s="381">
        <f t="shared" ca="1" si="1"/>
        <v>1825</v>
      </c>
      <c r="E14" s="381">
        <f t="shared" ca="1" si="2"/>
        <v>831</v>
      </c>
      <c r="F14" s="381">
        <f t="shared" ca="1" si="2"/>
        <v>1255</v>
      </c>
      <c r="G14" s="381">
        <f t="shared" ca="1" si="2"/>
        <v>1408</v>
      </c>
      <c r="H14" s="381"/>
      <c r="I14" s="381">
        <f t="shared" ca="1" si="2"/>
        <v>1681</v>
      </c>
      <c r="L14" s="328" t="str">
        <f t="shared" si="0"/>
        <v>Short-Term Investments</v>
      </c>
      <c r="N14" s="1066">
        <f t="shared" ca="1" si="3"/>
        <v>0.1265778887501734</v>
      </c>
      <c r="O14" s="1066">
        <f t="shared" ca="1" si="4"/>
        <v>5.5967133620689655E-2</v>
      </c>
      <c r="P14" s="1066">
        <f t="shared" ca="1" si="5"/>
        <v>8.5595416723502932E-2</v>
      </c>
      <c r="Q14" s="1066">
        <f t="shared" ca="1" si="6"/>
        <v>9.4910684192787323E-2</v>
      </c>
      <c r="S14" s="1066">
        <f t="shared" ca="1" si="6"/>
        <v>0.13233094544595764</v>
      </c>
    </row>
    <row r="15" spans="2:19" ht="14.85" customHeight="1">
      <c r="B15" s="328" t="s">
        <v>231</v>
      </c>
      <c r="D15" s="381">
        <f t="shared" ca="1" si="1"/>
        <v>1055</v>
      </c>
      <c r="E15" s="381">
        <f t="shared" ca="1" si="2"/>
        <v>1826</v>
      </c>
      <c r="F15" s="381">
        <f t="shared" ca="1" si="2"/>
        <v>1192</v>
      </c>
      <c r="G15" s="381">
        <f t="shared" ca="1" si="2"/>
        <v>1601</v>
      </c>
      <c r="H15" s="381"/>
      <c r="I15" s="381">
        <f t="shared" ca="1" si="2"/>
        <v>513</v>
      </c>
      <c r="L15" s="328" t="str">
        <f t="shared" si="0"/>
        <v>Accounts Receivable</v>
      </c>
      <c r="N15" s="1066">
        <f t="shared" ca="1" si="3"/>
        <v>7.3172423359689279E-2</v>
      </c>
      <c r="O15" s="1066">
        <f t="shared" ca="1" si="4"/>
        <v>0.12297952586206896</v>
      </c>
      <c r="P15" s="1066">
        <f t="shared" ca="1" si="5"/>
        <v>8.1298595007502389E-2</v>
      </c>
      <c r="Q15" s="1066">
        <f t="shared" ca="1" si="6"/>
        <v>0.10792045837546344</v>
      </c>
      <c r="S15" s="1066">
        <f t="shared" ca="1" si="6"/>
        <v>4.0384161221758641E-2</v>
      </c>
    </row>
    <row r="16" spans="2:19" ht="14.85" customHeight="1">
      <c r="B16" s="328" t="s">
        <v>232</v>
      </c>
      <c r="D16" s="381">
        <f t="shared" ca="1" si="1"/>
        <v>1922</v>
      </c>
      <c r="E16" s="381">
        <f t="shared" ca="1" si="2"/>
        <v>1323</v>
      </c>
      <c r="F16" s="381">
        <f t="shared" ca="1" si="2"/>
        <v>1081</v>
      </c>
      <c r="G16" s="381">
        <f t="shared" ca="1" si="2"/>
        <v>693</v>
      </c>
      <c r="H16" s="381"/>
      <c r="I16" s="381">
        <f t="shared" ca="1" si="2"/>
        <v>963</v>
      </c>
      <c r="L16" s="328" t="str">
        <f t="shared" si="0"/>
        <v>Inventory</v>
      </c>
      <c r="N16" s="1066">
        <f t="shared" ca="1" si="3"/>
        <v>0.13330559023442917</v>
      </c>
      <c r="O16" s="1066">
        <f t="shared" ca="1" si="4"/>
        <v>8.9102909482758619E-2</v>
      </c>
      <c r="P16" s="1066">
        <f t="shared" ca="1" si="5"/>
        <v>7.3728004365025232E-2</v>
      </c>
      <c r="Q16" s="1066">
        <f t="shared" ca="1" si="6"/>
        <v>4.671385237613751E-2</v>
      </c>
      <c r="S16" s="1066">
        <f t="shared" ca="1" si="6"/>
        <v>7.5808864047862703E-2</v>
      </c>
    </row>
    <row r="17" spans="2:19" ht="14.85" customHeight="1">
      <c r="B17" s="328" t="s">
        <v>233</v>
      </c>
      <c r="D17" s="381">
        <f t="shared" ca="1" si="1"/>
        <v>628</v>
      </c>
      <c r="E17" s="381">
        <f t="shared" ca="1" si="2"/>
        <v>573</v>
      </c>
      <c r="F17" s="381">
        <f t="shared" ca="1" si="2"/>
        <v>795</v>
      </c>
      <c r="G17" s="381">
        <f t="shared" ca="1" si="2"/>
        <v>812</v>
      </c>
      <c r="H17" s="381"/>
      <c r="I17" s="381">
        <f t="shared" ca="1" si="2"/>
        <v>1812</v>
      </c>
      <c r="L17" s="328" t="str">
        <f t="shared" si="0"/>
        <v>Prepaid Expenses</v>
      </c>
      <c r="N17" s="1066">
        <f t="shared" ca="1" si="3"/>
        <v>4.3556665279511721E-2</v>
      </c>
      <c r="O17" s="1066">
        <f t="shared" ca="1" si="4"/>
        <v>3.8591056034482756E-2</v>
      </c>
      <c r="P17" s="1066">
        <f t="shared" ca="1" si="5"/>
        <v>5.4221797844768792E-2</v>
      </c>
      <c r="Q17" s="1066">
        <f t="shared" ca="1" si="6"/>
        <v>5.473542298618133E-2</v>
      </c>
      <c r="S17" s="1066">
        <f t="shared" ca="1" si="6"/>
        <v>0.14264347004644573</v>
      </c>
    </row>
    <row r="18" spans="2:19" ht="14.85" customHeight="1">
      <c r="B18" s="328" t="s">
        <v>234</v>
      </c>
      <c r="D18" s="381">
        <f t="shared" ca="1" si="1"/>
        <v>1245</v>
      </c>
      <c r="E18" s="381">
        <f t="shared" ca="1" si="2"/>
        <v>1489</v>
      </c>
      <c r="F18" s="381">
        <f t="shared" ca="1" si="2"/>
        <v>660</v>
      </c>
      <c r="G18" s="381">
        <f t="shared" ca="1" si="2"/>
        <v>605</v>
      </c>
      <c r="H18" s="381"/>
      <c r="I18" s="381">
        <f t="shared" ca="1" si="2"/>
        <v>1652</v>
      </c>
      <c r="L18" s="328" t="str">
        <f t="shared" si="0"/>
        <v>Other Current Assets</v>
      </c>
      <c r="N18" s="1066">
        <f t="shared" ca="1" si="3"/>
        <v>8.6350395339159378E-2</v>
      </c>
      <c r="O18" s="1066">
        <f t="shared" ca="1" si="4"/>
        <v>0.10028286637931035</v>
      </c>
      <c r="P18" s="1066">
        <f t="shared" ca="1" si="5"/>
        <v>4.5014322739053335E-2</v>
      </c>
      <c r="Q18" s="1066">
        <f t="shared" ca="1" si="6"/>
        <v>4.0781934614088307E-2</v>
      </c>
      <c r="S18" s="1066">
        <f t="shared" ca="1" si="6"/>
        <v>0.13004802015271982</v>
      </c>
    </row>
    <row r="19" spans="2:19" ht="14.85" customHeight="1">
      <c r="B19" s="1086"/>
      <c r="C19" s="346"/>
      <c r="D19" s="1067"/>
      <c r="E19" s="1067"/>
      <c r="F19" s="1067"/>
      <c r="G19" s="1067"/>
      <c r="H19" s="1071"/>
      <c r="I19" s="1067"/>
      <c r="L19" s="1086"/>
      <c r="M19" s="346"/>
      <c r="N19" s="346"/>
      <c r="O19" s="346"/>
      <c r="P19" s="346"/>
      <c r="Q19" s="346"/>
      <c r="S19" s="346"/>
    </row>
    <row r="20" spans="2:19" ht="14.85" customHeight="1">
      <c r="B20" s="274" t="s">
        <v>238</v>
      </c>
      <c r="D20" s="381">
        <f ca="1">SUM(D13:D18)</f>
        <v>7611</v>
      </c>
      <c r="E20" s="381">
        <f ca="1">SUM(E13:E18)</f>
        <v>7669</v>
      </c>
      <c r="F20" s="381">
        <f ca="1">SUM(F13:F18)</f>
        <v>6631</v>
      </c>
      <c r="G20" s="381">
        <f ca="1">SUM(G13:G18)</f>
        <v>6157</v>
      </c>
      <c r="H20" s="1065"/>
      <c r="I20" s="381">
        <f ca="1">SUM(I13:I18)</f>
        <v>7203</v>
      </c>
      <c r="L20" s="274" t="str">
        <f>B20</f>
        <v>Total Current Assets</v>
      </c>
      <c r="N20" s="1066">
        <f ca="1">IF(ISERROR(D20/D$29), "n/a", D20/D$29)</f>
        <v>0.52788181439866833</v>
      </c>
      <c r="O20" s="1066">
        <f ca="1">IF(ISERROR(E20/E$29), "n/a", E20/E$29)</f>
        <v>0.51650053879310343</v>
      </c>
      <c r="P20" s="1066">
        <f ca="1">IF(ISERROR(F20/F$29), "n/a", F20/F$29)</f>
        <v>0.45225753648888284</v>
      </c>
      <c r="Q20" s="1066">
        <f ca="1">IF(ISERROR(G20/G$29), "n/a", G20/G$29)</f>
        <v>0.41503201887428381</v>
      </c>
      <c r="S20" s="1066">
        <f ca="1">IF(ISERROR(I20/I$29), "n/a", I20/I$29)</f>
        <v>0.56703140990317247</v>
      </c>
    </row>
    <row r="21" spans="2:19" ht="14.85" customHeight="1">
      <c r="D21" s="1065"/>
      <c r="E21" s="1065"/>
      <c r="F21" s="1065"/>
      <c r="G21" s="1065"/>
      <c r="H21" s="1065"/>
      <c r="I21" s="1065"/>
    </row>
    <row r="22" spans="2:19" ht="14.85" customHeight="1">
      <c r="B22" s="1087" t="s">
        <v>235</v>
      </c>
      <c r="D22" s="381">
        <f t="shared" ref="D22:I27" ca="1" si="7">RANDBETWEEN(500,2000)</f>
        <v>1765</v>
      </c>
      <c r="E22" s="381">
        <f t="shared" ca="1" si="7"/>
        <v>1077</v>
      </c>
      <c r="F22" s="381">
        <f t="shared" ca="1" si="7"/>
        <v>966</v>
      </c>
      <c r="G22" s="381">
        <f t="shared" ca="1" si="7"/>
        <v>1518</v>
      </c>
      <c r="H22" s="381"/>
      <c r="I22" s="381">
        <f t="shared" ca="1" si="7"/>
        <v>516</v>
      </c>
      <c r="L22" s="1087" t="str">
        <f t="shared" ref="L22:L27" si="8">B22</f>
        <v>Net Fixed Assets</v>
      </c>
      <c r="N22" s="1066">
        <f t="shared" ref="N22:N27" ca="1" si="9">IF(ISERROR(D22/D$29), "n/a", D22/D$29)</f>
        <v>0.12241642391455125</v>
      </c>
      <c r="O22" s="1066">
        <f t="shared" ref="O22:O27" ca="1" si="10">IF(ISERROR(E22/E$29), "n/a", E22/E$29)</f>
        <v>7.2535021551724144E-2</v>
      </c>
      <c r="P22" s="1066">
        <f t="shared" ref="P22:P27" ca="1" si="11">IF(ISERROR(F22/F$29), "n/a", F22/F$29)</f>
        <v>6.5884599645341699E-2</v>
      </c>
      <c r="Q22" s="1066">
        <f t="shared" ref="Q22:Q27" ca="1" si="12">IF(ISERROR(G22/G$29), "n/a", G22/G$29)</f>
        <v>0.10232558139534884</v>
      </c>
      <c r="S22" s="1066">
        <f t="shared" ref="S22:S27" ca="1" si="13">IF(ISERROR(I22/I$29), "n/a", I22/I$29)</f>
        <v>4.0620325907265997E-2</v>
      </c>
    </row>
    <row r="23" spans="2:19" ht="14.85" customHeight="1">
      <c r="B23" s="1087" t="s">
        <v>236</v>
      </c>
      <c r="D23" s="381">
        <f t="shared" ca="1" si="7"/>
        <v>1007</v>
      </c>
      <c r="E23" s="381">
        <f t="shared" ca="1" si="7"/>
        <v>620</v>
      </c>
      <c r="F23" s="381">
        <f t="shared" ca="1" si="7"/>
        <v>1681</v>
      </c>
      <c r="G23" s="381">
        <f t="shared" ca="1" si="7"/>
        <v>1470</v>
      </c>
      <c r="H23" s="381"/>
      <c r="I23" s="381">
        <f t="shared" ca="1" si="7"/>
        <v>1088</v>
      </c>
      <c r="L23" s="1087" t="str">
        <f t="shared" si="8"/>
        <v>Intangible Assets</v>
      </c>
      <c r="N23" s="1066">
        <f t="shared" ca="1" si="9"/>
        <v>6.9843251491191569E-2</v>
      </c>
      <c r="O23" s="1066">
        <f t="shared" ca="1" si="10"/>
        <v>4.1756465517241381E-2</v>
      </c>
      <c r="P23" s="1066">
        <f t="shared" ca="1" si="11"/>
        <v>0.11465011594598282</v>
      </c>
      <c r="Q23" s="1066">
        <f t="shared" ca="1" si="12"/>
        <v>9.9089989888776542E-2</v>
      </c>
      <c r="S23" s="1066">
        <f t="shared" ca="1" si="13"/>
        <v>8.5649059277336057E-2</v>
      </c>
    </row>
    <row r="24" spans="2:19" ht="14.85" customHeight="1">
      <c r="B24" s="1087" t="s">
        <v>251</v>
      </c>
      <c r="D24" s="381">
        <f t="shared" ca="1" si="7"/>
        <v>1586</v>
      </c>
      <c r="E24" s="381">
        <f t="shared" ca="1" si="7"/>
        <v>1828</v>
      </c>
      <c r="F24" s="381">
        <f t="shared" ca="1" si="7"/>
        <v>1130</v>
      </c>
      <c r="G24" s="381">
        <f t="shared" ca="1" si="7"/>
        <v>1362</v>
      </c>
      <c r="H24" s="381"/>
      <c r="I24" s="381">
        <f t="shared" ca="1" si="7"/>
        <v>500</v>
      </c>
      <c r="L24" s="1087" t="str">
        <f t="shared" si="8"/>
        <v>Goodwill</v>
      </c>
      <c r="N24" s="1066">
        <f t="shared" ca="1" si="9"/>
        <v>0.1100013871549452</v>
      </c>
      <c r="O24" s="1066">
        <f t="shared" ca="1" si="10"/>
        <v>0.12311422413793104</v>
      </c>
      <c r="P24" s="1066">
        <f t="shared" ca="1" si="11"/>
        <v>7.7069976810803437E-2</v>
      </c>
      <c r="Q24" s="1066">
        <f t="shared" ca="1" si="12"/>
        <v>9.1809908998988873E-2</v>
      </c>
      <c r="S24" s="1066">
        <f t="shared" ca="1" si="13"/>
        <v>3.9360780917893412E-2</v>
      </c>
    </row>
    <row r="25" spans="2:19" ht="14.85" customHeight="1">
      <c r="B25" s="1087" t="s">
        <v>252</v>
      </c>
      <c r="D25" s="381">
        <f t="shared" ca="1" si="7"/>
        <v>650</v>
      </c>
      <c r="E25" s="381">
        <f t="shared" ca="1" si="7"/>
        <v>960</v>
      </c>
      <c r="F25" s="381">
        <f t="shared" ca="1" si="7"/>
        <v>1576</v>
      </c>
      <c r="G25" s="381">
        <f t="shared" ca="1" si="7"/>
        <v>860</v>
      </c>
      <c r="H25" s="381"/>
      <c r="I25" s="381">
        <f t="shared" ca="1" si="7"/>
        <v>861</v>
      </c>
      <c r="L25" s="1087" t="str">
        <f t="shared" si="8"/>
        <v>Deferred Financing Cost</v>
      </c>
      <c r="N25" s="1066">
        <f t="shared" ca="1" si="9"/>
        <v>4.5082535719239841E-2</v>
      </c>
      <c r="O25" s="1066">
        <f t="shared" ca="1" si="10"/>
        <v>6.4655172413793108E-2</v>
      </c>
      <c r="P25" s="1066">
        <f t="shared" ca="1" si="11"/>
        <v>0.10748874641931523</v>
      </c>
      <c r="Q25" s="1066">
        <f t="shared" ca="1" si="12"/>
        <v>5.7971014492753624E-2</v>
      </c>
      <c r="S25" s="1066">
        <f t="shared" ca="1" si="13"/>
        <v>6.7779264740612452E-2</v>
      </c>
    </row>
    <row r="26" spans="2:19" ht="14.85" customHeight="1">
      <c r="B26" s="1087" t="s">
        <v>254</v>
      </c>
      <c r="D26" s="381">
        <f t="shared" ca="1" si="7"/>
        <v>1154</v>
      </c>
      <c r="E26" s="381">
        <f t="shared" ca="1" si="7"/>
        <v>1132</v>
      </c>
      <c r="F26" s="381">
        <f t="shared" ca="1" si="7"/>
        <v>763</v>
      </c>
      <c r="G26" s="381">
        <f t="shared" ca="1" si="7"/>
        <v>1632</v>
      </c>
      <c r="H26" s="381"/>
      <c r="I26" s="381">
        <f t="shared" ca="1" si="7"/>
        <v>1906</v>
      </c>
      <c r="L26" s="1087" t="str">
        <f t="shared" si="8"/>
        <v>Long-Term Investments</v>
      </c>
      <c r="N26" s="1066">
        <f t="shared" ca="1" si="9"/>
        <v>8.0038840338465811E-2</v>
      </c>
      <c r="O26" s="1066">
        <f t="shared" ca="1" si="10"/>
        <v>7.6239224137931036E-2</v>
      </c>
      <c r="P26" s="1066">
        <f t="shared" ca="1" si="11"/>
        <v>5.2039285227117718E-2</v>
      </c>
      <c r="Q26" s="1066">
        <f t="shared" ca="1" si="12"/>
        <v>0.11001011122345804</v>
      </c>
      <c r="S26" s="1066">
        <f t="shared" ca="1" si="13"/>
        <v>0.15004329685900969</v>
      </c>
    </row>
    <row r="27" spans="2:19" ht="14.85" customHeight="1">
      <c r="B27" s="1087" t="s">
        <v>237</v>
      </c>
      <c r="D27" s="381">
        <f t="shared" ca="1" si="7"/>
        <v>645</v>
      </c>
      <c r="E27" s="381">
        <f t="shared" ca="1" si="7"/>
        <v>1562</v>
      </c>
      <c r="F27" s="381">
        <f t="shared" ca="1" si="7"/>
        <v>1915</v>
      </c>
      <c r="G27" s="381">
        <f t="shared" ca="1" si="7"/>
        <v>1836</v>
      </c>
      <c r="H27" s="381"/>
      <c r="I27" s="381">
        <f t="shared" ca="1" si="7"/>
        <v>629</v>
      </c>
      <c r="L27" s="1087" t="str">
        <f t="shared" si="8"/>
        <v>Other Assets</v>
      </c>
      <c r="N27" s="1066">
        <f t="shared" ca="1" si="9"/>
        <v>4.4735746982937995E-2</v>
      </c>
      <c r="O27" s="1066">
        <f t="shared" ca="1" si="10"/>
        <v>0.10519935344827586</v>
      </c>
      <c r="P27" s="1066">
        <f t="shared" ca="1" si="11"/>
        <v>0.13060973946255627</v>
      </c>
      <c r="Q27" s="1066">
        <f t="shared" ca="1" si="12"/>
        <v>0.12376137512639029</v>
      </c>
      <c r="S27" s="1066">
        <f t="shared" ca="1" si="13"/>
        <v>4.9515862394709911E-2</v>
      </c>
    </row>
    <row r="28" spans="2:19" ht="14.85" customHeight="1">
      <c r="B28" s="346"/>
      <c r="C28" s="346"/>
      <c r="D28" s="1067"/>
      <c r="E28" s="1067"/>
      <c r="F28" s="1067"/>
      <c r="G28" s="1067"/>
      <c r="H28" s="1071"/>
      <c r="I28" s="1067"/>
      <c r="L28" s="346"/>
      <c r="M28" s="346"/>
      <c r="N28" s="346"/>
      <c r="O28" s="346"/>
      <c r="P28" s="346"/>
      <c r="Q28" s="346"/>
      <c r="S28" s="346"/>
    </row>
    <row r="29" spans="2:19" ht="14.85" customHeight="1">
      <c r="B29" s="382" t="s">
        <v>239</v>
      </c>
      <c r="C29" s="253"/>
      <c r="D29" s="1088">
        <f ca="1">SUM(D20:D27)</f>
        <v>14418</v>
      </c>
      <c r="E29" s="1088">
        <f ca="1">SUM(E20:E27)</f>
        <v>14848</v>
      </c>
      <c r="F29" s="1088">
        <f ca="1">SUM(F20:F27)</f>
        <v>14662</v>
      </c>
      <c r="G29" s="1088">
        <f ca="1">SUM(G20:G27)</f>
        <v>14835</v>
      </c>
      <c r="H29" s="1089"/>
      <c r="I29" s="1088">
        <f ca="1">SUM(I20:I27)</f>
        <v>12703</v>
      </c>
      <c r="L29" s="382" t="str">
        <f>B29</f>
        <v>Total Assets</v>
      </c>
      <c r="M29" s="253"/>
      <c r="N29" s="1090">
        <f ca="1">IF(ISERROR(D29/D$29), "n/a", D29/D$29)</f>
        <v>1</v>
      </c>
      <c r="O29" s="1090">
        <f ca="1">IF(ISERROR(E29/E$29), "n/a", E29/E$29)</f>
        <v>1</v>
      </c>
      <c r="P29" s="1090">
        <f ca="1">IF(ISERROR(F29/F$29), "n/a", F29/F$29)</f>
        <v>1</v>
      </c>
      <c r="Q29" s="1090">
        <f ca="1">IF(ISERROR(G29/G$29), "n/a", G29/G$29)</f>
        <v>1</v>
      </c>
      <c r="R29" s="253"/>
      <c r="S29" s="1090">
        <f ca="1">IF(ISERROR(I29/I$29), "n/a", I29/I$29)</f>
        <v>1</v>
      </c>
    </row>
    <row r="30" spans="2:19" ht="14.85" customHeight="1">
      <c r="D30" s="1065"/>
      <c r="E30" s="1065"/>
      <c r="F30" s="1065"/>
      <c r="G30" s="1065"/>
      <c r="H30" s="1065"/>
      <c r="I30" s="1065"/>
    </row>
    <row r="31" spans="2:19" ht="14.85" customHeight="1">
      <c r="B31" s="375" t="s">
        <v>240</v>
      </c>
      <c r="C31" s="1082"/>
      <c r="D31" s="376"/>
      <c r="E31" s="376"/>
      <c r="F31" s="376"/>
      <c r="G31" s="376"/>
      <c r="H31" s="376"/>
      <c r="I31" s="379"/>
      <c r="L31" s="375" t="s">
        <v>240</v>
      </c>
      <c r="M31" s="1082"/>
      <c r="N31" s="1084"/>
      <c r="O31" s="1084"/>
      <c r="P31" s="1084"/>
      <c r="Q31" s="1084"/>
      <c r="R31" s="1084"/>
      <c r="S31" s="1085"/>
    </row>
    <row r="32" spans="2:19" ht="14.85" customHeight="1">
      <c r="D32" s="1065"/>
      <c r="E32" s="1065"/>
      <c r="F32" s="1065"/>
      <c r="G32" s="1065"/>
      <c r="H32" s="1065"/>
      <c r="I32" s="1065"/>
    </row>
    <row r="33" spans="2:19" ht="14.85" customHeight="1">
      <c r="B33" s="250" t="s">
        <v>241</v>
      </c>
      <c r="D33" s="381"/>
      <c r="E33" s="1065"/>
      <c r="F33" s="1065"/>
      <c r="G33" s="1065"/>
      <c r="H33" s="1065"/>
      <c r="I33" s="1065"/>
      <c r="L33" s="250" t="str">
        <f>B33</f>
        <v>Current Liabilities</v>
      </c>
    </row>
    <row r="34" spans="2:19" ht="14.85" customHeight="1">
      <c r="B34" s="328" t="s">
        <v>242</v>
      </c>
      <c r="D34" s="381">
        <f t="shared" ref="D34:I37" ca="1" si="14">RANDBETWEEN(500,2000)</f>
        <v>614</v>
      </c>
      <c r="E34" s="381">
        <f t="shared" ca="1" si="14"/>
        <v>1136</v>
      </c>
      <c r="F34" s="381">
        <f t="shared" ca="1" si="14"/>
        <v>1418</v>
      </c>
      <c r="G34" s="381">
        <f t="shared" ca="1" si="14"/>
        <v>1527</v>
      </c>
      <c r="H34" s="381"/>
      <c r="I34" s="381">
        <f t="shared" ca="1" si="14"/>
        <v>1356</v>
      </c>
      <c r="L34" s="328" t="str">
        <f>B34</f>
        <v>Accounts Payable</v>
      </c>
      <c r="N34" s="1066">
        <f ca="1">IF(ISERROR(D34/D$29), "n/a", D34/D$29)</f>
        <v>4.2585656817866559E-2</v>
      </c>
      <c r="O34" s="1066">
        <f ca="1">IF(ISERROR(E34/E$29), "n/a", E34/E$29)</f>
        <v>7.6508620689655166E-2</v>
      </c>
      <c r="P34" s="1066">
        <f t="shared" ref="P34:S37" ca="1" si="15">IF(ISERROR(F34/F$29), "n/a", F34/F$29)</f>
        <v>9.6712590369663079E-2</v>
      </c>
      <c r="Q34" s="1066">
        <f t="shared" ca="1" si="15"/>
        <v>0.10293225480283114</v>
      </c>
      <c r="S34" s="1066">
        <f t="shared" ca="1" si="15"/>
        <v>0.10674643784932693</v>
      </c>
    </row>
    <row r="35" spans="2:19" ht="14.85" customHeight="1">
      <c r="B35" s="328" t="s">
        <v>244</v>
      </c>
      <c r="D35" s="381">
        <f t="shared" ca="1" si="14"/>
        <v>800</v>
      </c>
      <c r="E35" s="381">
        <f t="shared" ca="1" si="14"/>
        <v>1398</v>
      </c>
      <c r="F35" s="381">
        <f t="shared" ca="1" si="14"/>
        <v>1545</v>
      </c>
      <c r="G35" s="381">
        <f t="shared" ca="1" si="14"/>
        <v>518</v>
      </c>
      <c r="H35" s="381"/>
      <c r="I35" s="381">
        <f t="shared" ca="1" si="14"/>
        <v>809</v>
      </c>
      <c r="L35" s="328" t="str">
        <f>B35</f>
        <v>Accrued Expenses</v>
      </c>
      <c r="N35" s="1066">
        <f t="shared" ref="N35:O37" ca="1" si="16">IF(ISERROR(D35/D$29), "n/a", D35/D$29)</f>
        <v>5.5486197808295189E-2</v>
      </c>
      <c r="O35" s="1066">
        <f t="shared" ca="1" si="16"/>
        <v>9.4154094827586202E-2</v>
      </c>
      <c r="P35" s="1066">
        <f t="shared" ca="1" si="15"/>
        <v>0.10537443732096576</v>
      </c>
      <c r="Q35" s="1066">
        <f t="shared" ca="1" si="15"/>
        <v>3.4917425008426019E-2</v>
      </c>
      <c r="S35" s="1066">
        <f t="shared" ca="1" si="15"/>
        <v>6.3685743525151536E-2</v>
      </c>
    </row>
    <row r="36" spans="2:19" ht="14.85" customHeight="1">
      <c r="B36" s="328" t="s">
        <v>243</v>
      </c>
      <c r="D36" s="381">
        <f t="shared" ca="1" si="14"/>
        <v>1937</v>
      </c>
      <c r="E36" s="381">
        <f t="shared" ca="1" si="14"/>
        <v>1094</v>
      </c>
      <c r="F36" s="381">
        <f t="shared" ca="1" si="14"/>
        <v>1930</v>
      </c>
      <c r="G36" s="381">
        <f t="shared" ca="1" si="14"/>
        <v>1666</v>
      </c>
      <c r="H36" s="381"/>
      <c r="I36" s="381">
        <f t="shared" ca="1" si="14"/>
        <v>1099</v>
      </c>
      <c r="L36" s="328" t="str">
        <f>B36</f>
        <v>Current Maturities</v>
      </c>
      <c r="N36" s="1066">
        <f t="shared" ca="1" si="16"/>
        <v>0.13434595644333472</v>
      </c>
      <c r="O36" s="1066">
        <f t="shared" ca="1" si="16"/>
        <v>7.3679956896551727E-2</v>
      </c>
      <c r="P36" s="1066">
        <f t="shared" ca="1" si="15"/>
        <v>0.13163279225208022</v>
      </c>
      <c r="Q36" s="1066">
        <f t="shared" ca="1" si="15"/>
        <v>0.11230198854061342</v>
      </c>
      <c r="S36" s="1066">
        <f t="shared" ca="1" si="15"/>
        <v>8.6514996457529719E-2</v>
      </c>
    </row>
    <row r="37" spans="2:19" ht="14.85" customHeight="1">
      <c r="B37" s="328" t="s">
        <v>245</v>
      </c>
      <c r="D37" s="381">
        <f t="shared" ca="1" si="14"/>
        <v>1475</v>
      </c>
      <c r="E37" s="381">
        <f t="shared" ca="1" si="14"/>
        <v>1216</v>
      </c>
      <c r="F37" s="381">
        <f t="shared" ca="1" si="14"/>
        <v>569</v>
      </c>
      <c r="G37" s="381">
        <f t="shared" ca="1" si="14"/>
        <v>1183</v>
      </c>
      <c r="H37" s="381"/>
      <c r="I37" s="381">
        <f t="shared" ca="1" si="14"/>
        <v>679</v>
      </c>
      <c r="L37" s="328" t="str">
        <f>B37</f>
        <v>Other Current Liabilities</v>
      </c>
      <c r="N37" s="1066">
        <f t="shared" ca="1" si="16"/>
        <v>0.10230267720904425</v>
      </c>
      <c r="O37" s="1066">
        <f t="shared" ca="1" si="16"/>
        <v>8.1896551724137928E-2</v>
      </c>
      <c r="P37" s="1066">
        <f t="shared" ca="1" si="15"/>
        <v>3.8807802482608102E-2</v>
      </c>
      <c r="Q37" s="1066">
        <f t="shared" ca="1" si="15"/>
        <v>7.97438490057297E-2</v>
      </c>
      <c r="S37" s="1066">
        <f t="shared" ca="1" si="15"/>
        <v>5.3451940486499254E-2</v>
      </c>
    </row>
    <row r="38" spans="2:19" ht="14.85" customHeight="1">
      <c r="B38" s="346"/>
      <c r="C38" s="346"/>
      <c r="D38" s="1067"/>
      <c r="E38" s="1067"/>
      <c r="F38" s="1067"/>
      <c r="G38" s="1067"/>
      <c r="H38" s="1071"/>
      <c r="I38" s="1067"/>
      <c r="L38" s="346"/>
      <c r="M38" s="346"/>
      <c r="N38" s="346"/>
      <c r="O38" s="346"/>
      <c r="P38" s="346"/>
      <c r="Q38" s="346"/>
      <c r="S38" s="346"/>
    </row>
    <row r="39" spans="2:19" ht="14.85" customHeight="1">
      <c r="B39" s="274" t="s">
        <v>246</v>
      </c>
      <c r="D39" s="381">
        <f ca="1">SUM(D34:D37)</f>
        <v>4826</v>
      </c>
      <c r="E39" s="381">
        <f ca="1">SUM(E34:E37)</f>
        <v>4844</v>
      </c>
      <c r="F39" s="381">
        <f ca="1">SUM(F34:F37)</f>
        <v>5462</v>
      </c>
      <c r="G39" s="381">
        <f ca="1">SUM(G34:G37)</f>
        <v>4894</v>
      </c>
      <c r="H39" s="1065"/>
      <c r="I39" s="381">
        <f ca="1">SUM(I34:I37)</f>
        <v>3943</v>
      </c>
      <c r="L39" s="274" t="str">
        <f>B39</f>
        <v>Total Current Liabilities</v>
      </c>
      <c r="N39" s="1066">
        <f ca="1">IF(ISERROR(D39/D$29), "n/a", D39/D$29)</f>
        <v>0.33472048827854073</v>
      </c>
      <c r="O39" s="1066">
        <f ca="1">IF(ISERROR(E39/E$29), "n/a", E39/E$29)</f>
        <v>0.32623922413793105</v>
      </c>
      <c r="P39" s="1066">
        <f t="shared" ref="P39:S39" ca="1" si="17">IF(ISERROR(F39/F$29), "n/a", F39/F$29)</f>
        <v>0.37252762242531717</v>
      </c>
      <c r="Q39" s="1066">
        <f t="shared" ca="1" si="17"/>
        <v>0.32989551735760025</v>
      </c>
      <c r="S39" s="1066">
        <f t="shared" ca="1" si="17"/>
        <v>0.31039911831850742</v>
      </c>
    </row>
    <row r="40" spans="2:19" ht="14.85" customHeight="1">
      <c r="D40" s="1065"/>
      <c r="E40" s="1065"/>
      <c r="F40" s="1065"/>
      <c r="G40" s="1065"/>
      <c r="H40" s="1065"/>
      <c r="I40" s="1065"/>
    </row>
    <row r="41" spans="2:19" ht="14.85" customHeight="1">
      <c r="B41" s="328" t="s">
        <v>247</v>
      </c>
      <c r="D41" s="381">
        <f t="shared" ref="D41:I43" ca="1" si="18">RANDBETWEEN(500,2000)</f>
        <v>797</v>
      </c>
      <c r="E41" s="381">
        <f t="shared" ca="1" si="18"/>
        <v>1801</v>
      </c>
      <c r="F41" s="381">
        <f t="shared" ca="1" si="18"/>
        <v>1773</v>
      </c>
      <c r="G41" s="381">
        <f t="shared" ca="1" si="18"/>
        <v>1267</v>
      </c>
      <c r="H41" s="381"/>
      <c r="I41" s="381">
        <f t="shared" ca="1" si="18"/>
        <v>939</v>
      </c>
      <c r="L41" s="328" t="str">
        <f>B41</f>
        <v>Long-Term Debt, Net of Current Portion</v>
      </c>
      <c r="N41" s="1066">
        <f ca="1">IF(ISERROR(D41/D$29), "n/a", D41/D$29)</f>
        <v>5.5278124566514077E-2</v>
      </c>
      <c r="O41" s="1066">
        <f ca="1">IF(ISERROR(E41/E$29), "n/a", E41/E$29)</f>
        <v>0.12129579741379311</v>
      </c>
      <c r="P41" s="1066">
        <f t="shared" ref="P41:S43" ca="1" si="19">IF(ISERROR(F41/F$29), "n/a", F41/F$29)</f>
        <v>0.12092483972172964</v>
      </c>
      <c r="Q41" s="1066">
        <f t="shared" ca="1" si="19"/>
        <v>8.5406134142231208E-2</v>
      </c>
      <c r="S41" s="1066">
        <f t="shared" ca="1" si="19"/>
        <v>7.3919546563803826E-2</v>
      </c>
    </row>
    <row r="42" spans="2:19" ht="14.85" customHeight="1">
      <c r="B42" s="328" t="s">
        <v>248</v>
      </c>
      <c r="D42" s="381">
        <f t="shared" ca="1" si="18"/>
        <v>1986</v>
      </c>
      <c r="E42" s="381">
        <f t="shared" ca="1" si="18"/>
        <v>1392</v>
      </c>
      <c r="F42" s="381">
        <f t="shared" ca="1" si="18"/>
        <v>858</v>
      </c>
      <c r="G42" s="381">
        <f t="shared" ca="1" si="18"/>
        <v>1914</v>
      </c>
      <c r="H42" s="381"/>
      <c r="I42" s="381">
        <f t="shared" ca="1" si="18"/>
        <v>1482</v>
      </c>
      <c r="L42" s="328" t="str">
        <f>B42</f>
        <v>Deferred Liabilities</v>
      </c>
      <c r="N42" s="1066">
        <f t="shared" ref="N42:O43" ca="1" si="20">IF(ISERROR(D42/D$29), "n/a", D42/D$29)</f>
        <v>0.13774448605909281</v>
      </c>
      <c r="O42" s="1066">
        <f t="shared" ca="1" si="20"/>
        <v>9.375E-2</v>
      </c>
      <c r="P42" s="1066">
        <f t="shared" ca="1" si="19"/>
        <v>5.8518619560769335E-2</v>
      </c>
      <c r="Q42" s="1066">
        <f t="shared" ca="1" si="19"/>
        <v>0.12901921132457028</v>
      </c>
      <c r="S42" s="1066">
        <f t="shared" ca="1" si="19"/>
        <v>0.11666535464063607</v>
      </c>
    </row>
    <row r="43" spans="2:19" ht="14.85" customHeight="1">
      <c r="B43" s="328" t="s">
        <v>249</v>
      </c>
      <c r="D43" s="381">
        <f t="shared" ca="1" si="18"/>
        <v>1470</v>
      </c>
      <c r="E43" s="381">
        <f t="shared" ca="1" si="18"/>
        <v>1914</v>
      </c>
      <c r="F43" s="381">
        <f t="shared" ca="1" si="18"/>
        <v>1348</v>
      </c>
      <c r="G43" s="381">
        <f t="shared" ca="1" si="18"/>
        <v>973</v>
      </c>
      <c r="H43" s="381"/>
      <c r="I43" s="381">
        <f t="shared" ca="1" si="18"/>
        <v>1576</v>
      </c>
      <c r="L43" s="328" t="str">
        <f>B43</f>
        <v>Other Long-Term Liabilities</v>
      </c>
      <c r="N43" s="1066">
        <f t="shared" ca="1" si="20"/>
        <v>0.10195588847274241</v>
      </c>
      <c r="O43" s="1066">
        <f t="shared" ca="1" si="20"/>
        <v>0.12890625</v>
      </c>
      <c r="P43" s="1066">
        <f t="shared" ca="1" si="19"/>
        <v>9.193834401855136E-2</v>
      </c>
      <c r="Q43" s="1066">
        <f t="shared" ca="1" si="19"/>
        <v>6.5588136164475896E-2</v>
      </c>
      <c r="S43" s="1066">
        <f t="shared" ca="1" si="19"/>
        <v>0.12406518145320003</v>
      </c>
    </row>
    <row r="44" spans="2:19" ht="14.85" customHeight="1">
      <c r="B44" s="346"/>
      <c r="C44" s="346"/>
      <c r="D44" s="1067"/>
      <c r="E44" s="1067"/>
      <c r="F44" s="1067"/>
      <c r="G44" s="1067"/>
      <c r="H44" s="1071"/>
      <c r="I44" s="1067"/>
      <c r="L44" s="346"/>
      <c r="M44" s="346"/>
      <c r="N44" s="346"/>
      <c r="O44" s="346"/>
      <c r="P44" s="346"/>
      <c r="Q44" s="346"/>
      <c r="S44" s="346"/>
    </row>
    <row r="45" spans="2:19" ht="14.85" customHeight="1">
      <c r="B45" s="274" t="s">
        <v>250</v>
      </c>
      <c r="D45" s="381">
        <f ca="1">SUM(D39:D43)</f>
        <v>9079</v>
      </c>
      <c r="E45" s="381">
        <f ca="1">SUM(E39:E43)</f>
        <v>9951</v>
      </c>
      <c r="F45" s="381">
        <f ca="1">SUM(F39:F43)</f>
        <v>9441</v>
      </c>
      <c r="G45" s="381">
        <f ca="1">SUM(G39:G43)</f>
        <v>9048</v>
      </c>
      <c r="H45" s="1065"/>
      <c r="I45" s="381">
        <f ca="1">SUM(I39:I43)</f>
        <v>7940</v>
      </c>
      <c r="L45" s="274" t="str">
        <f>B45</f>
        <v>Total Liabilities</v>
      </c>
      <c r="N45" s="1066">
        <f ca="1">IF(ISERROR(D45/D$29), "n/a", D45/D$29)</f>
        <v>0.62969898737689001</v>
      </c>
      <c r="O45" s="1066">
        <f ca="1">IF(ISERROR(E45/E$29), "n/a", E45/E$29)</f>
        <v>0.67019127155172409</v>
      </c>
      <c r="P45" s="1066">
        <f t="shared" ref="P45:S45" ca="1" si="21">IF(ISERROR(F45/F$29), "n/a", F45/F$29)</f>
        <v>0.64390942572636745</v>
      </c>
      <c r="Q45" s="1066">
        <f t="shared" ca="1" si="21"/>
        <v>0.60990899898887763</v>
      </c>
      <c r="S45" s="1066">
        <f t="shared" ca="1" si="21"/>
        <v>0.62504920097614736</v>
      </c>
    </row>
    <row r="46" spans="2:19" ht="14.85" customHeight="1">
      <c r="D46" s="1065"/>
      <c r="E46" s="1065"/>
      <c r="F46" s="1065"/>
      <c r="G46" s="1065"/>
      <c r="H46" s="1065"/>
      <c r="I46" s="1065"/>
    </row>
    <row r="47" spans="2:19" ht="14.85" customHeight="1">
      <c r="B47" s="250" t="s">
        <v>260</v>
      </c>
      <c r="D47" s="1065"/>
      <c r="E47" s="1065"/>
      <c r="F47" s="1065"/>
      <c r="G47" s="1065"/>
      <c r="H47" s="1065"/>
      <c r="I47" s="1065"/>
      <c r="L47" s="250" t="str">
        <f t="shared" ref="L47:L52" si="22">B47</f>
        <v>Shareholders' Equity</v>
      </c>
    </row>
    <row r="48" spans="2:19" ht="14.85" customHeight="1">
      <c r="B48" s="328" t="s">
        <v>255</v>
      </c>
      <c r="D48" s="381">
        <f t="shared" ref="D48:I52" ca="1" si="23">RANDBETWEEN(500,2000)</f>
        <v>529</v>
      </c>
      <c r="E48" s="381">
        <f t="shared" ca="1" si="23"/>
        <v>1183</v>
      </c>
      <c r="F48" s="381">
        <f t="shared" ca="1" si="23"/>
        <v>918</v>
      </c>
      <c r="G48" s="381">
        <f t="shared" ca="1" si="23"/>
        <v>1458</v>
      </c>
      <c r="H48" s="381"/>
      <c r="I48" s="381">
        <f t="shared" ca="1" si="23"/>
        <v>1870</v>
      </c>
      <c r="L48" s="328" t="str">
        <f t="shared" si="22"/>
        <v>Common</v>
      </c>
      <c r="N48" s="1066">
        <f t="shared" ref="N48:O56" ca="1" si="24">IF(ISERROR(D48/D$29), "n/a", D48/D$29)</f>
        <v>3.6690248300735195E-2</v>
      </c>
      <c r="O48" s="1066">
        <f t="shared" ca="1" si="24"/>
        <v>7.9674030172413798E-2</v>
      </c>
      <c r="P48" s="1066">
        <f t="shared" ref="P48:P52" ca="1" si="25">IF(ISERROR(F48/F$29), "n/a", F48/F$29)</f>
        <v>6.2610830718865099E-2</v>
      </c>
      <c r="Q48" s="1066">
        <f t="shared" ref="Q48:S52" ca="1" si="26">IF(ISERROR(G48/G$29), "n/a", G48/G$29)</f>
        <v>9.8281092012133461E-2</v>
      </c>
      <c r="S48" s="1066">
        <f t="shared" ca="1" si="26"/>
        <v>0.14720932063292136</v>
      </c>
    </row>
    <row r="49" spans="2:19" ht="14.85" customHeight="1">
      <c r="B49" s="328" t="s">
        <v>256</v>
      </c>
      <c r="D49" s="381">
        <f t="shared" ca="1" si="23"/>
        <v>1812</v>
      </c>
      <c r="E49" s="381">
        <f t="shared" ca="1" si="23"/>
        <v>1031</v>
      </c>
      <c r="F49" s="381">
        <f t="shared" ca="1" si="23"/>
        <v>1190</v>
      </c>
      <c r="G49" s="381">
        <f t="shared" ca="1" si="23"/>
        <v>1063</v>
      </c>
      <c r="H49" s="381"/>
      <c r="I49" s="381">
        <f t="shared" ca="1" si="23"/>
        <v>1441</v>
      </c>
      <c r="L49" s="328" t="str">
        <f t="shared" si="22"/>
        <v xml:space="preserve">Preferred </v>
      </c>
      <c r="N49" s="1066">
        <f t="shared" ca="1" si="24"/>
        <v>0.12567623803578859</v>
      </c>
      <c r="O49" s="1066">
        <f t="shared" ca="1" si="24"/>
        <v>6.9436961206896547E-2</v>
      </c>
      <c r="P49" s="1066">
        <f t="shared" ca="1" si="25"/>
        <v>8.1162187968899194E-2</v>
      </c>
      <c r="Q49" s="1066">
        <f t="shared" ca="1" si="26"/>
        <v>7.1654870239298951E-2</v>
      </c>
      <c r="S49" s="1066">
        <f t="shared" ca="1" si="26"/>
        <v>0.1134377706053688</v>
      </c>
    </row>
    <row r="50" spans="2:19" ht="14.85" customHeight="1">
      <c r="B50" s="328" t="s">
        <v>257</v>
      </c>
      <c r="D50" s="381">
        <f t="shared" ca="1" si="23"/>
        <v>1236</v>
      </c>
      <c r="E50" s="381">
        <f t="shared" ca="1" si="23"/>
        <v>617</v>
      </c>
      <c r="F50" s="381">
        <f t="shared" ca="1" si="23"/>
        <v>1171</v>
      </c>
      <c r="G50" s="381">
        <f t="shared" ca="1" si="23"/>
        <v>1350</v>
      </c>
      <c r="H50" s="381"/>
      <c r="I50" s="381">
        <f t="shared" ca="1" si="23"/>
        <v>584</v>
      </c>
      <c r="L50" s="328" t="str">
        <f t="shared" si="22"/>
        <v>Additional Paid In Capital</v>
      </c>
      <c r="N50" s="1066">
        <f t="shared" ca="1" si="24"/>
        <v>8.5726175613816069E-2</v>
      </c>
      <c r="O50" s="1066">
        <f t="shared" ca="1" si="24"/>
        <v>4.1554418103448273E-2</v>
      </c>
      <c r="P50" s="1066">
        <f t="shared" ca="1" si="25"/>
        <v>7.9866321102168875E-2</v>
      </c>
      <c r="Q50" s="1066">
        <f t="shared" ca="1" si="26"/>
        <v>9.1001011122345807E-2</v>
      </c>
      <c r="S50" s="1066">
        <f t="shared" ca="1" si="26"/>
        <v>4.5973392112099505E-2</v>
      </c>
    </row>
    <row r="51" spans="2:19" ht="14.85" customHeight="1">
      <c r="B51" s="328" t="s">
        <v>259</v>
      </c>
      <c r="D51" s="381">
        <f t="shared" ca="1" si="23"/>
        <v>976</v>
      </c>
      <c r="E51" s="381">
        <f t="shared" ca="1" si="23"/>
        <v>826</v>
      </c>
      <c r="F51" s="381">
        <f t="shared" ca="1" si="23"/>
        <v>1522</v>
      </c>
      <c r="G51" s="381">
        <f t="shared" ca="1" si="23"/>
        <v>722</v>
      </c>
      <c r="H51" s="381"/>
      <c r="I51" s="381">
        <f t="shared" ca="1" si="23"/>
        <v>648</v>
      </c>
      <c r="L51" s="328" t="str">
        <f t="shared" si="22"/>
        <v>Treasury Stock</v>
      </c>
      <c r="N51" s="1066">
        <f t="shared" ca="1" si="24"/>
        <v>6.7693161326120133E-2</v>
      </c>
      <c r="O51" s="1066">
        <f t="shared" ca="1" si="24"/>
        <v>5.5630387931034482E-2</v>
      </c>
      <c r="P51" s="1066">
        <f t="shared" ca="1" si="25"/>
        <v>0.10380575637702906</v>
      </c>
      <c r="Q51" s="1066">
        <f t="shared" ca="1" si="26"/>
        <v>4.8668688911358275E-2</v>
      </c>
      <c r="S51" s="1066">
        <f t="shared" ca="1" si="26"/>
        <v>5.101157206958986E-2</v>
      </c>
    </row>
    <row r="52" spans="2:19" ht="14.85" customHeight="1">
      <c r="B52" s="328" t="s">
        <v>258</v>
      </c>
      <c r="D52" s="381">
        <f t="shared" ca="1" si="23"/>
        <v>518</v>
      </c>
      <c r="E52" s="381">
        <f t="shared" ca="1" si="23"/>
        <v>987</v>
      </c>
      <c r="F52" s="381">
        <f t="shared" ca="1" si="23"/>
        <v>815</v>
      </c>
      <c r="G52" s="381">
        <f t="shared" ca="1" si="23"/>
        <v>660</v>
      </c>
      <c r="H52" s="381"/>
      <c r="I52" s="381">
        <f t="shared" ca="1" si="23"/>
        <v>521</v>
      </c>
      <c r="L52" s="328" t="str">
        <f t="shared" si="22"/>
        <v>Retained Earnings</v>
      </c>
      <c r="N52" s="1066">
        <f t="shared" ca="1" si="24"/>
        <v>3.5927313080871132E-2</v>
      </c>
      <c r="O52" s="1066">
        <f t="shared" ca="1" si="24"/>
        <v>6.6473599137931036E-2</v>
      </c>
      <c r="P52" s="1066">
        <f t="shared" ca="1" si="25"/>
        <v>5.5585868230800708E-2</v>
      </c>
      <c r="Q52" s="1066">
        <f t="shared" ca="1" si="26"/>
        <v>4.4489383215369056E-2</v>
      </c>
      <c r="S52" s="1066">
        <f t="shared" ca="1" si="26"/>
        <v>4.1013933716444934E-2</v>
      </c>
    </row>
    <row r="53" spans="2:19" ht="14.85" customHeight="1">
      <c r="B53" s="346"/>
      <c r="C53" s="346"/>
      <c r="D53" s="1067"/>
      <c r="E53" s="1067"/>
      <c r="F53" s="1067"/>
      <c r="G53" s="1067"/>
      <c r="H53" s="1071"/>
      <c r="I53" s="1067"/>
      <c r="L53" s="346"/>
      <c r="M53" s="346"/>
      <c r="N53" s="346"/>
      <c r="O53" s="346"/>
      <c r="P53" s="346"/>
      <c r="Q53" s="346"/>
      <c r="S53" s="346"/>
    </row>
    <row r="54" spans="2:19" ht="14.85" customHeight="1">
      <c r="B54" s="274" t="s">
        <v>262</v>
      </c>
      <c r="D54" s="381">
        <f ca="1">SUM(D48:D52)</f>
        <v>5071</v>
      </c>
      <c r="E54" s="381">
        <f ca="1">SUM(E48:E52)</f>
        <v>4644</v>
      </c>
      <c r="F54" s="381">
        <f ca="1">SUM(F48:F52)</f>
        <v>5616</v>
      </c>
      <c r="G54" s="381">
        <f ca="1">SUM(G48:G52)</f>
        <v>5253</v>
      </c>
      <c r="H54" s="1065"/>
      <c r="I54" s="381">
        <f ca="1">SUM(I48:I52)</f>
        <v>5064</v>
      </c>
      <c r="L54" s="274" t="str">
        <f>B54</f>
        <v>Total Shareholders' Equity</v>
      </c>
      <c r="N54" s="1066">
        <f t="shared" ca="1" si="24"/>
        <v>0.35171313635733109</v>
      </c>
      <c r="O54" s="1066">
        <f t="shared" ca="1" si="24"/>
        <v>0.31276939655172414</v>
      </c>
      <c r="P54" s="1066">
        <f t="shared" ref="P54" ca="1" si="27">IF(ISERROR(F54/F$29), "n/a", F54/F$29)</f>
        <v>0.38303096439776291</v>
      </c>
      <c r="Q54" s="1066">
        <f t="shared" ref="Q54:S54" ca="1" si="28">IF(ISERROR(G54/G$29), "n/a", G54/G$29)</f>
        <v>0.35409504550050558</v>
      </c>
      <c r="S54" s="1066">
        <f t="shared" ca="1" si="28"/>
        <v>0.39864598913642446</v>
      </c>
    </row>
    <row r="55" spans="2:19" ht="14.85" customHeight="1">
      <c r="D55" s="1065"/>
      <c r="E55" s="1065"/>
      <c r="F55" s="1065"/>
      <c r="G55" s="1065"/>
      <c r="H55" s="1071"/>
      <c r="I55" s="1065"/>
      <c r="N55" s="346"/>
      <c r="O55" s="346"/>
      <c r="P55" s="346"/>
      <c r="Q55" s="346"/>
      <c r="S55" s="346"/>
    </row>
    <row r="56" spans="2:19" ht="14.85" customHeight="1">
      <c r="B56" s="1091" t="s">
        <v>261</v>
      </c>
      <c r="C56" s="1091"/>
      <c r="D56" s="1092">
        <f ca="1">D54+D45</f>
        <v>14150</v>
      </c>
      <c r="E56" s="1092">
        <f ca="1">E54+E45</f>
        <v>14595</v>
      </c>
      <c r="F56" s="1092">
        <f ca="1">F54+F45</f>
        <v>15057</v>
      </c>
      <c r="G56" s="1092">
        <f ca="1">G54+G45</f>
        <v>14301</v>
      </c>
      <c r="H56" s="1093"/>
      <c r="I56" s="1092">
        <f ca="1">I54+I45</f>
        <v>13004</v>
      </c>
      <c r="L56" s="1091" t="str">
        <f>B56</f>
        <v>Total Liabilities &amp; Shareholders' Equity</v>
      </c>
      <c r="M56" s="1091"/>
      <c r="N56" s="1090">
        <f t="shared" ca="1" si="24"/>
        <v>0.98141212373422115</v>
      </c>
      <c r="O56" s="1090">
        <f t="shared" ca="1" si="24"/>
        <v>0.98296066810344829</v>
      </c>
      <c r="P56" s="1090">
        <f t="shared" ref="P56" ca="1" si="29">IF(ISERROR(F56/F$29), "n/a", F56/F$29)</f>
        <v>1.0269403901241303</v>
      </c>
      <c r="Q56" s="1090">
        <f t="shared" ref="Q56:S56" ca="1" si="30">IF(ISERROR(G56/G$29), "n/a", G56/G$29)</f>
        <v>0.96400404448938326</v>
      </c>
      <c r="R56" s="253"/>
      <c r="S56" s="1090">
        <f t="shared" ca="1" si="30"/>
        <v>1.0236951901125719</v>
      </c>
    </row>
    <row r="57" spans="2:19" ht="14.85" customHeight="1"/>
    <row r="58" spans="2:19" ht="14.85" customHeight="1">
      <c r="B58" s="351" t="s">
        <v>264</v>
      </c>
      <c r="C58" s="352"/>
      <c r="D58" s="352"/>
      <c r="E58" s="352"/>
      <c r="F58" s="352"/>
      <c r="G58" s="352"/>
      <c r="H58" s="352"/>
      <c r="I58" s="1094"/>
    </row>
    <row r="59" spans="2:19" ht="14.85" customHeight="1"/>
    <row r="60" spans="2:19" ht="14.85" customHeight="1">
      <c r="B60" s="250" t="s">
        <v>267</v>
      </c>
      <c r="D60" s="415">
        <v>10</v>
      </c>
      <c r="E60" s="415">
        <v>10</v>
      </c>
      <c r="F60" s="415">
        <v>10</v>
      </c>
      <c r="G60" s="415">
        <v>10</v>
      </c>
      <c r="H60" s="415"/>
      <c r="I60" s="415">
        <v>10</v>
      </c>
    </row>
    <row r="61" spans="2:19" ht="14.85" customHeight="1">
      <c r="B61" s="1095" t="s">
        <v>266</v>
      </c>
      <c r="C61" s="1096" t="s">
        <v>270</v>
      </c>
      <c r="D61" s="1097">
        <v>2</v>
      </c>
      <c r="E61" s="1097">
        <v>2</v>
      </c>
      <c r="F61" s="1097">
        <v>2</v>
      </c>
      <c r="G61" s="1097">
        <v>2</v>
      </c>
      <c r="H61" s="1097"/>
      <c r="I61" s="1097">
        <v>2</v>
      </c>
    </row>
    <row r="62" spans="2:19" s="724" customFormat="1" ht="14.85" customHeight="1">
      <c r="B62" s="1098"/>
      <c r="C62" s="761"/>
      <c r="D62" s="1099"/>
      <c r="E62" s="1099"/>
      <c r="F62" s="1099"/>
      <c r="G62" s="1099"/>
      <c r="H62" s="1100"/>
      <c r="I62" s="1099"/>
      <c r="L62" s="250"/>
      <c r="M62" s="250"/>
      <c r="N62" s="250"/>
      <c r="O62" s="250"/>
      <c r="P62" s="250"/>
      <c r="Q62" s="250"/>
      <c r="R62" s="250"/>
      <c r="S62" s="250"/>
    </row>
    <row r="63" spans="2:19" ht="14.85" customHeight="1">
      <c r="B63" s="253" t="s">
        <v>265</v>
      </c>
      <c r="C63" s="253"/>
      <c r="D63" s="412">
        <f>SUM(D60:D61)</f>
        <v>12</v>
      </c>
      <c r="E63" s="412">
        <f>SUM(E60:E61)</f>
        <v>12</v>
      </c>
      <c r="F63" s="412">
        <f>SUM(F60:F61)</f>
        <v>12</v>
      </c>
      <c r="G63" s="412">
        <f>SUM(G60:G61)</f>
        <v>12</v>
      </c>
      <c r="H63" s="253"/>
      <c r="I63" s="412">
        <f>SUM(I60:I61)</f>
        <v>12</v>
      </c>
    </row>
    <row r="64" spans="2:19" ht="14.85" customHeight="1"/>
    <row r="65" spans="1:14" ht="14.85" customHeight="1">
      <c r="B65" s="253" t="s">
        <v>268</v>
      </c>
      <c r="C65" s="253"/>
      <c r="D65" s="412">
        <f ca="1">D41+D36</f>
        <v>2734</v>
      </c>
      <c r="E65" s="412">
        <f ca="1">E41+E36</f>
        <v>2895</v>
      </c>
      <c r="F65" s="412">
        <f ca="1">F41+F36</f>
        <v>3703</v>
      </c>
      <c r="G65" s="412">
        <f ca="1">G41+G36</f>
        <v>2933</v>
      </c>
      <c r="H65" s="253"/>
      <c r="I65" s="412">
        <f ca="1">I41+I36</f>
        <v>2038</v>
      </c>
    </row>
    <row r="66" spans="1:14" ht="14.85" customHeight="1"/>
    <row r="67" spans="1:14" ht="14.85" customHeight="1">
      <c r="B67" s="356" t="s">
        <v>86</v>
      </c>
    </row>
    <row r="68" spans="1:14" ht="14.85" customHeight="1">
      <c r="B68" s="1074" t="s">
        <v>772</v>
      </c>
    </row>
    <row r="69" spans="1:14" ht="14.85" customHeight="1">
      <c r="B69" s="1074" t="s">
        <v>226</v>
      </c>
    </row>
    <row r="70" spans="1:14" ht="14.85" customHeight="1"/>
    <row r="71" spans="1:14" ht="14.85" customHeight="1"/>
    <row r="72" spans="1:14" ht="14.85" customHeight="1">
      <c r="A72" s="250">
        <v>0</v>
      </c>
      <c r="B72" s="1101" t="s">
        <v>263</v>
      </c>
      <c r="C72" s="822"/>
      <c r="D72" s="1102">
        <f ca="1">D56-D29</f>
        <v>-268</v>
      </c>
      <c r="E72" s="1102">
        <f ca="1">E56-E29</f>
        <v>-253</v>
      </c>
      <c r="F72" s="1102">
        <f ca="1">F56-F29</f>
        <v>395</v>
      </c>
      <c r="G72" s="1102">
        <f ca="1">G56-G29</f>
        <v>-534</v>
      </c>
      <c r="H72" s="822"/>
      <c r="I72" s="1103">
        <f ca="1">I56-I29</f>
        <v>301</v>
      </c>
      <c r="L72" s="675"/>
      <c r="M72" s="675"/>
      <c r="N72" s="467"/>
    </row>
    <row r="73" spans="1:14" ht="14.85" customHeight="1">
      <c r="B73" s="1104" t="s">
        <v>2277</v>
      </c>
      <c r="D73" s="1105" t="str">
        <f ca="1">IF(AND(D72=$A$72,E72=$A$72,F72=$A$72,G72=$A$72,I72=$A$72),"","Check")</f>
        <v>Check</v>
      </c>
    </row>
    <row r="74" spans="1:14" ht="14.85" customHeight="1"/>
    <row r="75" spans="1:14" ht="14.85" customHeight="1"/>
    <row r="76" spans="1:14" ht="14.85" customHeight="1"/>
    <row r="77" spans="1:14" ht="14.85" customHeight="1"/>
    <row r="78" spans="1:14" ht="14.85" customHeight="1"/>
    <row r="79" spans="1:14" ht="14.85" customHeight="1"/>
    <row r="80" spans="1:14"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L4:S4">
    <cfRule type="cellIs" dxfId="294" priority="3" stopIfTrue="1" operator="equal">
      <formula>"input"</formula>
    </cfRule>
  </conditionalFormatting>
  <conditionalFormatting sqref="I4">
    <cfRule type="cellIs" dxfId="293" priority="2" stopIfTrue="1" operator="equal">
      <formula>"input"</formula>
    </cfRule>
  </conditionalFormatting>
  <conditionalFormatting sqref="B4:H4">
    <cfRule type="cellIs" dxfId="292" priority="6" stopIfTrue="1" operator="equal">
      <formula>"input"</formula>
    </cfRule>
  </conditionalFormatting>
  <conditionalFormatting sqref="I4">
    <cfRule type="cellIs" dxfId="291" priority="1" stopIfTrue="1" operator="equal">
      <formula>"input"</formula>
    </cfRule>
  </conditionalFormatting>
  <pageMargins left="0.5" right="0.5" top="0.5" bottom="0.5" header="0.5" footer="0.5"/>
  <pageSetup scale="60" fitToWidth="0" fitToHeight="0" orientation="landscape" r:id="rId1"/>
  <colBreaks count="1" manualBreakCount="1">
    <brk id="10" max="67" man="1"/>
  </colBreaks>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theme="3" tint="-0.499984740745262"/>
    <pageSetUpPr fitToPage="1"/>
  </sheetPr>
  <dimension ref="A1:G30"/>
  <sheetViews>
    <sheetView showGridLines="0" view="pageBreakPreview" zoomScale="60" zoomScaleNormal="100" workbookViewId="0"/>
  </sheetViews>
  <sheetFormatPr defaultColWidth="9.33203125" defaultRowHeight="14.25"/>
  <cols>
    <col min="1" max="1" width="4.5" style="227" customWidth="1"/>
    <col min="2" max="2" width="3.83203125" style="227" customWidth="1"/>
    <col min="3" max="3" width="15.83203125" style="227" customWidth="1"/>
    <col min="4" max="4" width="105.33203125" style="244" customWidth="1"/>
    <col min="5" max="5" width="15.83203125" style="227" customWidth="1"/>
    <col min="6" max="6" width="3.83203125" style="227" customWidth="1"/>
    <col min="7" max="7" width="4.5" style="227" customWidth="1"/>
    <col min="8" max="8" width="9.33203125" style="303"/>
    <col min="9" max="9" width="16.33203125" style="303" bestFit="1" customWidth="1"/>
    <col min="10" max="10" width="19" style="303" bestFit="1" customWidth="1"/>
    <col min="11" max="16384" width="9.33203125" style="303"/>
  </cols>
  <sheetData>
    <row r="1" spans="1:7" ht="12.75">
      <c r="A1" s="303"/>
      <c r="B1" s="303"/>
      <c r="C1" s="303"/>
      <c r="D1" s="363"/>
      <c r="E1" s="303"/>
      <c r="F1" s="303"/>
      <c r="G1" s="303"/>
    </row>
    <row r="2" spans="1:7" ht="12.75">
      <c r="A2" s="303"/>
      <c r="B2" s="303"/>
      <c r="C2" s="303"/>
      <c r="D2" s="363"/>
      <c r="E2" s="303"/>
      <c r="F2" s="303"/>
      <c r="G2" s="303"/>
    </row>
    <row r="3" spans="1:7" ht="12.75">
      <c r="A3" s="303"/>
      <c r="B3" s="303"/>
      <c r="C3" s="303"/>
      <c r="D3" s="363"/>
      <c r="E3" s="303"/>
      <c r="F3" s="303"/>
      <c r="G3" s="303"/>
    </row>
    <row r="4" spans="1:7" ht="12.75">
      <c r="A4" s="303"/>
      <c r="B4" s="303"/>
      <c r="C4" s="303"/>
      <c r="D4" s="363"/>
      <c r="E4" s="303"/>
      <c r="F4" s="303"/>
      <c r="G4" s="303"/>
    </row>
    <row r="5" spans="1:7" ht="12.75">
      <c r="A5" s="303"/>
      <c r="B5" s="303"/>
      <c r="C5" s="303"/>
      <c r="D5" s="363"/>
      <c r="E5" s="303"/>
      <c r="F5" s="303"/>
      <c r="G5" s="303"/>
    </row>
    <row r="6" spans="1:7" ht="12.75">
      <c r="A6" s="303"/>
      <c r="B6" s="364"/>
      <c r="C6" s="365"/>
      <c r="D6" s="366"/>
      <c r="E6" s="365"/>
      <c r="F6" s="365"/>
      <c r="G6" s="303"/>
    </row>
    <row r="7" spans="1:7" ht="13.5" thickBot="1">
      <c r="A7" s="303"/>
      <c r="B7" s="364"/>
      <c r="C7" s="365"/>
      <c r="D7" s="366"/>
      <c r="E7" s="365"/>
      <c r="F7" s="365"/>
      <c r="G7" s="303"/>
    </row>
    <row r="8" spans="1:7" ht="15" thickTop="1">
      <c r="A8" s="303"/>
      <c r="B8" s="228"/>
      <c r="C8" s="229"/>
      <c r="D8" s="230"/>
      <c r="E8" s="229"/>
      <c r="F8" s="229"/>
      <c r="G8" s="303"/>
    </row>
    <row r="9" spans="1:7" ht="39.75">
      <c r="A9" s="303"/>
      <c r="B9" s="231"/>
      <c r="C9" s="233"/>
      <c r="D9" s="260" t="s">
        <v>496</v>
      </c>
      <c r="E9" s="233"/>
      <c r="F9" s="233"/>
      <c r="G9" s="234"/>
    </row>
    <row r="10" spans="1:7" ht="15" thickBot="1">
      <c r="A10" s="303"/>
      <c r="B10" s="241"/>
      <c r="C10" s="242"/>
      <c r="D10" s="243"/>
      <c r="E10" s="242"/>
      <c r="F10" s="242"/>
      <c r="G10" s="303"/>
    </row>
    <row r="11" spans="1:7" ht="13.5" thickTop="1">
      <c r="A11" s="303"/>
      <c r="B11" s="303"/>
      <c r="C11" s="303"/>
      <c r="D11" s="363"/>
      <c r="E11" s="303"/>
      <c r="F11" s="303"/>
      <c r="G11" s="303"/>
    </row>
    <row r="12" spans="1:7" ht="12.75">
      <c r="A12" s="303"/>
      <c r="B12" s="303"/>
      <c r="C12" s="303"/>
      <c r="D12" s="363"/>
      <c r="E12" s="303"/>
      <c r="F12" s="303"/>
      <c r="G12" s="303"/>
    </row>
    <row r="13" spans="1:7" ht="12.75">
      <c r="A13" s="303"/>
      <c r="B13" s="303"/>
      <c r="C13" s="303"/>
      <c r="D13" s="1106"/>
      <c r="E13" s="303"/>
      <c r="F13" s="303"/>
      <c r="G13" s="303"/>
    </row>
    <row r="14" spans="1:7" ht="18">
      <c r="A14" s="303"/>
      <c r="B14" s="303"/>
      <c r="C14" s="303"/>
      <c r="D14" s="246"/>
      <c r="E14" s="303"/>
      <c r="F14" s="303"/>
      <c r="G14" s="303"/>
    </row>
    <row r="15" spans="1:7" ht="12.75">
      <c r="A15" s="303"/>
      <c r="B15" s="303"/>
      <c r="C15" s="303"/>
      <c r="D15" s="363"/>
      <c r="E15" s="303"/>
      <c r="F15" s="303"/>
      <c r="G15" s="303"/>
    </row>
    <row r="16" spans="1:7" ht="12.75">
      <c r="A16" s="303"/>
      <c r="B16" s="303"/>
      <c r="C16" s="303"/>
      <c r="D16" s="363"/>
      <c r="E16" s="303"/>
      <c r="F16" s="303"/>
      <c r="G16" s="303"/>
    </row>
    <row r="17" spans="1:7" ht="12.75">
      <c r="A17" s="303"/>
      <c r="B17" s="303"/>
      <c r="C17" s="303"/>
      <c r="D17" s="363"/>
      <c r="E17" s="303"/>
      <c r="F17" s="303"/>
      <c r="G17" s="303"/>
    </row>
    <row r="18" spans="1:7" ht="12.75">
      <c r="A18" s="303"/>
      <c r="B18" s="303"/>
      <c r="C18" s="303"/>
      <c r="D18" s="363"/>
      <c r="E18" s="303"/>
      <c r="F18" s="303"/>
      <c r="G18" s="303"/>
    </row>
    <row r="19" spans="1:7" ht="12.75">
      <c r="A19" s="303"/>
      <c r="B19" s="303"/>
      <c r="C19" s="303"/>
      <c r="D19" s="363"/>
      <c r="E19" s="303"/>
      <c r="F19" s="303"/>
      <c r="G19" s="303"/>
    </row>
    <row r="20" spans="1:7" ht="12.75">
      <c r="A20" s="303"/>
      <c r="B20" s="303"/>
      <c r="C20" s="303"/>
      <c r="D20" s="363"/>
      <c r="E20" s="303"/>
      <c r="F20" s="303"/>
      <c r="G20" s="303"/>
    </row>
    <row r="21" spans="1:7" ht="12.75">
      <c r="A21" s="303"/>
      <c r="B21" s="303"/>
      <c r="C21" s="303"/>
      <c r="D21" s="363"/>
      <c r="E21" s="303"/>
      <c r="F21" s="303"/>
      <c r="G21" s="303"/>
    </row>
    <row r="22" spans="1:7" ht="12.75">
      <c r="A22" s="303"/>
      <c r="B22" s="303"/>
      <c r="C22" s="303"/>
      <c r="D22" s="363"/>
      <c r="E22" s="303"/>
      <c r="F22" s="303"/>
      <c r="G22" s="303"/>
    </row>
    <row r="23" spans="1:7" ht="12.75">
      <c r="A23" s="303"/>
      <c r="B23" s="303"/>
      <c r="C23" s="303"/>
      <c r="D23" s="363"/>
      <c r="E23" s="303"/>
      <c r="F23" s="303"/>
      <c r="G23" s="303"/>
    </row>
    <row r="24" spans="1:7" ht="12.75">
      <c r="A24" s="303"/>
      <c r="B24" s="303"/>
      <c r="C24" s="303"/>
      <c r="D24" s="363"/>
      <c r="E24" s="303"/>
      <c r="F24" s="303"/>
      <c r="G24" s="303"/>
    </row>
    <row r="25" spans="1:7" ht="12.75">
      <c r="A25" s="303"/>
      <c r="B25" s="303"/>
      <c r="C25" s="303"/>
      <c r="D25" s="363"/>
      <c r="E25" s="303"/>
      <c r="F25" s="303"/>
      <c r="G25" s="303"/>
    </row>
    <row r="26" spans="1:7" ht="12.75">
      <c r="A26" s="303"/>
      <c r="B26" s="303"/>
      <c r="C26" s="303"/>
      <c r="D26" s="363"/>
      <c r="E26" s="303"/>
      <c r="F26" s="303"/>
      <c r="G26" s="303"/>
    </row>
    <row r="27" spans="1:7" ht="23.25">
      <c r="A27" s="303"/>
      <c r="B27" s="303"/>
      <c r="C27" s="303"/>
      <c r="D27" s="247"/>
      <c r="E27" s="303"/>
      <c r="F27" s="303"/>
      <c r="G27" s="303"/>
    </row>
    <row r="28" spans="1:7" ht="12.75">
      <c r="A28" s="303"/>
      <c r="B28" s="303"/>
      <c r="C28" s="303"/>
      <c r="D28" s="363"/>
      <c r="E28" s="303"/>
      <c r="F28" s="303"/>
      <c r="G28" s="303"/>
    </row>
    <row r="29" spans="1:7" ht="18">
      <c r="A29" s="303"/>
      <c r="B29" s="303"/>
      <c r="C29" s="303"/>
      <c r="D29" s="248"/>
      <c r="E29" s="303"/>
      <c r="F29" s="303"/>
      <c r="G29" s="303"/>
    </row>
    <row r="30" spans="1:7" ht="36">
      <c r="A30" s="303"/>
      <c r="B30" s="303"/>
      <c r="C30" s="303"/>
      <c r="D30" s="249" t="s">
        <v>485</v>
      </c>
      <c r="E30" s="303"/>
      <c r="F30" s="303"/>
      <c r="G30" s="303"/>
    </row>
  </sheetData>
  <pageMargins left="0.5" right="0.5" top="0.5" bottom="0.5" header="0.5" footer="0.5"/>
  <pageSetup scale="99" orientation="landscape" r:id="rId1"/>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A1:AB764"/>
  <sheetViews>
    <sheetView showGridLines="0" view="pageBreakPreview" zoomScale="80" zoomScaleNormal="100" zoomScaleSheetLayoutView="80" workbookViewId="0"/>
  </sheetViews>
  <sheetFormatPr defaultRowHeight="12.75"/>
  <cols>
    <col min="1" max="1" width="4.5" style="250" customWidth="1"/>
    <col min="2" max="2" width="46" style="250" customWidth="1"/>
    <col min="3" max="3" width="2.83203125" style="250" customWidth="1"/>
    <col min="4" max="4" width="25.83203125" style="250" customWidth="1"/>
    <col min="5" max="5" width="2.83203125" style="250" customWidth="1"/>
    <col min="6" max="6" width="25.83203125" style="250" customWidth="1"/>
    <col min="7" max="7" width="2.83203125" style="250" customWidth="1"/>
    <col min="8" max="8" width="25.83203125" style="250" customWidth="1"/>
    <col min="9" max="9" width="2.83203125" style="250" customWidth="1"/>
    <col min="10" max="10" width="15.83203125" style="250" customWidth="1"/>
    <col min="11" max="11" width="4.5" style="250" customWidth="1"/>
    <col min="12" max="12" width="17.83203125" style="250" bestFit="1" customWidth="1"/>
    <col min="13" max="13" width="46" style="250" customWidth="1"/>
    <col min="14" max="14" width="9.33203125" style="250"/>
    <col min="15" max="15" width="12" style="250" customWidth="1"/>
    <col min="16" max="16" width="9.33203125" style="250"/>
    <col min="17" max="17" width="13.83203125" style="250" customWidth="1"/>
    <col min="18" max="20" width="9.33203125" style="250"/>
    <col min="21" max="21" width="17.83203125" style="250" bestFit="1" customWidth="1"/>
    <col min="22" max="22" width="46" style="250" customWidth="1"/>
    <col min="23" max="23" width="9.33203125" style="250"/>
    <col min="24" max="24" width="12" style="250" customWidth="1"/>
    <col min="25" max="25" width="9.33203125" style="250"/>
    <col min="26" max="26" width="13.83203125" style="250" customWidth="1"/>
    <col min="27" max="16384" width="9.33203125" style="250"/>
  </cols>
  <sheetData>
    <row r="1" spans="2:13" ht="10.7" customHeight="1" thickBot="1"/>
    <row r="2" spans="2:13" ht="16.5" customHeight="1" thickTop="1">
      <c r="B2" s="258" t="str">
        <f>'MASTER PubCo Inputs'!$C$5</f>
        <v>ABC, Inc.</v>
      </c>
      <c r="C2" s="258"/>
      <c r="D2" s="258"/>
      <c r="E2" s="258"/>
      <c r="F2" s="258"/>
      <c r="G2" s="258"/>
      <c r="H2" s="258"/>
      <c r="I2" s="258"/>
      <c r="J2" s="258"/>
    </row>
    <row r="3" spans="2:13" ht="15.75" customHeight="1">
      <c r="B3" s="259" t="str">
        <f>VLOOKUP(B4,Outline!$E$8:$G$79,COLUMNS(Outline!$E$8:$G$8),FALSE)</f>
        <v>Exhibit D.1</v>
      </c>
      <c r="C3" s="259"/>
      <c r="D3" s="259"/>
      <c r="E3" s="259"/>
      <c r="F3" s="259"/>
      <c r="G3" s="259"/>
      <c r="H3" s="259"/>
      <c r="I3" s="259"/>
      <c r="J3" s="259"/>
    </row>
    <row r="4" spans="2:13" ht="16.5" customHeight="1" thickBot="1">
      <c r="B4" s="924" t="s">
        <v>334</v>
      </c>
      <c r="C4" s="924"/>
      <c r="D4" s="924"/>
      <c r="E4" s="924"/>
      <c r="F4" s="924"/>
      <c r="G4" s="924"/>
      <c r="H4" s="924"/>
      <c r="I4" s="925"/>
      <c r="J4" s="925"/>
    </row>
    <row r="5" spans="2:13" s="467" customFormat="1" ht="14.85" customHeight="1" thickTop="1">
      <c r="B5" s="250"/>
      <c r="C5" s="250"/>
      <c r="D5" s="250"/>
      <c r="E5" s="250"/>
      <c r="F5" s="250"/>
      <c r="G5" s="250"/>
      <c r="H5" s="250"/>
      <c r="I5" s="250"/>
      <c r="J5" s="250"/>
      <c r="K5" s="250"/>
    </row>
    <row r="6" spans="2:13" ht="14.85" customHeight="1"/>
    <row r="7" spans="2:13" s="272" customFormat="1" ht="14.85" customHeight="1">
      <c r="B7" s="1107" t="s">
        <v>290</v>
      </c>
      <c r="C7" s="250"/>
      <c r="D7" s="1108" t="s">
        <v>286</v>
      </c>
      <c r="E7" s="1109"/>
      <c r="F7" s="1109" t="s">
        <v>287</v>
      </c>
      <c r="G7" s="1109"/>
      <c r="H7" s="1110" t="s">
        <v>288</v>
      </c>
      <c r="I7" s="250"/>
      <c r="J7" s="1111" t="s">
        <v>70</v>
      </c>
      <c r="L7" s="1112" t="s">
        <v>87</v>
      </c>
      <c r="M7" s="1113">
        <f>'MASTER PubCo Inputs'!$C$6</f>
        <v>42735</v>
      </c>
    </row>
    <row r="8" spans="2:13" ht="14.85" customHeight="1">
      <c r="F8" s="724"/>
    </row>
    <row r="9" spans="2:13" ht="14.85" customHeight="1">
      <c r="B9" s="274" t="s">
        <v>95</v>
      </c>
      <c r="D9" s="416">
        <f>H21</f>
        <v>2.8919999999999998E-2</v>
      </c>
      <c r="E9" s="491"/>
      <c r="F9" s="416">
        <f>1-F10</f>
        <v>2.9042562404868466E-4</v>
      </c>
      <c r="G9" s="491"/>
      <c r="H9" s="416">
        <f>F9*D9</f>
        <v>8.3991090474879605E-6</v>
      </c>
      <c r="J9" s="330"/>
    </row>
    <row r="10" spans="2:13" ht="14.85" customHeight="1">
      <c r="B10" s="274" t="s">
        <v>285</v>
      </c>
      <c r="D10" s="416">
        <f>H34</f>
        <v>0.25076787960434199</v>
      </c>
      <c r="E10" s="491"/>
      <c r="F10" s="1114">
        <f>'Beta Calc'!V44</f>
        <v>0.99970957437595132</v>
      </c>
      <c r="G10" s="491"/>
      <c r="H10" s="416">
        <f>F10*D10</f>
        <v>0.25069505018641652</v>
      </c>
      <c r="J10" s="330" t="s">
        <v>270</v>
      </c>
    </row>
    <row r="11" spans="2:13" ht="14.85" customHeight="1">
      <c r="B11" s="346"/>
      <c r="C11" s="346"/>
      <c r="D11" s="1115"/>
      <c r="E11" s="1115"/>
      <c r="F11" s="1115"/>
      <c r="G11" s="1115"/>
      <c r="H11" s="1115"/>
    </row>
    <row r="12" spans="2:13" ht="14.85" customHeight="1">
      <c r="B12" s="1082" t="s">
        <v>304</v>
      </c>
      <c r="C12" s="1082"/>
      <c r="D12" s="1116"/>
      <c r="E12" s="1116"/>
      <c r="F12" s="1116"/>
      <c r="G12" s="1116"/>
      <c r="H12" s="1117">
        <f>SUM(H9:H10)</f>
        <v>0.25070344929546401</v>
      </c>
    </row>
    <row r="13" spans="2:13" ht="14.85" customHeight="1"/>
    <row r="14" spans="2:13" ht="14.85" customHeight="1">
      <c r="B14" s="351" t="s">
        <v>305</v>
      </c>
      <c r="C14" s="352"/>
      <c r="D14" s="352"/>
      <c r="E14" s="352"/>
      <c r="F14" s="352"/>
      <c r="G14" s="352"/>
      <c r="H14" s="1118">
        <f>ROUND(H12,2)</f>
        <v>0.25</v>
      </c>
      <c r="J14" s="251"/>
    </row>
    <row r="15" spans="2:13" ht="14.85" customHeight="1"/>
    <row r="16" spans="2:13" s="724" customFormat="1" ht="14.85" customHeight="1">
      <c r="B16" s="1119" t="s">
        <v>289</v>
      </c>
      <c r="C16" s="1120"/>
      <c r="D16" s="1120"/>
      <c r="E16" s="1120"/>
      <c r="F16" s="1120"/>
      <c r="G16" s="1120"/>
      <c r="H16" s="1121"/>
    </row>
    <row r="17" spans="2:13" ht="14.85" customHeight="1"/>
    <row r="18" spans="2:13" ht="14.85" customHeight="1">
      <c r="B18" s="250" t="s">
        <v>1779</v>
      </c>
      <c r="H18" s="1122">
        <f>M18</f>
        <v>4.82E-2</v>
      </c>
      <c r="J18" s="1123" t="s">
        <v>269</v>
      </c>
      <c r="L18" s="250" t="s">
        <v>306</v>
      </c>
      <c r="M18" s="491">
        <f>'Capital IQ Sheet-GPC'!C71</f>
        <v>4.82E-2</v>
      </c>
    </row>
    <row r="19" spans="2:13" ht="14.85" customHeight="1">
      <c r="B19" s="250" t="s">
        <v>291</v>
      </c>
      <c r="H19" s="1124">
        <f>'MASTER PubCo Inputs'!C9</f>
        <v>0.4</v>
      </c>
      <c r="J19" s="251" t="str">
        <f>DCF!$B$3</f>
        <v>Exhibit C.1</v>
      </c>
    </row>
    <row r="20" spans="2:13" ht="14.85" customHeight="1">
      <c r="B20" s="346"/>
      <c r="C20" s="346"/>
      <c r="D20" s="346"/>
      <c r="E20" s="346"/>
      <c r="F20" s="346"/>
      <c r="G20" s="346"/>
      <c r="H20" s="1115"/>
    </row>
    <row r="21" spans="2:13" ht="14.85" customHeight="1">
      <c r="B21" s="1082" t="s">
        <v>292</v>
      </c>
      <c r="C21" s="1084"/>
      <c r="D21" s="1084"/>
      <c r="E21" s="1084"/>
      <c r="F21" s="1084"/>
      <c r="G21" s="1084"/>
      <c r="H21" s="1117">
        <f>H18*(1-H19)</f>
        <v>2.8919999999999998E-2</v>
      </c>
    </row>
    <row r="22" spans="2:13" ht="14.85" customHeight="1"/>
    <row r="23" spans="2:13" ht="14.85" customHeight="1">
      <c r="B23" s="1119" t="s">
        <v>293</v>
      </c>
      <c r="C23" s="1120"/>
      <c r="D23" s="1120"/>
      <c r="E23" s="1120"/>
      <c r="F23" s="1120"/>
      <c r="G23" s="1120"/>
      <c r="H23" s="1121"/>
    </row>
    <row r="24" spans="2:13" ht="14.85" customHeight="1"/>
    <row r="25" spans="2:13" ht="14.85" customHeight="1">
      <c r="B25" s="250" t="s">
        <v>294</v>
      </c>
      <c r="D25" s="724"/>
      <c r="E25" s="724"/>
      <c r="F25" s="724"/>
      <c r="H25" s="1125">
        <f>'Beta Calc'!I44</f>
        <v>1.1548960391368028</v>
      </c>
      <c r="J25" s="251" t="str">
        <f>'Beta Calc'!$B$3</f>
        <v>Exhibit D.2</v>
      </c>
      <c r="L25" s="250" t="s">
        <v>307</v>
      </c>
    </row>
    <row r="26" spans="2:13" ht="14.85" customHeight="1">
      <c r="B26" s="250" t="s">
        <v>295</v>
      </c>
      <c r="F26" s="1126" t="s">
        <v>297</v>
      </c>
      <c r="H26" s="1127">
        <f>H25*(1+(1-H19)*(F9)/F10)</f>
        <v>1.1550973444427486</v>
      </c>
      <c r="J26" s="1123" t="s">
        <v>308</v>
      </c>
    </row>
    <row r="27" spans="2:13" ht="14.85" customHeight="1">
      <c r="B27" s="250" t="s">
        <v>296</v>
      </c>
      <c r="F27" s="1126" t="s">
        <v>298</v>
      </c>
      <c r="H27" s="1128">
        <f>H67</f>
        <v>6.0400000000000002E-2</v>
      </c>
      <c r="J27" s="1123" t="s">
        <v>309</v>
      </c>
    </row>
    <row r="28" spans="2:13" ht="14.85" customHeight="1">
      <c r="F28" s="1126"/>
      <c r="H28" s="1129"/>
      <c r="J28" s="724"/>
    </row>
    <row r="29" spans="2:13" ht="14.85" customHeight="1">
      <c r="B29" s="250" t="s">
        <v>300</v>
      </c>
      <c r="F29" s="1126" t="s">
        <v>299</v>
      </c>
      <c r="H29" s="333">
        <f>H26*H27</f>
        <v>6.9767879604342012E-2</v>
      </c>
    </row>
    <row r="30" spans="2:13" ht="14.85" customHeight="1">
      <c r="B30" s="250" t="s">
        <v>72</v>
      </c>
      <c r="H30" s="1130">
        <f>'Risk-Free Rates'!$E$18</f>
        <v>2.7300000000000001E-2</v>
      </c>
      <c r="J30" s="251" t="str">
        <f>'Risk-Free Rates'!$B$3</f>
        <v>Exhibit H.9</v>
      </c>
    </row>
    <row r="31" spans="2:13" ht="14.85" customHeight="1">
      <c r="B31" s="250" t="s">
        <v>301</v>
      </c>
      <c r="H31" s="1128">
        <f>H61</f>
        <v>5.3699999999999998E-2</v>
      </c>
      <c r="J31" s="1123" t="s">
        <v>310</v>
      </c>
    </row>
    <row r="32" spans="2:13" ht="14.85" customHeight="1">
      <c r="B32" s="250" t="s">
        <v>302</v>
      </c>
      <c r="H32" s="1128">
        <v>0.1</v>
      </c>
      <c r="J32" s="1123" t="s">
        <v>335</v>
      </c>
    </row>
    <row r="33" spans="1:28" ht="14.85" customHeight="1">
      <c r="B33" s="346"/>
      <c r="C33" s="346"/>
      <c r="D33" s="346"/>
      <c r="E33" s="346"/>
      <c r="F33" s="346"/>
      <c r="G33" s="346"/>
      <c r="H33" s="346"/>
    </row>
    <row r="34" spans="1:28" ht="14.85" customHeight="1">
      <c r="B34" s="1082" t="s">
        <v>303</v>
      </c>
      <c r="C34" s="1084"/>
      <c r="D34" s="1084"/>
      <c r="E34" s="1084"/>
      <c r="F34" s="1084"/>
      <c r="G34" s="1084"/>
      <c r="H34" s="1117">
        <f>SUM(H29:H32)</f>
        <v>0.25076787960434199</v>
      </c>
    </row>
    <row r="35" spans="1:28" ht="14.85" customHeight="1"/>
    <row r="36" spans="1:28" ht="14.85" customHeight="1">
      <c r="B36" s="356" t="s">
        <v>86</v>
      </c>
    </row>
    <row r="37" spans="1:28" ht="14.85" customHeight="1">
      <c r="A37" s="876" t="s">
        <v>270</v>
      </c>
      <c r="B37" s="1131" t="s">
        <v>1148</v>
      </c>
    </row>
    <row r="38" spans="1:28" ht="14.85" customHeight="1">
      <c r="A38" s="876" t="s">
        <v>269</v>
      </c>
      <c r="B38" s="1131" t="s">
        <v>1149</v>
      </c>
    </row>
    <row r="39" spans="1:28" ht="14.85" customHeight="1">
      <c r="A39" s="876" t="s">
        <v>308</v>
      </c>
      <c r="B39" s="1131" t="s">
        <v>1150</v>
      </c>
    </row>
    <row r="40" spans="1:28" ht="14.85" customHeight="1">
      <c r="A40" s="876" t="s">
        <v>309</v>
      </c>
      <c r="B40" s="1132" t="s">
        <v>2541</v>
      </c>
    </row>
    <row r="41" spans="1:28" ht="14.85" customHeight="1">
      <c r="A41" s="876" t="s">
        <v>310</v>
      </c>
      <c r="B41" s="1132" t="s">
        <v>2542</v>
      </c>
    </row>
    <row r="42" spans="1:28" ht="14.85" customHeight="1">
      <c r="A42" s="876" t="s">
        <v>335</v>
      </c>
      <c r="B42" s="1132" t="s">
        <v>1151</v>
      </c>
    </row>
    <row r="43" spans="1:28" ht="14.85" customHeight="1">
      <c r="A43" s="876" t="s">
        <v>336</v>
      </c>
      <c r="B43" s="1131" t="s">
        <v>1778</v>
      </c>
    </row>
    <row r="44" spans="1:28" ht="14.85" customHeight="1">
      <c r="A44" s="876"/>
      <c r="B44" s="1133"/>
    </row>
    <row r="45" spans="1:28" ht="14.85" customHeight="1">
      <c r="A45" s="456"/>
    </row>
    <row r="46" spans="1:28" ht="14.85" customHeight="1">
      <c r="A46" s="1134" t="s">
        <v>2540</v>
      </c>
      <c r="B46" s="1135"/>
      <c r="C46" s="1136"/>
      <c r="D46" s="1137" t="s">
        <v>1838</v>
      </c>
      <c r="E46" s="1136"/>
      <c r="F46" s="1137" t="s">
        <v>1839</v>
      </c>
      <c r="G46" s="1136"/>
      <c r="H46" s="1138" t="s">
        <v>939</v>
      </c>
      <c r="L46" s="1134" t="s">
        <v>1840</v>
      </c>
      <c r="M46" s="1135"/>
      <c r="N46" s="1136"/>
      <c r="O46" s="1137" t="s">
        <v>1838</v>
      </c>
      <c r="P46" s="1136"/>
      <c r="Q46" s="1137" t="s">
        <v>1839</v>
      </c>
      <c r="R46" s="1136"/>
      <c r="S46" s="1138" t="s">
        <v>939</v>
      </c>
      <c r="U46" s="1134" t="s">
        <v>976</v>
      </c>
      <c r="V46" s="1135"/>
      <c r="W46" s="1136"/>
      <c r="X46" s="1137" t="s">
        <v>1838</v>
      </c>
      <c r="Y46" s="1136"/>
      <c r="Z46" s="1137" t="s">
        <v>1839</v>
      </c>
      <c r="AA46" s="1136"/>
      <c r="AB46" s="1138" t="s">
        <v>939</v>
      </c>
    </row>
    <row r="47" spans="1:28" ht="14.85" customHeight="1">
      <c r="A47" s="1139" t="s">
        <v>940</v>
      </c>
      <c r="B47" s="1140"/>
      <c r="C47" s="467"/>
      <c r="D47" s="1141">
        <v>2763.7190000000001</v>
      </c>
      <c r="E47" s="467"/>
      <c r="F47" s="1141">
        <v>11978.971</v>
      </c>
      <c r="G47" s="467"/>
      <c r="H47" s="1142">
        <v>9.5999999999999992E-3</v>
      </c>
      <c r="L47" s="1139" t="s">
        <v>940</v>
      </c>
      <c r="M47" s="1140"/>
      <c r="N47" s="467"/>
      <c r="O47" s="1141">
        <v>2392.6889999999999</v>
      </c>
      <c r="P47" s="467"/>
      <c r="Q47" s="1141">
        <v>10711.194</v>
      </c>
      <c r="R47" s="467"/>
      <c r="S47" s="1142">
        <v>1.0200000000000001E-2</v>
      </c>
      <c r="U47" s="1139" t="s">
        <v>940</v>
      </c>
      <c r="V47" s="1140"/>
      <c r="W47" s="467"/>
      <c r="X47" s="1141">
        <v>2090.5659999999998</v>
      </c>
      <c r="Y47" s="467"/>
      <c r="Z47" s="1141">
        <v>9611.1869999999999</v>
      </c>
      <c r="AA47" s="467"/>
      <c r="AB47" s="1142">
        <v>0.01</v>
      </c>
    </row>
    <row r="48" spans="1:28" ht="14.85" customHeight="1">
      <c r="A48" s="1139" t="s">
        <v>941</v>
      </c>
      <c r="B48" s="1140"/>
      <c r="C48" s="467"/>
      <c r="D48" s="1141">
        <v>657.70500000000004</v>
      </c>
      <c r="E48" s="467"/>
      <c r="F48" s="1141">
        <v>2759.9389999999999</v>
      </c>
      <c r="G48" s="467"/>
      <c r="H48" s="1142">
        <v>1.6400000000000001E-2</v>
      </c>
      <c r="L48" s="1139" t="s">
        <v>941</v>
      </c>
      <c r="M48" s="1140"/>
      <c r="N48" s="467"/>
      <c r="O48" s="1141">
        <v>569.279</v>
      </c>
      <c r="P48" s="467"/>
      <c r="Q48" s="1141">
        <v>2390.8989999999999</v>
      </c>
      <c r="R48" s="467"/>
      <c r="S48" s="1142">
        <v>1.7500000000000002E-2</v>
      </c>
      <c r="U48" s="1139" t="s">
        <v>941</v>
      </c>
      <c r="V48" s="1140"/>
      <c r="W48" s="467"/>
      <c r="X48" s="1141">
        <v>448.50200000000001</v>
      </c>
      <c r="Y48" s="467"/>
      <c r="Z48" s="1141">
        <v>2083.6019999999999</v>
      </c>
      <c r="AA48" s="467"/>
      <c r="AB48" s="1142">
        <v>1.7000000000000001E-2</v>
      </c>
    </row>
    <row r="49" spans="1:28" ht="14.85" customHeight="1">
      <c r="A49" s="1139" t="s">
        <v>942</v>
      </c>
      <c r="B49" s="1140"/>
      <c r="C49" s="467"/>
      <c r="D49" s="1141">
        <v>2.5310000000000001</v>
      </c>
      <c r="E49" s="467"/>
      <c r="F49" s="1141">
        <v>656.84500000000003</v>
      </c>
      <c r="G49" s="467"/>
      <c r="H49" s="1142">
        <v>3.4799999999999998E-2</v>
      </c>
      <c r="L49" s="1139" t="s">
        <v>942</v>
      </c>
      <c r="M49" s="1140"/>
      <c r="N49" s="467"/>
      <c r="O49" s="1141">
        <v>2.516</v>
      </c>
      <c r="P49" s="467"/>
      <c r="Q49" s="1141">
        <v>567.84299999999996</v>
      </c>
      <c r="R49" s="467"/>
      <c r="S49" s="1142">
        <v>3.6700000000000003E-2</v>
      </c>
      <c r="U49" s="1139" t="s">
        <v>942</v>
      </c>
      <c r="V49" s="1140"/>
      <c r="W49" s="467"/>
      <c r="X49" s="1141">
        <v>1.9630000000000001</v>
      </c>
      <c r="Y49" s="467"/>
      <c r="Z49" s="1141">
        <v>448.07900000000001</v>
      </c>
      <c r="AA49" s="467"/>
      <c r="AB49" s="1142">
        <v>3.5799999999999998E-2</v>
      </c>
    </row>
    <row r="50" spans="1:28" ht="14.85" customHeight="1">
      <c r="A50" s="1139"/>
      <c r="B50" s="1140"/>
      <c r="C50" s="467"/>
      <c r="D50" s="1140"/>
      <c r="E50" s="467"/>
      <c r="F50" s="1140"/>
      <c r="G50" s="467"/>
      <c r="H50" s="1143"/>
      <c r="L50" s="1139"/>
      <c r="M50" s="1140"/>
      <c r="N50" s="467"/>
      <c r="O50" s="1140"/>
      <c r="P50" s="467"/>
      <c r="Q50" s="1140"/>
      <c r="R50" s="467"/>
      <c r="S50" s="1143"/>
      <c r="U50" s="1139"/>
      <c r="V50" s="1140"/>
      <c r="W50" s="467"/>
      <c r="X50" s="1140"/>
      <c r="Y50" s="467"/>
      <c r="Z50" s="1140"/>
      <c r="AA50" s="467"/>
      <c r="AB50" s="1143"/>
    </row>
    <row r="51" spans="1:28" ht="14.85" customHeight="1">
      <c r="A51" s="1139" t="s">
        <v>943</v>
      </c>
      <c r="B51" s="1140"/>
      <c r="C51" s="467"/>
      <c r="D51" s="1140"/>
      <c r="E51" s="467"/>
      <c r="F51" s="1140"/>
      <c r="G51" s="467"/>
      <c r="H51" s="1143"/>
      <c r="L51" s="1139" t="s">
        <v>943</v>
      </c>
      <c r="M51" s="1140"/>
      <c r="N51" s="467"/>
      <c r="O51" s="1140"/>
      <c r="P51" s="467"/>
      <c r="Q51" s="1140"/>
      <c r="R51" s="467"/>
      <c r="S51" s="1143"/>
      <c r="U51" s="1139" t="s">
        <v>943</v>
      </c>
      <c r="V51" s="1140"/>
      <c r="W51" s="467"/>
      <c r="X51" s="1140"/>
      <c r="Y51" s="467"/>
      <c r="Z51" s="1140"/>
      <c r="AA51" s="467"/>
      <c r="AB51" s="1143"/>
    </row>
    <row r="52" spans="1:28" ht="14.85" customHeight="1">
      <c r="A52" s="1139" t="s">
        <v>938</v>
      </c>
      <c r="B52" s="1140"/>
      <c r="C52" s="467"/>
      <c r="D52" s="1141">
        <v>25142.833999999999</v>
      </c>
      <c r="E52" s="467"/>
      <c r="F52" s="1141">
        <v>790050.07299999997</v>
      </c>
      <c r="G52" s="467"/>
      <c r="H52" s="1142">
        <v>0</v>
      </c>
      <c r="L52" s="1139" t="s">
        <v>938</v>
      </c>
      <c r="M52" s="1140"/>
      <c r="N52" s="467"/>
      <c r="O52" s="1141">
        <v>24361.659</v>
      </c>
      <c r="P52" s="467"/>
      <c r="Q52" s="1141">
        <v>609163.49800000002</v>
      </c>
      <c r="R52" s="467"/>
      <c r="S52" s="1142">
        <v>-3.5000000000000001E-3</v>
      </c>
      <c r="U52" s="1139" t="s">
        <v>938</v>
      </c>
      <c r="V52" s="1140"/>
      <c r="W52" s="467"/>
      <c r="X52" s="1141">
        <v>22035.312999999998</v>
      </c>
      <c r="Y52" s="467"/>
      <c r="Z52" s="1141">
        <v>629010.25399999996</v>
      </c>
      <c r="AA52" s="467"/>
      <c r="AB52" s="1142">
        <v>-3.5999999999999999E-3</v>
      </c>
    </row>
    <row r="53" spans="1:28" ht="14.85" customHeight="1">
      <c r="A53" s="1139">
        <v>2</v>
      </c>
      <c r="B53" s="1140"/>
      <c r="C53" s="467"/>
      <c r="D53" s="1141">
        <v>12067.589</v>
      </c>
      <c r="E53" s="467"/>
      <c r="F53" s="1141">
        <v>25096.258000000002</v>
      </c>
      <c r="G53" s="467"/>
      <c r="H53" s="1142">
        <v>5.5999999999999999E-3</v>
      </c>
      <c r="L53" s="1139">
        <v>2</v>
      </c>
      <c r="M53" s="1140"/>
      <c r="N53" s="467"/>
      <c r="O53" s="1141">
        <v>10784.101000000001</v>
      </c>
      <c r="P53" s="467"/>
      <c r="Q53" s="1141">
        <v>24233.746999999999</v>
      </c>
      <c r="R53" s="467"/>
      <c r="S53" s="1142">
        <v>6.1000000000000004E-3</v>
      </c>
      <c r="U53" s="1139">
        <v>2</v>
      </c>
      <c r="V53" s="1140"/>
      <c r="W53" s="467"/>
      <c r="X53" s="1141">
        <v>9618.0529999999999</v>
      </c>
      <c r="Y53" s="467"/>
      <c r="Z53" s="1141">
        <v>21809.433000000001</v>
      </c>
      <c r="AA53" s="467"/>
      <c r="AB53" s="1142">
        <v>5.7000000000000002E-3</v>
      </c>
    </row>
    <row r="54" spans="1:28" ht="14.85" customHeight="1">
      <c r="A54" s="1139">
        <v>3</v>
      </c>
      <c r="B54" s="1140"/>
      <c r="C54" s="467"/>
      <c r="D54" s="1141">
        <v>6557.5190000000002</v>
      </c>
      <c r="F54" s="467">
        <v>11978.971</v>
      </c>
      <c r="G54" s="467"/>
      <c r="H54" s="1142">
        <v>8.6999999999999994E-3</v>
      </c>
      <c r="L54" s="1139">
        <v>3</v>
      </c>
      <c r="M54" s="1140"/>
      <c r="N54" s="467"/>
      <c r="O54" s="1141">
        <v>5683.991</v>
      </c>
      <c r="Q54" s="467">
        <v>10711.194</v>
      </c>
      <c r="R54" s="467"/>
      <c r="S54" s="1142">
        <v>8.8999999999999999E-3</v>
      </c>
      <c r="U54" s="1139">
        <v>3</v>
      </c>
      <c r="V54" s="1140"/>
      <c r="W54" s="467"/>
      <c r="X54" s="1141">
        <v>5205.8410000000003</v>
      </c>
      <c r="Z54" s="467">
        <v>9611.1869999999999</v>
      </c>
      <c r="AA54" s="467"/>
      <c r="AB54" s="1142">
        <v>8.6E-3</v>
      </c>
    </row>
    <row r="55" spans="1:28" ht="14.85" customHeight="1">
      <c r="A55" s="1139">
        <v>4</v>
      </c>
      <c r="B55" s="1140"/>
      <c r="C55" s="467"/>
      <c r="D55" s="1141">
        <v>4097.96</v>
      </c>
      <c r="F55" s="467">
        <v>6545.5479999999998</v>
      </c>
      <c r="G55" s="467"/>
      <c r="H55" s="1142">
        <v>8.9999999999999993E-3</v>
      </c>
      <c r="L55" s="1139">
        <v>4</v>
      </c>
      <c r="M55" s="1140"/>
      <c r="N55" s="467"/>
      <c r="O55" s="1141">
        <v>3520.5659999999998</v>
      </c>
      <c r="Q55" s="467">
        <v>5676.7160000000003</v>
      </c>
      <c r="R55" s="467"/>
      <c r="S55" s="1142">
        <v>9.7999999999999997E-3</v>
      </c>
      <c r="U55" s="1139">
        <v>4</v>
      </c>
      <c r="V55" s="1140"/>
      <c r="W55" s="467"/>
      <c r="X55" s="1141">
        <v>3195.8180000000002</v>
      </c>
      <c r="Z55" s="467">
        <v>5199.9520000000002</v>
      </c>
      <c r="AA55" s="467"/>
      <c r="AB55" s="1142">
        <v>9.9000000000000008E-3</v>
      </c>
    </row>
    <row r="56" spans="1:28" ht="14.85" customHeight="1">
      <c r="A56" s="1139">
        <v>5</v>
      </c>
      <c r="B56" s="1140"/>
      <c r="C56" s="467"/>
      <c r="D56" s="1141">
        <v>2763.7190000000001</v>
      </c>
      <c r="E56" s="467"/>
      <c r="F56" s="1141">
        <v>4091.971</v>
      </c>
      <c r="G56" s="467"/>
      <c r="H56" s="1142">
        <v>1.38E-2</v>
      </c>
      <c r="L56" s="1139">
        <v>5</v>
      </c>
      <c r="M56" s="1140"/>
      <c r="N56" s="467"/>
      <c r="O56" s="1141">
        <v>2392.6889999999999</v>
      </c>
      <c r="P56" s="467"/>
      <c r="Q56" s="1141">
        <v>3512.913</v>
      </c>
      <c r="R56" s="467"/>
      <c r="S56" s="1142">
        <v>1.5100000000000001E-2</v>
      </c>
      <c r="U56" s="1139">
        <v>5</v>
      </c>
      <c r="V56" s="1140"/>
      <c r="W56" s="467"/>
      <c r="X56" s="1141">
        <v>2090.5659999999998</v>
      </c>
      <c r="Y56" s="467"/>
      <c r="Z56" s="1141">
        <v>3187.48</v>
      </c>
      <c r="AA56" s="467"/>
      <c r="AB56" s="1142">
        <v>1.49E-2</v>
      </c>
    </row>
    <row r="57" spans="1:28" ht="14.85" customHeight="1">
      <c r="A57" s="1139">
        <v>6</v>
      </c>
      <c r="B57" s="1140"/>
      <c r="C57" s="467"/>
      <c r="D57" s="1141">
        <v>1815.68</v>
      </c>
      <c r="E57" s="467"/>
      <c r="F57" s="1141">
        <v>2759.9389999999999</v>
      </c>
      <c r="G57" s="467"/>
      <c r="H57" s="1142">
        <v>1.6E-2</v>
      </c>
      <c r="L57" s="1139">
        <v>6</v>
      </c>
      <c r="M57" s="1140"/>
      <c r="N57" s="467"/>
      <c r="O57" s="1141">
        <v>1571.193</v>
      </c>
      <c r="P57" s="467"/>
      <c r="Q57" s="1141">
        <v>2390.8989999999999</v>
      </c>
      <c r="R57" s="467"/>
      <c r="S57" s="1142">
        <v>1.66E-2</v>
      </c>
      <c r="U57" s="1139">
        <v>6</v>
      </c>
      <c r="V57" s="1140"/>
      <c r="W57" s="467"/>
      <c r="X57" s="1141">
        <v>1400.931</v>
      </c>
      <c r="Y57" s="467"/>
      <c r="Z57" s="1141">
        <v>2083.6419999999998</v>
      </c>
      <c r="AA57" s="467"/>
      <c r="AB57" s="1142">
        <v>1.6299999999999999E-2</v>
      </c>
    </row>
    <row r="58" spans="1:28" ht="14.85" customHeight="1">
      <c r="A58" s="1139">
        <v>7</v>
      </c>
      <c r="B58" s="1140"/>
      <c r="C58" s="467"/>
      <c r="D58" s="1141">
        <v>1175.3689999999999</v>
      </c>
      <c r="E58" s="467"/>
      <c r="F58" s="1141">
        <v>1814.568</v>
      </c>
      <c r="G58" s="467"/>
      <c r="H58" s="1142">
        <v>1.5800000000000002E-2</v>
      </c>
      <c r="L58" s="1139">
        <v>7</v>
      </c>
      <c r="M58" s="1140"/>
      <c r="N58" s="467"/>
      <c r="O58" s="1141">
        <v>1033.3409999999999</v>
      </c>
      <c r="P58" s="467"/>
      <c r="Q58" s="1141">
        <v>1569.9839999999999</v>
      </c>
      <c r="R58" s="467"/>
      <c r="S58" s="1142">
        <v>1.72E-2</v>
      </c>
      <c r="U58" s="1139">
        <v>7</v>
      </c>
      <c r="V58" s="1140"/>
      <c r="W58" s="467"/>
      <c r="X58" s="1141">
        <v>845.50900000000001</v>
      </c>
      <c r="Y58" s="467"/>
      <c r="Z58" s="1141">
        <v>1400.2080000000001</v>
      </c>
      <c r="AA58" s="467"/>
      <c r="AB58" s="1142">
        <v>1.6199999999999999E-2</v>
      </c>
    </row>
    <row r="59" spans="1:28" ht="14.85" customHeight="1">
      <c r="A59" s="1139">
        <v>8</v>
      </c>
      <c r="B59" s="1140"/>
      <c r="C59" s="467"/>
      <c r="D59" s="1141">
        <v>657.70500000000004</v>
      </c>
      <c r="E59" s="467"/>
      <c r="F59" s="1141">
        <v>1170.0630000000001</v>
      </c>
      <c r="G59" s="467"/>
      <c r="H59" s="1142">
        <v>1.8800000000000001E-2</v>
      </c>
      <c r="L59" s="1139">
        <v>8</v>
      </c>
      <c r="M59" s="1140"/>
      <c r="N59" s="467"/>
      <c r="O59" s="1141">
        <v>569.279</v>
      </c>
      <c r="P59" s="467"/>
      <c r="Q59" s="1141">
        <v>1030.4259999999999</v>
      </c>
      <c r="R59" s="467"/>
      <c r="S59" s="1142">
        <v>2.0799999999999999E-2</v>
      </c>
      <c r="U59" s="1139">
        <v>8</v>
      </c>
      <c r="V59" s="1140"/>
      <c r="W59" s="467"/>
      <c r="X59" s="1141">
        <v>448.50200000000001</v>
      </c>
      <c r="Y59" s="467"/>
      <c r="Z59" s="1141">
        <v>844.47500000000002</v>
      </c>
      <c r="AA59" s="467"/>
      <c r="AB59" s="1142">
        <v>2.0400000000000001E-2</v>
      </c>
    </row>
    <row r="60" spans="1:28" ht="14.85" customHeight="1">
      <c r="A60" s="1139">
        <v>9</v>
      </c>
      <c r="B60" s="1140"/>
      <c r="C60" s="467"/>
      <c r="D60" s="1141">
        <v>299.39999999999998</v>
      </c>
      <c r="E60" s="467"/>
      <c r="F60" s="1141">
        <v>656.84500000000003</v>
      </c>
      <c r="G60" s="467"/>
      <c r="H60" s="1142">
        <v>2.5000000000000001E-2</v>
      </c>
      <c r="L60" s="1139">
        <v>9</v>
      </c>
      <c r="M60" s="1140"/>
      <c r="N60" s="467"/>
      <c r="O60" s="1141">
        <v>263.71499999999997</v>
      </c>
      <c r="P60" s="467"/>
      <c r="Q60" s="1141">
        <v>567.84299999999996</v>
      </c>
      <c r="R60" s="467"/>
      <c r="S60" s="1142">
        <v>2.6800000000000001E-2</v>
      </c>
      <c r="U60" s="1139">
        <v>9</v>
      </c>
      <c r="V60" s="1140"/>
      <c r="W60" s="467"/>
      <c r="X60" s="1141">
        <v>209.88</v>
      </c>
      <c r="Y60" s="467"/>
      <c r="Z60" s="1141">
        <v>448.07900000000001</v>
      </c>
      <c r="AA60" s="467"/>
      <c r="AB60" s="1142">
        <v>2.5399999999999999E-2</v>
      </c>
    </row>
    <row r="61" spans="1:28" ht="14.85" customHeight="1">
      <c r="A61" s="1139" t="s">
        <v>944</v>
      </c>
      <c r="B61" s="1140"/>
      <c r="C61" s="467"/>
      <c r="D61" s="1141">
        <v>2.5310000000000001</v>
      </c>
      <c r="E61" s="467"/>
      <c r="F61" s="1141">
        <v>299.29000000000002</v>
      </c>
      <c r="G61" s="467"/>
      <c r="H61" s="1142">
        <v>5.3699999999999998E-2</v>
      </c>
      <c r="L61" s="1139" t="s">
        <v>944</v>
      </c>
      <c r="M61" s="1140"/>
      <c r="N61" s="467"/>
      <c r="O61" s="1141">
        <v>2.516</v>
      </c>
      <c r="P61" s="467"/>
      <c r="Q61" s="1141">
        <v>262.89100000000002</v>
      </c>
      <c r="R61" s="467"/>
      <c r="S61" s="1142">
        <v>5.5899999999999998E-2</v>
      </c>
      <c r="U61" s="1139" t="s">
        <v>944</v>
      </c>
      <c r="V61" s="1140"/>
      <c r="W61" s="467"/>
      <c r="X61" s="1141">
        <v>1.9630000000000001</v>
      </c>
      <c r="Y61" s="467"/>
      <c r="Z61" s="1141">
        <v>209.40600000000001</v>
      </c>
      <c r="AA61" s="467"/>
      <c r="AB61" s="1142">
        <v>5.6000000000000001E-2</v>
      </c>
    </row>
    <row r="62" spans="1:28" ht="14.85" customHeight="1">
      <c r="A62" s="1139"/>
      <c r="B62" s="1140"/>
      <c r="C62" s="467"/>
      <c r="D62" s="1141"/>
      <c r="E62" s="467"/>
      <c r="F62" s="1141"/>
      <c r="G62" s="467"/>
      <c r="H62" s="1142"/>
      <c r="L62" s="1139"/>
      <c r="M62" s="1140"/>
      <c r="N62" s="467"/>
      <c r="O62" s="1141"/>
      <c r="P62" s="467"/>
      <c r="Q62" s="1141"/>
      <c r="R62" s="467"/>
      <c r="S62" s="1142"/>
      <c r="U62" s="1139"/>
      <c r="V62" s="1140"/>
      <c r="W62" s="467"/>
      <c r="X62" s="1141"/>
      <c r="Y62" s="467"/>
      <c r="Z62" s="1141"/>
      <c r="AA62" s="467"/>
      <c r="AB62" s="1142"/>
    </row>
    <row r="63" spans="1:28" ht="14.85" customHeight="1">
      <c r="A63" s="1139" t="s">
        <v>945</v>
      </c>
      <c r="B63" s="1140"/>
      <c r="C63" s="467"/>
      <c r="D63" s="1141"/>
      <c r="E63" s="467"/>
      <c r="F63" s="1141"/>
      <c r="G63" s="467"/>
      <c r="H63" s="1142"/>
      <c r="L63" s="1139" t="s">
        <v>945</v>
      </c>
      <c r="M63" s="1140"/>
      <c r="N63" s="467"/>
      <c r="O63" s="1141"/>
      <c r="P63" s="467"/>
      <c r="Q63" s="1141"/>
      <c r="R63" s="467"/>
      <c r="S63" s="1142"/>
      <c r="U63" s="1139" t="s">
        <v>945</v>
      </c>
      <c r="V63" s="1140"/>
      <c r="W63" s="467"/>
      <c r="X63" s="1141"/>
      <c r="Y63" s="467"/>
      <c r="Z63" s="1141"/>
      <c r="AA63" s="467"/>
      <c r="AB63" s="1142"/>
    </row>
    <row r="64" spans="1:28" ht="14.85" customHeight="1">
      <c r="A64" s="1139" t="s">
        <v>946</v>
      </c>
      <c r="B64" s="1140"/>
      <c r="C64" s="467"/>
      <c r="D64" s="1141">
        <v>166.505</v>
      </c>
      <c r="E64" s="467"/>
      <c r="F64" s="1141">
        <v>299.29000000000002</v>
      </c>
      <c r="G64" s="467"/>
      <c r="H64" s="1142">
        <v>3.8600000000000002E-2</v>
      </c>
      <c r="L64" s="1139" t="s">
        <v>946</v>
      </c>
      <c r="M64" s="1140"/>
      <c r="N64" s="467"/>
      <c r="O64" s="1141">
        <v>127.29600000000001</v>
      </c>
      <c r="P64" s="467"/>
      <c r="Q64" s="1141">
        <v>262.89100000000002</v>
      </c>
      <c r="R64" s="467"/>
      <c r="S64" s="1142">
        <v>4.0899999999999999E-2</v>
      </c>
      <c r="U64" s="1139" t="s">
        <v>946</v>
      </c>
      <c r="V64" s="1140"/>
      <c r="W64" s="467"/>
      <c r="X64" s="1141">
        <v>108.962</v>
      </c>
      <c r="Y64" s="467"/>
      <c r="Z64" s="1141">
        <v>209.40600000000001</v>
      </c>
      <c r="AA64" s="467"/>
      <c r="AB64" s="1142">
        <v>4.0399999999999998E-2</v>
      </c>
    </row>
    <row r="65" spans="1:28" ht="14.85" customHeight="1">
      <c r="A65" s="1144" t="s">
        <v>947</v>
      </c>
      <c r="B65" s="1145"/>
      <c r="C65" s="346"/>
      <c r="D65" s="1146">
        <v>2.5310000000000001</v>
      </c>
      <c r="E65" s="346"/>
      <c r="F65" s="1146">
        <v>166.34899999999999</v>
      </c>
      <c r="G65" s="346"/>
      <c r="H65" s="1147">
        <v>8.4099999999999994E-2</v>
      </c>
      <c r="L65" s="1144" t="s">
        <v>947</v>
      </c>
      <c r="M65" s="1145"/>
      <c r="N65" s="346"/>
      <c r="O65" s="1146">
        <v>2.516</v>
      </c>
      <c r="P65" s="346"/>
      <c r="Q65" s="1146">
        <v>127.279</v>
      </c>
      <c r="R65" s="346"/>
      <c r="S65" s="1147">
        <v>8.6400000000000005E-2</v>
      </c>
      <c r="U65" s="1144" t="s">
        <v>947</v>
      </c>
      <c r="V65" s="1145"/>
      <c r="W65" s="346"/>
      <c r="X65" s="1146">
        <v>1.9630000000000001</v>
      </c>
      <c r="Y65" s="346"/>
      <c r="Z65" s="1146">
        <v>108.598</v>
      </c>
      <c r="AA65" s="346"/>
      <c r="AB65" s="1147">
        <v>8.7599999999999997E-2</v>
      </c>
    </row>
    <row r="66" spans="1:28" ht="14.85" customHeight="1">
      <c r="A66" s="1148"/>
      <c r="B66" s="889"/>
      <c r="C66" s="889"/>
      <c r="D66" s="889"/>
      <c r="E66" s="889"/>
      <c r="F66" s="889"/>
      <c r="G66" s="889"/>
      <c r="H66" s="891"/>
      <c r="L66" s="1148"/>
      <c r="M66" s="889"/>
      <c r="N66" s="889"/>
      <c r="O66" s="889"/>
      <c r="P66" s="889"/>
      <c r="Q66" s="889"/>
      <c r="R66" s="889"/>
      <c r="S66" s="891"/>
      <c r="U66" s="1148"/>
      <c r="V66" s="889"/>
      <c r="W66" s="889"/>
      <c r="X66" s="889"/>
      <c r="Y66" s="889"/>
      <c r="Z66" s="889"/>
      <c r="AA66" s="889"/>
      <c r="AB66" s="891"/>
    </row>
    <row r="67" spans="1:28" ht="14.85" customHeight="1">
      <c r="A67" s="518"/>
      <c r="B67" s="1149" t="s">
        <v>948</v>
      </c>
      <c r="C67" s="346"/>
      <c r="D67" s="346"/>
      <c r="E67" s="346"/>
      <c r="F67" s="346"/>
      <c r="G67" s="346"/>
      <c r="H67" s="1150">
        <v>6.0400000000000002E-2</v>
      </c>
      <c r="L67" s="518"/>
      <c r="M67" s="1149" t="s">
        <v>948</v>
      </c>
      <c r="N67" s="346"/>
      <c r="O67" s="346"/>
      <c r="P67" s="346"/>
      <c r="Q67" s="346"/>
      <c r="R67" s="346"/>
      <c r="S67" s="1150">
        <v>5.9700000000000003E-2</v>
      </c>
      <c r="U67" s="518"/>
      <c r="V67" s="1149" t="s">
        <v>948</v>
      </c>
      <c r="W67" s="346"/>
      <c r="X67" s="346"/>
      <c r="Y67" s="346"/>
      <c r="Z67" s="346"/>
      <c r="AA67" s="346"/>
      <c r="AB67" s="1150">
        <v>6.0299999999999999E-2</v>
      </c>
    </row>
    <row r="68" spans="1:28" ht="14.85" customHeight="1"/>
    <row r="69" spans="1:28" ht="14.85" customHeight="1"/>
    <row r="70" spans="1:28" ht="14.85" customHeight="1"/>
    <row r="71" spans="1:28" ht="14.85" customHeight="1"/>
    <row r="72" spans="1:28" ht="14.85" customHeight="1"/>
    <row r="73" spans="1:28" ht="14.85" customHeight="1"/>
    <row r="74" spans="1:28" ht="14.85" customHeight="1"/>
    <row r="75" spans="1:28" ht="14.85" customHeight="1"/>
    <row r="76" spans="1:28" ht="14.85" customHeight="1"/>
    <row r="77" spans="1:28" ht="14.85" customHeight="1"/>
    <row r="78" spans="1:28" ht="14.85" customHeight="1"/>
    <row r="79" spans="1:28" ht="14.85" customHeight="1"/>
    <row r="80" spans="1:28" ht="14.85" customHeight="1">
      <c r="B80" s="491"/>
    </row>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I4">
    <cfRule type="cellIs" dxfId="290" priority="4" stopIfTrue="1" operator="equal">
      <formula>"input"</formula>
    </cfRule>
  </conditionalFormatting>
  <conditionalFormatting sqref="I4">
    <cfRule type="cellIs" dxfId="289" priority="3" stopIfTrue="1" operator="equal">
      <formula>"input"</formula>
    </cfRule>
  </conditionalFormatting>
  <conditionalFormatting sqref="B4:H4">
    <cfRule type="cellIs" dxfId="288" priority="5" stopIfTrue="1" operator="equal">
      <formula>"input"</formula>
    </cfRule>
  </conditionalFormatting>
  <conditionalFormatting sqref="J4">
    <cfRule type="cellIs" dxfId="287" priority="2" stopIfTrue="1" operator="equal">
      <formula>"input"</formula>
    </cfRule>
  </conditionalFormatting>
  <conditionalFormatting sqref="J4">
    <cfRule type="cellIs" dxfId="286" priority="1" stopIfTrue="1" operator="equal">
      <formula>"input"</formula>
    </cfRule>
  </conditionalFormatting>
  <pageMargins left="0.5" right="0.5" top="0.5" bottom="0.5" header="0.5" footer="0.5"/>
  <pageSetup scale="90" orientation="landscape" r:id="rId1"/>
  <legacyDrawing r:id="rId2"/>
  <legacyDrawingHF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A1:AG764"/>
  <sheetViews>
    <sheetView showGridLines="0" view="pageBreakPreview" zoomScale="80" zoomScaleNormal="100" zoomScaleSheetLayoutView="80" workbookViewId="0"/>
  </sheetViews>
  <sheetFormatPr defaultRowHeight="12.75"/>
  <cols>
    <col min="1" max="1" width="4.5" style="250" customWidth="1"/>
    <col min="2" max="2" width="31.33203125" style="250" bestFit="1" customWidth="1"/>
    <col min="3" max="3" width="2.83203125" style="250" customWidth="1"/>
    <col min="4" max="4" width="11.83203125" style="250" customWidth="1"/>
    <col min="5" max="6" width="0" style="250" hidden="1" customWidth="1"/>
    <col min="7" max="7" width="2.83203125" style="250" customWidth="1"/>
    <col min="8" max="9" width="11.83203125" style="250" customWidth="1"/>
    <col min="10" max="10" width="2.83203125" style="250" customWidth="1"/>
    <col min="11" max="11" width="12.5" style="250" customWidth="1"/>
    <col min="12" max="18" width="11.83203125" style="250" customWidth="1"/>
    <col min="19" max="19" width="4.5" style="250" customWidth="1"/>
    <col min="20" max="20" width="0" style="250" hidden="1" customWidth="1"/>
    <col min="21" max="23" width="10.83203125" style="250" customWidth="1"/>
    <col min="24" max="24" width="1.83203125" style="250" customWidth="1"/>
    <col min="25" max="25" width="17.6640625" style="250" bestFit="1" customWidth="1"/>
    <col min="26" max="26" width="14.33203125" style="250" bestFit="1" customWidth="1"/>
    <col min="27" max="27" width="10" style="250" bestFit="1" customWidth="1"/>
    <col min="28" max="28" width="10.1640625" style="250" bestFit="1" customWidth="1"/>
    <col min="29" max="29" width="9.5" style="250" bestFit="1" customWidth="1"/>
    <col min="30" max="16384" width="9.33203125" style="250"/>
  </cols>
  <sheetData>
    <row r="1" spans="1:33" ht="10.7" customHeight="1" thickBot="1"/>
    <row r="2" spans="1:33" ht="16.5" customHeight="1" thickTop="1">
      <c r="B2" s="258" t="str">
        <f>'MASTER PubCo Inputs'!$C$5</f>
        <v>ABC, Inc.</v>
      </c>
      <c r="C2" s="258"/>
      <c r="D2" s="258"/>
      <c r="E2" s="258"/>
      <c r="F2" s="258"/>
      <c r="G2" s="258"/>
      <c r="H2" s="258"/>
      <c r="I2" s="258"/>
      <c r="J2" s="258"/>
      <c r="K2" s="258"/>
      <c r="L2" s="258"/>
      <c r="M2" s="258"/>
      <c r="N2" s="258"/>
      <c r="O2" s="258"/>
      <c r="P2" s="258"/>
      <c r="Q2" s="258"/>
      <c r="R2" s="258"/>
      <c r="Y2" s="1151" t="s">
        <v>87</v>
      </c>
      <c r="Z2" s="1152">
        <f>+'Comp.1'!$AL$2</f>
        <v>42735</v>
      </c>
    </row>
    <row r="3" spans="1:33" ht="15.75" customHeight="1">
      <c r="B3" s="259" t="str">
        <f>VLOOKUP(B4,Outline!$E$8:$G$79,COLUMNS(Outline!$E$8:$G$8),FALSE)</f>
        <v>Exhibit D.2</v>
      </c>
      <c r="C3" s="259"/>
      <c r="D3" s="259"/>
      <c r="E3" s="259"/>
      <c r="F3" s="259"/>
      <c r="G3" s="259"/>
      <c r="H3" s="259"/>
      <c r="I3" s="259"/>
      <c r="J3" s="259"/>
      <c r="K3" s="259"/>
      <c r="L3" s="259"/>
      <c r="M3" s="259"/>
      <c r="N3" s="259"/>
      <c r="O3" s="259"/>
      <c r="P3" s="259"/>
      <c r="Q3" s="259"/>
      <c r="R3" s="259"/>
      <c r="Y3" s="1153" t="s">
        <v>489</v>
      </c>
      <c r="Z3" s="1154" t="str">
        <f>+'Comp.1'!$AL$3</f>
        <v>F</v>
      </c>
    </row>
    <row r="4" spans="1:33" ht="16.5" customHeight="1" thickBot="1">
      <c r="B4" s="924" t="s">
        <v>323</v>
      </c>
      <c r="C4" s="924"/>
      <c r="D4" s="924"/>
      <c r="E4" s="924"/>
      <c r="F4" s="924"/>
      <c r="G4" s="924"/>
      <c r="H4" s="924"/>
      <c r="I4" s="924"/>
      <c r="J4" s="925"/>
      <c r="K4" s="925"/>
      <c r="L4" s="925"/>
      <c r="M4" s="925"/>
      <c r="N4" s="925"/>
      <c r="O4" s="925"/>
      <c r="P4" s="925"/>
      <c r="Q4" s="925"/>
      <c r="R4" s="925" t="str">
        <f>+'MASTER PubCo Inputs'!$C$24</f>
        <v>(in millions of USD)</v>
      </c>
      <c r="Y4" s="1153" t="s">
        <v>490</v>
      </c>
      <c r="Z4" s="1154" t="str">
        <f>+'Comp.1'!$AL$4</f>
        <v>USD</v>
      </c>
    </row>
    <row r="5" spans="1:33" s="467" customFormat="1" ht="14.85" customHeight="1" thickTop="1">
      <c r="A5" s="250"/>
      <c r="B5" s="250"/>
      <c r="C5" s="250"/>
      <c r="D5" s="250"/>
      <c r="E5" s="250"/>
      <c r="F5" s="250"/>
      <c r="G5" s="250"/>
      <c r="H5" s="250"/>
      <c r="I5" s="250"/>
      <c r="J5" s="250"/>
      <c r="K5" s="250"/>
      <c r="L5" s="250"/>
      <c r="M5" s="250"/>
      <c r="N5" s="250"/>
      <c r="O5" s="250"/>
      <c r="P5" s="250"/>
      <c r="Q5" s="250"/>
      <c r="R5" s="250"/>
      <c r="S5" s="250"/>
      <c r="Y5" s="518" t="s">
        <v>89</v>
      </c>
      <c r="Z5" s="1155" t="str">
        <f>+'Comp.1'!$AL$5</f>
        <v>H</v>
      </c>
    </row>
    <row r="6" spans="1:33" s="467" customFormat="1" ht="14.85" customHeight="1">
      <c r="A6" s="250"/>
      <c r="B6" s="250"/>
      <c r="C6" s="250"/>
      <c r="D6" s="250"/>
      <c r="E6" s="250"/>
      <c r="F6" s="250"/>
      <c r="G6" s="250"/>
      <c r="H6" s="250"/>
      <c r="I6" s="250"/>
      <c r="J6" s="250"/>
      <c r="K6" s="250"/>
      <c r="L6" s="250"/>
      <c r="M6" s="250"/>
      <c r="N6" s="250"/>
      <c r="O6" s="250"/>
      <c r="P6" s="250"/>
      <c r="Q6" s="250"/>
      <c r="R6" s="250"/>
      <c r="S6" s="250"/>
    </row>
    <row r="7" spans="1:33" ht="14.85" customHeight="1">
      <c r="D7" s="1156" t="s">
        <v>69</v>
      </c>
      <c r="E7" s="1157"/>
      <c r="F7" s="1157"/>
      <c r="G7" s="1157"/>
      <c r="H7" s="1157"/>
      <c r="I7" s="1158"/>
      <c r="K7" s="1156" t="s">
        <v>91</v>
      </c>
      <c r="L7" s="1159"/>
      <c r="M7" s="1159"/>
      <c r="N7" s="1159"/>
      <c r="O7" s="1159"/>
      <c r="P7" s="1159"/>
      <c r="Q7" s="1159"/>
      <c r="R7" s="1160"/>
      <c r="W7" s="1161">
        <f>DCF!$D$47</f>
        <v>0.4</v>
      </c>
    </row>
    <row r="8" spans="1:33" s="272" customFormat="1" ht="14.85" customHeight="1">
      <c r="B8" s="1162" t="s">
        <v>815</v>
      </c>
      <c r="D8" s="1163" t="s">
        <v>318</v>
      </c>
      <c r="E8" s="1164" t="s">
        <v>311</v>
      </c>
      <c r="F8" s="1164" t="s">
        <v>312</v>
      </c>
      <c r="G8" s="1165"/>
      <c r="H8" s="1164" t="s">
        <v>319</v>
      </c>
      <c r="I8" s="1166" t="s">
        <v>294</v>
      </c>
      <c r="J8" s="347"/>
      <c r="K8" s="1163" t="s">
        <v>94</v>
      </c>
      <c r="L8" s="1164" t="s">
        <v>95</v>
      </c>
      <c r="M8" s="1164" t="s">
        <v>96</v>
      </c>
      <c r="N8" s="1164" t="s">
        <v>97</v>
      </c>
      <c r="O8" s="1164" t="s">
        <v>98</v>
      </c>
      <c r="P8" s="1164" t="s">
        <v>99</v>
      </c>
      <c r="Q8" s="1164" t="s">
        <v>100</v>
      </c>
      <c r="R8" s="1166" t="s">
        <v>101</v>
      </c>
      <c r="T8" s="1167" t="s">
        <v>320</v>
      </c>
      <c r="U8" s="1168" t="s">
        <v>321</v>
      </c>
      <c r="V8" s="1168" t="s">
        <v>322</v>
      </c>
      <c r="W8" s="1169" t="s">
        <v>291</v>
      </c>
      <c r="Y8" s="1170" t="s">
        <v>108</v>
      </c>
      <c r="Z8" s="1171" t="s">
        <v>109</v>
      </c>
      <c r="AA8" s="1172" t="str">
        <f t="array" ref="AA8">IF(SUM(ABS($AA$10:$AA$39))&lt;0.01,"","Check")</f>
        <v>Check</v>
      </c>
      <c r="AC8" s="272">
        <v>0</v>
      </c>
    </row>
    <row r="9" spans="1:33" ht="14.85" customHeight="1"/>
    <row r="10" spans="1:33" ht="14.85" customHeight="1">
      <c r="B10" s="250" t="str">
        <f>'Comp.1'!B12</f>
        <v>Spark Therapeutics, Inc.</v>
      </c>
      <c r="D10" s="818">
        <v>2</v>
      </c>
      <c r="E10" s="1173" t="s">
        <v>315</v>
      </c>
      <c r="F10" s="1173" t="s">
        <v>314</v>
      </c>
      <c r="H10" s="1174">
        <f>HLOOKUP(D10,'Capital IQ Sheet-GPC'!$AQ$10:$AS$75,ROWS('Capital IQ Sheet-GPC'!AQ$10:AQ13),FALSE)</f>
        <v>2.5267900000000001</v>
      </c>
      <c r="I10" s="1175">
        <f>IF(ISERROR(H10/(1+(1-$W10)*(($U10)/$V10))), "n/a", H10/(1+(1-$W10)*(($U10)/$V10)))</f>
        <v>2.5253798691843055</v>
      </c>
      <c r="K10" s="759">
        <f>'Capital IQ Sheet-GPC'!J13</f>
        <v>1692.82537</v>
      </c>
      <c r="L10" s="759">
        <f>'Capital IQ Sheet-GPC'!K13</f>
        <v>1.57541</v>
      </c>
      <c r="M10" s="759">
        <f>'Capital IQ Sheet-GPC'!L13</f>
        <v>0</v>
      </c>
      <c r="N10" s="759">
        <f>'Capital IQ Sheet-GPC'!M13</f>
        <v>0</v>
      </c>
      <c r="O10" s="759">
        <f t="shared" ref="O10" si="0">SUM(L10:N10)</f>
        <v>1.57541</v>
      </c>
      <c r="P10" s="759">
        <f>SUM(K10:N10)</f>
        <v>1694.4007799999999</v>
      </c>
      <c r="Q10" s="759">
        <f>'Capital IQ Sheet-GPC'!N13</f>
        <v>306.64877999999999</v>
      </c>
      <c r="R10" s="759">
        <f t="shared" ref="R10" si="1">IF(ISERROR(P10-Q10), "n/a", P10-Q10)</f>
        <v>1387.752</v>
      </c>
      <c r="T10" s="1176">
        <f t="shared" ref="T10" si="2">$Z$2-365*D10</f>
        <v>42005</v>
      </c>
      <c r="U10" s="1066">
        <f>IFERROR(SUM(L10:M10)/P10,"n/a")</f>
        <v>9.2977412345147763E-4</v>
      </c>
      <c r="V10" s="1066">
        <f>IFERROR(1-U10,"n/a")</f>
        <v>0.99907022587654848</v>
      </c>
      <c r="W10" s="1066">
        <f>W$7</f>
        <v>0.4</v>
      </c>
      <c r="Y10" s="1177" t="str">
        <f>'MASTER PubCo Inputs'!B28</f>
        <v>NasdaqGS:ONCE</v>
      </c>
      <c r="Z10" s="331">
        <f>'Capital IQ Sheet-GPC'!H13</f>
        <v>1387.752</v>
      </c>
      <c r="AA10" s="1178">
        <f t="shared" ref="AA10" si="3">R10-Z10</f>
        <v>0</v>
      </c>
      <c r="AC10" s="435"/>
      <c r="AG10" s="1179"/>
    </row>
    <row r="11" spans="1:33" ht="14.85" customHeight="1">
      <c r="B11" s="250" t="str">
        <f>'Comp.1'!B13</f>
        <v>CRISPR Therapeutics AG</v>
      </c>
      <c r="D11" s="818">
        <v>2</v>
      </c>
      <c r="E11" s="1173" t="s">
        <v>315</v>
      </c>
      <c r="F11" s="1173" t="s">
        <v>314</v>
      </c>
      <c r="H11" s="1174">
        <f>HLOOKUP(D11,'Capital IQ Sheet-GPC'!$AQ$10:$AS$75,ROWS('Capital IQ Sheet-GPC'!AQ$10:AQ14),FALSE)</f>
        <v>0</v>
      </c>
      <c r="I11" s="1175">
        <f t="shared" ref="I11:I39" si="4">IF(ISERROR(H11/(1+(1-$W11)*(($U11)/$V11))), "n/a", H11/(1+(1-$W11)*(($U11)/$V11)))</f>
        <v>0</v>
      </c>
      <c r="K11" s="759">
        <f>'Capital IQ Sheet-GPC'!J14</f>
        <v>868.62804000000006</v>
      </c>
      <c r="L11" s="759">
        <f>'Capital IQ Sheet-GPC'!K14</f>
        <v>0</v>
      </c>
      <c r="M11" s="759">
        <f>'Capital IQ Sheet-GPC'!L14</f>
        <v>185.565</v>
      </c>
      <c r="N11" s="759">
        <f>'Capital IQ Sheet-GPC'!M14</f>
        <v>-5.0999999999999997E-2</v>
      </c>
      <c r="O11" s="759">
        <f t="shared" ref="O11:O39" si="5">SUM(L11:N11)</f>
        <v>185.51400000000001</v>
      </c>
      <c r="P11" s="759">
        <f t="shared" ref="P11:P39" si="6">SUM(K11:N11)</f>
        <v>1054.1420400000002</v>
      </c>
      <c r="Q11" s="759">
        <f>'Capital IQ Sheet-GPC'!N14</f>
        <v>228.613</v>
      </c>
      <c r="R11" s="759">
        <f t="shared" ref="R11:R39" si="7">IF(ISERROR(P11-Q11), "n/a", P11-Q11)</f>
        <v>825.52904000000012</v>
      </c>
      <c r="T11" s="1176">
        <f t="shared" ref="T11:T39" si="8">$Z$2-365*D11</f>
        <v>42005</v>
      </c>
      <c r="U11" s="1066">
        <f t="shared" ref="U11:U39" si="9">IFERROR(SUM(L11:M11)/P11,"n/a")</f>
        <v>0.17603415190613209</v>
      </c>
      <c r="V11" s="1066">
        <f t="shared" ref="V11:V39" si="10">IFERROR(1-U11,"n/a")</f>
        <v>0.82396584809386786</v>
      </c>
      <c r="W11" s="1066">
        <f t="shared" ref="W11:W39" si="11">W$7</f>
        <v>0.4</v>
      </c>
      <c r="Y11" s="1177" t="str">
        <f>'MASTER PubCo Inputs'!B29</f>
        <v>NasdaqGM:CRSP</v>
      </c>
      <c r="Z11" s="331">
        <f>'Capital IQ Sheet-GPC'!H14</f>
        <v>825.52904000000001</v>
      </c>
      <c r="AA11" s="1178">
        <f t="shared" ref="AA11:AA39" si="12">R11-Z11</f>
        <v>0</v>
      </c>
      <c r="AC11" s="435"/>
      <c r="AG11" s="1179"/>
    </row>
    <row r="12" spans="1:33" ht="14.85" customHeight="1">
      <c r="B12" s="250" t="str">
        <f>'Comp.1'!B14</f>
        <v>WAVE Life Sciences Ltd.</v>
      </c>
      <c r="D12" s="818">
        <v>2</v>
      </c>
      <c r="E12" s="1173" t="s">
        <v>315</v>
      </c>
      <c r="F12" s="1173" t="s">
        <v>314</v>
      </c>
      <c r="H12" s="1174">
        <f>HLOOKUP(D12,'Capital IQ Sheet-GPC'!$AQ$10:$AS$75,ROWS('Capital IQ Sheet-GPC'!AQ$10:AQ15),FALSE)</f>
        <v>1.8613599999999999</v>
      </c>
      <c r="I12" s="1175">
        <f t="shared" si="4"/>
        <v>1.8507739202521714</v>
      </c>
      <c r="K12" s="759">
        <f>'Capital IQ Sheet-GPC'!J15</f>
        <v>835.72670000000005</v>
      </c>
      <c r="L12" s="759">
        <f>'Capital IQ Sheet-GPC'!K15</f>
        <v>9.2999999999999999E-2</v>
      </c>
      <c r="M12" s="759">
        <f>'Capital IQ Sheet-GPC'!L15</f>
        <v>7.8739999999999997</v>
      </c>
      <c r="N12" s="759">
        <f>'Capital IQ Sheet-GPC'!M15</f>
        <v>0</v>
      </c>
      <c r="O12" s="759">
        <f t="shared" si="5"/>
        <v>7.9669999999999996</v>
      </c>
      <c r="P12" s="759">
        <f t="shared" si="6"/>
        <v>843.69370000000004</v>
      </c>
      <c r="Q12" s="759">
        <f>'Capital IQ Sheet-GPC'!N15</f>
        <v>169.01499999999999</v>
      </c>
      <c r="R12" s="759">
        <f t="shared" si="7"/>
        <v>674.67870000000005</v>
      </c>
      <c r="T12" s="1176">
        <f t="shared" si="8"/>
        <v>42005</v>
      </c>
      <c r="U12" s="1066">
        <f t="shared" si="9"/>
        <v>9.4430004633198027E-3</v>
      </c>
      <c r="V12" s="1066">
        <f t="shared" si="10"/>
        <v>0.99055699953668019</v>
      </c>
      <c r="W12" s="1066">
        <f t="shared" si="11"/>
        <v>0.4</v>
      </c>
      <c r="Y12" s="1177" t="str">
        <f>'MASTER PubCo Inputs'!B30</f>
        <v>NasdaqGM:WVE</v>
      </c>
      <c r="Z12" s="331">
        <f>'Capital IQ Sheet-GPC'!H15</f>
        <v>674.67870000000005</v>
      </c>
      <c r="AA12" s="1178">
        <f t="shared" si="12"/>
        <v>0</v>
      </c>
      <c r="AC12" s="435"/>
      <c r="AG12" s="1179"/>
    </row>
    <row r="13" spans="1:33" ht="14.85" customHeight="1">
      <c r="B13" s="250" t="str">
        <f>'Comp.1'!B15</f>
        <v>Regenxbio Inc.</v>
      </c>
      <c r="D13" s="818">
        <v>2</v>
      </c>
      <c r="E13" s="1173" t="s">
        <v>315</v>
      </c>
      <c r="F13" s="1173" t="s">
        <v>314</v>
      </c>
      <c r="H13" s="1174">
        <f>HLOOKUP(D13,'Capital IQ Sheet-GPC'!$AQ$10:$AS$75,ROWS('Capital IQ Sheet-GPC'!AQ$10:AQ16),FALSE)</f>
        <v>1.37985</v>
      </c>
      <c r="I13" s="1175">
        <f t="shared" si="4"/>
        <v>1.37985</v>
      </c>
      <c r="K13" s="759">
        <f>'Capital IQ Sheet-GPC'!J16</f>
        <v>589.07718</v>
      </c>
      <c r="L13" s="759">
        <f>'Capital IQ Sheet-GPC'!K16</f>
        <v>0</v>
      </c>
      <c r="M13" s="759">
        <f>'Capital IQ Sheet-GPC'!L16</f>
        <v>0</v>
      </c>
      <c r="N13" s="759">
        <f>'Capital IQ Sheet-GPC'!M16</f>
        <v>0</v>
      </c>
      <c r="O13" s="759">
        <f t="shared" si="5"/>
        <v>0</v>
      </c>
      <c r="P13" s="759">
        <f t="shared" si="6"/>
        <v>589.07718</v>
      </c>
      <c r="Q13" s="759">
        <f>'Capital IQ Sheet-GPC'!N16</f>
        <v>91.77</v>
      </c>
      <c r="R13" s="759">
        <f t="shared" si="7"/>
        <v>497.30718000000002</v>
      </c>
      <c r="T13" s="1176">
        <f t="shared" si="8"/>
        <v>42005</v>
      </c>
      <c r="U13" s="1066">
        <f t="shared" si="9"/>
        <v>0</v>
      </c>
      <c r="V13" s="1066">
        <f t="shared" si="10"/>
        <v>1</v>
      </c>
      <c r="W13" s="1066">
        <f t="shared" si="11"/>
        <v>0.4</v>
      </c>
      <c r="Y13" s="1177" t="str">
        <f>'MASTER PubCo Inputs'!B31</f>
        <v>NasdaqGS:RGNX</v>
      </c>
      <c r="Z13" s="331">
        <f>'Capital IQ Sheet-GPC'!H16</f>
        <v>497.30718000000002</v>
      </c>
      <c r="AA13" s="1178">
        <f t="shared" si="12"/>
        <v>0</v>
      </c>
      <c r="AC13" s="435"/>
      <c r="AG13" s="1179"/>
    </row>
    <row r="14" spans="1:33" ht="14.85" customHeight="1">
      <c r="B14" s="250" t="str">
        <f>'Comp.1'!B16</f>
        <v>Inovio Pharmaceuticals, Inc.</v>
      </c>
      <c r="D14" s="818">
        <v>2</v>
      </c>
      <c r="E14" s="1173" t="s">
        <v>315</v>
      </c>
      <c r="F14" s="1173" t="s">
        <v>314</v>
      </c>
      <c r="H14" s="1174">
        <f>HLOOKUP(D14,'Capital IQ Sheet-GPC'!$AQ$10:$AS$75,ROWS('Capital IQ Sheet-GPC'!AQ$10:AQ17),FALSE)</f>
        <v>2.1826099999999999</v>
      </c>
      <c r="I14" s="1175">
        <f t="shared" si="4"/>
        <v>2.1826099999999999</v>
      </c>
      <c r="K14" s="759">
        <f>'Capital IQ Sheet-GPC'!J17</f>
        <v>524.34855000000005</v>
      </c>
      <c r="L14" s="759">
        <f>'Capital IQ Sheet-GPC'!K17</f>
        <v>0</v>
      </c>
      <c r="M14" s="759">
        <f>'Capital IQ Sheet-GPC'!L17</f>
        <v>0</v>
      </c>
      <c r="N14" s="759">
        <f>'Capital IQ Sheet-GPC'!M17</f>
        <v>9.6269999999999994E-2</v>
      </c>
      <c r="O14" s="759">
        <f t="shared" si="5"/>
        <v>9.6269999999999994E-2</v>
      </c>
      <c r="P14" s="759">
        <f t="shared" si="6"/>
        <v>524.44482000000005</v>
      </c>
      <c r="Q14" s="759">
        <f>'Capital IQ Sheet-GPC'!N17</f>
        <v>119.68635</v>
      </c>
      <c r="R14" s="759">
        <f t="shared" si="7"/>
        <v>404.75847000000005</v>
      </c>
      <c r="T14" s="1176">
        <f t="shared" si="8"/>
        <v>42005</v>
      </c>
      <c r="U14" s="1066">
        <f t="shared" si="9"/>
        <v>0</v>
      </c>
      <c r="V14" s="1066">
        <f t="shared" si="10"/>
        <v>1</v>
      </c>
      <c r="W14" s="1066">
        <f t="shared" si="11"/>
        <v>0.4</v>
      </c>
      <c r="Y14" s="1177" t="str">
        <f>'MASTER PubCo Inputs'!B32</f>
        <v>NasdaqGS:INO</v>
      </c>
      <c r="Z14" s="331">
        <f>'Capital IQ Sheet-GPC'!H17</f>
        <v>404.75846999999999</v>
      </c>
      <c r="AA14" s="1178">
        <f t="shared" si="12"/>
        <v>0</v>
      </c>
      <c r="AC14" s="435"/>
      <c r="AG14" s="1179"/>
    </row>
    <row r="15" spans="1:33" ht="14.85" customHeight="1">
      <c r="B15" s="250" t="str">
        <f>'Comp.1'!B17</f>
        <v>Enanta Pharmaceuticals, Inc.</v>
      </c>
      <c r="D15" s="818">
        <v>2</v>
      </c>
      <c r="E15" s="1173" t="s">
        <v>315</v>
      </c>
      <c r="F15" s="1173" t="s">
        <v>314</v>
      </c>
      <c r="H15" s="1174">
        <f>HLOOKUP(D15,'Capital IQ Sheet-GPC'!$AQ$10:$AS$75,ROWS('Capital IQ Sheet-GPC'!AQ$10:AQ18),FALSE)</f>
        <v>1.4072</v>
      </c>
      <c r="I15" s="1175">
        <f t="shared" si="4"/>
        <v>1.4044628311983376</v>
      </c>
      <c r="K15" s="759">
        <f>'Capital IQ Sheet-GPC'!J18</f>
        <v>598.48901000000001</v>
      </c>
      <c r="L15" s="759">
        <f>'Capital IQ Sheet-GPC'!K18</f>
        <v>0.70699999999999996</v>
      </c>
      <c r="M15" s="759">
        <f>'Capital IQ Sheet-GPC'!L18</f>
        <v>1.2370000000000001</v>
      </c>
      <c r="N15" s="759">
        <f>'Capital IQ Sheet-GPC'!M18</f>
        <v>0</v>
      </c>
      <c r="O15" s="759">
        <f t="shared" si="5"/>
        <v>1.944</v>
      </c>
      <c r="P15" s="759">
        <f t="shared" si="6"/>
        <v>600.43300999999997</v>
      </c>
      <c r="Q15" s="759">
        <f>'Capital IQ Sheet-GPC'!N18</f>
        <v>218.465</v>
      </c>
      <c r="R15" s="759">
        <f t="shared" si="7"/>
        <v>381.96800999999994</v>
      </c>
      <c r="T15" s="1176">
        <f t="shared" si="8"/>
        <v>42005</v>
      </c>
      <c r="U15" s="1066">
        <f t="shared" si="9"/>
        <v>3.237663432261994E-3</v>
      </c>
      <c r="V15" s="1066">
        <f t="shared" si="10"/>
        <v>0.99676233656773805</v>
      </c>
      <c r="W15" s="1066">
        <f t="shared" si="11"/>
        <v>0.4</v>
      </c>
      <c r="Y15" s="1177" t="str">
        <f>'MASTER PubCo Inputs'!B33</f>
        <v>NasdaqGS:ENTA</v>
      </c>
      <c r="Z15" s="331">
        <f>'Capital IQ Sheet-GPC'!H18</f>
        <v>389.81500999999997</v>
      </c>
      <c r="AA15" s="1178">
        <f t="shared" si="12"/>
        <v>-7.8470000000000368</v>
      </c>
      <c r="AC15" s="435"/>
      <c r="AG15" s="1179"/>
    </row>
    <row r="16" spans="1:33" ht="14.85" customHeight="1">
      <c r="B16" s="250" t="str">
        <f>'Comp.1'!B18</f>
        <v>Editas Medicine, Inc.</v>
      </c>
      <c r="D16" s="818">
        <v>2</v>
      </c>
      <c r="E16" s="1173" t="s">
        <v>315</v>
      </c>
      <c r="F16" s="1173" t="s">
        <v>314</v>
      </c>
      <c r="H16" s="1174">
        <f>HLOOKUP(D16,'Capital IQ Sheet-GPC'!$AQ$10:$AS$75,ROWS('Capital IQ Sheet-GPC'!AQ$10:AQ19),FALSE)</f>
        <v>0</v>
      </c>
      <c r="I16" s="1175">
        <f t="shared" si="4"/>
        <v>0</v>
      </c>
      <c r="K16" s="759">
        <f>'Capital IQ Sheet-GPC'!J19</f>
        <v>508.51056999999997</v>
      </c>
      <c r="L16" s="759">
        <f>'Capital IQ Sheet-GPC'!K19</f>
        <v>32.048000000000002</v>
      </c>
      <c r="M16" s="759">
        <f>'Capital IQ Sheet-GPC'!L19</f>
        <v>0</v>
      </c>
      <c r="N16" s="759">
        <f>'Capital IQ Sheet-GPC'!M19</f>
        <v>0</v>
      </c>
      <c r="O16" s="759">
        <f t="shared" si="5"/>
        <v>32.048000000000002</v>
      </c>
      <c r="P16" s="759">
        <f t="shared" si="6"/>
        <v>540.55856999999992</v>
      </c>
      <c r="Q16" s="759">
        <f>'Capital IQ Sheet-GPC'!N19</f>
        <v>199.874</v>
      </c>
      <c r="R16" s="759">
        <f t="shared" si="7"/>
        <v>340.68456999999989</v>
      </c>
      <c r="T16" s="1176">
        <f t="shared" si="8"/>
        <v>42005</v>
      </c>
      <c r="U16" s="1066">
        <f t="shared" si="9"/>
        <v>5.9286822517678348E-2</v>
      </c>
      <c r="V16" s="1066">
        <f t="shared" si="10"/>
        <v>0.94071317748232164</v>
      </c>
      <c r="W16" s="1066">
        <f t="shared" si="11"/>
        <v>0.4</v>
      </c>
      <c r="Y16" s="1177" t="str">
        <f>'MASTER PubCo Inputs'!B34</f>
        <v>NasdaqGS:EDIT</v>
      </c>
      <c r="Z16" s="331">
        <f>'Capital IQ Sheet-GPC'!H19</f>
        <v>340.68457000000001</v>
      </c>
      <c r="AA16" s="1178">
        <f t="shared" si="12"/>
        <v>0</v>
      </c>
      <c r="AC16" s="435"/>
      <c r="AG16" s="1179"/>
    </row>
    <row r="17" spans="2:33" ht="14.85" customHeight="1">
      <c r="B17" s="250" t="str">
        <f>'Comp.1'!B19</f>
        <v>NantKwest, Inc.</v>
      </c>
      <c r="D17" s="818">
        <v>2</v>
      </c>
      <c r="E17" s="1173" t="s">
        <v>315</v>
      </c>
      <c r="F17" s="1173" t="s">
        <v>314</v>
      </c>
      <c r="H17" s="1174">
        <f>HLOOKUP(D17,'Capital IQ Sheet-GPC'!$AQ$10:$AS$75,ROWS('Capital IQ Sheet-GPC'!AQ$10:AQ20),FALSE)</f>
        <v>2.1240000000000001</v>
      </c>
      <c r="I17" s="1175">
        <f t="shared" si="4"/>
        <v>2.1059332516805234</v>
      </c>
      <c r="K17" s="759">
        <f>'Capital IQ Sheet-GPC'!J20</f>
        <v>538.73569999999995</v>
      </c>
      <c r="L17" s="759">
        <f>'Capital IQ Sheet-GPC'!K20</f>
        <v>7.7030000000000003</v>
      </c>
      <c r="M17" s="759">
        <f>'Capital IQ Sheet-GPC'!L20</f>
        <v>0</v>
      </c>
      <c r="N17" s="759">
        <f>'Capital IQ Sheet-GPC'!M20</f>
        <v>0</v>
      </c>
      <c r="O17" s="759">
        <f t="shared" si="5"/>
        <v>7.7030000000000003</v>
      </c>
      <c r="P17" s="759">
        <f t="shared" si="6"/>
        <v>546.43869999999993</v>
      </c>
      <c r="Q17" s="759">
        <f>'Capital IQ Sheet-GPC'!N20</f>
        <v>209.256</v>
      </c>
      <c r="R17" s="759">
        <f t="shared" si="7"/>
        <v>337.18269999999995</v>
      </c>
      <c r="T17" s="1176">
        <f t="shared" si="8"/>
        <v>42005</v>
      </c>
      <c r="U17" s="1066">
        <f t="shared" si="9"/>
        <v>1.4096732167761913E-2</v>
      </c>
      <c r="V17" s="1066">
        <f t="shared" si="10"/>
        <v>0.98590326783223814</v>
      </c>
      <c r="W17" s="1066">
        <f t="shared" si="11"/>
        <v>0.4</v>
      </c>
      <c r="Y17" s="1177" t="str">
        <f>'MASTER PubCo Inputs'!B35</f>
        <v>NasdaqGS:NK</v>
      </c>
      <c r="Z17" s="331">
        <f>'Capital IQ Sheet-GPC'!H20</f>
        <v>337.18270000000001</v>
      </c>
      <c r="AA17" s="1178">
        <f t="shared" si="12"/>
        <v>0</v>
      </c>
      <c r="AC17" s="435"/>
      <c r="AG17" s="1179"/>
    </row>
    <row r="18" spans="2:33" ht="14.85" customHeight="1">
      <c r="B18" s="250" t="str">
        <f>'Comp.1'!B20</f>
        <v>Cocrystal Pharma, Inc.</v>
      </c>
      <c r="D18" s="818">
        <v>2</v>
      </c>
      <c r="E18" s="1173" t="s">
        <v>315</v>
      </c>
      <c r="F18" s="1173" t="s">
        <v>314</v>
      </c>
      <c r="H18" s="1174">
        <f>HLOOKUP(D18,'Capital IQ Sheet-GPC'!$AQ$10:$AS$75,ROWS('Capital IQ Sheet-GPC'!AQ$10:AQ21),FALSE)</f>
        <v>0.52164999999999995</v>
      </c>
      <c r="I18" s="1175">
        <f t="shared" si="4"/>
        <v>0.52164999999999995</v>
      </c>
      <c r="K18" s="759">
        <f>'Capital IQ Sheet-GPC'!J21</f>
        <v>317.20850000000002</v>
      </c>
      <c r="L18" s="759">
        <f>'Capital IQ Sheet-GPC'!K21</f>
        <v>0</v>
      </c>
      <c r="M18" s="759">
        <f>'Capital IQ Sheet-GPC'!L21</f>
        <v>0</v>
      </c>
      <c r="N18" s="759">
        <f>'Capital IQ Sheet-GPC'!M21</f>
        <v>0</v>
      </c>
      <c r="O18" s="759">
        <f t="shared" si="5"/>
        <v>0</v>
      </c>
      <c r="P18" s="759">
        <f t="shared" si="6"/>
        <v>317.20850000000002</v>
      </c>
      <c r="Q18" s="759">
        <f>'Capital IQ Sheet-GPC'!N21</f>
        <v>5.9059999999999997</v>
      </c>
      <c r="R18" s="759">
        <f t="shared" si="7"/>
        <v>311.30250000000001</v>
      </c>
      <c r="T18" s="1176">
        <f t="shared" si="8"/>
        <v>42005</v>
      </c>
      <c r="U18" s="1066">
        <f t="shared" si="9"/>
        <v>0</v>
      </c>
      <c r="V18" s="1066">
        <f t="shared" si="10"/>
        <v>1</v>
      </c>
      <c r="W18" s="1066">
        <f t="shared" si="11"/>
        <v>0.4</v>
      </c>
      <c r="Y18" s="1177" t="str">
        <f>'MASTER PubCo Inputs'!B36</f>
        <v>OTCBB:COCP</v>
      </c>
      <c r="Z18" s="331">
        <f>'Capital IQ Sheet-GPC'!H21</f>
        <v>311.30250000000001</v>
      </c>
      <c r="AA18" s="1178">
        <f t="shared" si="12"/>
        <v>0</v>
      </c>
      <c r="AC18" s="435"/>
      <c r="AG18" s="1179"/>
    </row>
    <row r="19" spans="2:33" ht="14.85" customHeight="1">
      <c r="B19" s="250" t="str">
        <f>'Comp.1'!B21</f>
        <v>Intellia Therapeutics Inc.</v>
      </c>
      <c r="D19" s="818">
        <v>2</v>
      </c>
      <c r="E19" s="1173" t="s">
        <v>315</v>
      </c>
      <c r="F19" s="1173" t="s">
        <v>314</v>
      </c>
      <c r="H19" s="1174">
        <f>HLOOKUP(D19,'Capital IQ Sheet-GPC'!$AQ$10:$AS$75,ROWS('Capital IQ Sheet-GPC'!AQ$10:AQ22),FALSE)</f>
        <v>0</v>
      </c>
      <c r="I19" s="1175">
        <f t="shared" si="4"/>
        <v>0</v>
      </c>
      <c r="K19" s="759">
        <f>'Capital IQ Sheet-GPC'!J22</f>
        <v>566.92646000000002</v>
      </c>
      <c r="L19" s="759">
        <f>'Capital IQ Sheet-GPC'!K22</f>
        <v>0</v>
      </c>
      <c r="M19" s="759">
        <f>'Capital IQ Sheet-GPC'!L22</f>
        <v>0</v>
      </c>
      <c r="N19" s="759">
        <f>'Capital IQ Sheet-GPC'!M22</f>
        <v>0</v>
      </c>
      <c r="O19" s="759">
        <f t="shared" si="5"/>
        <v>0</v>
      </c>
      <c r="P19" s="759">
        <f t="shared" si="6"/>
        <v>566.92646000000002</v>
      </c>
      <c r="Q19" s="759">
        <f>'Capital IQ Sheet-GPC'!N22</f>
        <v>290.61799999999999</v>
      </c>
      <c r="R19" s="759">
        <f t="shared" si="7"/>
        <v>276.30846000000003</v>
      </c>
      <c r="T19" s="1176">
        <f t="shared" si="8"/>
        <v>42005</v>
      </c>
      <c r="U19" s="1066">
        <f t="shared" si="9"/>
        <v>0</v>
      </c>
      <c r="V19" s="1066">
        <f t="shared" si="10"/>
        <v>1</v>
      </c>
      <c r="W19" s="1066">
        <f t="shared" si="11"/>
        <v>0.4</v>
      </c>
      <c r="Y19" s="1177" t="str">
        <f>'MASTER PubCo Inputs'!B37</f>
        <v>NasdaqGM:NTLA</v>
      </c>
      <c r="Z19" s="331">
        <f>'Capital IQ Sheet-GPC'!H22</f>
        <v>276.30846000000003</v>
      </c>
      <c r="AA19" s="1178">
        <f t="shared" si="12"/>
        <v>0</v>
      </c>
      <c r="AC19" s="435"/>
      <c r="AG19" s="1179"/>
    </row>
    <row r="20" spans="2:33" ht="14.85" customHeight="1">
      <c r="B20" s="250" t="str">
        <f>'Comp.1'!B22</f>
        <v>GenSight Biologics S.A.</v>
      </c>
      <c r="D20" s="818">
        <v>2</v>
      </c>
      <c r="E20" s="1173" t="s">
        <v>315</v>
      </c>
      <c r="F20" s="1173" t="s">
        <v>314</v>
      </c>
      <c r="H20" s="1174">
        <f>HLOOKUP(D20,'Capital IQ Sheet-GPC'!$AQ$10:$AS$75,ROWS('Capital IQ Sheet-GPC'!AQ$10:AQ23),FALSE)</f>
        <v>0</v>
      </c>
      <c r="I20" s="1175">
        <f t="shared" si="4"/>
        <v>0</v>
      </c>
      <c r="K20" s="759">
        <f>'Capital IQ Sheet-GPC'!J23</f>
        <v>256.04862000000003</v>
      </c>
      <c r="L20" s="759">
        <f>'Capital IQ Sheet-GPC'!K23</f>
        <v>0.67574000000000001</v>
      </c>
      <c r="M20" s="759">
        <f>'Capital IQ Sheet-GPC'!L23</f>
        <v>0</v>
      </c>
      <c r="N20" s="759">
        <f>'Capital IQ Sheet-GPC'!M23</f>
        <v>0</v>
      </c>
      <c r="O20" s="759">
        <f t="shared" si="5"/>
        <v>0.67574000000000001</v>
      </c>
      <c r="P20" s="759">
        <f t="shared" si="6"/>
        <v>256.72436000000005</v>
      </c>
      <c r="Q20" s="759">
        <f>'Capital IQ Sheet-GPC'!N23</f>
        <v>32.647199999999998</v>
      </c>
      <c r="R20" s="759">
        <f t="shared" si="7"/>
        <v>224.07716000000005</v>
      </c>
      <c r="T20" s="1176">
        <f t="shared" si="8"/>
        <v>42005</v>
      </c>
      <c r="U20" s="1066">
        <f t="shared" si="9"/>
        <v>2.6321615915217392E-3</v>
      </c>
      <c r="V20" s="1066">
        <f t="shared" si="10"/>
        <v>0.99736783840847831</v>
      </c>
      <c r="W20" s="1066">
        <f t="shared" si="11"/>
        <v>0.4</v>
      </c>
      <c r="Y20" s="1177" t="str">
        <f>'MASTER PubCo Inputs'!B38</f>
        <v>ENXTPA:SIGHT</v>
      </c>
      <c r="Z20" s="331">
        <f>'Capital IQ Sheet-GPC'!H23</f>
        <v>224.93052</v>
      </c>
      <c r="AA20" s="1178">
        <f t="shared" si="12"/>
        <v>-0.85335999999995238</v>
      </c>
      <c r="AC20" s="435"/>
      <c r="AG20" s="1179"/>
    </row>
    <row r="21" spans="2:33" ht="14.85" customHeight="1">
      <c r="B21" s="250" t="str">
        <f>'Comp.1'!B23</f>
        <v>Advaxis, Inc.</v>
      </c>
      <c r="D21" s="818">
        <v>2</v>
      </c>
      <c r="E21" s="1173" t="s">
        <v>315</v>
      </c>
      <c r="F21" s="1173" t="s">
        <v>314</v>
      </c>
      <c r="H21" s="1174">
        <f>HLOOKUP(D21,'Capital IQ Sheet-GPC'!$AQ$10:$AS$75,ROWS('Capital IQ Sheet-GPC'!AQ$10:AQ24),FALSE)</f>
        <v>1.9836199999999999</v>
      </c>
      <c r="I21" s="1175">
        <f t="shared" si="4"/>
        <v>1.9836199999999999</v>
      </c>
      <c r="K21" s="759">
        <f>'Capital IQ Sheet-GPC'!J24</f>
        <v>331.10462000000001</v>
      </c>
      <c r="L21" s="759">
        <f>'Capital IQ Sheet-GPC'!K24</f>
        <v>0</v>
      </c>
      <c r="M21" s="759">
        <f>'Capital IQ Sheet-GPC'!L24</f>
        <v>0</v>
      </c>
      <c r="N21" s="759">
        <f>'Capital IQ Sheet-GPC'!M24</f>
        <v>0</v>
      </c>
      <c r="O21" s="759">
        <f t="shared" si="5"/>
        <v>0</v>
      </c>
      <c r="P21" s="759">
        <f t="shared" si="6"/>
        <v>331.10462000000001</v>
      </c>
      <c r="Q21" s="759">
        <f>'Capital IQ Sheet-GPC'!N24</f>
        <v>78.717920000000007</v>
      </c>
      <c r="R21" s="759">
        <f t="shared" si="7"/>
        <v>252.38670000000002</v>
      </c>
      <c r="T21" s="1176">
        <f t="shared" si="8"/>
        <v>42005</v>
      </c>
      <c r="U21" s="1066">
        <f t="shared" si="9"/>
        <v>0</v>
      </c>
      <c r="V21" s="1066">
        <f t="shared" si="10"/>
        <v>1</v>
      </c>
      <c r="W21" s="1066">
        <f t="shared" si="11"/>
        <v>0.4</v>
      </c>
      <c r="Y21" s="1177" t="str">
        <f>'MASTER PubCo Inputs'!B39</f>
        <v>NasdaqCM:ADXS</v>
      </c>
      <c r="Z21" s="331">
        <f>'Capital IQ Sheet-GPC'!H24</f>
        <v>252.38669999999999</v>
      </c>
      <c r="AA21" s="1178">
        <f t="shared" si="12"/>
        <v>0</v>
      </c>
      <c r="AC21" s="435"/>
      <c r="AG21" s="1179"/>
    </row>
    <row r="22" spans="2:33" ht="14.85" customHeight="1">
      <c r="B22" s="250" t="str">
        <f>'Comp.1'!B24</f>
        <v>Audentes Therapeutics, Inc.</v>
      </c>
      <c r="D22" s="818">
        <v>2</v>
      </c>
      <c r="E22" s="1173" t="s">
        <v>315</v>
      </c>
      <c r="F22" s="1173" t="s">
        <v>314</v>
      </c>
      <c r="H22" s="1174">
        <f>HLOOKUP(D22,'Capital IQ Sheet-GPC'!$AQ$10:$AS$75,ROWS('Capital IQ Sheet-GPC'!AQ$10:AQ25),FALSE)</f>
        <v>0</v>
      </c>
      <c r="I22" s="1175">
        <f t="shared" si="4"/>
        <v>0</v>
      </c>
      <c r="K22" s="759">
        <f>'Capital IQ Sheet-GPC'!J25</f>
        <v>356.94443000000001</v>
      </c>
      <c r="L22" s="759">
        <f>'Capital IQ Sheet-GPC'!K25</f>
        <v>0</v>
      </c>
      <c r="M22" s="759">
        <f>'Capital IQ Sheet-GPC'!L25</f>
        <v>0</v>
      </c>
      <c r="N22" s="759">
        <f>'Capital IQ Sheet-GPC'!M25</f>
        <v>0</v>
      </c>
      <c r="O22" s="759">
        <f t="shared" si="5"/>
        <v>0</v>
      </c>
      <c r="P22" s="759">
        <f t="shared" si="6"/>
        <v>356.94443000000001</v>
      </c>
      <c r="Q22" s="759">
        <f>'Capital IQ Sheet-GPC'!N25</f>
        <v>119.18</v>
      </c>
      <c r="R22" s="759">
        <f t="shared" si="7"/>
        <v>237.76443</v>
      </c>
      <c r="T22" s="1176">
        <f t="shared" si="8"/>
        <v>42005</v>
      </c>
      <c r="U22" s="1066">
        <f t="shared" si="9"/>
        <v>0</v>
      </c>
      <c r="V22" s="1066">
        <f t="shared" si="10"/>
        <v>1</v>
      </c>
      <c r="W22" s="1066">
        <f t="shared" si="11"/>
        <v>0.4</v>
      </c>
      <c r="Y22" s="1177" t="str">
        <f>'MASTER PubCo Inputs'!B40</f>
        <v>NasdaqGM:BOLD</v>
      </c>
      <c r="Z22" s="331">
        <f>'Capital IQ Sheet-GPC'!H25</f>
        <v>237.76443</v>
      </c>
      <c r="AA22" s="1178">
        <f t="shared" si="12"/>
        <v>0</v>
      </c>
      <c r="AC22" s="435"/>
      <c r="AG22" s="1179"/>
    </row>
    <row r="23" spans="2:33" ht="14.85" customHeight="1">
      <c r="B23" s="250" t="str">
        <f>'Comp.1'!B25</f>
        <v>Syros Pharmaceuticals, Inc.</v>
      </c>
      <c r="D23" s="818">
        <v>2</v>
      </c>
      <c r="E23" s="1173" t="s">
        <v>315</v>
      </c>
      <c r="F23" s="1173" t="s">
        <v>314</v>
      </c>
      <c r="H23" s="1174">
        <f>HLOOKUP(D23,'Capital IQ Sheet-GPC'!$AQ$10:$AS$75,ROWS('Capital IQ Sheet-GPC'!AQ$10:AQ26),FALSE)</f>
        <v>0</v>
      </c>
      <c r="I23" s="1175">
        <f t="shared" si="4"/>
        <v>0</v>
      </c>
      <c r="K23" s="759">
        <f>'Capital IQ Sheet-GPC'!J26</f>
        <v>317.50677000000002</v>
      </c>
      <c r="L23" s="759">
        <f>'Capital IQ Sheet-GPC'!K26</f>
        <v>0.26100000000000001</v>
      </c>
      <c r="M23" s="759">
        <f>'Capital IQ Sheet-GPC'!L26</f>
        <v>0</v>
      </c>
      <c r="N23" s="759">
        <f>'Capital IQ Sheet-GPC'!M26</f>
        <v>0</v>
      </c>
      <c r="O23" s="759">
        <f t="shared" si="5"/>
        <v>0.26100000000000001</v>
      </c>
      <c r="P23" s="759">
        <f t="shared" si="6"/>
        <v>317.76777000000004</v>
      </c>
      <c r="Q23" s="759">
        <f>'Capital IQ Sheet-GPC'!N26</f>
        <v>93.494</v>
      </c>
      <c r="R23" s="759">
        <f t="shared" si="7"/>
        <v>224.27377000000004</v>
      </c>
      <c r="T23" s="1176">
        <f t="shared" si="8"/>
        <v>42005</v>
      </c>
      <c r="U23" s="1066">
        <f t="shared" si="9"/>
        <v>8.2135453825288817E-4</v>
      </c>
      <c r="V23" s="1066">
        <f t="shared" si="10"/>
        <v>0.99917864546174706</v>
      </c>
      <c r="W23" s="1066">
        <f t="shared" si="11"/>
        <v>0.4</v>
      </c>
      <c r="Y23" s="1177" t="str">
        <f>'MASTER PubCo Inputs'!B41</f>
        <v>NasdaqGS:SYRS</v>
      </c>
      <c r="Z23" s="331">
        <f>'Capital IQ Sheet-GPC'!H26</f>
        <v>224.27377000000001</v>
      </c>
      <c r="AA23" s="1178">
        <f t="shared" si="12"/>
        <v>0</v>
      </c>
      <c r="AC23" s="435"/>
      <c r="AG23" s="1179"/>
    </row>
    <row r="24" spans="2:33" ht="14.85" customHeight="1">
      <c r="B24" s="250" t="str">
        <f>'Comp.1'!B26</f>
        <v>Abeona Therapeutics Inc.</v>
      </c>
      <c r="D24" s="818">
        <v>2</v>
      </c>
      <c r="E24" s="1173" t="s">
        <v>315</v>
      </c>
      <c r="F24" s="1173" t="s">
        <v>314</v>
      </c>
      <c r="H24" s="1174">
        <f>HLOOKUP(D24,'Capital IQ Sheet-GPC'!$AQ$10:$AS$75,ROWS('Capital IQ Sheet-GPC'!AQ$10:AQ27),FALSE)</f>
        <v>2.0623</v>
      </c>
      <c r="I24" s="1175">
        <f t="shared" si="4"/>
        <v>2.0623</v>
      </c>
      <c r="K24" s="759">
        <f>'Capital IQ Sheet-GPC'!J27</f>
        <v>249.7473</v>
      </c>
      <c r="L24" s="759">
        <f>'Capital IQ Sheet-GPC'!K27</f>
        <v>0</v>
      </c>
      <c r="M24" s="759">
        <f>'Capital IQ Sheet-GPC'!L27</f>
        <v>0</v>
      </c>
      <c r="N24" s="759">
        <f>'Capital IQ Sheet-GPC'!M27</f>
        <v>0</v>
      </c>
      <c r="O24" s="759">
        <f t="shared" si="5"/>
        <v>0</v>
      </c>
      <c r="P24" s="759">
        <f t="shared" si="6"/>
        <v>249.7473</v>
      </c>
      <c r="Q24" s="759">
        <f>'Capital IQ Sheet-GPC'!N27</f>
        <v>31.184999999999999</v>
      </c>
      <c r="R24" s="759">
        <f t="shared" si="7"/>
        <v>218.56229999999999</v>
      </c>
      <c r="T24" s="1176">
        <f t="shared" si="8"/>
        <v>42005</v>
      </c>
      <c r="U24" s="1066">
        <f t="shared" si="9"/>
        <v>0</v>
      </c>
      <c r="V24" s="1066">
        <f t="shared" si="10"/>
        <v>1</v>
      </c>
      <c r="W24" s="1066">
        <f t="shared" si="11"/>
        <v>0.4</v>
      </c>
      <c r="Y24" s="1177" t="str">
        <f>'MASTER PubCo Inputs'!B42</f>
        <v>NasdaqCM:ABEO</v>
      </c>
      <c r="Z24" s="331">
        <f>'Capital IQ Sheet-GPC'!H27</f>
        <v>218.56229999999999</v>
      </c>
      <c r="AA24" s="1178">
        <f t="shared" si="12"/>
        <v>0</v>
      </c>
      <c r="AC24" s="435"/>
      <c r="AG24" s="1179"/>
    </row>
    <row r="25" spans="2:33" ht="14.85" customHeight="1">
      <c r="B25" s="250" t="str">
        <f>'Comp.1'!B27</f>
        <v>Idera Pharmaceuticals, Inc.</v>
      </c>
      <c r="D25" s="818">
        <v>2</v>
      </c>
      <c r="E25" s="1173" t="s">
        <v>315</v>
      </c>
      <c r="F25" s="1173" t="s">
        <v>314</v>
      </c>
      <c r="H25" s="1174">
        <f>HLOOKUP(D25,'Capital IQ Sheet-GPC'!$AQ$10:$AS$75,ROWS('Capital IQ Sheet-GPC'!AQ$10:AQ28),FALSE)</f>
        <v>1.74102</v>
      </c>
      <c r="I25" s="1175">
        <f t="shared" si="4"/>
        <v>1.7386412753432043</v>
      </c>
      <c r="K25" s="759">
        <f>'Capital IQ Sheet-GPC'!J28</f>
        <v>249.53377</v>
      </c>
      <c r="L25" s="759">
        <f>'Capital IQ Sheet-GPC'!K28</f>
        <v>0.56899999999999995</v>
      </c>
      <c r="M25" s="759">
        <f>'Capital IQ Sheet-GPC'!L28</f>
        <v>0</v>
      </c>
      <c r="N25" s="759">
        <f>'Capital IQ Sheet-GPC'!M28</f>
        <v>0</v>
      </c>
      <c r="O25" s="759">
        <f t="shared" si="5"/>
        <v>0.56899999999999995</v>
      </c>
      <c r="P25" s="759">
        <f t="shared" si="6"/>
        <v>250.10276999999999</v>
      </c>
      <c r="Q25" s="759">
        <f>'Capital IQ Sheet-GPC'!N28</f>
        <v>52.01</v>
      </c>
      <c r="R25" s="759">
        <f t="shared" si="7"/>
        <v>198.09277</v>
      </c>
      <c r="T25" s="1176">
        <f t="shared" si="8"/>
        <v>42005</v>
      </c>
      <c r="U25" s="1066">
        <f t="shared" si="9"/>
        <v>2.275064766375838E-3</v>
      </c>
      <c r="V25" s="1066">
        <f t="shared" si="10"/>
        <v>0.99772493523362416</v>
      </c>
      <c r="W25" s="1066">
        <f t="shared" si="11"/>
        <v>0.4</v>
      </c>
      <c r="Y25" s="1177" t="str">
        <f>'MASTER PubCo Inputs'!B43</f>
        <v>NasdaqCM:IDRA</v>
      </c>
      <c r="Z25" s="331">
        <f>'Capital IQ Sheet-GPC'!H28</f>
        <v>198.09277</v>
      </c>
      <c r="AA25" s="1178">
        <f t="shared" si="12"/>
        <v>0</v>
      </c>
      <c r="AC25" s="435"/>
      <c r="AG25" s="1179"/>
    </row>
    <row r="26" spans="2:33" ht="14.85" customHeight="1">
      <c r="B26" s="250" t="str">
        <f>'Comp.1'!B28</f>
        <v>Achillion Pharmaceuticals, Inc.</v>
      </c>
      <c r="D26" s="818">
        <v>2</v>
      </c>
      <c r="E26" s="1173" t="s">
        <v>315</v>
      </c>
      <c r="F26" s="1173" t="s">
        <v>314</v>
      </c>
      <c r="H26" s="1174">
        <f>HLOOKUP(D26,'Capital IQ Sheet-GPC'!$AQ$10:$AS$75,ROWS('Capital IQ Sheet-GPC'!AQ$10:AQ29),FALSE)</f>
        <v>1.52376</v>
      </c>
      <c r="I26" s="1175">
        <f t="shared" si="4"/>
        <v>1.5232932068623366</v>
      </c>
      <c r="K26" s="759">
        <f>'Capital IQ Sheet-GPC'!J29</f>
        <v>565.85888</v>
      </c>
      <c r="L26" s="759">
        <f>'Capital IQ Sheet-GPC'!K29</f>
        <v>0.28899999999999998</v>
      </c>
      <c r="M26" s="759">
        <f>'Capital IQ Sheet-GPC'!L29</f>
        <v>0</v>
      </c>
      <c r="N26" s="759">
        <f>'Capital IQ Sheet-GPC'!M29</f>
        <v>0</v>
      </c>
      <c r="O26" s="759">
        <f t="shared" si="5"/>
        <v>0.28899999999999998</v>
      </c>
      <c r="P26" s="759">
        <f t="shared" si="6"/>
        <v>566.14787999999999</v>
      </c>
      <c r="Q26" s="759">
        <f>'Capital IQ Sheet-GPC'!N29</f>
        <v>408.70499999999998</v>
      </c>
      <c r="R26" s="759">
        <f t="shared" si="7"/>
        <v>157.44288</v>
      </c>
      <c r="T26" s="1176">
        <f t="shared" si="8"/>
        <v>42005</v>
      </c>
      <c r="U26" s="1066">
        <f t="shared" si="9"/>
        <v>5.1046733584871854E-4</v>
      </c>
      <c r="V26" s="1066">
        <f t="shared" si="10"/>
        <v>0.9994895326641513</v>
      </c>
      <c r="W26" s="1066">
        <f t="shared" si="11"/>
        <v>0.4</v>
      </c>
      <c r="Y26" s="1177" t="str">
        <f>'MASTER PubCo Inputs'!B44</f>
        <v>NasdaqGS:ACHN</v>
      </c>
      <c r="Z26" s="331">
        <f>'Capital IQ Sheet-GPC'!H29</f>
        <v>157.44288</v>
      </c>
      <c r="AA26" s="1178">
        <f t="shared" si="12"/>
        <v>0</v>
      </c>
      <c r="AC26" s="435"/>
      <c r="AG26" s="1179"/>
    </row>
    <row r="27" spans="2:33" ht="14.85" customHeight="1">
      <c r="B27" s="250" t="str">
        <f>'Comp.1'!B29</f>
        <v>ContraVir Pharmaceuticals, Inc.</v>
      </c>
      <c r="D27" s="818">
        <v>2</v>
      </c>
      <c r="E27" s="1173" t="s">
        <v>315</v>
      </c>
      <c r="F27" s="1173" t="s">
        <v>314</v>
      </c>
      <c r="H27" s="1174">
        <f>HLOOKUP(D27,'Capital IQ Sheet-GPC'!$AQ$10:$AS$75,ROWS('Capital IQ Sheet-GPC'!AQ$10:AQ30),FALSE)</f>
        <v>2.4197799999999998</v>
      </c>
      <c r="I27" s="1175">
        <f t="shared" si="4"/>
        <v>2.3975890571566119</v>
      </c>
      <c r="K27" s="759">
        <f>'Capital IQ Sheet-GPC'!J30</f>
        <v>118.69085</v>
      </c>
      <c r="L27" s="759">
        <f>'Capital IQ Sheet-GPC'!K30</f>
        <v>0</v>
      </c>
      <c r="M27" s="759">
        <f>'Capital IQ Sheet-GPC'!L30</f>
        <v>1.83091</v>
      </c>
      <c r="N27" s="759">
        <f>'Capital IQ Sheet-GPC'!M30</f>
        <v>0</v>
      </c>
      <c r="O27" s="759">
        <f t="shared" si="5"/>
        <v>1.83091</v>
      </c>
      <c r="P27" s="759">
        <f t="shared" si="6"/>
        <v>120.52176</v>
      </c>
      <c r="Q27" s="759">
        <f>'Capital IQ Sheet-GPC'!N30</f>
        <v>3.0281600000000002</v>
      </c>
      <c r="R27" s="759">
        <f t="shared" si="7"/>
        <v>117.4936</v>
      </c>
      <c r="T27" s="1176">
        <f t="shared" si="8"/>
        <v>42005</v>
      </c>
      <c r="U27" s="1066">
        <f t="shared" si="9"/>
        <v>1.5191530558465127E-2</v>
      </c>
      <c r="V27" s="1066">
        <f t="shared" si="10"/>
        <v>0.98480846944153488</v>
      </c>
      <c r="W27" s="1066">
        <f t="shared" si="11"/>
        <v>0.4</v>
      </c>
      <c r="Y27" s="1177" t="str">
        <f>'MASTER PubCo Inputs'!B45</f>
        <v>NasdaqCM:CTRV</v>
      </c>
      <c r="Z27" s="331">
        <f>'Capital IQ Sheet-GPC'!H30</f>
        <v>117.4936</v>
      </c>
      <c r="AA27" s="1178">
        <f t="shared" si="12"/>
        <v>0</v>
      </c>
      <c r="AC27" s="435"/>
      <c r="AG27" s="1179"/>
    </row>
    <row r="28" spans="2:33" ht="14.85" customHeight="1">
      <c r="B28" s="250" t="str">
        <f>'Comp.1'!B30</f>
        <v>Sangamo Therapeutics, Inc.</v>
      </c>
      <c r="D28" s="818">
        <v>2</v>
      </c>
      <c r="E28" s="1173" t="s">
        <v>315</v>
      </c>
      <c r="F28" s="1173" t="s">
        <v>314</v>
      </c>
      <c r="H28" s="1174">
        <f>HLOOKUP(D28,'Capital IQ Sheet-GPC'!$AQ$10:$AS$75,ROWS('Capital IQ Sheet-GPC'!AQ$10:AQ31),FALSE)</f>
        <v>1.73122</v>
      </c>
      <c r="I28" s="1175">
        <f t="shared" si="4"/>
        <v>1.73122</v>
      </c>
      <c r="K28" s="759">
        <f>'Capital IQ Sheet-GPC'!J31</f>
        <v>225.99635000000001</v>
      </c>
      <c r="L28" s="759">
        <f>'Capital IQ Sheet-GPC'!K31</f>
        <v>0</v>
      </c>
      <c r="M28" s="759">
        <f>'Capital IQ Sheet-GPC'!L31</f>
        <v>0</v>
      </c>
      <c r="N28" s="759">
        <f>'Capital IQ Sheet-GPC'!M31</f>
        <v>0</v>
      </c>
      <c r="O28" s="759">
        <f t="shared" si="5"/>
        <v>0</v>
      </c>
      <c r="P28" s="759">
        <f t="shared" si="6"/>
        <v>225.99635000000001</v>
      </c>
      <c r="Q28" s="759">
        <f>'Capital IQ Sheet-GPC'!N31</f>
        <v>145.58099999999999</v>
      </c>
      <c r="R28" s="759">
        <f t="shared" si="7"/>
        <v>80.415350000000018</v>
      </c>
      <c r="T28" s="1176">
        <f t="shared" si="8"/>
        <v>42005</v>
      </c>
      <c r="U28" s="1066">
        <f t="shared" si="9"/>
        <v>0</v>
      </c>
      <c r="V28" s="1066">
        <f t="shared" si="10"/>
        <v>1</v>
      </c>
      <c r="W28" s="1066">
        <f t="shared" si="11"/>
        <v>0.4</v>
      </c>
      <c r="Y28" s="1177" t="str">
        <f>'MASTER PubCo Inputs'!B46</f>
        <v>NasdaqGS:SGMO</v>
      </c>
      <c r="Z28" s="331">
        <f>'Capital IQ Sheet-GPC'!H31</f>
        <v>80.415350000000004</v>
      </c>
      <c r="AA28" s="1178">
        <f t="shared" si="12"/>
        <v>0</v>
      </c>
      <c r="AC28" s="435"/>
      <c r="AG28" s="1179"/>
    </row>
    <row r="29" spans="2:33" ht="14.85" customHeight="1">
      <c r="B29" s="250" t="str">
        <f>'Comp.1'!B31</f>
        <v>Immune Design Corp.</v>
      </c>
      <c r="D29" s="818">
        <v>2</v>
      </c>
      <c r="E29" s="1173" t="s">
        <v>315</v>
      </c>
      <c r="F29" s="1173" t="s">
        <v>314</v>
      </c>
      <c r="H29" s="1174">
        <f>HLOOKUP(D29,'Capital IQ Sheet-GPC'!$AQ$10:$AS$75,ROWS('Capital IQ Sheet-GPC'!AQ$10:AQ32),FALSE)</f>
        <v>3.4573</v>
      </c>
      <c r="I29" s="1175">
        <f t="shared" si="4"/>
        <v>3.4573</v>
      </c>
      <c r="K29" s="759">
        <f>'Capital IQ Sheet-GPC'!J32</f>
        <v>186.75745000000001</v>
      </c>
      <c r="L29" s="759">
        <f>'Capital IQ Sheet-GPC'!K32</f>
        <v>0</v>
      </c>
      <c r="M29" s="759">
        <f>'Capital IQ Sheet-GPC'!L32</f>
        <v>0</v>
      </c>
      <c r="N29" s="759">
        <f>'Capital IQ Sheet-GPC'!M32</f>
        <v>0</v>
      </c>
      <c r="O29" s="759">
        <f t="shared" si="5"/>
        <v>0</v>
      </c>
      <c r="P29" s="759">
        <f t="shared" si="6"/>
        <v>186.75745000000001</v>
      </c>
      <c r="Q29" s="759">
        <f>'Capital IQ Sheet-GPC'!N32</f>
        <v>112.471</v>
      </c>
      <c r="R29" s="759">
        <f t="shared" si="7"/>
        <v>74.286450000000002</v>
      </c>
      <c r="T29" s="1176">
        <f t="shared" si="8"/>
        <v>42005</v>
      </c>
      <c r="U29" s="1066">
        <f t="shared" si="9"/>
        <v>0</v>
      </c>
      <c r="V29" s="1066">
        <f t="shared" si="10"/>
        <v>1</v>
      </c>
      <c r="W29" s="1066">
        <f t="shared" si="11"/>
        <v>0.4</v>
      </c>
      <c r="Y29" s="1177" t="str">
        <f>'MASTER PubCo Inputs'!B47</f>
        <v>NasdaqGM:IMDZ</v>
      </c>
      <c r="Z29" s="331">
        <f>'Capital IQ Sheet-GPC'!H32</f>
        <v>74.286450000000002</v>
      </c>
      <c r="AA29" s="1178">
        <f t="shared" si="12"/>
        <v>0</v>
      </c>
      <c r="AC29" s="435"/>
      <c r="AG29" s="1179"/>
    </row>
    <row r="30" spans="2:33" ht="14.85" customHeight="1">
      <c r="B30" s="250" t="str">
        <f>'Comp.1'!B32</f>
        <v>Fate Therapeutics, Inc.</v>
      </c>
      <c r="D30" s="818">
        <v>2</v>
      </c>
      <c r="E30" s="1173" t="s">
        <v>315</v>
      </c>
      <c r="F30" s="1173" t="s">
        <v>314</v>
      </c>
      <c r="H30" s="1174">
        <f>HLOOKUP(D30,'Capital IQ Sheet-GPC'!$AQ$10:$AS$75,ROWS('Capital IQ Sheet-GPC'!AQ$10:AQ33),FALSE)</f>
        <v>1.9785600000000001</v>
      </c>
      <c r="I30" s="1175">
        <f t="shared" si="4"/>
        <v>1.8396459433671581</v>
      </c>
      <c r="K30" s="759">
        <f>'Capital IQ Sheet-GPC'!J33</f>
        <v>100.39557000000001</v>
      </c>
      <c r="L30" s="759">
        <f>'Capital IQ Sheet-GPC'!K33</f>
        <v>12.635</v>
      </c>
      <c r="M30" s="759">
        <f>'Capital IQ Sheet-GPC'!L33</f>
        <v>0</v>
      </c>
      <c r="N30" s="759">
        <f>'Capital IQ Sheet-GPC'!M33</f>
        <v>0</v>
      </c>
      <c r="O30" s="759">
        <f t="shared" si="5"/>
        <v>12.635</v>
      </c>
      <c r="P30" s="759">
        <f t="shared" si="6"/>
        <v>113.03057000000001</v>
      </c>
      <c r="Q30" s="759">
        <f>'Capital IQ Sheet-GPC'!N33</f>
        <v>46.619</v>
      </c>
      <c r="R30" s="759">
        <f t="shared" si="7"/>
        <v>66.411570000000012</v>
      </c>
      <c r="T30" s="1176">
        <f t="shared" si="8"/>
        <v>42005</v>
      </c>
      <c r="U30" s="1066">
        <f t="shared" si="9"/>
        <v>0.11178391827980695</v>
      </c>
      <c r="V30" s="1066">
        <f t="shared" si="10"/>
        <v>0.88821608172019306</v>
      </c>
      <c r="W30" s="1066">
        <f t="shared" si="11"/>
        <v>0.4</v>
      </c>
      <c r="Y30" s="1177" t="str">
        <f>'MASTER PubCo Inputs'!B48</f>
        <v>NasdaqGM:FATE</v>
      </c>
      <c r="Z30" s="331">
        <f>'Capital IQ Sheet-GPC'!H33</f>
        <v>66.411569999999998</v>
      </c>
      <c r="AA30" s="1178">
        <f t="shared" si="12"/>
        <v>0</v>
      </c>
      <c r="AC30" s="435"/>
      <c r="AG30" s="1179"/>
    </row>
    <row r="31" spans="2:33" ht="14.85" customHeight="1">
      <c r="B31" s="250" t="str">
        <f>'Comp.1'!B33</f>
        <v>Arrowhead Pharmaceuticals, Inc.</v>
      </c>
      <c r="D31" s="818">
        <v>2</v>
      </c>
      <c r="E31" s="1173" t="s">
        <v>315</v>
      </c>
      <c r="F31" s="1173" t="s">
        <v>314</v>
      </c>
      <c r="H31" s="1174">
        <f>HLOOKUP(D31,'Capital IQ Sheet-GPC'!$AQ$10:$AS$75,ROWS('Capital IQ Sheet-GPC'!AQ$10:AQ34),FALSE)</f>
        <v>0.72738999999999998</v>
      </c>
      <c r="I31" s="1175">
        <f t="shared" si="4"/>
        <v>0.71349566932897834</v>
      </c>
      <c r="K31" s="759">
        <f>'Capital IQ Sheet-GPC'!J34</f>
        <v>102.94919</v>
      </c>
      <c r="L31" s="759">
        <f>'Capital IQ Sheet-GPC'!K34</f>
        <v>3.32328</v>
      </c>
      <c r="M31" s="759">
        <f>'Capital IQ Sheet-GPC'!L34</f>
        <v>2.0000000000000002E-5</v>
      </c>
      <c r="N31" s="759">
        <f>'Capital IQ Sheet-GPC'!M34</f>
        <v>-0.55518999999999996</v>
      </c>
      <c r="O31" s="759">
        <f t="shared" si="5"/>
        <v>2.7681100000000001</v>
      </c>
      <c r="P31" s="759">
        <f t="shared" si="6"/>
        <v>105.71730000000001</v>
      </c>
      <c r="Q31" s="759">
        <f>'Capital IQ Sheet-GPC'!N34</f>
        <v>44.647100000000002</v>
      </c>
      <c r="R31" s="759">
        <f t="shared" si="7"/>
        <v>61.070200000000007</v>
      </c>
      <c r="T31" s="1176">
        <f t="shared" si="8"/>
        <v>42005</v>
      </c>
      <c r="U31" s="1066">
        <f t="shared" si="9"/>
        <v>3.1435725278644078E-2</v>
      </c>
      <c r="V31" s="1066">
        <f t="shared" si="10"/>
        <v>0.96856427472135587</v>
      </c>
      <c r="W31" s="1066">
        <f t="shared" si="11"/>
        <v>0.4</v>
      </c>
      <c r="Y31" s="1177" t="str">
        <f>'MASTER PubCo Inputs'!B49</f>
        <v>NasdaqGS:ARWR</v>
      </c>
      <c r="Z31" s="331">
        <f>'Capital IQ Sheet-GPC'!H34</f>
        <v>61.0702</v>
      </c>
      <c r="AA31" s="1178">
        <f t="shared" si="12"/>
        <v>0</v>
      </c>
      <c r="AC31" s="435"/>
      <c r="AG31" s="1179"/>
    </row>
    <row r="32" spans="2:33" ht="14.85" customHeight="1">
      <c r="B32" s="250" t="str">
        <f>'Comp.1'!B34</f>
        <v>Regulus Therapeutics Inc.</v>
      </c>
      <c r="D32" s="818">
        <v>2</v>
      </c>
      <c r="E32" s="1173" t="s">
        <v>315</v>
      </c>
      <c r="F32" s="1173" t="s">
        <v>314</v>
      </c>
      <c r="H32" s="1174">
        <f>HLOOKUP(D32,'Capital IQ Sheet-GPC'!$AQ$10:$AS$75,ROWS('Capital IQ Sheet-GPC'!AQ$10:AQ35),FALSE)</f>
        <v>1.01509</v>
      </c>
      <c r="I32" s="1175">
        <f t="shared" si="4"/>
        <v>0.92994207827360575</v>
      </c>
      <c r="K32" s="759">
        <f>'Capital IQ Sheet-GPC'!J35</f>
        <v>129.66210000000001</v>
      </c>
      <c r="L32" s="759">
        <f>'Capital IQ Sheet-GPC'!K35</f>
        <v>19.786999999999999</v>
      </c>
      <c r="M32" s="759">
        <f>'Capital IQ Sheet-GPC'!L35</f>
        <v>0</v>
      </c>
      <c r="N32" s="759">
        <f>'Capital IQ Sheet-GPC'!M35</f>
        <v>0</v>
      </c>
      <c r="O32" s="759">
        <f t="shared" si="5"/>
        <v>19.786999999999999</v>
      </c>
      <c r="P32" s="759">
        <f t="shared" si="6"/>
        <v>149.44910000000002</v>
      </c>
      <c r="Q32" s="759">
        <f>'Capital IQ Sheet-GPC'!N35</f>
        <v>91.582999999999998</v>
      </c>
      <c r="R32" s="759">
        <f t="shared" si="7"/>
        <v>57.866100000000017</v>
      </c>
      <c r="T32" s="1176">
        <f t="shared" si="8"/>
        <v>42005</v>
      </c>
      <c r="U32" s="1066">
        <f t="shared" si="9"/>
        <v>0.1323995929048753</v>
      </c>
      <c r="V32" s="1066">
        <f t="shared" si="10"/>
        <v>0.86760040709512465</v>
      </c>
      <c r="W32" s="1066">
        <f t="shared" si="11"/>
        <v>0.4</v>
      </c>
      <c r="Y32" s="1177" t="str">
        <f>'MASTER PubCo Inputs'!B50</f>
        <v>NasdaqGM:RGLS</v>
      </c>
      <c r="Z32" s="331">
        <f>'Capital IQ Sheet-GPC'!H35</f>
        <v>57.866100000000003</v>
      </c>
      <c r="AA32" s="1178">
        <f t="shared" si="12"/>
        <v>0</v>
      </c>
      <c r="AC32" s="435"/>
      <c r="AG32" s="1179"/>
    </row>
    <row r="33" spans="2:33" ht="14.85" customHeight="1">
      <c r="B33" s="250" t="str">
        <f>'Comp.1'!B35</f>
        <v>CEL-SCI Corporation</v>
      </c>
      <c r="D33" s="818">
        <v>2</v>
      </c>
      <c r="E33" s="1173" t="s">
        <v>315</v>
      </c>
      <c r="F33" s="1173" t="s">
        <v>314</v>
      </c>
      <c r="H33" s="1174">
        <f>HLOOKUP(D33,'Capital IQ Sheet-GPC'!$AQ$10:$AS$75,ROWS('Capital IQ Sheet-GPC'!AQ$10:AQ36),FALSE)</f>
        <v>0.88060000000000005</v>
      </c>
      <c r="I33" s="1175">
        <f t="shared" si="4"/>
        <v>0.88056281090911881</v>
      </c>
      <c r="K33" s="759">
        <f>'Capital IQ Sheet-GPC'!J36</f>
        <v>32.817689999999999</v>
      </c>
      <c r="L33" s="759">
        <f>'Capital IQ Sheet-GPC'!K36</f>
        <v>2.31E-3</v>
      </c>
      <c r="M33" s="759">
        <f>'Capital IQ Sheet-GPC'!L36</f>
        <v>0</v>
      </c>
      <c r="N33" s="759">
        <f>'Capital IQ Sheet-GPC'!M36</f>
        <v>0</v>
      </c>
      <c r="O33" s="759">
        <f t="shared" si="5"/>
        <v>2.31E-3</v>
      </c>
      <c r="P33" s="759">
        <f t="shared" si="6"/>
        <v>32.82</v>
      </c>
      <c r="Q33" s="759">
        <f>'Capital IQ Sheet-GPC'!N36</f>
        <v>5.21896</v>
      </c>
      <c r="R33" s="759">
        <f t="shared" si="7"/>
        <v>27.601040000000001</v>
      </c>
      <c r="T33" s="1176">
        <f t="shared" si="8"/>
        <v>42005</v>
      </c>
      <c r="U33" s="1066">
        <f t="shared" si="9"/>
        <v>7.0383912248628885E-5</v>
      </c>
      <c r="V33" s="1066">
        <f t="shared" si="10"/>
        <v>0.99992961608775133</v>
      </c>
      <c r="W33" s="1066">
        <f t="shared" si="11"/>
        <v>0.4</v>
      </c>
      <c r="Y33" s="1177" t="str">
        <f>'MASTER PubCo Inputs'!B51</f>
        <v>AMEX:CVM</v>
      </c>
      <c r="Z33" s="331">
        <f>'Capital IQ Sheet-GPC'!H36</f>
        <v>27.601040000000001</v>
      </c>
      <c r="AA33" s="1178">
        <f t="shared" si="12"/>
        <v>0</v>
      </c>
      <c r="AC33" s="435"/>
      <c r="AG33" s="1179"/>
    </row>
    <row r="34" spans="2:33" ht="14.85" customHeight="1">
      <c r="B34" s="250" t="str">
        <f>'Comp.1'!B36</f>
        <v>PhaseRx, Inc.</v>
      </c>
      <c r="D34" s="818">
        <v>2</v>
      </c>
      <c r="E34" s="1173" t="s">
        <v>315</v>
      </c>
      <c r="F34" s="1173" t="s">
        <v>314</v>
      </c>
      <c r="H34" s="1174">
        <f>HLOOKUP(D34,'Capital IQ Sheet-GPC'!$AQ$10:$AS$75,ROWS('Capital IQ Sheet-GPC'!AQ$10:AQ37),FALSE)</f>
        <v>0</v>
      </c>
      <c r="I34" s="1175">
        <f t="shared" si="4"/>
        <v>0</v>
      </c>
      <c r="K34" s="759">
        <f>'Capital IQ Sheet-GPC'!J37</f>
        <v>24.549689999999998</v>
      </c>
      <c r="L34" s="759">
        <f>'Capital IQ Sheet-GPC'!K37</f>
        <v>5.6109999999999998</v>
      </c>
      <c r="M34" s="759">
        <f>'Capital IQ Sheet-GPC'!L37</f>
        <v>0</v>
      </c>
      <c r="N34" s="759">
        <f>'Capital IQ Sheet-GPC'!M37</f>
        <v>0</v>
      </c>
      <c r="O34" s="759">
        <f t="shared" si="5"/>
        <v>5.6109999999999998</v>
      </c>
      <c r="P34" s="759">
        <f t="shared" si="6"/>
        <v>30.160689999999999</v>
      </c>
      <c r="Q34" s="759">
        <f>'Capital IQ Sheet-GPC'!N37</f>
        <v>18.635000000000002</v>
      </c>
      <c r="R34" s="759">
        <f t="shared" si="7"/>
        <v>11.525689999999997</v>
      </c>
      <c r="T34" s="1176">
        <f t="shared" si="8"/>
        <v>42005</v>
      </c>
      <c r="U34" s="1066">
        <f t="shared" si="9"/>
        <v>0.18603685791008095</v>
      </c>
      <c r="V34" s="1066">
        <f t="shared" si="10"/>
        <v>0.81396314208991905</v>
      </c>
      <c r="W34" s="1066">
        <f t="shared" si="11"/>
        <v>0.4</v>
      </c>
      <c r="Y34" s="1177" t="str">
        <f>'MASTER PubCo Inputs'!B52</f>
        <v>NasdaqCM:PZRX</v>
      </c>
      <c r="Z34" s="331">
        <f>'Capital IQ Sheet-GPC'!H37</f>
        <v>11.525690000000001</v>
      </c>
      <c r="AA34" s="1178">
        <f t="shared" si="12"/>
        <v>0</v>
      </c>
      <c r="AC34" s="435"/>
      <c r="AG34" s="1179"/>
    </row>
    <row r="35" spans="2:33" ht="14.85" customHeight="1">
      <c r="B35" s="250" t="str">
        <f>'Comp.1'!B37</f>
        <v>Marina Biotech, Inc.</v>
      </c>
      <c r="D35" s="818">
        <v>2</v>
      </c>
      <c r="E35" s="1173" t="s">
        <v>315</v>
      </c>
      <c r="F35" s="1173" t="s">
        <v>314</v>
      </c>
      <c r="H35" s="1174">
        <f>HLOOKUP(D35,'Capital IQ Sheet-GPC'!$AQ$10:$AS$75,ROWS('Capital IQ Sheet-GPC'!AQ$10:AQ38),FALSE)</f>
        <v>0</v>
      </c>
      <c r="I35" s="1175">
        <f t="shared" si="4"/>
        <v>0</v>
      </c>
      <c r="K35" s="759">
        <f>'Capital IQ Sheet-GPC'!J38</f>
        <v>9.8748500000000003</v>
      </c>
      <c r="L35" s="759">
        <f>'Capital IQ Sheet-GPC'!K38</f>
        <v>0</v>
      </c>
      <c r="M35" s="759">
        <f>'Capital IQ Sheet-GPC'!L38</f>
        <v>0</v>
      </c>
      <c r="N35" s="759">
        <f>'Capital IQ Sheet-GPC'!M38</f>
        <v>0</v>
      </c>
      <c r="O35" s="759">
        <f t="shared" si="5"/>
        <v>0</v>
      </c>
      <c r="P35" s="759">
        <f t="shared" si="6"/>
        <v>9.8748500000000003</v>
      </c>
      <c r="Q35" s="759">
        <f>'Capital IQ Sheet-GPC'!N38</f>
        <v>0</v>
      </c>
      <c r="R35" s="759">
        <f t="shared" si="7"/>
        <v>9.8748500000000003</v>
      </c>
      <c r="T35" s="1176">
        <f t="shared" si="8"/>
        <v>42005</v>
      </c>
      <c r="U35" s="1066">
        <f t="shared" si="9"/>
        <v>0</v>
      </c>
      <c r="V35" s="1066">
        <f t="shared" si="10"/>
        <v>1</v>
      </c>
      <c r="W35" s="1066">
        <f t="shared" si="11"/>
        <v>0.4</v>
      </c>
      <c r="Y35" s="1177" t="str">
        <f>'MASTER PubCo Inputs'!B53</f>
        <v>OTCPK:MRNA</v>
      </c>
      <c r="Z35" s="331">
        <f>'Capital IQ Sheet-GPC'!H38</f>
        <v>0</v>
      </c>
      <c r="AA35" s="1178">
        <f t="shared" si="12"/>
        <v>9.8748500000000003</v>
      </c>
      <c r="AC35" s="435"/>
      <c r="AG35" s="1179"/>
    </row>
    <row r="36" spans="2:33" ht="14.85" customHeight="1">
      <c r="B36" s="250" t="str">
        <f>'Comp.1'!B38</f>
        <v>RXi Pharmaceuticals Corporation</v>
      </c>
      <c r="D36" s="818">
        <v>2</v>
      </c>
      <c r="E36" s="1173" t="s">
        <v>315</v>
      </c>
      <c r="F36" s="1173" t="s">
        <v>314</v>
      </c>
      <c r="H36" s="1174">
        <f>HLOOKUP(D36,'Capital IQ Sheet-GPC'!$AQ$10:$AS$75,ROWS('Capital IQ Sheet-GPC'!AQ$10:AQ39),FALSE)</f>
        <v>0.72043999999999997</v>
      </c>
      <c r="I36" s="1175">
        <f t="shared" si="4"/>
        <v>0.72043999999999997</v>
      </c>
      <c r="K36" s="759">
        <f>'Capital IQ Sheet-GPC'!J39</f>
        <v>9.9657699999999991</v>
      </c>
      <c r="L36" s="759">
        <f>'Capital IQ Sheet-GPC'!K39</f>
        <v>0</v>
      </c>
      <c r="M36" s="759">
        <f>'Capital IQ Sheet-GPC'!L39</f>
        <v>0</v>
      </c>
      <c r="N36" s="759">
        <f>'Capital IQ Sheet-GPC'!M39</f>
        <v>0</v>
      </c>
      <c r="O36" s="759">
        <f t="shared" si="5"/>
        <v>0</v>
      </c>
      <c r="P36" s="759">
        <f t="shared" si="6"/>
        <v>9.9657699999999991</v>
      </c>
      <c r="Q36" s="759">
        <f>'Capital IQ Sheet-GPC'!N39</f>
        <v>4.3789999999999996</v>
      </c>
      <c r="R36" s="759">
        <f t="shared" si="7"/>
        <v>5.5867699999999996</v>
      </c>
      <c r="T36" s="1176">
        <f t="shared" si="8"/>
        <v>42005</v>
      </c>
      <c r="U36" s="1066">
        <f t="shared" si="9"/>
        <v>0</v>
      </c>
      <c r="V36" s="1066">
        <f t="shared" si="10"/>
        <v>1</v>
      </c>
      <c r="W36" s="1066">
        <f t="shared" si="11"/>
        <v>0.4</v>
      </c>
      <c r="Y36" s="1177" t="str">
        <f>'MASTER PubCo Inputs'!B54</f>
        <v>NasdaqCM:RXII</v>
      </c>
      <c r="Z36" s="331">
        <f>'Capital IQ Sheet-GPC'!H39</f>
        <v>5.5867699999999996</v>
      </c>
      <c r="AA36" s="1178">
        <f t="shared" si="12"/>
        <v>0</v>
      </c>
      <c r="AC36" s="435"/>
      <c r="AG36" s="1179"/>
    </row>
    <row r="37" spans="2:33" ht="14.85" customHeight="1">
      <c r="B37" s="250" t="str">
        <f>'Comp.1'!B39</f>
        <v>Benitec Biopharma Limited</v>
      </c>
      <c r="D37" s="818">
        <v>2</v>
      </c>
      <c r="E37" s="1173" t="s">
        <v>315</v>
      </c>
      <c r="F37" s="1173" t="s">
        <v>314</v>
      </c>
      <c r="H37" s="1174">
        <f>HLOOKUP(D37,'Capital IQ Sheet-GPC'!$AQ$10:$AS$75,ROWS('Capital IQ Sheet-GPC'!AQ$10:AQ40),FALSE)</f>
        <v>0.71555000000000002</v>
      </c>
      <c r="I37" s="1175">
        <f t="shared" si="4"/>
        <v>0.71555000000000002</v>
      </c>
      <c r="K37" s="759">
        <f>'Capital IQ Sheet-GPC'!J40</f>
        <v>12.459519999999999</v>
      </c>
      <c r="L37" s="759">
        <f>'Capital IQ Sheet-GPC'!K40</f>
        <v>0</v>
      </c>
      <c r="M37" s="759">
        <f>'Capital IQ Sheet-GPC'!L40</f>
        <v>0</v>
      </c>
      <c r="N37" s="759">
        <f>'Capital IQ Sheet-GPC'!M40</f>
        <v>0</v>
      </c>
      <c r="O37" s="759">
        <f t="shared" si="5"/>
        <v>0</v>
      </c>
      <c r="P37" s="759">
        <f t="shared" si="6"/>
        <v>12.459519999999999</v>
      </c>
      <c r="Q37" s="759">
        <f>'Capital IQ Sheet-GPC'!N40</f>
        <v>10.266360000000001</v>
      </c>
      <c r="R37" s="759">
        <f t="shared" si="7"/>
        <v>2.1931599999999989</v>
      </c>
      <c r="T37" s="1176">
        <f t="shared" si="8"/>
        <v>42005</v>
      </c>
      <c r="U37" s="1066">
        <f t="shared" si="9"/>
        <v>0</v>
      </c>
      <c r="V37" s="1066">
        <f t="shared" si="10"/>
        <v>1</v>
      </c>
      <c r="W37" s="1066">
        <f t="shared" si="11"/>
        <v>0.4</v>
      </c>
      <c r="Y37" s="1177" t="str">
        <f>'MASTER PubCo Inputs'!B55</f>
        <v>ASX:BLT</v>
      </c>
      <c r="Z37" s="331">
        <f>'Capital IQ Sheet-GPC'!H40</f>
        <v>2.5731899999999999</v>
      </c>
      <c r="AA37" s="1178">
        <f t="shared" si="12"/>
        <v>-0.38003000000000098</v>
      </c>
      <c r="AC37" s="435"/>
      <c r="AG37" s="1179"/>
    </row>
    <row r="38" spans="2:33" ht="14.85" customHeight="1">
      <c r="B38" s="250" t="str">
        <f>'Comp.1'!B40</f>
        <v>GenVec, Inc.</v>
      </c>
      <c r="D38" s="818">
        <v>2</v>
      </c>
      <c r="E38" s="1173" t="s">
        <v>315</v>
      </c>
      <c r="F38" s="1173" t="s">
        <v>314</v>
      </c>
      <c r="H38" s="1174">
        <f>HLOOKUP(D38,'Capital IQ Sheet-GPC'!$AQ$10:$AS$75,ROWS('Capital IQ Sheet-GPC'!AQ$10:AQ41),FALSE)</f>
        <v>2.1473800000000001</v>
      </c>
      <c r="I38" s="1175">
        <f t="shared" si="4"/>
        <v>2.1473800000000001</v>
      </c>
      <c r="K38" s="759">
        <f>'Capital IQ Sheet-GPC'!J41</f>
        <v>7.33019</v>
      </c>
      <c r="L38" s="759">
        <f>'Capital IQ Sheet-GPC'!K41</f>
        <v>0</v>
      </c>
      <c r="M38" s="759">
        <f>'Capital IQ Sheet-GPC'!L41</f>
        <v>0</v>
      </c>
      <c r="N38" s="759">
        <f>'Capital IQ Sheet-GPC'!M41</f>
        <v>0</v>
      </c>
      <c r="O38" s="759">
        <f t="shared" si="5"/>
        <v>0</v>
      </c>
      <c r="P38" s="759">
        <f t="shared" si="6"/>
        <v>7.33019</v>
      </c>
      <c r="Q38" s="759">
        <f>'Capital IQ Sheet-GPC'!N41</f>
        <v>8.3960000000000008</v>
      </c>
      <c r="R38" s="759">
        <f t="shared" si="7"/>
        <v>-1.0658100000000008</v>
      </c>
      <c r="T38" s="1176">
        <f t="shared" si="8"/>
        <v>42005</v>
      </c>
      <c r="U38" s="1066">
        <f t="shared" si="9"/>
        <v>0</v>
      </c>
      <c r="V38" s="1066">
        <f t="shared" si="10"/>
        <v>1</v>
      </c>
      <c r="W38" s="1066">
        <f t="shared" si="11"/>
        <v>0.4</v>
      </c>
      <c r="Y38" s="1177" t="str">
        <f>'MASTER PubCo Inputs'!B56</f>
        <v>NasdaqCM:GNVC</v>
      </c>
      <c r="Z38" s="331">
        <f>'Capital IQ Sheet-GPC'!H41</f>
        <v>-1.0658099999999999</v>
      </c>
      <c r="AA38" s="1178">
        <f t="shared" si="12"/>
        <v>0</v>
      </c>
      <c r="AC38" s="435"/>
      <c r="AG38" s="1179"/>
    </row>
    <row r="39" spans="2:33" ht="14.85" customHeight="1">
      <c r="B39" s="250" t="str">
        <f>'Comp.1'!B41</f>
        <v>Arbutus Biopharma Corporation</v>
      </c>
      <c r="D39" s="818">
        <v>2</v>
      </c>
      <c r="E39" s="1173" t="s">
        <v>315</v>
      </c>
      <c r="F39" s="1173" t="s">
        <v>314</v>
      </c>
      <c r="H39" s="1174">
        <f>HLOOKUP(D39,'Capital IQ Sheet-GPC'!$AQ$10:$AS$75,ROWS('Capital IQ Sheet-GPC'!AQ$10:AQ42),FALSE)</f>
        <v>0.79812000000000005</v>
      </c>
      <c r="I39" s="1175">
        <f t="shared" si="4"/>
        <v>0.79812000000000005</v>
      </c>
      <c r="K39" s="759">
        <f>'Capital IQ Sheet-GPC'!J42</f>
        <v>145.32996</v>
      </c>
      <c r="L39" s="759">
        <f>'Capital IQ Sheet-GPC'!K42</f>
        <v>0</v>
      </c>
      <c r="M39" s="759">
        <f>'Capital IQ Sheet-GPC'!L42</f>
        <v>0</v>
      </c>
      <c r="N39" s="759">
        <f>'Capital IQ Sheet-GPC'!M42</f>
        <v>0</v>
      </c>
      <c r="O39" s="759">
        <f t="shared" si="5"/>
        <v>0</v>
      </c>
      <c r="P39" s="759">
        <f t="shared" si="6"/>
        <v>145.32996</v>
      </c>
      <c r="Q39" s="759">
        <f>'Capital IQ Sheet-GPC'!N42</f>
        <v>149.68199999999999</v>
      </c>
      <c r="R39" s="759">
        <f t="shared" si="7"/>
        <v>-4.3520399999999881</v>
      </c>
      <c r="T39" s="1176">
        <f t="shared" si="8"/>
        <v>42005</v>
      </c>
      <c r="U39" s="1066">
        <f t="shared" si="9"/>
        <v>0</v>
      </c>
      <c r="V39" s="1066">
        <f t="shared" si="10"/>
        <v>1</v>
      </c>
      <c r="W39" s="1066">
        <f t="shared" si="11"/>
        <v>0.4</v>
      </c>
      <c r="Y39" s="1177" t="str">
        <f>'MASTER PubCo Inputs'!B57</f>
        <v>NasdaqGS:ABUS</v>
      </c>
      <c r="Z39" s="331">
        <f>'Capital IQ Sheet-GPC'!H42</f>
        <v>-4.3520399999999997</v>
      </c>
      <c r="AA39" s="1178">
        <f t="shared" si="12"/>
        <v>1.1546319456101628E-14</v>
      </c>
      <c r="AC39" s="435"/>
      <c r="AG39" s="1179"/>
    </row>
    <row r="40" spans="2:33" ht="14.85" customHeight="1">
      <c r="K40" s="331"/>
      <c r="L40" s="331"/>
      <c r="M40" s="331"/>
      <c r="N40" s="331"/>
      <c r="O40" s="331"/>
      <c r="P40" s="331"/>
      <c r="Q40" s="331"/>
      <c r="R40" s="331"/>
      <c r="S40" s="1180"/>
      <c r="T40" s="724"/>
      <c r="U40" s="724"/>
      <c r="V40" s="724"/>
      <c r="W40" s="724"/>
    </row>
    <row r="41" spans="2:33" ht="14.85" customHeight="1">
      <c r="B41" s="1181" t="s">
        <v>111</v>
      </c>
      <c r="C41" s="1182"/>
      <c r="D41" s="1182"/>
      <c r="E41" s="1182"/>
      <c r="F41" s="1182"/>
      <c r="G41" s="1182"/>
      <c r="H41" s="1183">
        <f>MAX(H10:H39)</f>
        <v>3.4573</v>
      </c>
      <c r="I41" s="1183">
        <f>MAX(I10:I39)</f>
        <v>3.4573</v>
      </c>
      <c r="J41" s="1182"/>
      <c r="K41" s="1184">
        <f t="shared" ref="K41:R41" si="13">MAX(K10:K39)</f>
        <v>1692.82537</v>
      </c>
      <c r="L41" s="1184">
        <f t="shared" si="13"/>
        <v>32.048000000000002</v>
      </c>
      <c r="M41" s="1184">
        <f t="shared" si="13"/>
        <v>185.565</v>
      </c>
      <c r="N41" s="1184">
        <f t="shared" si="13"/>
        <v>9.6269999999999994E-2</v>
      </c>
      <c r="O41" s="1184">
        <f t="shared" si="13"/>
        <v>185.51400000000001</v>
      </c>
      <c r="P41" s="1184">
        <f t="shared" si="13"/>
        <v>1694.4007799999999</v>
      </c>
      <c r="Q41" s="1184">
        <f t="shared" si="13"/>
        <v>408.70499999999998</v>
      </c>
      <c r="R41" s="1185">
        <f t="shared" si="13"/>
        <v>1387.752</v>
      </c>
      <c r="S41" s="723"/>
      <c r="T41" s="723"/>
      <c r="U41" s="1186">
        <f t="shared" ref="U41:V41" si="14">MAX(U10:U39)</f>
        <v>0.18603685791008095</v>
      </c>
      <c r="V41" s="1186">
        <f t="shared" si="14"/>
        <v>1</v>
      </c>
      <c r="W41" s="723"/>
    </row>
    <row r="42" spans="2:33" ht="14.85" customHeight="1">
      <c r="B42" s="1187" t="s">
        <v>115</v>
      </c>
      <c r="C42" s="1188"/>
      <c r="D42" s="1188"/>
      <c r="E42" s="1188"/>
      <c r="F42" s="1188"/>
      <c r="G42" s="1188"/>
      <c r="H42" s="1189">
        <f>QUARTILE(H10:H39,3)</f>
        <v>1.9823550000000001</v>
      </c>
      <c r="I42" s="1189">
        <f>QUARTILE(I10:I39,3)</f>
        <v>1.9504084800630428</v>
      </c>
      <c r="J42" s="1188"/>
      <c r="K42" s="1190">
        <f t="shared" ref="K42:R42" si="15">QUARTILE(K10:K39,3)</f>
        <v>535.13891249999995</v>
      </c>
      <c r="L42" s="1190">
        <f t="shared" si="15"/>
        <v>0.69918499999999995</v>
      </c>
      <c r="M42" s="1190">
        <f t="shared" si="15"/>
        <v>0</v>
      </c>
      <c r="N42" s="1190">
        <f t="shared" si="15"/>
        <v>0</v>
      </c>
      <c r="O42" s="1190">
        <f t="shared" si="15"/>
        <v>2.5620824999999998</v>
      </c>
      <c r="P42" s="1190">
        <f t="shared" si="15"/>
        <v>544.96866749999992</v>
      </c>
      <c r="Q42" s="1190">
        <f t="shared" si="15"/>
        <v>164.18174999999999</v>
      </c>
      <c r="R42" s="1191">
        <f t="shared" si="15"/>
        <v>330.71264999999994</v>
      </c>
      <c r="S42" s="723"/>
      <c r="T42" s="723"/>
      <c r="U42" s="1186">
        <f>QUARTILE(U10:U39,3)</f>
        <v>1.2933299241651385E-2</v>
      </c>
      <c r="V42" s="1186">
        <f>QUARTILE(V10:V39,3)</f>
        <v>1</v>
      </c>
      <c r="W42" s="723"/>
    </row>
    <row r="43" spans="2:33" ht="14.85" customHeight="1">
      <c r="B43" s="1187" t="s">
        <v>113</v>
      </c>
      <c r="C43" s="1188"/>
      <c r="D43" s="1188"/>
      <c r="E43" s="1188"/>
      <c r="F43" s="1188"/>
      <c r="G43" s="1188"/>
      <c r="H43" s="1189">
        <f>AVERAGE(H10:H39)</f>
        <v>1.1968529999999999</v>
      </c>
      <c r="I43" s="1189">
        <f>AVERAGE(I10:I39)</f>
        <v>1.1869919971185448</v>
      </c>
      <c r="J43" s="1188"/>
      <c r="K43" s="1190">
        <f t="shared" ref="K43:R43" si="16">AVERAGE(K10:K39)</f>
        <v>349.13332166666657</v>
      </c>
      <c r="L43" s="1190">
        <f t="shared" si="16"/>
        <v>2.8426580000000001</v>
      </c>
      <c r="M43" s="1190">
        <f t="shared" si="16"/>
        <v>6.5502309999999992</v>
      </c>
      <c r="N43" s="1190">
        <f t="shared" si="16"/>
        <v>-1.699733333333333E-2</v>
      </c>
      <c r="O43" s="1190">
        <f t="shared" si="16"/>
        <v>9.3758916666666661</v>
      </c>
      <c r="P43" s="1190">
        <f t="shared" si="16"/>
        <v>358.50921333333332</v>
      </c>
      <c r="Q43" s="1190">
        <f t="shared" si="16"/>
        <v>109.87659433333336</v>
      </c>
      <c r="R43" s="1191">
        <f t="shared" si="16"/>
        <v>248.63261900000001</v>
      </c>
      <c r="S43" s="723"/>
      <c r="T43" s="723"/>
      <c r="U43" s="1186">
        <f t="shared" ref="U43:V43" si="17">AVERAGE(U10:U39)</f>
        <v>2.4872840056224196E-2</v>
      </c>
      <c r="V43" s="1186">
        <f t="shared" si="17"/>
        <v>0.97512715994377563</v>
      </c>
      <c r="W43" s="723"/>
    </row>
    <row r="44" spans="2:33" ht="14.85" customHeight="1">
      <c r="B44" s="1187" t="s">
        <v>44</v>
      </c>
      <c r="C44" s="1188"/>
      <c r="D44" s="1188"/>
      <c r="E44" s="1188"/>
      <c r="F44" s="1188"/>
      <c r="G44" s="1188"/>
      <c r="H44" s="1189">
        <f>MEDIAN(H10:H39)</f>
        <v>1.19747</v>
      </c>
      <c r="I44" s="1189">
        <f>MEDIAN(I10:I39)</f>
        <v>1.1548960391368028</v>
      </c>
      <c r="J44" s="1188"/>
      <c r="K44" s="1190">
        <f t="shared" ref="K44:R44" si="18">MEDIAN(K10:K39)</f>
        <v>252.89796000000001</v>
      </c>
      <c r="L44" s="1190">
        <f t="shared" si="18"/>
        <v>0</v>
      </c>
      <c r="M44" s="1190">
        <f t="shared" si="18"/>
        <v>0</v>
      </c>
      <c r="N44" s="1190">
        <f t="shared" si="18"/>
        <v>0</v>
      </c>
      <c r="O44" s="1190">
        <f t="shared" si="18"/>
        <v>0.17863499999999999</v>
      </c>
      <c r="P44" s="1190">
        <f t="shared" si="18"/>
        <v>253.41356500000001</v>
      </c>
      <c r="Q44" s="1190">
        <f t="shared" si="18"/>
        <v>91.676500000000004</v>
      </c>
      <c r="R44" s="1191">
        <f t="shared" si="18"/>
        <v>208.32753500000001</v>
      </c>
      <c r="S44" s="723"/>
      <c r="T44" s="723"/>
      <c r="U44" s="1186">
        <f t="shared" ref="U44:V44" si="19">MEDIAN(U10:U39)</f>
        <v>2.9042562404867371E-4</v>
      </c>
      <c r="V44" s="1186">
        <f t="shared" si="19"/>
        <v>0.99970957437595132</v>
      </c>
      <c r="W44" s="723"/>
    </row>
    <row r="45" spans="2:33" ht="14.85" customHeight="1">
      <c r="B45" s="1187" t="s">
        <v>114</v>
      </c>
      <c r="C45" s="1188"/>
      <c r="D45" s="1188"/>
      <c r="E45" s="1188"/>
      <c r="F45" s="1188"/>
      <c r="G45" s="1188"/>
      <c r="H45" s="1189">
        <f>QUARTILE(H10:H39,1)</f>
        <v>0.13041249999999999</v>
      </c>
      <c r="I45" s="1189">
        <f>QUARTILE(I10:I39,1)</f>
        <v>0.13041249999999999</v>
      </c>
      <c r="J45" s="1188"/>
      <c r="K45" s="1190">
        <f t="shared" ref="K45:R45" si="20">QUARTILE(K10:K39,1)</f>
        <v>106.88460499999999</v>
      </c>
      <c r="L45" s="1190">
        <f t="shared" si="20"/>
        <v>0</v>
      </c>
      <c r="M45" s="1190">
        <f t="shared" si="20"/>
        <v>0</v>
      </c>
      <c r="N45" s="1190">
        <f t="shared" si="20"/>
        <v>0</v>
      </c>
      <c r="O45" s="1190">
        <f t="shared" si="20"/>
        <v>0</v>
      </c>
      <c r="P45" s="1190">
        <f t="shared" si="20"/>
        <v>114.9033675</v>
      </c>
      <c r="Q45" s="1190">
        <f t="shared" si="20"/>
        <v>21.772500000000001</v>
      </c>
      <c r="R45" s="1191">
        <f t="shared" si="20"/>
        <v>58.667125000000013</v>
      </c>
      <c r="S45" s="723"/>
      <c r="T45" s="723"/>
      <c r="U45" s="1186">
        <f t="shared" ref="U45:V45" si="21">QUARTILE(U10:U39,1)</f>
        <v>0</v>
      </c>
      <c r="V45" s="1186">
        <f t="shared" si="21"/>
        <v>0.98706670075834868</v>
      </c>
      <c r="W45" s="723"/>
    </row>
    <row r="46" spans="2:33" ht="14.85" customHeight="1">
      <c r="B46" s="1192" t="s">
        <v>112</v>
      </c>
      <c r="C46" s="858"/>
      <c r="D46" s="858"/>
      <c r="E46" s="858"/>
      <c r="F46" s="858"/>
      <c r="G46" s="858"/>
      <c r="H46" s="1193">
        <f>MIN(H10:H39)</f>
        <v>0</v>
      </c>
      <c r="I46" s="1193">
        <f>MIN(I10:I39)</f>
        <v>0</v>
      </c>
      <c r="J46" s="858"/>
      <c r="K46" s="867">
        <f t="shared" ref="K46:R46" si="22">MIN(K10:K39)</f>
        <v>7.33019</v>
      </c>
      <c r="L46" s="867">
        <f t="shared" si="22"/>
        <v>0</v>
      </c>
      <c r="M46" s="867">
        <f t="shared" si="22"/>
        <v>0</v>
      </c>
      <c r="N46" s="867">
        <f t="shared" si="22"/>
        <v>-0.55518999999999996</v>
      </c>
      <c r="O46" s="867">
        <f t="shared" si="22"/>
        <v>0</v>
      </c>
      <c r="P46" s="867">
        <f t="shared" si="22"/>
        <v>7.33019</v>
      </c>
      <c r="Q46" s="867">
        <f t="shared" si="22"/>
        <v>0</v>
      </c>
      <c r="R46" s="1194">
        <f t="shared" si="22"/>
        <v>-4.3520399999999881</v>
      </c>
      <c r="S46" s="723"/>
      <c r="T46" s="723"/>
      <c r="U46" s="1186">
        <f>MIN(U10:U39)</f>
        <v>0</v>
      </c>
      <c r="V46" s="1186">
        <f>MIN(V10:V39)</f>
        <v>0.81396314208991905</v>
      </c>
      <c r="W46" s="723"/>
    </row>
    <row r="47" spans="2:33" ht="14.85" customHeight="1">
      <c r="S47" s="1180"/>
      <c r="T47" s="724"/>
      <c r="U47" s="724"/>
      <c r="V47" s="724"/>
      <c r="W47" s="724"/>
    </row>
    <row r="48" spans="2:33" ht="14.85" customHeight="1">
      <c r="B48" s="356" t="s">
        <v>116</v>
      </c>
      <c r="S48" s="1180"/>
    </row>
    <row r="49" spans="5:19" ht="14.85" customHeight="1">
      <c r="S49" s="1180"/>
    </row>
    <row r="50" spans="5:19" ht="14.85" customHeight="1"/>
    <row r="51" spans="5:19" ht="14.85" customHeight="1"/>
    <row r="52" spans="5:19" ht="14.85" customHeight="1"/>
    <row r="53" spans="5:19" ht="14.85" customHeight="1"/>
    <row r="54" spans="5:19" ht="14.85" customHeight="1"/>
    <row r="55" spans="5:19" ht="14.85" customHeight="1">
      <c r="E55" s="1179" t="s">
        <v>315</v>
      </c>
      <c r="F55" s="1173" t="s">
        <v>313</v>
      </c>
    </row>
    <row r="56" spans="5:19" ht="14.85" customHeight="1">
      <c r="E56" s="1179" t="s">
        <v>316</v>
      </c>
      <c r="F56" s="1173" t="s">
        <v>314</v>
      </c>
    </row>
    <row r="57" spans="5:19" ht="14.85" customHeight="1">
      <c r="E57" s="1179" t="s">
        <v>317</v>
      </c>
    </row>
    <row r="58" spans="5:19" ht="14.85" customHeight="1">
      <c r="E58" s="1179" t="str">
        <f>"IQ20246097"</f>
        <v>IQ20246097</v>
      </c>
    </row>
    <row r="59" spans="5:19" ht="14.85" customHeight="1"/>
    <row r="60" spans="5:19" ht="14.85" customHeight="1"/>
    <row r="61" spans="5:19" ht="14.85" customHeight="1"/>
    <row r="62" spans="5:19" ht="14.85" customHeight="1"/>
    <row r="63" spans="5:19" ht="14.85" customHeight="1"/>
    <row r="64" spans="5:19"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285" priority="12" operator="equal">
      <formula>"(Invalid Identifier)"</formula>
    </cfRule>
  </conditionalFormatting>
  <conditionalFormatting sqref="B4:I4">
    <cfRule type="cellIs" dxfId="284" priority="10" stopIfTrue="1" operator="equal">
      <formula>"input"</formula>
    </cfRule>
  </conditionalFormatting>
  <conditionalFormatting sqref="J4">
    <cfRule type="cellIs" dxfId="283" priority="8" stopIfTrue="1" operator="equal">
      <formula>"input"</formula>
    </cfRule>
  </conditionalFormatting>
  <conditionalFormatting sqref="J4">
    <cfRule type="cellIs" dxfId="282" priority="9" stopIfTrue="1" operator="equal">
      <formula>"input"</formula>
    </cfRule>
  </conditionalFormatting>
  <conditionalFormatting sqref="K4:Q4">
    <cfRule type="cellIs" dxfId="281" priority="6" stopIfTrue="1" operator="equal">
      <formula>"input"</formula>
    </cfRule>
  </conditionalFormatting>
  <conditionalFormatting sqref="K4:Q4">
    <cfRule type="cellIs" dxfId="280" priority="7" stopIfTrue="1" operator="equal">
      <formula>"input"</formula>
    </cfRule>
  </conditionalFormatting>
  <conditionalFormatting sqref="R4">
    <cfRule type="cellIs" dxfId="279" priority="2" stopIfTrue="1" operator="equal">
      <formula>"input"</formula>
    </cfRule>
  </conditionalFormatting>
  <conditionalFormatting sqref="R4">
    <cfRule type="cellIs" dxfId="278" priority="3" stopIfTrue="1" operator="equal">
      <formula>"input"</formula>
    </cfRule>
  </conditionalFormatting>
  <conditionalFormatting sqref="H10:H39">
    <cfRule type="cellIs" dxfId="277" priority="1" operator="equal">
      <formula>"n/a"</formula>
    </cfRule>
  </conditionalFormatting>
  <dataValidations count="2">
    <dataValidation type="list" allowBlank="1" showInputMessage="1" showErrorMessage="1" sqref="E10:E39" xr:uid="{00000000-0002-0000-1600-000000000000}">
      <formula1>$E$55:$E$59</formula1>
    </dataValidation>
    <dataValidation type="list" allowBlank="1" showInputMessage="1" showErrorMessage="1" sqref="F10:F39" xr:uid="{00000000-0002-0000-1600-000001000000}">
      <formula1>$F$55:$F$56</formula1>
    </dataValidation>
  </dataValidations>
  <pageMargins left="0.5" right="0.5" top="0.5" bottom="0.5" header="0.5" footer="0.5"/>
  <pageSetup scale="85" orientation="landscape" r:id="rId1"/>
  <legacy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2000000}">
          <x14:formula1>
            <xm:f>'Capital IQ Sheet-GPC'!$AQ$10:$AS$10</xm:f>
          </x14:formula1>
          <xm:sqref>D10:D39</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S764"/>
  <sheetViews>
    <sheetView showGridLines="0" view="pageBreakPreview" zoomScale="80" zoomScaleNormal="130" zoomScaleSheetLayoutView="80" workbookViewId="0">
      <selection activeCell="A2" sqref="A2"/>
    </sheetView>
  </sheetViews>
  <sheetFormatPr defaultRowHeight="12.75"/>
  <cols>
    <col min="1" max="1" width="4.5" style="275" customWidth="1"/>
    <col min="2" max="2" width="71.33203125" style="250" customWidth="1"/>
    <col min="3" max="3" width="4.83203125" style="250" customWidth="1"/>
    <col min="4" max="4" width="13.1640625" style="251" customWidth="1"/>
    <col min="5" max="5" width="2.83203125" style="250" customWidth="1"/>
    <col min="6" max="6" width="13.1640625" style="251" customWidth="1"/>
    <col min="7" max="7" width="2.83203125" style="250" customWidth="1"/>
    <col min="8" max="8" width="13.1640625" style="251" customWidth="1"/>
    <col min="9" max="9" width="2.83203125" style="250" customWidth="1"/>
    <col min="10" max="10" width="13.1640625" style="251" customWidth="1"/>
    <col min="11" max="11" width="2.83203125" style="250" customWidth="1"/>
    <col min="12" max="12" width="11.5" style="250" bestFit="1" customWidth="1"/>
    <col min="13" max="13" width="2.83203125" style="250" customWidth="1"/>
    <col min="14" max="14" width="5.83203125" style="250" customWidth="1"/>
    <col min="15" max="15" width="4.5" style="250" customWidth="1"/>
    <col min="16" max="16384" width="9.33203125" style="250"/>
  </cols>
  <sheetData>
    <row r="1" spans="1:19" ht="10.7" customHeight="1" thickBot="1">
      <c r="D1" s="250"/>
      <c r="F1" s="250"/>
      <c r="H1" s="250"/>
      <c r="J1" s="250"/>
    </row>
    <row r="2" spans="1:19" ht="16.5" customHeight="1" thickTop="1">
      <c r="B2" s="258" t="str">
        <f>'MASTER PubCo Inputs'!$C$5</f>
        <v>ABC, Inc.</v>
      </c>
      <c r="C2" s="258"/>
      <c r="D2" s="258"/>
      <c r="E2" s="258"/>
      <c r="F2" s="258"/>
      <c r="G2" s="258"/>
      <c r="H2" s="258"/>
      <c r="I2" s="258"/>
      <c r="J2" s="258"/>
      <c r="K2" s="258"/>
      <c r="L2" s="258"/>
      <c r="M2" s="258"/>
      <c r="N2" s="258"/>
    </row>
    <row r="3" spans="1:19" ht="15.75" customHeight="1">
      <c r="B3" s="259" t="str">
        <f>VLOOKUP(B4,Outline!$E$8:$G$79,COLUMNS(Outline!$E$8:$G$8),FALSE)</f>
        <v>Exhibit D.3</v>
      </c>
      <c r="C3" s="259"/>
      <c r="D3" s="259"/>
      <c r="E3" s="259"/>
      <c r="F3" s="259"/>
      <c r="G3" s="259"/>
      <c r="H3" s="259"/>
      <c r="I3" s="259"/>
      <c r="J3" s="259"/>
      <c r="K3" s="259"/>
      <c r="L3" s="259"/>
      <c r="M3" s="259"/>
      <c r="N3" s="259"/>
    </row>
    <row r="4" spans="1:19" ht="16.5" customHeight="1" thickBot="1">
      <c r="B4" s="924" t="s">
        <v>765</v>
      </c>
      <c r="C4" s="2065" t="s">
        <v>270</v>
      </c>
      <c r="D4" s="924"/>
      <c r="E4" s="924"/>
      <c r="F4" s="924"/>
      <c r="G4" s="924"/>
      <c r="H4" s="924"/>
      <c r="I4" s="924"/>
      <c r="J4" s="925"/>
      <c r="K4" s="925"/>
      <c r="L4" s="925"/>
      <c r="M4" s="925"/>
      <c r="N4" s="925" t="str">
        <f>+'MASTER PubCo Inputs'!$C$20</f>
        <v>(in thousands of USD and shares, except price per share)</v>
      </c>
    </row>
    <row r="5" spans="1:19" s="467" customFormat="1" ht="14.85" customHeight="1" thickTop="1">
      <c r="A5" s="718"/>
      <c r="B5" s="250"/>
      <c r="C5" s="275"/>
      <c r="D5" s="250"/>
      <c r="E5" s="250"/>
      <c r="F5" s="250"/>
      <c r="G5" s="250"/>
      <c r="H5" s="250"/>
      <c r="I5" s="250"/>
      <c r="J5" s="250"/>
      <c r="K5" s="250"/>
      <c r="L5" s="250"/>
      <c r="M5" s="250"/>
      <c r="N5" s="250"/>
      <c r="O5" s="250"/>
      <c r="P5" s="250"/>
      <c r="Q5" s="250"/>
      <c r="R5" s="250"/>
      <c r="S5" s="250"/>
    </row>
    <row r="6" spans="1:19" s="467" customFormat="1" ht="14.85" customHeight="1">
      <c r="A6" s="718"/>
      <c r="B6" s="250"/>
      <c r="D6" s="250"/>
      <c r="E6" s="250"/>
      <c r="F6" s="250"/>
      <c r="G6" s="250"/>
      <c r="H6" s="250"/>
      <c r="I6" s="250"/>
      <c r="J6" s="250"/>
      <c r="L6" s="250"/>
      <c r="M6" s="250"/>
      <c r="N6" s="250"/>
      <c r="O6" s="250"/>
    </row>
    <row r="7" spans="1:19" ht="14.85" customHeight="1">
      <c r="B7" s="1195" t="s">
        <v>328</v>
      </c>
      <c r="C7" s="1196"/>
      <c r="D7" s="1197" t="s">
        <v>324</v>
      </c>
      <c r="E7" s="1198"/>
      <c r="F7" s="1198" t="s">
        <v>325</v>
      </c>
      <c r="G7" s="1198"/>
      <c r="H7" s="1198" t="s">
        <v>326</v>
      </c>
      <c r="I7" s="1198"/>
      <c r="J7" s="1199" t="s">
        <v>327</v>
      </c>
      <c r="K7" s="1200"/>
      <c r="L7" s="1201" t="s">
        <v>70</v>
      </c>
      <c r="M7" s="1201"/>
      <c r="N7" s="1202"/>
    </row>
    <row r="8" spans="1:19" ht="14.85" customHeight="1">
      <c r="D8" s="275"/>
      <c r="E8" s="275"/>
      <c r="F8" s="275"/>
      <c r="G8" s="275"/>
      <c r="H8" s="275"/>
      <c r="I8" s="275"/>
      <c r="J8" s="275"/>
    </row>
    <row r="9" spans="1:19" ht="14.85" customHeight="1">
      <c r="B9" s="250" t="s">
        <v>95</v>
      </c>
      <c r="D9" s="1203"/>
      <c r="E9" s="1204"/>
      <c r="F9" s="1203"/>
      <c r="G9" s="275"/>
      <c r="H9" s="329">
        <f ca="1">'Hist BS'!I65</f>
        <v>2038</v>
      </c>
      <c r="I9" s="275"/>
      <c r="J9" s="1205">
        <v>0.05</v>
      </c>
      <c r="L9" s="309" t="str">
        <f>'Hist BS'!B3</f>
        <v>Exhibit C.4</v>
      </c>
      <c r="M9" s="330" t="s">
        <v>269</v>
      </c>
      <c r="N9" s="330" t="s">
        <v>308</v>
      </c>
    </row>
    <row r="10" spans="1:19" ht="14.85" customHeight="1">
      <c r="D10" s="1204"/>
      <c r="E10" s="1204"/>
      <c r="F10" s="1204"/>
      <c r="G10" s="275"/>
      <c r="H10" s="1206"/>
      <c r="I10" s="275"/>
      <c r="J10" s="275"/>
      <c r="L10" s="414"/>
    </row>
    <row r="11" spans="1:19" ht="14.85" customHeight="1">
      <c r="B11" s="250" t="s">
        <v>329</v>
      </c>
      <c r="D11" s="1203"/>
      <c r="E11" s="1204"/>
      <c r="F11" s="1203"/>
      <c r="G11" s="275"/>
      <c r="H11" s="329">
        <f ca="1">PWERM!B166</f>
        <v>0</v>
      </c>
      <c r="I11" s="275"/>
      <c r="J11" s="1205">
        <v>0.125</v>
      </c>
      <c r="L11" s="1207" t="str">
        <f>PWERM!B3</f>
        <v>Exhibit B.1</v>
      </c>
      <c r="M11" s="330" t="s">
        <v>309</v>
      </c>
      <c r="N11" s="330" t="s">
        <v>310</v>
      </c>
      <c r="P11" s="1208" t="s">
        <v>340</v>
      </c>
    </row>
    <row r="12" spans="1:19" ht="14.85" customHeight="1">
      <c r="D12" s="1204"/>
      <c r="E12" s="1204"/>
      <c r="F12" s="1204"/>
      <c r="G12" s="275"/>
      <c r="H12" s="1206"/>
      <c r="I12" s="275"/>
      <c r="J12" s="275"/>
      <c r="L12" s="414"/>
    </row>
    <row r="13" spans="1:19" ht="14.85" customHeight="1">
      <c r="B13" s="250" t="s">
        <v>330</v>
      </c>
      <c r="D13" s="1203"/>
      <c r="E13" s="1204"/>
      <c r="F13" s="1203"/>
      <c r="G13" s="275"/>
      <c r="H13" s="329">
        <f ca="1">PWERM!B177</f>
        <v>0</v>
      </c>
      <c r="I13" s="275"/>
      <c r="J13" s="1205">
        <v>0.27500000000000002</v>
      </c>
      <c r="L13" s="1207" t="str">
        <f>PWERM!B3</f>
        <v>Exhibit B.1</v>
      </c>
      <c r="M13" s="330" t="s">
        <v>335</v>
      </c>
      <c r="N13" s="330" t="s">
        <v>336</v>
      </c>
      <c r="P13" s="1208" t="s">
        <v>340</v>
      </c>
    </row>
    <row r="14" spans="1:19" ht="14.85" customHeight="1">
      <c r="D14" s="1204"/>
      <c r="E14" s="1204"/>
      <c r="F14" s="1204"/>
      <c r="G14" s="275"/>
      <c r="H14" s="275"/>
      <c r="I14" s="275"/>
      <c r="J14" s="275"/>
      <c r="L14" s="414"/>
    </row>
    <row r="15" spans="1:19" ht="14.85" customHeight="1">
      <c r="B15" s="250" t="s">
        <v>1817</v>
      </c>
      <c r="D15" s="329">
        <f ca="1">+'Cap Table'!K13</f>
        <v>64</v>
      </c>
      <c r="E15" s="275"/>
      <c r="F15" s="1209">
        <f>+'Val Summ'!O30</f>
        <v>0</v>
      </c>
      <c r="G15" s="275"/>
      <c r="H15" s="759">
        <f ca="1">+D15*F15</f>
        <v>0</v>
      </c>
      <c r="I15" s="275"/>
      <c r="J15" s="1205">
        <v>0.45</v>
      </c>
      <c r="L15" s="1210" t="str">
        <f>'Cap Table'!B3</f>
        <v>Exhibit G.1</v>
      </c>
      <c r="M15" s="330" t="s">
        <v>337</v>
      </c>
      <c r="N15" s="330" t="s">
        <v>338</v>
      </c>
      <c r="P15" s="1211" t="s">
        <v>339</v>
      </c>
    </row>
    <row r="16" spans="1:19" ht="14.85" customHeight="1">
      <c r="D16" s="329"/>
      <c r="E16" s="275"/>
      <c r="F16" s="1212"/>
      <c r="G16" s="275"/>
      <c r="H16" s="759"/>
      <c r="I16" s="275"/>
      <c r="J16" s="1205"/>
      <c r="L16" s="1210"/>
      <c r="M16" s="330"/>
      <c r="N16" s="330"/>
      <c r="P16" s="1211"/>
    </row>
    <row r="17" spans="1:17" ht="14.85" customHeight="1">
      <c r="B17" s="250" t="s">
        <v>1818</v>
      </c>
      <c r="D17" s="329" t="e">
        <f ca="1">+PWERM!D224</f>
        <v>#DIV/0!</v>
      </c>
      <c r="E17" s="275"/>
      <c r="F17" s="1213">
        <f>+F15</f>
        <v>0</v>
      </c>
      <c r="G17" s="275"/>
      <c r="H17" s="759" t="e">
        <f ca="1">+D17*F17</f>
        <v>#DIV/0!</v>
      </c>
      <c r="I17" s="275"/>
      <c r="J17" s="1066">
        <f>+J15</f>
        <v>0.45</v>
      </c>
      <c r="L17" s="1210"/>
      <c r="M17" s="330"/>
      <c r="N17" s="330"/>
      <c r="P17" s="1211"/>
    </row>
    <row r="18" spans="1:17" ht="14.85" customHeight="1">
      <c r="D18" s="275"/>
      <c r="E18" s="275"/>
      <c r="F18" s="275"/>
      <c r="G18" s="275"/>
      <c r="H18" s="275"/>
      <c r="I18" s="275"/>
      <c r="J18" s="275"/>
    </row>
    <row r="19" spans="1:17" ht="14.85" customHeight="1">
      <c r="B19" s="1214" t="s">
        <v>331</v>
      </c>
      <c r="C19" s="1215"/>
      <c r="D19" s="1216"/>
      <c r="E19" s="1216"/>
      <c r="F19" s="1216"/>
      <c r="G19" s="1216"/>
      <c r="H19" s="1217" t="e">
        <f ca="1">SUM(H9:H17)</f>
        <v>#DIV/0!</v>
      </c>
      <c r="I19" s="1218"/>
      <c r="J19" s="1219" t="str">
        <f ca="1">IF(ISERROR(SUMPRODUCT(J9:J17,H9:H17)/H19), "n/a", SUMPRODUCT(J9:J17,H9:H17)/H19)</f>
        <v>n/a</v>
      </c>
    </row>
    <row r="20" spans="1:17" ht="14.85" customHeight="1">
      <c r="D20" s="275"/>
      <c r="E20" s="275"/>
      <c r="F20" s="275"/>
      <c r="G20" s="275"/>
      <c r="H20" s="275"/>
      <c r="I20" s="275"/>
      <c r="J20" s="275"/>
    </row>
    <row r="21" spans="1:17" ht="14.85" customHeight="1">
      <c r="B21" s="356" t="s">
        <v>332</v>
      </c>
      <c r="D21" s="275"/>
      <c r="E21" s="275"/>
      <c r="F21" s="275"/>
      <c r="G21" s="275"/>
      <c r="H21" s="275"/>
      <c r="I21" s="275"/>
      <c r="J21" s="810" t="str">
        <f ca="1">IF(ISERROR(SUMPRODUCT(H11:H13,J11:J13/SUM(H11:H13))), "n/a", SUMPRODUCT(H11:H13,J11:J13/SUM(H11:H13)))</f>
        <v>n/a</v>
      </c>
      <c r="M21" s="330"/>
      <c r="P21" s="1220">
        <v>0.2</v>
      </c>
      <c r="Q21" s="250" t="s">
        <v>744</v>
      </c>
    </row>
    <row r="22" spans="1:17" ht="14.85" customHeight="1">
      <c r="D22" s="275"/>
      <c r="E22" s="275"/>
      <c r="F22" s="275"/>
      <c r="G22" s="275"/>
      <c r="H22" s="275"/>
      <c r="I22" s="275"/>
      <c r="J22" s="275"/>
    </row>
    <row r="23" spans="1:17" ht="14.85" customHeight="1">
      <c r="B23" s="351" t="s">
        <v>333</v>
      </c>
      <c r="C23" s="352"/>
      <c r="D23" s="1221"/>
      <c r="E23" s="1221"/>
      <c r="F23" s="1221"/>
      <c r="G23" s="1221"/>
      <c r="H23" s="1221"/>
      <c r="I23" s="1221"/>
      <c r="J23" s="1222">
        <v>0.2</v>
      </c>
    </row>
    <row r="24" spans="1:17" ht="14.85" customHeight="1"/>
    <row r="25" spans="1:17" ht="14.85" customHeight="1">
      <c r="B25" s="356" t="s">
        <v>86</v>
      </c>
    </row>
    <row r="26" spans="1:17" ht="14.85" customHeight="1">
      <c r="A26" s="876" t="str">
        <f>C4</f>
        <v>(1)</v>
      </c>
      <c r="B26" s="2086" t="s">
        <v>998</v>
      </c>
      <c r="C26" s="2086"/>
      <c r="D26" s="2086"/>
      <c r="E26" s="2086"/>
      <c r="F26" s="2086"/>
      <c r="G26" s="2086"/>
      <c r="H26" s="2086"/>
      <c r="I26" s="2086"/>
      <c r="J26" s="2086"/>
      <c r="K26" s="2086"/>
      <c r="L26" s="2086"/>
      <c r="M26" s="2086"/>
      <c r="N26" s="2086"/>
      <c r="P26" s="1223"/>
      <c r="Q26" s="1224"/>
    </row>
    <row r="27" spans="1:17" ht="14.85" customHeight="1">
      <c r="A27" s="876" t="str">
        <f>M9</f>
        <v>(2)</v>
      </c>
      <c r="B27" s="1225" t="s">
        <v>755</v>
      </c>
      <c r="C27" s="1226"/>
      <c r="D27" s="1227"/>
      <c r="E27" s="1226"/>
      <c r="F27" s="1227"/>
      <c r="G27" s="1226"/>
      <c r="H27" s="1227"/>
      <c r="I27" s="1226"/>
      <c r="J27" s="1227"/>
      <c r="K27" s="1226"/>
      <c r="L27" s="1226"/>
      <c r="M27" s="1226"/>
      <c r="N27" s="1226"/>
      <c r="P27" s="1223"/>
      <c r="Q27" s="1224"/>
    </row>
    <row r="28" spans="1:17" ht="14.85" customHeight="1">
      <c r="A28" s="876" t="str">
        <f>N9</f>
        <v>(3)</v>
      </c>
      <c r="B28" s="1225" t="s">
        <v>756</v>
      </c>
      <c r="C28" s="1226"/>
      <c r="D28" s="1227"/>
      <c r="E28" s="1226"/>
      <c r="F28" s="1227"/>
      <c r="G28" s="1226"/>
      <c r="H28" s="1227"/>
      <c r="I28" s="1226"/>
      <c r="J28" s="1227"/>
      <c r="K28" s="1226"/>
      <c r="L28" s="1226"/>
      <c r="M28" s="1226"/>
      <c r="N28" s="1226"/>
    </row>
    <row r="29" spans="1:17" ht="14.85" customHeight="1">
      <c r="A29" s="876" t="str">
        <f>M11</f>
        <v>(4)</v>
      </c>
      <c r="B29" s="1225" t="s">
        <v>757</v>
      </c>
      <c r="C29" s="1226"/>
      <c r="D29" s="1227"/>
      <c r="E29" s="1226"/>
      <c r="F29" s="1227"/>
      <c r="G29" s="1226"/>
      <c r="H29" s="1227"/>
      <c r="I29" s="1226"/>
      <c r="J29" s="1227"/>
      <c r="K29" s="1226"/>
      <c r="L29" s="1226"/>
      <c r="M29" s="1226"/>
      <c r="N29" s="1226"/>
    </row>
    <row r="30" spans="1:17" ht="14.85" customHeight="1">
      <c r="A30" s="876" t="str">
        <f>N11</f>
        <v>(5)</v>
      </c>
      <c r="B30" s="1225" t="s">
        <v>758</v>
      </c>
      <c r="C30" s="1226"/>
      <c r="D30" s="1227"/>
      <c r="E30" s="1226"/>
      <c r="F30" s="1227"/>
      <c r="G30" s="1226"/>
      <c r="H30" s="1227"/>
      <c r="I30" s="1226"/>
      <c r="J30" s="1227"/>
      <c r="K30" s="1226"/>
      <c r="L30" s="1226"/>
      <c r="M30" s="1226"/>
      <c r="N30" s="1226"/>
    </row>
    <row r="31" spans="1:17" ht="14.85" customHeight="1">
      <c r="A31" s="876" t="str">
        <f>M13</f>
        <v>(6)</v>
      </c>
      <c r="B31" s="2086" t="s">
        <v>759</v>
      </c>
      <c r="C31" s="2086"/>
      <c r="D31" s="2086"/>
      <c r="E31" s="2086"/>
      <c r="F31" s="2086"/>
      <c r="G31" s="2086"/>
      <c r="H31" s="2086"/>
      <c r="I31" s="2086"/>
      <c r="J31" s="2086"/>
      <c r="K31" s="2086"/>
      <c r="L31" s="2086"/>
      <c r="M31" s="2086"/>
      <c r="N31" s="2086"/>
    </row>
    <row r="32" spans="1:17" ht="14.85" customHeight="1">
      <c r="A32" s="876" t="str">
        <f>N13</f>
        <v>(7)</v>
      </c>
      <c r="B32" s="2088" t="s">
        <v>988</v>
      </c>
      <c r="C32" s="2088"/>
      <c r="D32" s="2088"/>
      <c r="E32" s="2088"/>
      <c r="F32" s="2088"/>
      <c r="G32" s="2088"/>
      <c r="H32" s="2088"/>
      <c r="I32" s="2088"/>
      <c r="J32" s="2088"/>
      <c r="K32" s="2088"/>
      <c r="L32" s="2088"/>
      <c r="M32" s="2088"/>
      <c r="N32" s="2088"/>
      <c r="P32" s="1223"/>
    </row>
    <row r="33" spans="1:14" ht="14.85" customHeight="1">
      <c r="A33" s="876" t="str">
        <f>M15</f>
        <v>(8)</v>
      </c>
      <c r="B33" s="1225" t="s">
        <v>760</v>
      </c>
      <c r="C33" s="1226"/>
      <c r="D33" s="1227"/>
      <c r="E33" s="1226"/>
      <c r="F33" s="1227"/>
      <c r="G33" s="1226"/>
      <c r="H33" s="1227"/>
      <c r="I33" s="1226"/>
      <c r="J33" s="1227"/>
      <c r="K33" s="1226"/>
      <c r="L33" s="1226"/>
      <c r="M33" s="1226"/>
      <c r="N33" s="1226"/>
    </row>
    <row r="34" spans="1:14" ht="14.85" customHeight="1">
      <c r="A34" s="456" t="str">
        <f>N15</f>
        <v>(9)</v>
      </c>
      <c r="B34" s="2087" t="s">
        <v>761</v>
      </c>
      <c r="C34" s="2087"/>
      <c r="D34" s="2087"/>
      <c r="E34" s="2087"/>
      <c r="F34" s="2087"/>
      <c r="G34" s="2087"/>
      <c r="H34" s="2087"/>
      <c r="I34" s="2087"/>
      <c r="J34" s="2087"/>
      <c r="K34" s="2087"/>
      <c r="L34" s="2087"/>
      <c r="M34" s="2087"/>
      <c r="N34" s="2087"/>
    </row>
    <row r="35" spans="1:14" ht="14.85" customHeight="1">
      <c r="A35" s="1228"/>
      <c r="B35" s="2087"/>
      <c r="C35" s="2087"/>
      <c r="D35" s="2087"/>
      <c r="E35" s="2087"/>
      <c r="F35" s="2087"/>
      <c r="G35" s="2087"/>
      <c r="H35" s="2087"/>
      <c r="I35" s="2087"/>
      <c r="J35" s="2087"/>
      <c r="K35" s="2087"/>
      <c r="L35" s="2087"/>
      <c r="M35" s="2087"/>
      <c r="N35" s="2087"/>
    </row>
    <row r="36" spans="1:14" ht="14.85" customHeight="1"/>
    <row r="37" spans="1:14" ht="14.85" customHeight="1"/>
    <row r="38" spans="1:14" ht="14.85" customHeight="1"/>
    <row r="39" spans="1:14" ht="14.85" customHeight="1"/>
    <row r="40" spans="1:14" ht="14.85" customHeight="1"/>
    <row r="41" spans="1:14" ht="14.85" customHeight="1"/>
    <row r="42" spans="1:14" ht="14.85" customHeight="1"/>
    <row r="43" spans="1:14" ht="14.85" customHeight="1"/>
    <row r="44" spans="1:14" ht="14.85" customHeight="1"/>
    <row r="45" spans="1:14" ht="14.85" customHeight="1"/>
    <row r="46" spans="1:14" ht="14.85" customHeight="1"/>
    <row r="47" spans="1:14" ht="14.85" customHeight="1"/>
    <row r="48" spans="1:14"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4">
    <mergeCell ref="B26:N26"/>
    <mergeCell ref="B31:N31"/>
    <mergeCell ref="B34:N35"/>
    <mergeCell ref="B32:N32"/>
  </mergeCells>
  <conditionalFormatting sqref="B4:I4">
    <cfRule type="cellIs" dxfId="276" priority="11" stopIfTrue="1" operator="equal">
      <formula>"input"</formula>
    </cfRule>
  </conditionalFormatting>
  <conditionalFormatting sqref="J4">
    <cfRule type="cellIs" dxfId="275" priority="9" stopIfTrue="1" operator="equal">
      <formula>"input"</formula>
    </cfRule>
  </conditionalFormatting>
  <conditionalFormatting sqref="J4">
    <cfRule type="cellIs" dxfId="274" priority="10" stopIfTrue="1" operator="equal">
      <formula>"input"</formula>
    </cfRule>
  </conditionalFormatting>
  <conditionalFormatting sqref="K4:M4">
    <cfRule type="cellIs" dxfId="273" priority="7" stopIfTrue="1" operator="equal">
      <formula>"input"</formula>
    </cfRule>
  </conditionalFormatting>
  <conditionalFormatting sqref="K4:M4">
    <cfRule type="cellIs" dxfId="272" priority="8" stopIfTrue="1" operator="equal">
      <formula>"input"</formula>
    </cfRule>
  </conditionalFormatting>
  <conditionalFormatting sqref="N4">
    <cfRule type="cellIs" dxfId="271" priority="1" stopIfTrue="1" operator="equal">
      <formula>"input"</formula>
    </cfRule>
  </conditionalFormatting>
  <conditionalFormatting sqref="N4">
    <cfRule type="cellIs" dxfId="270" priority="2" stopIfTrue="1" operator="equal">
      <formula>"input"</formula>
    </cfRule>
  </conditionalFormatting>
  <pageMargins left="0.5" right="0.5" top="0.5" bottom="0.5" header="0.5" footer="0.5"/>
  <pageSetup scale="90" fitToWidth="0" fitToHeight="0" orientation="landscape" r:id="rId1"/>
  <ignoredErrors>
    <ignoredError sqref="C4" numberStoredAsText="1"/>
  </ignoredErrors>
  <legacyDrawing r:id="rId2"/>
  <legacyDrawingHF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A1:J764"/>
  <sheetViews>
    <sheetView showGridLines="0" view="pageBreakPreview" zoomScale="80" zoomScaleNormal="100" zoomScaleSheetLayoutView="80" workbookViewId="0"/>
  </sheetViews>
  <sheetFormatPr defaultRowHeight="12.75"/>
  <cols>
    <col min="1" max="1" width="4.5" style="250" customWidth="1"/>
    <col min="2" max="2" width="54.6640625" style="250" customWidth="1"/>
    <col min="3" max="3" width="3.33203125" style="250" customWidth="1"/>
    <col min="4" max="4" width="30.83203125" style="250" customWidth="1"/>
    <col min="5" max="5" width="2.83203125" style="250" customWidth="1"/>
    <col min="6" max="6" width="30.83203125" style="250" customWidth="1"/>
    <col min="7" max="7" width="1.83203125" style="250" customWidth="1"/>
    <col min="8" max="8" width="28.6640625" style="250" customWidth="1"/>
    <col min="9" max="9" width="4.5" style="250" customWidth="1"/>
    <col min="10" max="16384" width="9.33203125" style="250"/>
  </cols>
  <sheetData>
    <row r="1" spans="1:10" ht="10.7" customHeight="1" thickBot="1"/>
    <row r="2" spans="1:10" ht="16.5" customHeight="1" thickTop="1">
      <c r="B2" s="258" t="str">
        <f>'MASTER PubCo Inputs'!$C$5</f>
        <v>ABC, Inc.</v>
      </c>
      <c r="C2" s="258"/>
      <c r="D2" s="258"/>
      <c r="E2" s="258"/>
      <c r="F2" s="258"/>
      <c r="G2" s="258"/>
      <c r="H2" s="258"/>
    </row>
    <row r="3" spans="1:10" ht="15.75" customHeight="1">
      <c r="B3" s="259" t="str">
        <f>VLOOKUP(B4,Outline!$E$8:$G$79,COLUMNS(Outline!$E$8:$G$8),FALSE)</f>
        <v>Exhibit D.4</v>
      </c>
      <c r="C3" s="259"/>
      <c r="D3" s="259"/>
      <c r="E3" s="259"/>
      <c r="F3" s="259"/>
      <c r="G3" s="259"/>
      <c r="H3" s="259"/>
    </row>
    <row r="4" spans="1:10" ht="16.5" customHeight="1" thickBot="1">
      <c r="B4" s="924" t="s">
        <v>766</v>
      </c>
      <c r="C4" s="924"/>
      <c r="D4" s="2066" t="s">
        <v>270</v>
      </c>
      <c r="E4" s="2067"/>
      <c r="F4" s="924"/>
      <c r="G4" s="924"/>
      <c r="H4" s="925"/>
    </row>
    <row r="5" spans="1:10" s="467" customFormat="1" ht="14.85" customHeight="1" thickTop="1">
      <c r="B5" s="1229"/>
      <c r="C5" s="250"/>
      <c r="D5" s="250"/>
      <c r="E5" s="250"/>
      <c r="F5" s="250"/>
      <c r="G5" s="250"/>
      <c r="H5" s="250"/>
      <c r="I5" s="250"/>
      <c r="J5" s="250"/>
    </row>
    <row r="6" spans="1:10" s="467" customFormat="1" ht="14.85" customHeight="1">
      <c r="B6" s="250"/>
      <c r="C6" s="250"/>
      <c r="D6" s="250"/>
      <c r="E6" s="250"/>
      <c r="F6" s="250"/>
      <c r="G6" s="250"/>
      <c r="H6" s="250"/>
      <c r="I6" s="250"/>
    </row>
    <row r="7" spans="1:10" ht="14.85" customHeight="1">
      <c r="A7" s="467"/>
      <c r="B7" s="1230" t="s">
        <v>280</v>
      </c>
      <c r="C7" s="1050"/>
      <c r="D7" s="1050" t="s">
        <v>3502</v>
      </c>
      <c r="E7" s="1050"/>
      <c r="F7" s="1050" t="s">
        <v>3503</v>
      </c>
      <c r="G7" s="1050"/>
      <c r="H7" s="1051" t="s">
        <v>3504</v>
      </c>
    </row>
    <row r="8" spans="1:10" ht="14.85" customHeight="1"/>
    <row r="9" spans="1:10" ht="14.85" customHeight="1">
      <c r="B9" s="250" t="s">
        <v>281</v>
      </c>
      <c r="D9" s="251" t="s">
        <v>271</v>
      </c>
      <c r="E9" s="251"/>
      <c r="F9" s="251" t="s">
        <v>271</v>
      </c>
      <c r="G9" s="251"/>
      <c r="H9" s="251" t="s">
        <v>272</v>
      </c>
    </row>
    <row r="10" spans="1:10" ht="14.85" customHeight="1">
      <c r="B10" s="250" t="s">
        <v>282</v>
      </c>
      <c r="D10" s="251" t="s">
        <v>273</v>
      </c>
      <c r="E10" s="251"/>
      <c r="F10" s="251" t="s">
        <v>273</v>
      </c>
      <c r="G10" s="251"/>
      <c r="H10" s="251" t="s">
        <v>273</v>
      </c>
    </row>
    <row r="11" spans="1:10" ht="14.85" customHeight="1">
      <c r="B11" s="250" t="s">
        <v>283</v>
      </c>
      <c r="D11" s="251" t="s">
        <v>274</v>
      </c>
      <c r="E11" s="251"/>
      <c r="F11" s="251" t="s">
        <v>275</v>
      </c>
      <c r="G11" s="251"/>
      <c r="H11" s="251" t="s">
        <v>276</v>
      </c>
    </row>
    <row r="12" spans="1:10" ht="14.85" customHeight="1">
      <c r="B12" s="250" t="s">
        <v>284</v>
      </c>
      <c r="D12" s="251" t="s">
        <v>277</v>
      </c>
      <c r="E12" s="251"/>
      <c r="F12" s="251" t="s">
        <v>278</v>
      </c>
      <c r="G12" s="251"/>
      <c r="H12" s="251" t="s">
        <v>279</v>
      </c>
    </row>
    <row r="13" spans="1:10" ht="14.85" customHeight="1"/>
    <row r="14" spans="1:10" ht="14.85" customHeight="1"/>
    <row r="15" spans="1:10" ht="14.85" customHeight="1">
      <c r="B15" s="351" t="s">
        <v>305</v>
      </c>
      <c r="C15" s="352"/>
      <c r="D15" s="352"/>
      <c r="E15" s="352"/>
      <c r="F15" s="352"/>
      <c r="G15" s="352"/>
      <c r="H15" s="1231">
        <v>0.21</v>
      </c>
    </row>
    <row r="16" spans="1:10" ht="14.85" customHeight="1">
      <c r="B16" s="675"/>
      <c r="C16" s="675"/>
      <c r="D16" s="675"/>
      <c r="E16" s="675"/>
      <c r="F16" s="675"/>
      <c r="G16" s="675"/>
      <c r="H16" s="1232"/>
    </row>
    <row r="17" spans="1:2" ht="14.85" customHeight="1">
      <c r="B17" s="356" t="s">
        <v>86</v>
      </c>
    </row>
    <row r="18" spans="1:2" ht="14.85" customHeight="1">
      <c r="A18" s="357" t="s">
        <v>270</v>
      </c>
      <c r="B18" s="1131" t="s">
        <v>1127</v>
      </c>
    </row>
    <row r="19" spans="1:2" ht="14.85" customHeight="1">
      <c r="A19" s="357" t="s">
        <v>269</v>
      </c>
      <c r="B19" s="274" t="s">
        <v>1128</v>
      </c>
    </row>
    <row r="20" spans="1:2" ht="14.85" customHeight="1">
      <c r="A20" s="357" t="s">
        <v>308</v>
      </c>
      <c r="B20" s="274" t="s">
        <v>1129</v>
      </c>
    </row>
    <row r="21" spans="1:2" ht="14.85" customHeight="1">
      <c r="A21" s="275"/>
      <c r="B21" s="274" t="s">
        <v>949</v>
      </c>
    </row>
    <row r="22" spans="1:2" ht="14.85" customHeight="1">
      <c r="A22" s="357" t="s">
        <v>309</v>
      </c>
      <c r="B22" s="274" t="s">
        <v>1130</v>
      </c>
    </row>
    <row r="23" spans="1:2" ht="14.85" customHeight="1">
      <c r="A23" s="275"/>
      <c r="B23" s="274" t="s">
        <v>950</v>
      </c>
    </row>
    <row r="24" spans="1:2" ht="14.85" customHeight="1">
      <c r="A24" s="357" t="s">
        <v>310</v>
      </c>
      <c r="B24" s="274" t="s">
        <v>1131</v>
      </c>
    </row>
    <row r="25" spans="1:2" ht="14.85" customHeight="1">
      <c r="A25" s="275"/>
      <c r="B25" s="274" t="s">
        <v>951</v>
      </c>
    </row>
    <row r="26" spans="1:2" ht="14.85" customHeight="1">
      <c r="A26" s="357" t="s">
        <v>335</v>
      </c>
      <c r="B26" s="274" t="s">
        <v>1132</v>
      </c>
    </row>
    <row r="27" spans="1:2" ht="14.85" customHeight="1">
      <c r="A27" s="275"/>
      <c r="B27" s="274" t="s">
        <v>952</v>
      </c>
    </row>
    <row r="28" spans="1:2" ht="14.85" customHeight="1">
      <c r="A28" s="357" t="s">
        <v>336</v>
      </c>
      <c r="B28" s="274" t="s">
        <v>1133</v>
      </c>
    </row>
    <row r="29" spans="1:2" ht="14.85" customHeight="1">
      <c r="A29" s="357" t="s">
        <v>337</v>
      </c>
      <c r="B29" s="274" t="s">
        <v>1134</v>
      </c>
    </row>
    <row r="30" spans="1:2" ht="14.85" customHeight="1">
      <c r="B30" s="274" t="s">
        <v>953</v>
      </c>
    </row>
    <row r="31" spans="1:2" ht="14.85" customHeight="1"/>
    <row r="32" spans="1:2"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G4">
    <cfRule type="cellIs" dxfId="269" priority="5" stopIfTrue="1" operator="equal">
      <formula>"input"</formula>
    </cfRule>
  </conditionalFormatting>
  <conditionalFormatting sqref="H4">
    <cfRule type="cellIs" dxfId="268" priority="1" stopIfTrue="1" operator="equal">
      <formula>"input"</formula>
    </cfRule>
  </conditionalFormatting>
  <conditionalFormatting sqref="H4">
    <cfRule type="cellIs" dxfId="267" priority="2" stopIfTrue="1" operator="equal">
      <formula>"input"</formula>
    </cfRule>
  </conditionalFormatting>
  <pageMargins left="0.5" right="0.5" top="0.5" bottom="0.5" header="0.5" footer="0.5"/>
  <pageSetup scale="92" orientation="landscape" r:id="rId1"/>
  <legacy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tabColor theme="3" tint="-0.499984740745262"/>
    <pageSetUpPr fitToPage="1"/>
  </sheetPr>
  <dimension ref="B6:F30"/>
  <sheetViews>
    <sheetView showGridLines="0" view="pageBreakPreview" zoomScale="60" zoomScaleNormal="100" workbookViewId="0"/>
  </sheetViews>
  <sheetFormatPr defaultColWidth="9.33203125" defaultRowHeight="12.75"/>
  <cols>
    <col min="1" max="1" width="4.5" style="303" customWidth="1"/>
    <col min="2" max="2" width="3.83203125" style="303" customWidth="1"/>
    <col min="3" max="3" width="15.83203125" style="303" customWidth="1"/>
    <col min="4" max="4" width="107.1640625" style="363" customWidth="1"/>
    <col min="5" max="5" width="15.83203125" style="303" customWidth="1"/>
    <col min="6" max="6" width="3.83203125" style="303" customWidth="1"/>
    <col min="7" max="7" width="4.5" style="303" customWidth="1"/>
    <col min="8" max="8" width="9.33203125" style="303"/>
    <col min="9" max="9" width="16.33203125" style="303" bestFit="1" customWidth="1"/>
    <col min="10" max="10" width="19" style="303" bestFit="1" customWidth="1"/>
    <col min="11" max="16384" width="9.33203125" style="303"/>
  </cols>
  <sheetData>
    <row r="6" spans="2:6">
      <c r="B6" s="364"/>
      <c r="C6" s="922"/>
      <c r="D6" s="923"/>
      <c r="E6" s="922"/>
      <c r="F6" s="922"/>
    </row>
    <row r="7" spans="2:6" ht="13.5" thickBot="1">
      <c r="B7" s="364"/>
      <c r="C7" s="922"/>
      <c r="D7" s="923"/>
      <c r="E7" s="922"/>
      <c r="F7" s="922"/>
    </row>
    <row r="8" spans="2:6" ht="15" thickTop="1">
      <c r="B8" s="1233"/>
      <c r="C8" s="1234"/>
      <c r="D8" s="230"/>
      <c r="E8" s="229"/>
      <c r="F8" s="229"/>
    </row>
    <row r="9" spans="2:6" ht="39.75">
      <c r="B9" s="1235"/>
      <c r="C9" s="1236"/>
      <c r="D9" s="260" t="s">
        <v>790</v>
      </c>
      <c r="E9" s="233"/>
      <c r="F9" s="233"/>
    </row>
    <row r="10" spans="2:6" ht="15" thickBot="1">
      <c r="B10" s="1237"/>
      <c r="C10" s="1238"/>
      <c r="D10" s="243"/>
      <c r="E10" s="242"/>
      <c r="F10" s="242"/>
    </row>
    <row r="11" spans="2:6" ht="13.5" thickTop="1"/>
    <row r="13" spans="2:6" ht="18">
      <c r="D13" s="245"/>
    </row>
    <row r="14" spans="2:6" ht="18">
      <c r="D14" s="246"/>
    </row>
    <row r="27" spans="4:4" ht="23.25">
      <c r="D27" s="247"/>
    </row>
    <row r="29" spans="4:4" ht="18">
      <c r="D29" s="248"/>
    </row>
    <row r="30" spans="4:4" ht="36">
      <c r="D30" s="249" t="s">
        <v>485</v>
      </c>
    </row>
  </sheetData>
  <pageMargins left="0.5" right="0.5" top="0.5" bottom="0.5" header="0.5" footer="0.5"/>
  <pageSetup scale="98" orientation="landscape" r:id="rId1"/>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1:W764"/>
  <sheetViews>
    <sheetView showGridLines="0" view="pageBreakPreview" zoomScale="80" zoomScaleNormal="100" zoomScaleSheetLayoutView="80" workbookViewId="0"/>
  </sheetViews>
  <sheetFormatPr defaultRowHeight="12.75"/>
  <cols>
    <col min="1" max="1" width="4.5" style="250" customWidth="1"/>
    <col min="2" max="2" width="23.5" style="250" customWidth="1"/>
    <col min="3" max="3" width="2.83203125" style="250" customWidth="1"/>
    <col min="4" max="4" width="15.5" style="250" customWidth="1"/>
    <col min="5" max="5" width="2.83203125" style="250" customWidth="1"/>
    <col min="6" max="6" width="15.5" style="250" customWidth="1"/>
    <col min="7" max="7" width="2.83203125" style="250" customWidth="1"/>
    <col min="8" max="8" width="15.5" style="250" customWidth="1"/>
    <col min="9" max="9" width="2.83203125" style="250" customWidth="1"/>
    <col min="10" max="10" width="19" style="250" bestFit="1" customWidth="1"/>
    <col min="11" max="11" width="2.83203125" style="250" customWidth="1"/>
    <col min="12" max="12" width="15.5" style="250" customWidth="1"/>
    <col min="13" max="13" width="2.83203125" style="250" customWidth="1"/>
    <col min="14" max="14" width="15.5" style="250" customWidth="1"/>
    <col min="15" max="15" width="2.83203125" style="250" customWidth="1"/>
    <col min="16" max="16" width="19.83203125" style="250" bestFit="1" customWidth="1"/>
    <col min="17" max="17" width="2.83203125" style="250" customWidth="1"/>
    <col min="18" max="18" width="15.5" style="250" customWidth="1"/>
    <col min="19" max="19" width="4.5" style="250" customWidth="1"/>
    <col min="20" max="20" width="12.33203125" style="250" customWidth="1"/>
    <col min="21" max="21" width="9.33203125" style="250" customWidth="1"/>
    <col min="22" max="16384" width="9.33203125" style="250"/>
  </cols>
  <sheetData>
    <row r="1" spans="2:23" ht="10.7" customHeight="1" thickBot="1"/>
    <row r="2" spans="2:23" ht="16.5" customHeight="1" thickTop="1">
      <c r="B2" s="258" t="str">
        <f>'MASTER PubCo Inputs'!$C$5</f>
        <v>ABC, Inc.</v>
      </c>
      <c r="C2" s="258"/>
      <c r="D2" s="258"/>
      <c r="E2" s="258"/>
      <c r="F2" s="258"/>
      <c r="G2" s="258"/>
      <c r="H2" s="258"/>
      <c r="I2" s="258"/>
      <c r="J2" s="258"/>
      <c r="K2" s="258"/>
      <c r="L2" s="258"/>
      <c r="M2" s="258"/>
      <c r="N2" s="258"/>
      <c r="O2" s="258"/>
      <c r="P2" s="258"/>
      <c r="Q2" s="258"/>
      <c r="R2" s="258"/>
    </row>
    <row r="3" spans="2:23" ht="15.75" customHeight="1">
      <c r="B3" s="259" t="str">
        <f>VLOOKUP(B4,Outline!$E$8:$G$79,COLUMNS(Outline!$E$8:$G$8),FALSE)</f>
        <v>Exhibit E.1</v>
      </c>
      <c r="C3" s="259"/>
      <c r="D3" s="259"/>
      <c r="E3" s="259"/>
      <c r="F3" s="259"/>
      <c r="G3" s="259"/>
      <c r="H3" s="259"/>
      <c r="I3" s="259"/>
      <c r="J3" s="259"/>
      <c r="K3" s="259"/>
      <c r="L3" s="259"/>
      <c r="M3" s="259"/>
      <c r="N3" s="259"/>
      <c r="O3" s="259"/>
      <c r="P3" s="259"/>
      <c r="Q3" s="259"/>
      <c r="R3" s="259"/>
    </row>
    <row r="4" spans="2:23" ht="16.5" customHeight="1" thickBot="1">
      <c r="B4" s="924" t="s">
        <v>357</v>
      </c>
      <c r="C4" s="924"/>
      <c r="D4" s="924"/>
      <c r="E4" s="924"/>
      <c r="F4" s="924"/>
      <c r="G4" s="924"/>
      <c r="H4" s="924"/>
      <c r="I4" s="924"/>
      <c r="J4" s="924"/>
      <c r="K4" s="924"/>
      <c r="L4" s="925"/>
      <c r="M4" s="924"/>
      <c r="N4" s="925"/>
      <c r="O4" s="924"/>
      <c r="P4" s="924"/>
      <c r="Q4" s="924"/>
      <c r="R4" s="925" t="str">
        <f>+'MASTER PubCo Inputs'!$C$21</f>
        <v>(in thousands of USD)</v>
      </c>
    </row>
    <row r="5" spans="2:23" s="467" customFormat="1" ht="14.85" customHeight="1" thickTop="1">
      <c r="B5" s="250"/>
      <c r="C5" s="250"/>
      <c r="D5" s="250"/>
      <c r="E5" s="250"/>
      <c r="F5" s="250"/>
      <c r="G5" s="250"/>
      <c r="H5" s="250"/>
      <c r="I5" s="250"/>
      <c r="J5" s="250"/>
      <c r="K5" s="250"/>
      <c r="L5" s="250"/>
      <c r="M5" s="250"/>
      <c r="N5" s="250"/>
      <c r="O5" s="250"/>
      <c r="P5" s="250"/>
      <c r="Q5" s="250"/>
      <c r="R5" s="250"/>
      <c r="S5" s="250"/>
    </row>
    <row r="6" spans="2:23" s="467" customFormat="1" ht="14.85" customHeight="1">
      <c r="B6" s="1239" t="s">
        <v>791</v>
      </c>
      <c r="C6" s="1240"/>
      <c r="D6" s="1240"/>
      <c r="E6" s="1240"/>
      <c r="F6" s="1240"/>
      <c r="G6" s="1240"/>
      <c r="H6" s="1240"/>
      <c r="I6" s="1240"/>
      <c r="J6" s="1240"/>
      <c r="K6" s="1240"/>
      <c r="L6" s="1240"/>
      <c r="M6" s="1240"/>
      <c r="N6" s="1240"/>
      <c r="O6" s="1240"/>
      <c r="P6" s="1240"/>
      <c r="Q6" s="1240"/>
      <c r="R6" s="1241"/>
      <c r="S6" s="250"/>
    </row>
    <row r="7" spans="2:23" s="467" customFormat="1" ht="14.85" customHeight="1">
      <c r="B7" s="250"/>
      <c r="C7" s="250"/>
      <c r="D7" s="250"/>
      <c r="E7" s="250"/>
      <c r="F7" s="250"/>
      <c r="G7" s="250"/>
      <c r="H7" s="250"/>
      <c r="I7" s="250"/>
      <c r="J7" s="250"/>
      <c r="K7" s="250"/>
      <c r="L7" s="250"/>
      <c r="M7" s="250"/>
      <c r="N7" s="250"/>
      <c r="O7" s="250"/>
      <c r="P7" s="250"/>
      <c r="Q7" s="250"/>
      <c r="R7" s="250"/>
      <c r="S7" s="250"/>
    </row>
    <row r="8" spans="2:23" s="467" customFormat="1" ht="14.85" customHeight="1">
      <c r="B8" s="1242" t="s">
        <v>657</v>
      </c>
      <c r="C8" s="250"/>
      <c r="D8" s="1243" t="s">
        <v>658</v>
      </c>
      <c r="E8" s="1244"/>
      <c r="F8" s="1243"/>
      <c r="G8" s="1244"/>
      <c r="H8" s="1245"/>
      <c r="I8" s="1244"/>
      <c r="J8" s="1245"/>
      <c r="K8" s="1244"/>
      <c r="L8" s="1245"/>
      <c r="M8" s="1244"/>
      <c r="N8" s="1245"/>
      <c r="O8" s="1246"/>
      <c r="P8" s="1247"/>
      <c r="Q8" s="1246"/>
      <c r="R8" s="1247"/>
      <c r="S8" s="1246"/>
      <c r="T8" s="1246"/>
      <c r="U8" s="1246"/>
      <c r="V8" s="1246"/>
      <c r="W8" s="1246"/>
    </row>
    <row r="9" spans="2:23" s="467" customFormat="1" ht="14.85" customHeight="1">
      <c r="C9" s="250"/>
      <c r="D9" s="280">
        <f>+'Comp.1'!V8</f>
        <v>2014</v>
      </c>
      <c r="E9" s="275"/>
      <c r="F9" s="280">
        <f>+'Comp.1'!W8</f>
        <v>2015</v>
      </c>
      <c r="G9" s="275"/>
      <c r="H9" s="280" t="str">
        <f>+'Comp.1'!T8</f>
        <v>LTM</v>
      </c>
      <c r="I9" s="275"/>
      <c r="J9" s="280" t="str">
        <f>"Est. "&amp;'Comp.1'!X8</f>
        <v>Est. 2016</v>
      </c>
      <c r="K9" s="275"/>
      <c r="L9" s="280" t="str">
        <f>"Est. "&amp;'Comp.1'!Y8</f>
        <v>Est. 2017</v>
      </c>
      <c r="M9" s="275"/>
      <c r="N9" s="280" t="str">
        <f>"Est. "&amp;'Comp.1'!Z8</f>
        <v>Est. 2018</v>
      </c>
      <c r="O9" s="250"/>
      <c r="S9" s="250"/>
    </row>
    <row r="10" spans="2:23" s="467" customFormat="1" ht="14.85" customHeight="1">
      <c r="B10" s="591" t="str">
        <f>+'Comp.1'!B10</f>
        <v>Revenue Analysis</v>
      </c>
      <c r="C10" s="250"/>
      <c r="D10" s="250"/>
      <c r="E10" s="250"/>
      <c r="F10" s="250"/>
      <c r="G10" s="250"/>
      <c r="H10" s="250"/>
      <c r="I10" s="250"/>
      <c r="J10" s="250"/>
      <c r="K10" s="250"/>
      <c r="L10" s="250"/>
      <c r="M10" s="250"/>
      <c r="N10" s="250"/>
      <c r="O10" s="250"/>
      <c r="S10" s="250"/>
    </row>
    <row r="11" spans="2:23" s="467" customFormat="1" ht="14.85" customHeight="1">
      <c r="B11" s="1095" t="str">
        <f>+'Comp.1'!$B43</f>
        <v>High</v>
      </c>
      <c r="C11" s="250"/>
      <c r="D11" s="1174">
        <f>'Comp.1'!V43</f>
        <v>95.926875890591887</v>
      </c>
      <c r="E11" s="250"/>
      <c r="F11" s="1174">
        <f>'Comp.1'!W43</f>
        <v>65.53863732208751</v>
      </c>
      <c r="G11" s="250"/>
      <c r="H11" s="1174">
        <f>+'Comp.1'!T43</f>
        <v>67.743792398855746</v>
      </c>
      <c r="I11" s="250"/>
      <c r="J11" s="1174">
        <f>+'Comp.1'!X43</f>
        <v>50.609746568423539</v>
      </c>
      <c r="K11" s="250"/>
      <c r="L11" s="1174">
        <f>+'Comp.1'!Y43</f>
        <v>90.884335564588852</v>
      </c>
      <c r="M11" s="250"/>
      <c r="N11" s="1174">
        <f>+'Comp.1'!Z43</f>
        <v>73.810097903348392</v>
      </c>
      <c r="O11" s="250"/>
      <c r="S11" s="250"/>
    </row>
    <row r="12" spans="2:23" s="467" customFormat="1" ht="14.85" customHeight="1">
      <c r="B12" s="1095" t="str">
        <f>+'Comp.1'!$B44</f>
        <v>3rd Quartile</v>
      </c>
      <c r="C12" s="250"/>
      <c r="D12" s="1174">
        <f>'Comp.1'!V44</f>
        <v>68.692123861444202</v>
      </c>
      <c r="E12" s="250"/>
      <c r="F12" s="1174">
        <f>'Comp.1'!W44</f>
        <v>49.656214901599625</v>
      </c>
      <c r="G12" s="250"/>
      <c r="H12" s="1174">
        <f>+'Comp.1'!T44</f>
        <v>57.286795022700502</v>
      </c>
      <c r="I12" s="250"/>
      <c r="J12" s="1174">
        <f>+'Comp.1'!X44</f>
        <v>25.464750924133082</v>
      </c>
      <c r="K12" s="250"/>
      <c r="L12" s="1174">
        <f>+'Comp.1'!Y44</f>
        <v>62.830356801307005</v>
      </c>
      <c r="M12" s="250"/>
      <c r="N12" s="1174">
        <f>+'Comp.1'!Z44</f>
        <v>16.563331628869211</v>
      </c>
      <c r="O12" s="250"/>
      <c r="S12" s="250"/>
    </row>
    <row r="13" spans="2:23" s="467" customFormat="1" ht="14.85" customHeight="1">
      <c r="B13" s="1095" t="str">
        <f>+'Comp.1'!$B45</f>
        <v xml:space="preserve">Mean </v>
      </c>
      <c r="C13" s="250"/>
      <c r="D13" s="1174">
        <f>'Comp.1'!V45</f>
        <v>32.960181412730734</v>
      </c>
      <c r="E13" s="250"/>
      <c r="F13" s="1174">
        <f>'Comp.1'!W45</f>
        <v>26.428239274574683</v>
      </c>
      <c r="G13" s="250"/>
      <c r="H13" s="1174">
        <f>+'Comp.1'!T45</f>
        <v>24.813886601567951</v>
      </c>
      <c r="I13" s="250"/>
      <c r="J13" s="1174">
        <f>+'Comp.1'!X45</f>
        <v>19.378595036266788</v>
      </c>
      <c r="K13" s="250"/>
      <c r="L13" s="1174">
        <f>+'Comp.1'!Y45</f>
        <v>34.080793997818922</v>
      </c>
      <c r="M13" s="250"/>
      <c r="N13" s="1174">
        <f>+'Comp.1'!Z45</f>
        <v>16.422601701373907</v>
      </c>
      <c r="O13" s="250"/>
      <c r="S13" s="250"/>
    </row>
    <row r="14" spans="2:23" s="467" customFormat="1" ht="14.85" customHeight="1">
      <c r="B14" s="1095" t="str">
        <f>+'Comp.1'!$B46</f>
        <v>Median</v>
      </c>
      <c r="C14" s="250"/>
      <c r="D14" s="1174">
        <f>'Comp.1'!V46</f>
        <v>10.576228287087414</v>
      </c>
      <c r="E14" s="250"/>
      <c r="F14" s="1174">
        <f>'Comp.1'!W46</f>
        <v>18.647447784498802</v>
      </c>
      <c r="G14" s="250"/>
      <c r="H14" s="1174">
        <f>+'Comp.1'!T46</f>
        <v>12.343971952398862</v>
      </c>
      <c r="I14" s="250"/>
      <c r="J14" s="1174">
        <f>+'Comp.1'!X46</f>
        <v>15.313955177590183</v>
      </c>
      <c r="K14" s="250"/>
      <c r="L14" s="1174">
        <f>+'Comp.1'!Y46</f>
        <v>14.324305754586444</v>
      </c>
      <c r="M14" s="250"/>
      <c r="N14" s="1174">
        <f>+'Comp.1'!Z46</f>
        <v>8.4649063779988314</v>
      </c>
      <c r="O14" s="250"/>
      <c r="S14" s="250"/>
    </row>
    <row r="15" spans="2:23" s="467" customFormat="1" ht="14.85" customHeight="1">
      <c r="B15" s="1095" t="str">
        <f>+'Comp.1'!$B47</f>
        <v>1st Quartile</v>
      </c>
      <c r="C15" s="250"/>
      <c r="D15" s="1174">
        <f>'Comp.1'!V47</f>
        <v>4.1902257979952706</v>
      </c>
      <c r="E15" s="250"/>
      <c r="F15" s="1174">
        <f>'Comp.1'!W47</f>
        <v>2.8150126297848672</v>
      </c>
      <c r="G15" s="250"/>
      <c r="H15" s="1174">
        <f>+'Comp.1'!T47</f>
        <v>4.8077517447657048</v>
      </c>
      <c r="I15" s="250"/>
      <c r="J15" s="1174">
        <f>+'Comp.1'!X47</f>
        <v>7.2719797814415701</v>
      </c>
      <c r="K15" s="250"/>
      <c r="L15" s="1174">
        <f>+'Comp.1'!Y47</f>
        <v>9.1673739383612052</v>
      </c>
      <c r="M15" s="250"/>
      <c r="N15" s="1174">
        <f>+'Comp.1'!Z47</f>
        <v>4.4975625554419292</v>
      </c>
      <c r="O15" s="250"/>
      <c r="S15" s="250"/>
    </row>
    <row r="16" spans="2:23" s="467" customFormat="1" ht="14.85" customHeight="1">
      <c r="B16" s="1095" t="str">
        <f>+'Comp.1'!$B48</f>
        <v>Low</v>
      </c>
      <c r="C16" s="250"/>
      <c r="D16" s="1174">
        <f>'Comp.1'!V48</f>
        <v>1.4980601092896169</v>
      </c>
      <c r="E16" s="250"/>
      <c r="F16" s="1174">
        <f>'Comp.1'!W48</f>
        <v>0.9771393692052015</v>
      </c>
      <c r="G16" s="250"/>
      <c r="H16" s="1174">
        <f>+'Comp.1'!T48</f>
        <v>0.2978974834728535</v>
      </c>
      <c r="I16" s="250"/>
      <c r="J16" s="1174">
        <f>+'Comp.1'!X48</f>
        <v>5.5794281900223632</v>
      </c>
      <c r="K16" s="250"/>
      <c r="L16" s="1174">
        <f>+'Comp.1'!Y48</f>
        <v>1.3831381255250206</v>
      </c>
      <c r="M16" s="250"/>
      <c r="N16" s="1174">
        <f>+'Comp.1'!Z48</f>
        <v>2.1334567685589523</v>
      </c>
      <c r="O16" s="250"/>
      <c r="S16" s="250"/>
    </row>
    <row r="17" spans="2:21" s="467" customFormat="1" ht="14.85" customHeight="1">
      <c r="B17" s="250"/>
      <c r="C17" s="250"/>
      <c r="D17" s="275"/>
      <c r="E17" s="250"/>
      <c r="F17" s="275"/>
      <c r="G17" s="250"/>
      <c r="H17" s="275"/>
      <c r="I17" s="250"/>
      <c r="J17" s="275"/>
      <c r="K17" s="250"/>
      <c r="L17" s="275"/>
      <c r="M17" s="250"/>
      <c r="N17" s="275"/>
      <c r="O17" s="250"/>
      <c r="S17" s="250"/>
    </row>
    <row r="18" spans="2:21" s="467" customFormat="1" ht="14.85" customHeight="1">
      <c r="B18" s="591" t="str">
        <f>+'Comp.2'!B10</f>
        <v>EBITDA Analysis</v>
      </c>
      <c r="C18" s="250"/>
      <c r="D18" s="275"/>
      <c r="E18" s="250"/>
      <c r="F18" s="275"/>
      <c r="G18" s="250"/>
      <c r="H18" s="275"/>
      <c r="I18" s="250"/>
      <c r="J18" s="275"/>
      <c r="K18" s="250"/>
      <c r="L18" s="275"/>
      <c r="M18" s="250"/>
      <c r="N18" s="275"/>
      <c r="O18" s="250"/>
      <c r="S18" s="250"/>
    </row>
    <row r="19" spans="2:21" s="467" customFormat="1" ht="14.85" customHeight="1">
      <c r="B19" s="1095" t="str">
        <f t="shared" ref="B19:B24" si="0">+B11</f>
        <v>High</v>
      </c>
      <c r="C19" s="250"/>
      <c r="D19" s="1174">
        <f>'Comp.2'!S43</f>
        <v>4.0182626396515806</v>
      </c>
      <c r="E19" s="250"/>
      <c r="F19" s="1174">
        <f>'Comp.2'!T43</f>
        <v>4.2261980947322995</v>
      </c>
      <c r="G19" s="250"/>
      <c r="H19" s="1174">
        <f>'Comp.2'!Q43</f>
        <v>9.7880281365313628</v>
      </c>
      <c r="I19" s="250"/>
      <c r="J19" s="1174">
        <f>+'Comp.2'!U43</f>
        <v>0.15907611940298519</v>
      </c>
      <c r="K19" s="250"/>
      <c r="L19" s="1174">
        <f>+'Comp.2'!V43</f>
        <v>0.15225857142857155</v>
      </c>
      <c r="M19" s="250"/>
      <c r="N19" s="1174">
        <f>+'Comp.2'!W43</f>
        <v>34.816528262123981</v>
      </c>
      <c r="O19" s="250"/>
      <c r="S19" s="250"/>
    </row>
    <row r="20" spans="2:21" s="467" customFormat="1" ht="14.85" customHeight="1">
      <c r="B20" s="1095" t="str">
        <f t="shared" si="0"/>
        <v>3rd Quartile</v>
      </c>
      <c r="C20" s="250"/>
      <c r="D20" s="1174">
        <f>'Comp.2'!S44</f>
        <v>-1.1318140219037405</v>
      </c>
      <c r="E20" s="250"/>
      <c r="F20" s="1174">
        <f>'Comp.2'!T44</f>
        <v>-1.2165177539050185</v>
      </c>
      <c r="G20" s="250"/>
      <c r="H20" s="1174">
        <f>'Comp.2'!Q44</f>
        <v>4.9741140231732421</v>
      </c>
      <c r="I20" s="250"/>
      <c r="J20" s="1174">
        <f>+'Comp.2'!U44</f>
        <v>0.15024234646462714</v>
      </c>
      <c r="K20" s="250"/>
      <c r="L20" s="1174">
        <f>+'Comp.2'!V44</f>
        <v>0.14940649986166615</v>
      </c>
      <c r="M20" s="250"/>
      <c r="N20" s="1174">
        <f>+'Comp.2'!W44</f>
        <v>17.656552599446577</v>
      </c>
      <c r="O20" s="250"/>
      <c r="S20" s="250"/>
    </row>
    <row r="21" spans="2:21" s="467" customFormat="1" ht="14.85" customHeight="1">
      <c r="B21" s="1095" t="str">
        <f t="shared" si="0"/>
        <v xml:space="preserve">Mean </v>
      </c>
      <c r="C21" s="250"/>
      <c r="D21" s="1174">
        <f>'Comp.2'!S45</f>
        <v>-25.607828956180491</v>
      </c>
      <c r="E21" s="250"/>
      <c r="F21" s="1174">
        <f>'Comp.2'!T45</f>
        <v>-8.6626222589091153</v>
      </c>
      <c r="G21" s="250"/>
      <c r="H21" s="1174">
        <f>'Comp.2'!Q45</f>
        <v>3.3434535348871912</v>
      </c>
      <c r="I21" s="250"/>
      <c r="J21" s="1174">
        <f>+'Comp.2'!U45</f>
        <v>0.14140857352626912</v>
      </c>
      <c r="K21" s="250"/>
      <c r="L21" s="1174">
        <f>+'Comp.2'!V45</f>
        <v>0.14655442829476079</v>
      </c>
      <c r="M21" s="250"/>
      <c r="N21" s="1174">
        <f>+'Comp.2'!W45</f>
        <v>11.816005952373667</v>
      </c>
      <c r="O21" s="250"/>
      <c r="S21" s="250"/>
    </row>
    <row r="22" spans="2:21" s="467" customFormat="1" ht="14.85" customHeight="1">
      <c r="B22" s="1095" t="str">
        <f t="shared" si="0"/>
        <v>Median</v>
      </c>
      <c r="C22" s="250"/>
      <c r="D22" s="1174">
        <f>'Comp.2'!S46</f>
        <v>-5.1391264982099312</v>
      </c>
      <c r="E22" s="250"/>
      <c r="F22" s="1174">
        <f>'Comp.2'!T46</f>
        <v>-4.1016992233176017</v>
      </c>
      <c r="G22" s="250"/>
      <c r="H22" s="1174">
        <f>'Comp.2'!Q46</f>
        <v>0.16019990981512114</v>
      </c>
      <c r="I22" s="250"/>
      <c r="J22" s="1174">
        <f>+'Comp.2'!U46</f>
        <v>0.14140857352626912</v>
      </c>
      <c r="K22" s="250"/>
      <c r="L22" s="1174">
        <f>+'Comp.2'!V46</f>
        <v>0.14655442829476079</v>
      </c>
      <c r="M22" s="250"/>
      <c r="N22" s="1174">
        <f>+'Comp.2'!W46</f>
        <v>0.49657693676917464</v>
      </c>
      <c r="O22" s="250"/>
      <c r="S22" s="250"/>
    </row>
    <row r="23" spans="2:21" s="467" customFormat="1" ht="14.85" customHeight="1">
      <c r="B23" s="1095" t="str">
        <f t="shared" si="0"/>
        <v>1st Quartile</v>
      </c>
      <c r="C23" s="250"/>
      <c r="D23" s="1174">
        <f>'Comp.2'!S47</f>
        <v>-40.726138763897836</v>
      </c>
      <c r="E23" s="250"/>
      <c r="F23" s="1174">
        <f>'Comp.2'!T47</f>
        <v>-12.131203980689985</v>
      </c>
      <c r="G23" s="250"/>
      <c r="H23" s="1174">
        <f>'Comp.2'!Q47</f>
        <v>0.12116623406510557</v>
      </c>
      <c r="I23" s="250"/>
      <c r="J23" s="1174">
        <f>+'Comp.2'!U47</f>
        <v>0.1325748005879111</v>
      </c>
      <c r="K23" s="250"/>
      <c r="L23" s="1174">
        <f>+'Comp.2'!V47</f>
        <v>0.14370235672785539</v>
      </c>
      <c r="M23" s="250"/>
      <c r="N23" s="1174">
        <f>+'Comp.2'!W47</f>
        <v>0.31574479749851142</v>
      </c>
      <c r="O23" s="250"/>
      <c r="S23" s="250"/>
    </row>
    <row r="24" spans="2:21" s="467" customFormat="1" ht="14.85" customHeight="1">
      <c r="B24" s="1095" t="str">
        <f t="shared" si="0"/>
        <v>Low</v>
      </c>
      <c r="C24" s="250"/>
      <c r="D24" s="1174">
        <f>'Comp.2'!S48</f>
        <v>-131.953588891062</v>
      </c>
      <c r="E24" s="250"/>
      <c r="F24" s="1174">
        <f>'Comp.2'!T48</f>
        <v>-35.687844485585828</v>
      </c>
      <c r="G24" s="250"/>
      <c r="H24" s="1174">
        <f>'Comp.2'!Q48</f>
        <v>8.213255831508999E-2</v>
      </c>
      <c r="I24" s="250"/>
      <c r="J24" s="1174">
        <f>+'Comp.2'!U48</f>
        <v>0.12374102764955305</v>
      </c>
      <c r="K24" s="250"/>
      <c r="L24" s="1174">
        <f>+'Comp.2'!V48</f>
        <v>0.14085028516095</v>
      </c>
      <c r="M24" s="250"/>
      <c r="N24" s="1174">
        <f>+'Comp.2'!W48</f>
        <v>0.1349126582278482</v>
      </c>
      <c r="O24" s="250"/>
      <c r="S24" s="250"/>
    </row>
    <row r="25" spans="2:21" s="467" customFormat="1" ht="14.85" customHeight="1">
      <c r="B25" s="250"/>
      <c r="C25" s="250"/>
      <c r="D25" s="250"/>
      <c r="E25" s="250"/>
      <c r="F25" s="250"/>
      <c r="G25" s="250"/>
      <c r="H25" s="250"/>
      <c r="I25" s="250"/>
      <c r="J25" s="250"/>
      <c r="K25" s="250"/>
      <c r="L25" s="250"/>
      <c r="M25" s="250"/>
      <c r="N25" s="250"/>
      <c r="O25" s="250"/>
      <c r="P25" s="250"/>
      <c r="Q25" s="250"/>
      <c r="R25" s="250"/>
      <c r="S25" s="250"/>
    </row>
    <row r="26" spans="2:21" s="467" customFormat="1" ht="14.85" customHeight="1">
      <c r="B26" s="250"/>
      <c r="C26" s="250"/>
      <c r="D26" s="250"/>
      <c r="E26" s="250"/>
      <c r="F26" s="250"/>
      <c r="G26" s="250"/>
      <c r="H26" s="250"/>
      <c r="I26" s="250"/>
      <c r="J26" s="250"/>
      <c r="K26" s="250"/>
      <c r="L26" s="250"/>
      <c r="M26" s="250"/>
      <c r="N26" s="250"/>
      <c r="O26" s="250"/>
      <c r="P26" s="250"/>
      <c r="Q26" s="250"/>
      <c r="R26" s="250"/>
      <c r="S26" s="250"/>
    </row>
    <row r="27" spans="2:21" ht="25.5">
      <c r="F27" s="1248" t="s">
        <v>3505</v>
      </c>
      <c r="G27" s="1241"/>
      <c r="H27" s="1241"/>
      <c r="J27" s="1249" t="s">
        <v>1980</v>
      </c>
      <c r="L27" s="1248" t="s">
        <v>349</v>
      </c>
      <c r="M27" s="1241"/>
      <c r="N27" s="1241"/>
      <c r="P27" s="1248" t="s">
        <v>3506</v>
      </c>
    </row>
    <row r="28" spans="2:21" s="272" customFormat="1" ht="14.85" customHeight="1">
      <c r="D28" s="1250" t="s">
        <v>350</v>
      </c>
      <c r="E28" s="347"/>
      <c r="F28" s="1251" t="s">
        <v>112</v>
      </c>
      <c r="G28" s="347"/>
      <c r="H28" s="1251" t="s">
        <v>111</v>
      </c>
      <c r="I28" s="347"/>
      <c r="J28" s="1252">
        <f>DCF!$F$69</f>
        <v>0.25</v>
      </c>
      <c r="K28" s="347"/>
      <c r="L28" s="1250" t="s">
        <v>112</v>
      </c>
      <c r="M28" s="347"/>
      <c r="N28" s="1250" t="s">
        <v>111</v>
      </c>
      <c r="O28" s="347"/>
      <c r="P28" s="1252"/>
      <c r="R28" s="1253" t="s">
        <v>70</v>
      </c>
    </row>
    <row r="29" spans="2:21" ht="14.85" customHeight="1"/>
    <row r="30" spans="2:21" ht="14.85" customHeight="1">
      <c r="B30" s="253" t="s">
        <v>343</v>
      </c>
      <c r="T30" s="1254" t="s">
        <v>738</v>
      </c>
      <c r="U30" s="891"/>
    </row>
    <row r="31" spans="2:21" ht="14.85" customHeight="1">
      <c r="B31" s="328" t="s">
        <v>168</v>
      </c>
      <c r="D31" s="345">
        <f ca="1">'Hist IS'!$J$13</f>
        <v>4443</v>
      </c>
      <c r="F31" s="1255">
        <v>0.67581966101694912</v>
      </c>
      <c r="H31" s="1255">
        <v>0.78</v>
      </c>
      <c r="J31" s="1256">
        <f>IF($T$31&lt;&gt;"Discount",1,1/((1+DCF!$F$62)^(0/12)))</f>
        <v>1</v>
      </c>
      <c r="L31" s="1257">
        <f ca="1">IFERROR($D31*F31*$J31,"n/a")</f>
        <v>3002.6667538983052</v>
      </c>
      <c r="N31" s="1257">
        <f ca="1">IFERROR($D31*H31*$J31,"n/a")</f>
        <v>3465.54</v>
      </c>
      <c r="P31" s="1258">
        <v>0</v>
      </c>
      <c r="R31" s="251" t="str">
        <f>'Hist IS'!$B$3</f>
        <v>Exhibit C.3</v>
      </c>
      <c r="T31" s="518" t="s">
        <v>50</v>
      </c>
      <c r="U31" s="897"/>
    </row>
    <row r="32" spans="2:21" ht="14.85" customHeight="1">
      <c r="B32" s="328" t="s">
        <v>181</v>
      </c>
      <c r="D32" s="345">
        <f ca="1">'Hist IS'!$J$43</f>
        <v>580</v>
      </c>
      <c r="F32" s="1255">
        <v>0.67581966101694912</v>
      </c>
      <c r="H32" s="1255">
        <v>0.78</v>
      </c>
      <c r="J32" s="1256">
        <f>IF($T$31&lt;&gt;"Discount",1,$J$31)</f>
        <v>1</v>
      </c>
      <c r="L32" s="1257">
        <f ca="1">IFERROR($D32*F32*$J32,"n/a")</f>
        <v>391.97540338983049</v>
      </c>
      <c r="N32" s="1257">
        <f ca="1">IFERROR($D32*H32*$J32,"n/a")</f>
        <v>452.40000000000003</v>
      </c>
      <c r="P32" s="1258">
        <v>0</v>
      </c>
      <c r="R32" s="251" t="str">
        <f>'Hist IS'!$B$3</f>
        <v>Exhibit C.3</v>
      </c>
    </row>
    <row r="33" spans="2:18" ht="14.85" customHeight="1">
      <c r="J33" s="1256"/>
      <c r="P33" s="1258"/>
    </row>
    <row r="34" spans="2:18" ht="14.85" customHeight="1">
      <c r="B34" s="382" t="str">
        <f>+$J$9</f>
        <v>Est. 2016</v>
      </c>
      <c r="J34" s="1256"/>
      <c r="P34" s="1258"/>
    </row>
    <row r="35" spans="2:18" ht="14.85" customHeight="1">
      <c r="B35" s="328" t="s">
        <v>168</v>
      </c>
      <c r="D35" s="345">
        <f>DCF!$F$14</f>
        <v>3722</v>
      </c>
      <c r="F35" s="1255">
        <v>0.67581966101694912</v>
      </c>
      <c r="H35" s="1255">
        <v>0.78</v>
      </c>
      <c r="J35" s="1256">
        <f>IF($T$31&lt;&gt;"Discount",1,1/(1+DCF!$D$62)^(DCF!F$57))</f>
        <v>0.8</v>
      </c>
      <c r="L35" s="1257">
        <f>IFERROR($D35*F35*$J35,"n/a")</f>
        <v>2012.320622644068</v>
      </c>
      <c r="N35" s="1257">
        <f>IFERROR($D35*H35*$J35,"n/a")</f>
        <v>2322.5280000000002</v>
      </c>
      <c r="P35" s="1258">
        <v>0.5</v>
      </c>
      <c r="R35" s="251" t="str">
        <f>DCF!$B$3</f>
        <v>Exhibit C.1</v>
      </c>
    </row>
    <row r="36" spans="2:18" ht="14.85" customHeight="1">
      <c r="B36" s="328" t="s">
        <v>181</v>
      </c>
      <c r="D36" s="345">
        <f>DCF!$F$30</f>
        <v>-6328.3000000000011</v>
      </c>
      <c r="F36" s="1255" t="s">
        <v>13</v>
      </c>
      <c r="H36" s="1255" t="s">
        <v>13</v>
      </c>
      <c r="J36" s="1256">
        <f>IF($T$31&lt;&gt;"Discount",1,$J$35)</f>
        <v>0.8</v>
      </c>
      <c r="L36" s="1257" t="str">
        <f>IFERROR($D36*F36*$J36,"n/a")</f>
        <v>n/a</v>
      </c>
      <c r="N36" s="1257" t="str">
        <f>IFERROR($D36*H36*$J36,"n/a")</f>
        <v>n/a</v>
      </c>
      <c r="P36" s="1258">
        <v>0</v>
      </c>
      <c r="R36" s="251" t="str">
        <f>DCF!$B$3</f>
        <v>Exhibit C.1</v>
      </c>
    </row>
    <row r="37" spans="2:18" ht="14.85" customHeight="1">
      <c r="J37" s="1256"/>
      <c r="P37" s="1258"/>
    </row>
    <row r="38" spans="2:18" ht="14.85" customHeight="1">
      <c r="B38" s="382" t="str">
        <f>+$L$9</f>
        <v>Est. 2017</v>
      </c>
      <c r="J38" s="1256"/>
      <c r="P38" s="1258"/>
    </row>
    <row r="39" spans="2:18" ht="14.85" customHeight="1">
      <c r="B39" s="328" t="s">
        <v>168</v>
      </c>
      <c r="D39" s="345">
        <f>DCF!$G$14</f>
        <v>8657.4</v>
      </c>
      <c r="F39" s="1255">
        <v>0.67581966101694912</v>
      </c>
      <c r="H39" s="1255">
        <v>0.78</v>
      </c>
      <c r="J39" s="1256">
        <f>IF($T$31&lt;&gt;"Discount",1,1/(1+DCF!$D$62)^(DCF!F$57+1))</f>
        <v>0.64</v>
      </c>
      <c r="L39" s="1257">
        <f>IFERROR($D39*F39*$J39,"n/a")</f>
        <v>3744.5383253044065</v>
      </c>
      <c r="N39" s="1257">
        <f>IFERROR($D39*H39*$J39,"n/a")</f>
        <v>4321.7740800000001</v>
      </c>
      <c r="P39" s="1258">
        <v>0.5</v>
      </c>
      <c r="R39" s="251" t="str">
        <f>DCF!$B$3</f>
        <v>Exhibit C.1</v>
      </c>
    </row>
    <row r="40" spans="2:18" ht="14.85" customHeight="1">
      <c r="B40" s="328" t="s">
        <v>181</v>
      </c>
      <c r="D40" s="345">
        <f>DCF!$G$30</f>
        <v>-4843.8</v>
      </c>
      <c r="F40" s="1255">
        <v>0.67581966101694912</v>
      </c>
      <c r="H40" s="1255">
        <v>0.78</v>
      </c>
      <c r="J40" s="1256">
        <f>IF($T$31&lt;&gt;"Discount",1,$J$39)</f>
        <v>0.64</v>
      </c>
      <c r="L40" s="1257">
        <f>IFERROR($D40*F40*$J40,"n/a")</f>
        <v>-2095.0625753816948</v>
      </c>
      <c r="N40" s="1257">
        <f>IFERROR($D40*H40*$J40,"n/a")</f>
        <v>-2418.0249600000002</v>
      </c>
      <c r="P40" s="1258"/>
      <c r="R40" s="251" t="str">
        <f>DCF!$B$3</f>
        <v>Exhibit C.1</v>
      </c>
    </row>
    <row r="41" spans="2:18" ht="14.85" customHeight="1">
      <c r="J41" s="1256"/>
      <c r="P41" s="1258"/>
    </row>
    <row r="42" spans="2:18" ht="14.85" customHeight="1">
      <c r="B42" s="382" t="str">
        <f>+$N$9</f>
        <v>Est. 2018</v>
      </c>
      <c r="J42" s="1256"/>
      <c r="P42" s="1258"/>
    </row>
    <row r="43" spans="2:18" ht="14.85" customHeight="1">
      <c r="B43" s="328" t="s">
        <v>168</v>
      </c>
      <c r="D43" s="345">
        <f>DCF!$H$14</f>
        <v>19751.599999999999</v>
      </c>
      <c r="F43" s="1255">
        <v>0.67581966101694912</v>
      </c>
      <c r="H43" s="1255">
        <v>0.78</v>
      </c>
      <c r="J43" s="1256">
        <f>IF($T$31&lt;&gt;"Discount",1,1/(1+DCF!$D$62)^(DCF!F$57+2))</f>
        <v>0.51200000000000001</v>
      </c>
      <c r="L43" s="1257">
        <f>IFERROR($D43*F43*$J43,"n/a")</f>
        <v>6834.4420436696946</v>
      </c>
      <c r="N43" s="1257">
        <f>IFERROR($D43*H43*$J43,"n/a")</f>
        <v>7887.9989759999999</v>
      </c>
      <c r="P43" s="1258">
        <v>0</v>
      </c>
      <c r="R43" s="251" t="str">
        <f>DCF!$B$3</f>
        <v>Exhibit C.1</v>
      </c>
    </row>
    <row r="44" spans="2:18" ht="14.85" customHeight="1">
      <c r="B44" s="328" t="s">
        <v>181</v>
      </c>
      <c r="D44" s="345">
        <f>DCF!$H$30</f>
        <v>-753.20000000000255</v>
      </c>
      <c r="F44" s="1255">
        <v>0.67581966101694912</v>
      </c>
      <c r="H44" s="1255">
        <v>0.78</v>
      </c>
      <c r="J44" s="1256">
        <f>IF($T$31&lt;&gt;"Discount",1,$J$43)</f>
        <v>0.51200000000000001</v>
      </c>
      <c r="L44" s="1257">
        <f>IFERROR($D44*F44*$J44,"n/a")</f>
        <v>-260.62201276311953</v>
      </c>
      <c r="N44" s="1257">
        <f>IFERROR($D44*H44*$J44,"n/a")</f>
        <v>-300.79795200000103</v>
      </c>
      <c r="P44" s="1258">
        <v>0</v>
      </c>
      <c r="R44" s="251" t="str">
        <f>DCF!$B$3</f>
        <v>Exhibit C.1</v>
      </c>
    </row>
    <row r="45" spans="2:18" ht="14.85" customHeight="1">
      <c r="B45" s="346"/>
      <c r="C45" s="346"/>
      <c r="D45" s="346"/>
      <c r="E45" s="346"/>
      <c r="F45" s="346"/>
      <c r="G45" s="346"/>
      <c r="H45" s="346"/>
      <c r="I45" s="346"/>
      <c r="J45" s="346"/>
      <c r="K45" s="346"/>
      <c r="L45" s="346"/>
      <c r="M45" s="346"/>
      <c r="N45" s="346"/>
    </row>
    <row r="46" spans="2:18" ht="14.85" customHeight="1">
      <c r="B46" s="516" t="s">
        <v>351</v>
      </c>
      <c r="C46" s="512"/>
      <c r="D46" s="512"/>
      <c r="E46" s="512"/>
      <c r="F46" s="512"/>
      <c r="G46" s="512"/>
      <c r="H46" s="512"/>
      <c r="I46" s="512"/>
      <c r="J46" s="512"/>
      <c r="K46" s="512"/>
      <c r="L46" s="1259">
        <f ca="1">SUMPRODUCT(L31:L44,$P$31:$P$44)</f>
        <v>2878.4294739742372</v>
      </c>
      <c r="M46" s="512"/>
      <c r="N46" s="1259">
        <f ca="1">SUMPRODUCT(N31:N44,$P$31:$P$44)</f>
        <v>3322.1510400000002</v>
      </c>
      <c r="O46" s="512"/>
    </row>
    <row r="47" spans="2:18" ht="14.85" customHeight="1"/>
    <row r="48" spans="2:18" ht="14.85" customHeight="1">
      <c r="B48" s="351" t="s">
        <v>356</v>
      </c>
      <c r="C48" s="1260"/>
      <c r="D48" s="1260"/>
      <c r="E48" s="1260"/>
      <c r="F48" s="1260"/>
      <c r="G48" s="1260"/>
      <c r="H48" s="1260"/>
      <c r="I48" s="1260"/>
      <c r="J48" s="1261"/>
      <c r="K48" s="1260"/>
      <c r="L48" s="1262">
        <f ca="1">MROUND(L46,1)</f>
        <v>2878</v>
      </c>
      <c r="M48" s="1260"/>
      <c r="N48" s="1263">
        <f ca="1">MROUND(N46,1)</f>
        <v>3322</v>
      </c>
    </row>
    <row r="49" spans="1:18" ht="14.85" customHeight="1"/>
    <row r="50" spans="1:18" ht="14.85" customHeight="1">
      <c r="B50" s="328" t="s">
        <v>154</v>
      </c>
      <c r="L50" s="337">
        <f ca="1">-'Hist BS'!$I$65</f>
        <v>-2038</v>
      </c>
      <c r="M50" s="345"/>
      <c r="N50" s="381">
        <f ca="1">L50</f>
        <v>-2038</v>
      </c>
      <c r="R50" s="256" t="str">
        <f>'Hist BS'!$B$3</f>
        <v>Exhibit C.4</v>
      </c>
    </row>
    <row r="51" spans="1:18" ht="14.85" customHeight="1">
      <c r="B51" s="328" t="s">
        <v>661</v>
      </c>
      <c r="L51" s="337">
        <f ca="1">'Hist BS'!$I$13</f>
        <v>582</v>
      </c>
      <c r="M51" s="345"/>
      <c r="N51" s="381">
        <f ca="1">L51</f>
        <v>582</v>
      </c>
      <c r="R51" s="256" t="str">
        <f>'Hist BS'!$B$3</f>
        <v>Exhibit C.4</v>
      </c>
    </row>
    <row r="52" spans="1:18" ht="14.85" customHeight="1">
      <c r="B52" s="346"/>
      <c r="C52" s="346"/>
      <c r="D52" s="346"/>
      <c r="E52" s="346"/>
      <c r="F52" s="346"/>
      <c r="G52" s="346"/>
      <c r="H52" s="346"/>
      <c r="I52" s="346"/>
      <c r="J52" s="346"/>
      <c r="K52" s="346"/>
      <c r="L52" s="346"/>
      <c r="M52" s="346"/>
      <c r="N52" s="346"/>
    </row>
    <row r="53" spans="1:18" ht="14.85" customHeight="1">
      <c r="B53" s="253" t="s">
        <v>352</v>
      </c>
      <c r="L53" s="412">
        <f ca="1">SUM(L48:L51)</f>
        <v>1422</v>
      </c>
      <c r="N53" s="412">
        <f ca="1">SUM(N48:N51)</f>
        <v>1866</v>
      </c>
    </row>
    <row r="54" spans="1:18" ht="14.85" customHeight="1"/>
    <row r="55" spans="1:18" ht="14.85" customHeight="1">
      <c r="B55" s="557" t="s">
        <v>86</v>
      </c>
    </row>
    <row r="56" spans="1:18" ht="14.85" customHeight="1">
      <c r="A56" s="357" t="s">
        <v>270</v>
      </c>
      <c r="B56" s="1132" t="s">
        <v>1135</v>
      </c>
      <c r="C56" s="359"/>
      <c r="D56" s="359"/>
      <c r="E56" s="359"/>
      <c r="F56" s="359"/>
      <c r="G56" s="359"/>
      <c r="H56" s="359"/>
      <c r="I56" s="359"/>
      <c r="J56" s="359"/>
      <c r="K56" s="359"/>
      <c r="L56" s="359"/>
    </row>
    <row r="57" spans="1:18" ht="14.85" customHeight="1">
      <c r="A57" s="357" t="s">
        <v>269</v>
      </c>
      <c r="B57" s="1132" t="s">
        <v>1978</v>
      </c>
      <c r="C57" s="359"/>
      <c r="D57" s="359"/>
      <c r="E57" s="359"/>
      <c r="F57" s="359"/>
      <c r="G57" s="359"/>
      <c r="H57" s="359"/>
      <c r="I57" s="359"/>
      <c r="J57" s="359"/>
      <c r="K57" s="359"/>
      <c r="L57" s="359"/>
    </row>
    <row r="58" spans="1:18" ht="14.85" customHeight="1">
      <c r="A58" s="357" t="s">
        <v>308</v>
      </c>
      <c r="B58" s="1132" t="s">
        <v>1136</v>
      </c>
      <c r="C58" s="359"/>
      <c r="D58" s="359"/>
      <c r="E58" s="359"/>
      <c r="F58" s="359"/>
      <c r="G58" s="359"/>
      <c r="H58" s="359"/>
      <c r="I58" s="359"/>
      <c r="J58" s="359"/>
      <c r="K58" s="359"/>
      <c r="L58" s="359"/>
    </row>
    <row r="59" spans="1:18" ht="14.85" customHeight="1"/>
    <row r="60" spans="1:18" ht="14.85" customHeight="1"/>
    <row r="61" spans="1:18" ht="14.85" customHeight="1"/>
    <row r="62" spans="1:18" ht="14.85" customHeight="1"/>
    <row r="63" spans="1:18" ht="14.85" customHeight="1"/>
    <row r="64" spans="1:18"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D4 N4 F4 H4 J4">
    <cfRule type="cellIs" dxfId="266" priority="16" stopIfTrue="1" operator="equal">
      <formula>"input"</formula>
    </cfRule>
  </conditionalFormatting>
  <conditionalFormatting sqref="L4">
    <cfRule type="cellIs" dxfId="265" priority="14" stopIfTrue="1" operator="equal">
      <formula>"input"</formula>
    </cfRule>
  </conditionalFormatting>
  <conditionalFormatting sqref="L4">
    <cfRule type="cellIs" dxfId="264" priority="15" stopIfTrue="1" operator="equal">
      <formula>"input"</formula>
    </cfRule>
  </conditionalFormatting>
  <conditionalFormatting sqref="R4">
    <cfRule type="cellIs" dxfId="263" priority="10" stopIfTrue="1" operator="equal">
      <formula>"input"</formula>
    </cfRule>
  </conditionalFormatting>
  <conditionalFormatting sqref="R4">
    <cfRule type="cellIs" dxfId="262" priority="11" stopIfTrue="1" operator="equal">
      <formula>"input"</formula>
    </cfRule>
  </conditionalFormatting>
  <conditionalFormatting sqref="E4">
    <cfRule type="cellIs" dxfId="261" priority="9" stopIfTrue="1" operator="equal">
      <formula>"input"</formula>
    </cfRule>
  </conditionalFormatting>
  <conditionalFormatting sqref="G4">
    <cfRule type="cellIs" dxfId="260" priority="8" stopIfTrue="1" operator="equal">
      <formula>"input"</formula>
    </cfRule>
  </conditionalFormatting>
  <conditionalFormatting sqref="K4">
    <cfRule type="cellIs" dxfId="259" priority="7" stopIfTrue="1" operator="equal">
      <formula>"input"</formula>
    </cfRule>
  </conditionalFormatting>
  <conditionalFormatting sqref="M4">
    <cfRule type="cellIs" dxfId="258" priority="6" stopIfTrue="1" operator="equal">
      <formula>"input"</formula>
    </cfRule>
  </conditionalFormatting>
  <conditionalFormatting sqref="Q4">
    <cfRule type="cellIs" dxfId="257" priority="5" stopIfTrue="1" operator="equal">
      <formula>"input"</formula>
    </cfRule>
  </conditionalFormatting>
  <conditionalFormatting sqref="I4">
    <cfRule type="cellIs" dxfId="256" priority="4" stopIfTrue="1" operator="equal">
      <formula>"input"</formula>
    </cfRule>
  </conditionalFormatting>
  <conditionalFormatting sqref="P4">
    <cfRule type="cellIs" dxfId="255" priority="3" stopIfTrue="1" operator="equal">
      <formula>"input"</formula>
    </cfRule>
  </conditionalFormatting>
  <conditionalFormatting sqref="O4">
    <cfRule type="cellIs" dxfId="254" priority="2" stopIfTrue="1" operator="equal">
      <formula>"input"</formula>
    </cfRule>
  </conditionalFormatting>
  <conditionalFormatting sqref="P31:P44">
    <cfRule type="expression" dxfId="253" priority="1">
      <formula>SUM($P$31:$P$44)&lt;&gt;1</formula>
    </cfRule>
  </conditionalFormatting>
  <dataValidations disablePrompts="1" count="1">
    <dataValidation type="list" allowBlank="1" showInputMessage="1" showErrorMessage="1" sqref="T31" xr:uid="{00000000-0002-0000-1A00-000000000000}">
      <formula1>"Discount,No Discount"</formula1>
    </dataValidation>
  </dataValidations>
  <pageMargins left="0.5" right="0.5" top="0.5" bottom="0.5" header="0.5" footer="0.5"/>
  <pageSetup scale="72" fitToWidth="0" fitToHeight="0" orientation="landscape" r:id="rId1"/>
  <legacy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B1:AL764"/>
  <sheetViews>
    <sheetView showGridLines="0" view="pageBreakPreview" zoomScale="80" zoomScaleNormal="100" zoomScaleSheetLayoutView="80" workbookViewId="0">
      <pane ySplit="8" topLeftCell="A9" activePane="bottomLeft" state="frozen"/>
      <selection activeCell="B11" sqref="B11"/>
      <selection pane="bottomLeft"/>
    </sheetView>
  </sheetViews>
  <sheetFormatPr defaultRowHeight="12.75" outlineLevelCol="1"/>
  <cols>
    <col min="1" max="1" width="4.5" style="250" customWidth="1"/>
    <col min="2" max="2" width="44" style="250" customWidth="1"/>
    <col min="3" max="3" width="11.83203125" style="250" customWidth="1"/>
    <col min="4" max="4" width="2.83203125" style="250" customWidth="1"/>
    <col min="5" max="6" width="15.83203125" style="250" customWidth="1"/>
    <col min="7" max="7" width="2.83203125" style="250" customWidth="1"/>
    <col min="8" max="9" width="15.1640625" style="250" customWidth="1" outlineLevel="1"/>
    <col min="10" max="10" width="11.83203125" style="250" customWidth="1"/>
    <col min="11" max="11" width="2.83203125" style="250" customWidth="1"/>
    <col min="12" max="13" width="18.83203125" style="250" hidden="1" customWidth="1" outlineLevel="1"/>
    <col min="14" max="14" width="15.1640625" style="250" customWidth="1" collapsed="1"/>
    <col min="15" max="16" width="15.1640625" style="250" customWidth="1"/>
    <col min="17" max="17" width="2.83203125" style="250" customWidth="1"/>
    <col min="18" max="19" width="12.83203125" style="250" hidden="1" customWidth="1" outlineLevel="1"/>
    <col min="20" max="20" width="12.1640625" style="250" customWidth="1" collapsed="1"/>
    <col min="21" max="21" width="2.83203125" style="250" customWidth="1"/>
    <col min="22" max="23" width="12.83203125" style="250" hidden="1" customWidth="1" outlineLevel="1"/>
    <col min="24" max="24" width="12.1640625" style="250" customWidth="1" collapsed="1"/>
    <col min="25" max="26" width="12.1640625" style="250" customWidth="1"/>
    <col min="27" max="27" width="4.5" style="250" customWidth="1"/>
    <col min="28" max="32" width="13.6640625" style="250" customWidth="1"/>
    <col min="33" max="33" width="13.6640625" style="359" customWidth="1"/>
    <col min="34" max="35" width="13.6640625" style="250" customWidth="1"/>
    <col min="36" max="36" width="1.83203125" style="250" customWidth="1"/>
    <col min="37" max="37" width="15.33203125" style="250" bestFit="1" customWidth="1"/>
    <col min="38" max="38" width="12.5" style="250" customWidth="1"/>
    <col min="39" max="39" width="1.83203125" style="250" customWidth="1"/>
    <col min="40" max="16384" width="9.33203125" style="250"/>
  </cols>
  <sheetData>
    <row r="1" spans="2:38" ht="10.7" customHeight="1" thickBot="1">
      <c r="AB1" s="1264"/>
      <c r="AC1" s="1265" t="s">
        <v>984</v>
      </c>
      <c r="AD1" s="1265" t="s">
        <v>985</v>
      </c>
      <c r="AE1" s="1266" t="s">
        <v>110</v>
      </c>
    </row>
    <row r="2" spans="2:38" ht="16.5" customHeight="1" thickTop="1">
      <c r="B2" s="258" t="str">
        <f>'MASTER PubCo Inputs'!$C$5</f>
        <v>ABC, Inc.</v>
      </c>
      <c r="C2" s="258"/>
      <c r="D2" s="258"/>
      <c r="E2" s="258"/>
      <c r="F2" s="258"/>
      <c r="G2" s="258"/>
      <c r="H2" s="258"/>
      <c r="I2" s="258"/>
      <c r="J2" s="258"/>
      <c r="K2" s="258"/>
      <c r="L2" s="258"/>
      <c r="M2" s="258"/>
      <c r="N2" s="258"/>
      <c r="O2" s="258"/>
      <c r="P2" s="258"/>
      <c r="Q2" s="258"/>
      <c r="R2" s="258"/>
      <c r="S2" s="258"/>
      <c r="T2" s="258"/>
      <c r="U2" s="258"/>
      <c r="V2" s="258"/>
      <c r="W2" s="258"/>
      <c r="X2" s="258"/>
      <c r="Y2" s="258"/>
      <c r="Z2" s="258"/>
      <c r="AB2" s="1267" t="str">
        <f>+C8</f>
        <v>Enterprise Value</v>
      </c>
      <c r="AC2" s="1268" t="e">
        <f ca="1">SUM('GPC Linked'!H13:H42)</f>
        <v>#NAME?</v>
      </c>
      <c r="AD2" s="1268">
        <f>+SUM('Capital IQ Sheet-GPC'!H13:H42)</f>
        <v>7458.1841100000001</v>
      </c>
      <c r="AE2" s="468" t="e">
        <f ca="1">AC2=AD2</f>
        <v>#NAME?</v>
      </c>
      <c r="AK2" s="1151" t="s">
        <v>87</v>
      </c>
      <c r="AL2" s="1152">
        <f>'MASTER PubCo Inputs'!$C$6</f>
        <v>42735</v>
      </c>
    </row>
    <row r="3" spans="2:38" ht="15.75" customHeight="1">
      <c r="B3" s="259" t="str">
        <f>VLOOKUP(B4,Outline!$E$8:$G$79,COLUMNS(Outline!$E$8:$G$8),FALSE)</f>
        <v>Exhibit E.2</v>
      </c>
      <c r="C3" s="259"/>
      <c r="D3" s="259"/>
      <c r="E3" s="259"/>
      <c r="F3" s="259"/>
      <c r="G3" s="259"/>
      <c r="H3" s="259"/>
      <c r="I3" s="259"/>
      <c r="J3" s="259"/>
      <c r="K3" s="259"/>
      <c r="L3" s="259"/>
      <c r="M3" s="259"/>
      <c r="N3" s="259"/>
      <c r="O3" s="259"/>
      <c r="P3" s="259"/>
      <c r="Q3" s="259"/>
      <c r="R3" s="259"/>
      <c r="S3" s="259"/>
      <c r="T3" s="259"/>
      <c r="U3" s="259"/>
      <c r="V3" s="259"/>
      <c r="W3" s="259"/>
      <c r="X3" s="259"/>
      <c r="Y3" s="259"/>
      <c r="Z3" s="259"/>
      <c r="AB3" s="1267" t="str">
        <f>+J8</f>
        <v>LTM</v>
      </c>
      <c r="AC3" s="1268" t="e">
        <f ca="1">+SUM('GPC Linked'!Q13:Q42)</f>
        <v>#NAME?</v>
      </c>
      <c r="AD3" s="1268">
        <f>+SUM('Capital IQ Sheet-GPC'!Q13:Q42)</f>
        <v>282.23360000000002</v>
      </c>
      <c r="AE3" s="468" t="e">
        <f ca="1">AC3=AD3</f>
        <v>#NAME?</v>
      </c>
      <c r="AK3" s="1153" t="s">
        <v>489</v>
      </c>
      <c r="AL3" s="1269" t="s">
        <v>491</v>
      </c>
    </row>
    <row r="4" spans="2:38" ht="16.5" customHeight="1" thickBot="1">
      <c r="B4" s="924" t="s">
        <v>820</v>
      </c>
      <c r="C4" s="924"/>
      <c r="D4" s="924"/>
      <c r="E4" s="924"/>
      <c r="F4" s="924"/>
      <c r="G4" s="924"/>
      <c r="H4" s="924"/>
      <c r="I4" s="924"/>
      <c r="J4" s="924"/>
      <c r="K4" s="924"/>
      <c r="L4" s="924"/>
      <c r="M4" s="925"/>
      <c r="N4" s="925"/>
      <c r="O4" s="925"/>
      <c r="P4" s="925"/>
      <c r="Q4" s="925"/>
      <c r="R4" s="925"/>
      <c r="S4" s="925"/>
      <c r="T4" s="925"/>
      <c r="U4" s="925"/>
      <c r="V4" s="925"/>
      <c r="W4" s="925"/>
      <c r="X4" s="925"/>
      <c r="Y4" s="925"/>
      <c r="Z4" s="925" t="str">
        <f>+'MASTER PubCo Inputs'!$C$24</f>
        <v>(in millions of USD)</v>
      </c>
      <c r="AB4" s="1270">
        <f>+N8</f>
        <v>2016</v>
      </c>
      <c r="AC4" s="1271" t="e">
        <f ca="1">+SUM('GPC Linked'!T13:T42)</f>
        <v>#NAME?</v>
      </c>
      <c r="AD4" s="1271">
        <f>+SUM('Capital IQ Sheet-GPC'!T13:T42)</f>
        <v>167.56095999999999</v>
      </c>
      <c r="AE4" s="897" t="e">
        <f ca="1">AC4=AD4</f>
        <v>#NAME?</v>
      </c>
      <c r="AK4" s="1153" t="s">
        <v>490</v>
      </c>
      <c r="AL4" s="1269" t="s">
        <v>492</v>
      </c>
    </row>
    <row r="5" spans="2:38" ht="14.85" customHeight="1" thickTop="1">
      <c r="B5" s="1229"/>
      <c r="C5" s="1229"/>
      <c r="AK5" s="518" t="s">
        <v>89</v>
      </c>
      <c r="AL5" s="1272" t="s">
        <v>90</v>
      </c>
    </row>
    <row r="6" spans="2:38" ht="14.85" customHeight="1">
      <c r="H6" s="1273" t="s">
        <v>344</v>
      </c>
      <c r="I6" s="1274"/>
      <c r="J6" s="829"/>
      <c r="L6" s="1273" t="s">
        <v>344</v>
      </c>
      <c r="M6" s="1275"/>
      <c r="N6" s="1273" t="s">
        <v>344</v>
      </c>
      <c r="O6" s="1275"/>
      <c r="P6" s="1276"/>
      <c r="R6" s="1277" t="s">
        <v>344</v>
      </c>
      <c r="S6" s="1278"/>
      <c r="T6" s="1279"/>
      <c r="U6" s="639"/>
      <c r="V6" s="1277" t="s">
        <v>344</v>
      </c>
      <c r="W6" s="1280"/>
      <c r="X6" s="1273" t="s">
        <v>344</v>
      </c>
      <c r="Y6" s="1275"/>
      <c r="Z6" s="1276"/>
      <c r="AB6" s="1281" t="s">
        <v>1137</v>
      </c>
      <c r="AC6" s="1282">
        <v>100</v>
      </c>
      <c r="AD6" s="1281" t="s">
        <v>1138</v>
      </c>
      <c r="AE6" s="1282">
        <v>0</v>
      </c>
    </row>
    <row r="7" spans="2:38" ht="14.85" customHeight="1">
      <c r="H7" s="1283" t="s">
        <v>795</v>
      </c>
      <c r="I7" s="1283"/>
      <c r="J7" s="1284" t="s">
        <v>794</v>
      </c>
      <c r="K7" s="1055"/>
      <c r="L7" s="1283" t="s">
        <v>793</v>
      </c>
      <c r="M7" s="1050"/>
      <c r="N7" s="1283" t="s">
        <v>793</v>
      </c>
      <c r="O7" s="1050"/>
      <c r="P7" s="1051"/>
      <c r="R7" s="1283" t="s">
        <v>345</v>
      </c>
      <c r="S7" s="1050"/>
      <c r="T7" s="1284" t="s">
        <v>345</v>
      </c>
      <c r="U7" s="1055"/>
      <c r="V7" s="1283" t="s">
        <v>345</v>
      </c>
      <c r="W7" s="1050"/>
      <c r="X7" s="1283" t="s">
        <v>345</v>
      </c>
      <c r="Y7" s="1050"/>
      <c r="Z7" s="1051"/>
      <c r="AB7" s="1239" t="s">
        <v>91</v>
      </c>
      <c r="AC7" s="1240"/>
      <c r="AD7" s="1240"/>
      <c r="AE7" s="1240"/>
      <c r="AF7" s="1240"/>
      <c r="AG7" s="1285"/>
      <c r="AH7" s="1240"/>
      <c r="AI7" s="1241"/>
    </row>
    <row r="8" spans="2:38" s="272" customFormat="1" ht="14.85" customHeight="1">
      <c r="B8" s="1286" t="s">
        <v>815</v>
      </c>
      <c r="C8" s="1166" t="s">
        <v>153</v>
      </c>
      <c r="D8" s="347"/>
      <c r="E8" s="1287" t="s">
        <v>2531</v>
      </c>
      <c r="F8" s="1288" t="s">
        <v>2532</v>
      </c>
      <c r="G8" s="347"/>
      <c r="H8" s="1289" t="s">
        <v>366</v>
      </c>
      <c r="I8" s="1290" t="s">
        <v>342</v>
      </c>
      <c r="J8" s="1291" t="s">
        <v>343</v>
      </c>
      <c r="K8" s="1292"/>
      <c r="L8" s="1293">
        <f>M8-1</f>
        <v>2014</v>
      </c>
      <c r="M8" s="1294">
        <f>N8-1</f>
        <v>2015</v>
      </c>
      <c r="N8" s="1295">
        <f>YEAR($AL$2)</f>
        <v>2016</v>
      </c>
      <c r="O8" s="1296">
        <f>N8+1</f>
        <v>2017</v>
      </c>
      <c r="P8" s="1297">
        <f>O8+1</f>
        <v>2018</v>
      </c>
      <c r="Q8" s="347"/>
      <c r="R8" s="1289" t="str">
        <f>H8</f>
        <v>LTM-2</v>
      </c>
      <c r="S8" s="1290" t="str">
        <f>I8</f>
        <v>LTM-1</v>
      </c>
      <c r="T8" s="1291" t="str">
        <f>J8</f>
        <v>LTM</v>
      </c>
      <c r="U8" s="1292"/>
      <c r="V8" s="1295">
        <f>L8</f>
        <v>2014</v>
      </c>
      <c r="W8" s="1294">
        <f>M8</f>
        <v>2015</v>
      </c>
      <c r="X8" s="1295">
        <f>N8</f>
        <v>2016</v>
      </c>
      <c r="Y8" s="1296">
        <f>O8</f>
        <v>2017</v>
      </c>
      <c r="Z8" s="1297">
        <f>P8</f>
        <v>2018</v>
      </c>
      <c r="AB8" s="1298" t="s">
        <v>94</v>
      </c>
      <c r="AC8" s="1299" t="s">
        <v>95</v>
      </c>
      <c r="AD8" s="1299" t="s">
        <v>96</v>
      </c>
      <c r="AE8" s="1299" t="s">
        <v>97</v>
      </c>
      <c r="AF8" s="1299" t="s">
        <v>98</v>
      </c>
      <c r="AG8" s="1300" t="s">
        <v>99</v>
      </c>
      <c r="AH8" s="1299" t="s">
        <v>100</v>
      </c>
      <c r="AI8" s="1301" t="s">
        <v>101</v>
      </c>
      <c r="AK8" s="1170" t="s">
        <v>108</v>
      </c>
    </row>
    <row r="9" spans="2:38" ht="14.85" customHeight="1">
      <c r="H9" s="467"/>
      <c r="I9" s="467"/>
      <c r="J9" s="467"/>
      <c r="K9" s="467"/>
      <c r="L9" s="467"/>
      <c r="M9" s="467"/>
      <c r="N9" s="467"/>
      <c r="O9" s="467"/>
      <c r="P9" s="467"/>
      <c r="U9" s="639"/>
    </row>
    <row r="10" spans="2:38" ht="14.85" customHeight="1">
      <c r="B10" s="1302" t="s">
        <v>493</v>
      </c>
      <c r="C10" s="723"/>
      <c r="D10" s="723"/>
      <c r="E10" s="723"/>
      <c r="F10" s="723"/>
      <c r="G10" s="723"/>
      <c r="H10" s="723"/>
      <c r="I10" s="723"/>
      <c r="J10" s="723"/>
      <c r="K10" s="723"/>
      <c r="L10" s="723"/>
      <c r="M10" s="723"/>
      <c r="N10" s="723"/>
      <c r="O10" s="723"/>
      <c r="P10" s="723"/>
      <c r="Q10" s="1180"/>
      <c r="R10" s="723"/>
      <c r="S10" s="723"/>
      <c r="T10" s="723"/>
      <c r="U10" s="723"/>
      <c r="V10" s="723"/>
      <c r="W10" s="723"/>
      <c r="X10" s="723"/>
      <c r="Y10" s="723"/>
      <c r="Z10" s="723"/>
      <c r="AK10" s="1179"/>
    </row>
    <row r="11" spans="2:38" s="1180" customFormat="1" ht="14.85" customHeight="1">
      <c r="B11" s="723"/>
      <c r="C11" s="723"/>
      <c r="D11" s="723"/>
      <c r="E11" s="723"/>
      <c r="F11" s="723"/>
      <c r="G11" s="723"/>
      <c r="H11" s="723"/>
      <c r="I11" s="723"/>
      <c r="J11" s="723"/>
      <c r="K11" s="723"/>
      <c r="L11" s="723"/>
      <c r="M11" s="723"/>
      <c r="N11" s="723"/>
      <c r="O11" s="723"/>
      <c r="P11" s="723"/>
      <c r="R11" s="723"/>
      <c r="S11" s="723"/>
      <c r="T11" s="723"/>
      <c r="U11" s="723"/>
      <c r="V11" s="723"/>
      <c r="W11" s="723"/>
      <c r="X11" s="723"/>
      <c r="Y11" s="723"/>
      <c r="Z11" s="723"/>
      <c r="AB11" s="250"/>
      <c r="AC11" s="250"/>
      <c r="AD11" s="250"/>
      <c r="AE11" s="250"/>
      <c r="AF11" s="250"/>
      <c r="AG11" s="359"/>
      <c r="AH11" s="250"/>
      <c r="AI11" s="250"/>
    </row>
    <row r="12" spans="2:38" ht="14.85" customHeight="1">
      <c r="B12" s="250" t="str">
        <f>'Capital IQ Sheet-GPC'!C13</f>
        <v>Spark Therapeutics, Inc.</v>
      </c>
      <c r="C12" s="759">
        <f>'Beta Calc'!R10</f>
        <v>1387.752</v>
      </c>
      <c r="H12" s="759">
        <f>'Capital IQ Sheet-GPC'!O13</f>
        <v>0.02</v>
      </c>
      <c r="I12" s="759">
        <f>'Capital IQ Sheet-GPC'!P13</f>
        <v>5.4798200000000001</v>
      </c>
      <c r="J12" s="759">
        <f>'Capital IQ Sheet-GPC'!Q13</f>
        <v>21.077839999999998</v>
      </c>
      <c r="K12" s="331"/>
      <c r="L12" s="759">
        <f>'Capital IQ Sheet-GPC'!R13</f>
        <v>0.63392999999999999</v>
      </c>
      <c r="M12" s="759">
        <f>'Capital IQ Sheet-GPC'!S13</f>
        <v>22.063669999999998</v>
      </c>
      <c r="N12" s="759">
        <f>'Capital IQ Sheet-GPC'!T13</f>
        <v>5.1977599999999997</v>
      </c>
      <c r="O12" s="759">
        <f>'Capital IQ Sheet-GPC'!U13</f>
        <v>15.26943</v>
      </c>
      <c r="P12" s="759">
        <f>'Capital IQ Sheet-GPC'!V13</f>
        <v>163.61997</v>
      </c>
      <c r="R12" s="1174">
        <f>IF(ISERROR($C12/H12), "n/a", $C12/H12)</f>
        <v>69387.599999999991</v>
      </c>
      <c r="S12" s="1174">
        <f>IF(ISERROR($C12/I12), "n/a", $C12/I12)</f>
        <v>253.24773441463404</v>
      </c>
      <c r="T12" s="1174">
        <f>IFERROR(IF(($C12/J12)&gt;$AC$6, "NM", IF(($C12/J12)&lt;$AE$6, "NM", $C12/J12)),"n/a")</f>
        <v>65.839383921692175</v>
      </c>
      <c r="V12" s="1174" t="str">
        <f>IFERROR(IF(($C12/L12)&gt;$AC$6, "NM", IF(($C12/L12)&lt;$AE$6, "NM", $C12/L12)),"n/a")</f>
        <v>NM</v>
      </c>
      <c r="W12" s="1174">
        <f>IFERROR(IF(($C12/M12)&gt;$AC$6, "NM", IF(($C12/M12)&lt;$AE$6, "NM", $C12/M12)),"n/a")</f>
        <v>62.897604976869218</v>
      </c>
      <c r="X12" s="1174" t="str">
        <f>IFERROR(IF(($C12/N12)&gt;$AC$6, "NM", IF(($C12/N12)&lt;$AE$6, "NM", $C12/N12)),"n/a")</f>
        <v>NM</v>
      </c>
      <c r="Y12" s="1174">
        <f>IFERROR(IF(($C12/O12)&gt;$AC$6, "NM", IF(($C12/O12)&lt;$AE$6, "NM", $C12/O12)),"n/a")</f>
        <v>90.884335564588852</v>
      </c>
      <c r="Z12" s="1174">
        <f>IFERROR(IF(($C12/P12)&gt;$AC$6, "NM", IF(($C12/P12)&lt;$AE$6, "NM", $C12/P12)),"n/a")</f>
        <v>8.4815563772563944</v>
      </c>
      <c r="AB12" s="331">
        <f>'Beta Calc'!K10</f>
        <v>1692.82537</v>
      </c>
      <c r="AC12" s="331">
        <f>'Beta Calc'!L10</f>
        <v>1.57541</v>
      </c>
      <c r="AD12" s="331">
        <f>'Beta Calc'!M10</f>
        <v>0</v>
      </c>
      <c r="AE12" s="331">
        <f>'Beta Calc'!N10</f>
        <v>0</v>
      </c>
      <c r="AF12" s="331">
        <f>SUM(AC12:AE12)</f>
        <v>1.57541</v>
      </c>
      <c r="AG12" s="1303">
        <f>SUM(AB12:AE12)</f>
        <v>1694.4007799999999</v>
      </c>
      <c r="AH12" s="331">
        <f>'Beta Calc'!Q10</f>
        <v>306.64877999999999</v>
      </c>
      <c r="AI12" s="759">
        <f>IF(ISERROR(AG12-AH12), "n/a", AG12-AH12)</f>
        <v>1387.752</v>
      </c>
      <c r="AK12" s="1177" t="str">
        <f>IF('MASTER PubCo Inputs'!C28="","",'MASTER PubCo Inputs'!C28)</f>
        <v>IQ249341857</v>
      </c>
      <c r="AL12" s="250" t="str">
        <f>'Capital IQ Sheet-GPC'!AP13</f>
        <v>Spark Therapeutics, Inc. focuses on the development of gene therapy products for patients suffering from debilitating genetic diseases. Its products include voretigene neparvovec, which is in Phase III clinical trial for the treatment of genetic blinding conditions called inherited retinal diseases caused by non sex-linked, autosomal recessive, or biallelic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a form of Batten disease and Huntington's disease; RhoNova for the treatment of rhodopsin-linked autosomal dominant retinitis pigmentosa; and SPK-LHON for treating Leber hereditary optic neuropathy, as well as preclinical programs in development for the treatment of rare genetic blinding conditions, hematologic disorders,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3" spans="2:38" ht="14.85" customHeight="1">
      <c r="B13" s="250" t="str">
        <f>'Capital IQ Sheet-GPC'!C14</f>
        <v>CRISPR Therapeutics AG</v>
      </c>
      <c r="C13" s="759">
        <f>'Beta Calc'!R11</f>
        <v>825.52904000000012</v>
      </c>
      <c r="H13" s="759">
        <f>'Capital IQ Sheet-GPC'!O14</f>
        <v>0</v>
      </c>
      <c r="I13" s="759">
        <f>'Capital IQ Sheet-GPC'!P14</f>
        <v>0</v>
      </c>
      <c r="J13" s="759">
        <f>'Capital IQ Sheet-GPC'!Q14</f>
        <v>3.0670000000000002</v>
      </c>
      <c r="K13" s="331"/>
      <c r="L13" s="759">
        <f>'Capital IQ Sheet-GPC'!R14</f>
        <v>0</v>
      </c>
      <c r="M13" s="759">
        <f>'Capital IQ Sheet-GPC'!S14</f>
        <v>0.247</v>
      </c>
      <c r="N13" s="759">
        <f>'Capital IQ Sheet-GPC'!T14</f>
        <v>4.0599999999999996</v>
      </c>
      <c r="O13" s="759">
        <f>'Capital IQ Sheet-GPC'!U14</f>
        <v>9.8339999999999996</v>
      </c>
      <c r="P13" s="759">
        <f>'Capital IQ Sheet-GPC'!V14</f>
        <v>11.1845</v>
      </c>
      <c r="R13" s="1174" t="str">
        <f t="shared" ref="R13:R41" si="0">IF(ISERROR($C13/H13), "n/a", $C13/H13)</f>
        <v>n/a</v>
      </c>
      <c r="S13" s="1174" t="str">
        <f t="shared" ref="S13:S41" si="1">IF(ISERROR($C13/I13), "n/a", $C13/I13)</f>
        <v>n/a</v>
      </c>
      <c r="T13" s="1174" t="str">
        <f t="shared" ref="T13:T41" si="2">IFERROR(IF(($C13/J13)&gt;$AC$6, "NM", IF(($C13/J13)&lt;$AE$6, "NM", $C13/J13)),"n/a")</f>
        <v>NM</v>
      </c>
      <c r="V13" s="1174" t="str">
        <f t="shared" ref="V13:V27" si="3">IFERROR(IF(($C13/L13)&gt;$AC$6, "NM", IF(($C13/L13)&lt;$AE$6, "NM", $C13/L13)),"n/a")</f>
        <v>n/a</v>
      </c>
      <c r="W13" s="1174" t="str">
        <f t="shared" ref="W13:W27" si="4">IFERROR(IF(($C13/M13)&gt;$AC$6, "NM", IF(($C13/M13)&lt;$AE$6, "NM", $C13/M13)),"n/a")</f>
        <v>NM</v>
      </c>
      <c r="X13" s="1174" t="str">
        <f t="shared" ref="X13:X41" si="5">IFERROR(IF(($C13/N13)&gt;$AC$6, "NM", IF(($C13/N13)&lt;$AE$6, "NM", $C13/N13)),"n/a")</f>
        <v>NM</v>
      </c>
      <c r="Y13" s="1174">
        <f t="shared" ref="Y13:Y41" si="6">IFERROR(IF(($C13/O13)&gt;$AC$6, "NM", IF(($C13/O13)&lt;$AE$6, "NM", $C13/O13)),"n/a")</f>
        <v>83.94641448037423</v>
      </c>
      <c r="Z13" s="1174">
        <f t="shared" ref="Z13:Z41" si="7">IFERROR(IF(($C13/P13)&gt;$AC$6, "NM", IF(($C13/P13)&lt;$AE$6, "NM", $C13/P13)),"n/a")</f>
        <v>73.810097903348392</v>
      </c>
      <c r="AB13" s="331">
        <f>'Beta Calc'!K11</f>
        <v>868.62804000000006</v>
      </c>
      <c r="AC13" s="331">
        <f>'Beta Calc'!L11</f>
        <v>0</v>
      </c>
      <c r="AD13" s="331">
        <f>'Beta Calc'!M11</f>
        <v>185.565</v>
      </c>
      <c r="AE13" s="331">
        <f>'Beta Calc'!N11</f>
        <v>-5.0999999999999997E-2</v>
      </c>
      <c r="AF13" s="331">
        <f t="shared" ref="AF13:AF41" si="8">SUM(AC13:AE13)</f>
        <v>185.51400000000001</v>
      </c>
      <c r="AG13" s="1303">
        <f t="shared" ref="AG13:AG41" si="9">SUM(AB13:AE13)</f>
        <v>1054.1420400000002</v>
      </c>
      <c r="AH13" s="331">
        <f>'Beta Calc'!Q11</f>
        <v>228.613</v>
      </c>
      <c r="AI13" s="759">
        <f t="shared" ref="AI13:AI41" si="10">IF(ISERROR(AG13-AH13), "n/a", AG13-AH13)</f>
        <v>825.52904000000012</v>
      </c>
      <c r="AK13" s="1177" t="str">
        <f>IF('MASTER PubCo Inputs'!C29="","",'MASTER PubCo Inputs'!C29)</f>
        <v>IQ262549448</v>
      </c>
      <c r="AL13" s="250" t="str">
        <f>'Capital IQ Sheet-GPC'!AP14</f>
        <v>CRISPR Therapeutics AG, a gene editing company, focuses on developing transformative gene-based medicines for the treatment of serious human diseases using its proprietary clustered, regularly interspaced short palindromic repeats associated protein-9 (CRISPR/Cas9 )gene-editing platform in Switzerland. The CRISPR/Cas9 technology allows for changes to genomic DNA. It has a collaboration agreement with Vertex Pharmaceuticals, Incorporated to develop, manufacture, commercialize, sell, and use therapeutics; and license agreement with Anagenesis Biotechnologies SAS. CRISPR Therapeutics AG is headquartered in Basel, Switzerland.</v>
      </c>
    </row>
    <row r="14" spans="2:38" ht="14.85" customHeight="1">
      <c r="B14" s="250" t="str">
        <f>'Capital IQ Sheet-GPC'!C15</f>
        <v>WAVE Life Sciences Ltd.</v>
      </c>
      <c r="C14" s="759">
        <f>'Beta Calc'!R12</f>
        <v>674.67870000000005</v>
      </c>
      <c r="H14" s="759">
        <f>'Capital IQ Sheet-GPC'!O15</f>
        <v>0</v>
      </c>
      <c r="I14" s="759">
        <f>'Capital IQ Sheet-GPC'!P15</f>
        <v>0.152</v>
      </c>
      <c r="J14" s="759">
        <f>'Capital IQ Sheet-GPC'!Q15</f>
        <v>0.80900000000000005</v>
      </c>
      <c r="K14" s="331"/>
      <c r="L14" s="759">
        <f>'Capital IQ Sheet-GPC'!R15</f>
        <v>0</v>
      </c>
      <c r="M14" s="759">
        <f>'Capital IQ Sheet-GPC'!S15</f>
        <v>0.152</v>
      </c>
      <c r="N14" s="759">
        <f>'Capital IQ Sheet-GPC'!T15</f>
        <v>1.0029999999999999</v>
      </c>
      <c r="O14" s="759">
        <f>'Capital IQ Sheet-GPC'!U15</f>
        <v>2.5</v>
      </c>
      <c r="P14" s="759">
        <f>'Capital IQ Sheet-GPC'!V15</f>
        <v>6.6666699999999999</v>
      </c>
      <c r="R14" s="1174" t="str">
        <f t="shared" si="0"/>
        <v>n/a</v>
      </c>
      <c r="S14" s="1174">
        <f t="shared" si="1"/>
        <v>4438.675657894737</v>
      </c>
      <c r="T14" s="1174" t="str">
        <f t="shared" si="2"/>
        <v>NM</v>
      </c>
      <c r="V14" s="1174" t="str">
        <f t="shared" si="3"/>
        <v>n/a</v>
      </c>
      <c r="W14" s="1174" t="str">
        <f t="shared" si="4"/>
        <v>NM</v>
      </c>
      <c r="X14" s="1174" t="str">
        <f t="shared" si="5"/>
        <v>NM</v>
      </c>
      <c r="Y14" s="1174" t="str">
        <f t="shared" si="6"/>
        <v>NM</v>
      </c>
      <c r="Z14" s="1174" t="str">
        <f t="shared" si="7"/>
        <v>NM</v>
      </c>
      <c r="AB14" s="331">
        <f>'Beta Calc'!K12</f>
        <v>835.72670000000005</v>
      </c>
      <c r="AC14" s="331">
        <f>'Beta Calc'!L12</f>
        <v>9.2999999999999999E-2</v>
      </c>
      <c r="AD14" s="331">
        <f>'Beta Calc'!M12</f>
        <v>7.8739999999999997</v>
      </c>
      <c r="AE14" s="331">
        <f>'Beta Calc'!N12</f>
        <v>0</v>
      </c>
      <c r="AF14" s="331">
        <f t="shared" si="8"/>
        <v>7.9669999999999996</v>
      </c>
      <c r="AG14" s="1303">
        <f t="shared" si="9"/>
        <v>843.69370000000004</v>
      </c>
      <c r="AH14" s="331">
        <f>'Beta Calc'!Q12</f>
        <v>169.01499999999999</v>
      </c>
      <c r="AI14" s="759">
        <f t="shared" si="10"/>
        <v>674.67870000000005</v>
      </c>
      <c r="AK14" s="1177" t="str">
        <f>IF('MASTER PubCo Inputs'!C30="","",'MASTER PubCo Inputs'!C30)</f>
        <v>IQ256557334</v>
      </c>
      <c r="AL14" s="250" t="str">
        <f>'Capital IQ Sheet-GPC'!AP15</f>
        <v>WAVE Life Sciences Ltd., a genetic medicines company, designs, develops, and commercializes nucleic acid therapeutic candidates for genetically defined diseases by utilizing proprietary synthetic chemistry drug development platform. The company is primarily developing oligonucleotides that target genetic defects to either reduce the expression of disease-promoting proteins or transform the production of dysfunctional mutant proteins into the production of functional proteins. It focuses on proprietary programs in neurology in the central nervous system and neuromuscular system. The company has a research, license, and option agreement with Pfizer Inc. for the discovery, development, and commercialization of stereopure oligonucleotide therapeutics. WAVE Life Sciences Ltd. was founded in 2012 and is based in Cambridge, Massachusetts.</v>
      </c>
    </row>
    <row r="15" spans="2:38" ht="14.85" customHeight="1">
      <c r="B15" s="250" t="str">
        <f>'Capital IQ Sheet-GPC'!C16</f>
        <v>Regenxbio Inc.</v>
      </c>
      <c r="C15" s="759">
        <f>'Beta Calc'!R13</f>
        <v>497.30718000000002</v>
      </c>
      <c r="H15" s="759">
        <f>'Capital IQ Sheet-GPC'!O16</f>
        <v>6.0869999999999997</v>
      </c>
      <c r="I15" s="759">
        <f>'Capital IQ Sheet-GPC'!P16</f>
        <v>4.2880000000000003</v>
      </c>
      <c r="J15" s="759">
        <f>'Capital IQ Sheet-GPC'!Q16</f>
        <v>7.3410000000000002</v>
      </c>
      <c r="K15" s="331"/>
      <c r="L15" s="759">
        <f>'Capital IQ Sheet-GPC'!R16</f>
        <v>6.12</v>
      </c>
      <c r="M15" s="759">
        <f>'Capital IQ Sheet-GPC'!S16</f>
        <v>7.5880000000000001</v>
      </c>
      <c r="N15" s="759">
        <f>'Capital IQ Sheet-GPC'!T16</f>
        <v>3.71333</v>
      </c>
      <c r="O15" s="759">
        <f>'Capital IQ Sheet-GPC'!U16</f>
        <v>8</v>
      </c>
      <c r="P15" s="759">
        <f>'Capital IQ Sheet-GPC'!V16</f>
        <v>10</v>
      </c>
      <c r="R15" s="1174">
        <f t="shared" si="0"/>
        <v>81.699881715130616</v>
      </c>
      <c r="S15" s="1174">
        <f t="shared" si="1"/>
        <v>115.97648787313433</v>
      </c>
      <c r="T15" s="1174">
        <f t="shared" si="2"/>
        <v>67.743792398855746</v>
      </c>
      <c r="V15" s="1174">
        <f t="shared" si="3"/>
        <v>81.259343137254902</v>
      </c>
      <c r="W15" s="1174">
        <f t="shared" si="4"/>
        <v>65.53863732208751</v>
      </c>
      <c r="X15" s="1174" t="str">
        <f t="shared" si="5"/>
        <v>NM</v>
      </c>
      <c r="Y15" s="1174">
        <f t="shared" si="6"/>
        <v>62.163397500000002</v>
      </c>
      <c r="Z15" s="1174">
        <f t="shared" si="7"/>
        <v>49.730718000000003</v>
      </c>
      <c r="AB15" s="331">
        <f>'Beta Calc'!K13</f>
        <v>589.07718</v>
      </c>
      <c r="AC15" s="331">
        <f>'Beta Calc'!L13</f>
        <v>0</v>
      </c>
      <c r="AD15" s="331">
        <f>'Beta Calc'!M13</f>
        <v>0</v>
      </c>
      <c r="AE15" s="331">
        <f>'Beta Calc'!N13</f>
        <v>0</v>
      </c>
      <c r="AF15" s="331">
        <f t="shared" si="8"/>
        <v>0</v>
      </c>
      <c r="AG15" s="1303">
        <f t="shared" si="9"/>
        <v>589.07718</v>
      </c>
      <c r="AH15" s="331">
        <f>'Beta Calc'!Q13</f>
        <v>91.77</v>
      </c>
      <c r="AI15" s="759">
        <f t="shared" si="10"/>
        <v>497.30718000000002</v>
      </c>
      <c r="AK15" s="1177" t="str">
        <f>IF('MASTER PubCo Inputs'!C31="","",'MASTER PubCo Inputs'!C31)</f>
        <v>IQ130641748</v>
      </c>
      <c r="AL15" s="250" t="str">
        <f>'Capital IQ Sheet-GPC'!AP16</f>
        <v>REGENXBIO Inc., a clinical-stage biotechnology company, provides gene therapy product candidates to deliver genes to cells to address genetic defects or to enable cells in the body to produce therapeutic proteins that are intended to impact disease. Its gene therapy product candidates are based on NAV Technology Platform, a proprietary adeno-associated virus (AAV) gene delivery platform. The company’s lead product candidate is RGX-314 for the treatment of wet age-related macular degeneration. It is also developing RGX-501, a product candidate for the treatment of homozygous familial hypercholesterolemia, which uses the AAV8 vector to deliver the human low-density lipoprotein receptor gene to liver cells; and RGX-111, a product candidate to treat the neurological symptoms of Mucopolysaccharidosis Type I that uses the AAV9 vector to deliver the human a-l-iduronidase gene to the central nervous system (CNS). In addition, the company engages in the development of RGX-121, a product candidate for the treatment of Mucopolysaccharidosis Type II, which uses the AAV9 vector to deliver the human iduronate-2-sulfatase gene to the CNS. Further, it licenses its NAV vectors to various other biotechnology companies. The company was formerly known as REGENX Biosciences, LLC and changed its name to REGENXBIO Inc. in September 2014. REGENXBIO Inc. was founded in 2008 and is headquartered in Rockville, Maryland.</v>
      </c>
    </row>
    <row r="16" spans="2:38" ht="14.85" customHeight="1">
      <c r="B16" s="250" t="str">
        <f>'Capital IQ Sheet-GPC'!C17</f>
        <v>Inovio Pharmaceuticals, Inc.</v>
      </c>
      <c r="C16" s="759">
        <f>'Beta Calc'!R14</f>
        <v>404.75847000000005</v>
      </c>
      <c r="H16" s="759">
        <f>'Capital IQ Sheet-GPC'!O17</f>
        <v>9.7393199999999993</v>
      </c>
      <c r="I16" s="759">
        <f>'Capital IQ Sheet-GPC'!P17</f>
        <v>37.09366</v>
      </c>
      <c r="J16" s="759">
        <f>'Capital IQ Sheet-GPC'!Q17</f>
        <v>32.789969999999997</v>
      </c>
      <c r="K16" s="331"/>
      <c r="L16" s="759">
        <f>'Capital IQ Sheet-GPC'!R17</f>
        <v>10.456770000000001</v>
      </c>
      <c r="M16" s="759">
        <f>'Capital IQ Sheet-GPC'!S17</f>
        <v>40.572110000000002</v>
      </c>
      <c r="N16" s="759">
        <f>'Capital IQ Sheet-GPC'!T17</f>
        <v>32.808399999999999</v>
      </c>
      <c r="O16" s="759">
        <f>'Capital IQ Sheet-GPC'!U17</f>
        <v>27.338999999999999</v>
      </c>
      <c r="P16" s="759">
        <f>'Capital IQ Sheet-GPC'!V17</f>
        <v>27.245329999999999</v>
      </c>
      <c r="R16" s="1174">
        <f t="shared" si="0"/>
        <v>41.559212552827105</v>
      </c>
      <c r="S16" s="1174">
        <f t="shared" si="1"/>
        <v>10.911796517248501</v>
      </c>
      <c r="T16" s="1174">
        <f t="shared" si="2"/>
        <v>12.343971952398862</v>
      </c>
      <c r="V16" s="1174">
        <f t="shared" si="3"/>
        <v>38.707791220424667</v>
      </c>
      <c r="W16" s="1174">
        <f t="shared" si="4"/>
        <v>9.9762736027285737</v>
      </c>
      <c r="X16" s="1174">
        <f t="shared" si="5"/>
        <v>12.337037770814794</v>
      </c>
      <c r="Y16" s="1174">
        <f t="shared" si="6"/>
        <v>14.805167343355649</v>
      </c>
      <c r="Z16" s="1174">
        <f t="shared" si="7"/>
        <v>14.856067810520191</v>
      </c>
      <c r="AB16" s="331">
        <f>'Beta Calc'!K14</f>
        <v>524.34855000000005</v>
      </c>
      <c r="AC16" s="331">
        <f>'Beta Calc'!L14</f>
        <v>0</v>
      </c>
      <c r="AD16" s="331">
        <f>'Beta Calc'!M14</f>
        <v>0</v>
      </c>
      <c r="AE16" s="331">
        <f>'Beta Calc'!N14</f>
        <v>9.6269999999999994E-2</v>
      </c>
      <c r="AF16" s="331">
        <f t="shared" si="8"/>
        <v>9.6269999999999994E-2</v>
      </c>
      <c r="AG16" s="1303">
        <f t="shared" si="9"/>
        <v>524.44482000000005</v>
      </c>
      <c r="AH16" s="331">
        <f>'Beta Calc'!Q14</f>
        <v>119.68635</v>
      </c>
      <c r="AI16" s="759">
        <f t="shared" si="10"/>
        <v>404.75847000000005</v>
      </c>
      <c r="AK16" s="1177" t="str">
        <f>IF('MASTER PubCo Inputs'!C32="","",'MASTER PubCo Inputs'!C32)</f>
        <v>IQ28922</v>
      </c>
      <c r="AL16" s="250" t="str">
        <f>'Capital IQ Sheet-GPC'!AP17</f>
        <v>Inovio Pharmaceuticals, Inc., a clinical stage biopharmaceutical company, develops active DNA immunotherapies and vaccines in combination with proprietary electroporation delivery devices to prevent and treat cancers and infectious diseases. Its SynCon immunotherapy design has the ability to break the immune system’s tolerance of cancerous cells; and SynCon product design is also intended to facilitate cross-strain protection against known, as well as new unmatched strains of pathogens, such as influenza. It has completed, current or planned clinical programs of its proprietary SynCon immunotherapies for HPV-caused pre-cancers and cancers, influenza, prostate cancer, breast/lung/pancreatic cancer, hepatitis C virus, hepatitis B virus, HIV, Ebola, Middle East Respiratory Syndrome, and Zika virus. The company’s partners and collaborators include MedImmune, LLC, the Wistar Institute, University of Pennsylvania, Defense Advanced Research Projects Agency, GeneOne Life Science, Plumbline Life Sciences, ApolloBio Corporation, Drexel University, the National Institutes of Health, HIV Vaccines Trial Network, National Cancer Institute, and U.S. Military HIV Research Program. Inovio Pharmaceuticals, Inc. was founded in 1979 and is headquartered in Plymouth Meeting, Pennsylvania.</v>
      </c>
    </row>
    <row r="17" spans="2:38" ht="14.85" customHeight="1">
      <c r="B17" s="250" t="str">
        <f>'Capital IQ Sheet-GPC'!C18</f>
        <v>Enanta Pharmaceuticals, Inc.</v>
      </c>
      <c r="C17" s="759">
        <f>'Beta Calc'!R15</f>
        <v>381.96800999999994</v>
      </c>
      <c r="H17" s="759">
        <f>'Capital IQ Sheet-GPC'!O18</f>
        <v>46.453000000000003</v>
      </c>
      <c r="I17" s="759">
        <f>'Capital IQ Sheet-GPC'!P18</f>
        <v>149.101</v>
      </c>
      <c r="J17" s="759">
        <f>'Capital IQ Sheet-GPC'!Q18</f>
        <v>89.843000000000004</v>
      </c>
      <c r="K17" s="331"/>
      <c r="L17" s="759">
        <f>'Capital IQ Sheet-GPC'!R18</f>
        <v>124.346</v>
      </c>
      <c r="M17" s="759">
        <f>'Capital IQ Sheet-GPC'!S18</f>
        <v>131.827</v>
      </c>
      <c r="N17" s="759">
        <f>'Capital IQ Sheet-GPC'!T18</f>
        <v>52.526000000000003</v>
      </c>
      <c r="O17" s="759" t="str">
        <f>'Capital IQ Sheet-GPC'!U18</f>
        <v>n/a</v>
      </c>
      <c r="P17" s="759" t="str">
        <f>'Capital IQ Sheet-GPC'!V18</f>
        <v>n/a</v>
      </c>
      <c r="R17" s="1174">
        <f t="shared" si="0"/>
        <v>8.2226768992314785</v>
      </c>
      <c r="S17" s="1174">
        <f t="shared" si="1"/>
        <v>2.5618071642711984</v>
      </c>
      <c r="T17" s="1174">
        <f t="shared" si="2"/>
        <v>4.2515055151764738</v>
      </c>
      <c r="V17" s="1174">
        <f t="shared" si="3"/>
        <v>3.0718158203721866</v>
      </c>
      <c r="W17" s="1174">
        <f t="shared" si="4"/>
        <v>2.8974945193321546</v>
      </c>
      <c r="X17" s="1174">
        <f t="shared" si="5"/>
        <v>7.2719797814415701</v>
      </c>
      <c r="Y17" s="1174" t="str">
        <f t="shared" si="6"/>
        <v>n/a</v>
      </c>
      <c r="Z17" s="1174" t="str">
        <f t="shared" si="7"/>
        <v>n/a</v>
      </c>
      <c r="AB17" s="331">
        <f>'Beta Calc'!K15</f>
        <v>598.48901000000001</v>
      </c>
      <c r="AC17" s="331">
        <f>'Beta Calc'!L15</f>
        <v>0.70699999999999996</v>
      </c>
      <c r="AD17" s="331">
        <f>'Beta Calc'!M15</f>
        <v>1.2370000000000001</v>
      </c>
      <c r="AE17" s="331">
        <f>'Beta Calc'!N15</f>
        <v>0</v>
      </c>
      <c r="AF17" s="331">
        <f t="shared" si="8"/>
        <v>1.944</v>
      </c>
      <c r="AG17" s="1303">
        <f t="shared" si="9"/>
        <v>600.43300999999997</v>
      </c>
      <c r="AH17" s="331">
        <f>'Beta Calc'!Q15</f>
        <v>218.465</v>
      </c>
      <c r="AI17" s="759">
        <f t="shared" si="10"/>
        <v>381.96800999999994</v>
      </c>
      <c r="AK17" s="1177" t="str">
        <f>IF('MASTER PubCo Inputs'!C33="","",'MASTER PubCo Inputs'!C33)</f>
        <v>IQ345286</v>
      </c>
      <c r="AL17" s="250" t="str">
        <f>'Capital IQ Sheet-GPC'!AP18</f>
        <v>Enanta Pharmaceuticals, Inc., a research and development-focused biotechnology company focuses on discovering and developing small molecule drugs for the treatment of viral infections and liver diseases. The company’s research and development focuses on four disease targets: Hepatitis C virus (HCV), Hepatitis B virus (HBV), Non-alcoholic Steatohepatitis (NASH), and Respiratory Syncytial Virus (RSV). Its lead product is paritaprevir, a protease inhibitor designed for use against HCV. The company also develops HCV protease inhibitor in phase III development with AbbVie, as well as a HCV program using a different class of molecules known as cyclophilin inhibitors. In addition, it has a program in non-alcoholic steatohepatitis; and discovers programs in other areas of viral infection and liver disease. Enanta Pharmaceuticals, Inc. has a collaborative development and license agreement with AbbVie to develop and commercialize HCV NS3 and NS3/4A protease inhibitors. The company was founded in 1995 and is headquartered in Watertown, Massachusetts.</v>
      </c>
    </row>
    <row r="18" spans="2:38" ht="14.85" customHeight="1">
      <c r="B18" s="250" t="str">
        <f>'Capital IQ Sheet-GPC'!C19</f>
        <v>Editas Medicine, Inc.</v>
      </c>
      <c r="C18" s="759">
        <f>'Beta Calc'!R16</f>
        <v>340.68456999999989</v>
      </c>
      <c r="H18" s="759">
        <f>'Capital IQ Sheet-GPC'!O19</f>
        <v>0</v>
      </c>
      <c r="I18" s="759">
        <f>'Capital IQ Sheet-GPC'!P19</f>
        <v>0.83699999999999997</v>
      </c>
      <c r="J18" s="759">
        <f>'Capital IQ Sheet-GPC'!Q19</f>
        <v>5.9470000000000001</v>
      </c>
      <c r="K18" s="331"/>
      <c r="L18" s="759">
        <f>'Capital IQ Sheet-GPC'!R19</f>
        <v>0</v>
      </c>
      <c r="M18" s="759">
        <f>'Capital IQ Sheet-GPC'!S19</f>
        <v>1.629</v>
      </c>
      <c r="N18" s="759">
        <f>'Capital IQ Sheet-GPC'!T19</f>
        <v>6.7316000000000003</v>
      </c>
      <c r="O18" s="759">
        <f>'Capital IQ Sheet-GPC'!U19</f>
        <v>6.8207500000000003</v>
      </c>
      <c r="P18" s="759">
        <f>'Capital IQ Sheet-GPC'!V19</f>
        <v>6.9707499999999998</v>
      </c>
      <c r="R18" s="1174" t="str">
        <f t="shared" si="0"/>
        <v>n/a</v>
      </c>
      <c r="S18" s="1174">
        <f t="shared" si="1"/>
        <v>407.03054958183981</v>
      </c>
      <c r="T18" s="1174">
        <f t="shared" si="2"/>
        <v>57.286795022700502</v>
      </c>
      <c r="V18" s="1174" t="str">
        <f t="shared" si="3"/>
        <v>n/a</v>
      </c>
      <c r="W18" s="1174" t="str">
        <f t="shared" si="4"/>
        <v>NM</v>
      </c>
      <c r="X18" s="1174">
        <f t="shared" si="5"/>
        <v>50.609746568423539</v>
      </c>
      <c r="Y18" s="1174">
        <f t="shared" si="6"/>
        <v>49.948256423413831</v>
      </c>
      <c r="Z18" s="1174">
        <f t="shared" si="7"/>
        <v>48.873445468565059</v>
      </c>
      <c r="AB18" s="331">
        <f>'Beta Calc'!K16</f>
        <v>508.51056999999997</v>
      </c>
      <c r="AC18" s="331">
        <f>'Beta Calc'!L16</f>
        <v>32.048000000000002</v>
      </c>
      <c r="AD18" s="331">
        <f>'Beta Calc'!M16</f>
        <v>0</v>
      </c>
      <c r="AE18" s="331">
        <f>'Beta Calc'!N16</f>
        <v>0</v>
      </c>
      <c r="AF18" s="331">
        <f t="shared" si="8"/>
        <v>32.048000000000002</v>
      </c>
      <c r="AG18" s="1303">
        <f t="shared" si="9"/>
        <v>540.55856999999992</v>
      </c>
      <c r="AH18" s="331">
        <f>'Beta Calc'!Q16</f>
        <v>199.874</v>
      </c>
      <c r="AI18" s="759">
        <f t="shared" si="10"/>
        <v>340.68456999999989</v>
      </c>
      <c r="AK18" s="1177" t="str">
        <f>IF('MASTER PubCo Inputs'!C34="","",'MASTER PubCo Inputs'!C34)</f>
        <v>IQ252050056</v>
      </c>
      <c r="AL18" s="250" t="str">
        <f>'Capital IQ Sheet-GPC'!AP19</f>
        <v>Editas Medicine, Inc. operates as a genome editing company. It focuses on treating patients with genetically defined diseases by correcting their disease causing genes. It is developing a proprietary genome editing platform based on CRISPR technology to target genetically defined diseases with an initial focus on debilitating illnesses where there are no approved treatments. Editas Medicine, Inc. has a collaboration and license agreement with Juno Therapeutics, Inc. for the research and development of engineered T cells with chimeric antigen receptors and T cell receptors; and collaboration, option, and license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based in Cambridge, Massachusetts.</v>
      </c>
    </row>
    <row r="19" spans="2:38" ht="14.85" customHeight="1">
      <c r="B19" s="250" t="str">
        <f>'Capital IQ Sheet-GPC'!C20</f>
        <v>NantKwest, Inc.</v>
      </c>
      <c r="C19" s="759">
        <f>'Beta Calc'!R17</f>
        <v>337.18269999999995</v>
      </c>
      <c r="H19" s="759">
        <f>'Capital IQ Sheet-GPC'!O20</f>
        <v>0.6</v>
      </c>
      <c r="I19" s="759">
        <f>'Capital IQ Sheet-GPC'!P20</f>
        <v>0.32</v>
      </c>
      <c r="J19" s="759">
        <f>'Capital IQ Sheet-GPC'!Q20</f>
        <v>4.3999999999999997E-2</v>
      </c>
      <c r="K19" s="331"/>
      <c r="L19" s="759">
        <f>'Capital IQ Sheet-GPC'!R20</f>
        <v>0.64100000000000001</v>
      </c>
      <c r="M19" s="759">
        <f>'Capital IQ Sheet-GPC'!S20</f>
        <v>0.23599999999999999</v>
      </c>
      <c r="N19" s="759">
        <f>'Capital IQ Sheet-GPC'!T20</f>
        <v>4.2000000000000003E-2</v>
      </c>
      <c r="O19" s="759">
        <f>'Capital IQ Sheet-GPC'!U20</f>
        <v>6.3329999999999997E-2</v>
      </c>
      <c r="P19" s="759">
        <f>'Capital IQ Sheet-GPC'!V20</f>
        <v>7.3999999999999996E-2</v>
      </c>
      <c r="R19" s="1174">
        <f t="shared" si="0"/>
        <v>561.97116666666659</v>
      </c>
      <c r="S19" s="1174">
        <f t="shared" si="1"/>
        <v>1053.6959374999999</v>
      </c>
      <c r="T19" s="1174" t="str">
        <f t="shared" si="2"/>
        <v>NM</v>
      </c>
      <c r="V19" s="1174" t="str">
        <f t="shared" si="3"/>
        <v>NM</v>
      </c>
      <c r="W19" s="1174" t="str">
        <f t="shared" si="4"/>
        <v>NM</v>
      </c>
      <c r="X19" s="1174" t="str">
        <f t="shared" si="5"/>
        <v>NM</v>
      </c>
      <c r="Y19" s="1174" t="str">
        <f t="shared" si="6"/>
        <v>NM</v>
      </c>
      <c r="Z19" s="1174" t="str">
        <f t="shared" si="7"/>
        <v>NM</v>
      </c>
      <c r="AB19" s="331">
        <f>'Beta Calc'!K17</f>
        <v>538.73569999999995</v>
      </c>
      <c r="AC19" s="331">
        <f>'Beta Calc'!L17</f>
        <v>7.7030000000000003</v>
      </c>
      <c r="AD19" s="331">
        <f>'Beta Calc'!M17</f>
        <v>0</v>
      </c>
      <c r="AE19" s="331">
        <f>'Beta Calc'!N17</f>
        <v>0</v>
      </c>
      <c r="AF19" s="331">
        <f t="shared" si="8"/>
        <v>7.7030000000000003</v>
      </c>
      <c r="AG19" s="1303">
        <f t="shared" si="9"/>
        <v>546.43869999999993</v>
      </c>
      <c r="AH19" s="331">
        <f>'Beta Calc'!Q17</f>
        <v>209.256</v>
      </c>
      <c r="AI19" s="759">
        <f t="shared" si="10"/>
        <v>337.18269999999995</v>
      </c>
      <c r="AK19" s="1177" t="str">
        <f>IF('MASTER PubCo Inputs'!C35="","",'MASTER PubCo Inputs'!C35)</f>
        <v>IQ262241549</v>
      </c>
      <c r="AL19" s="250" t="str">
        <f>'Capital IQ Sheet-GPC'!AP20</f>
        <v>NantKwest, Inc., a clinical-stage immunotherapy biotechnology company, develops immunotherapeutic treatments for cancer, infectious diseases, and inflammatory diseases in the United States. The company develops activated natural killer product candidates for the treatment of virally-induced cancers, such as polyoma virus induced merkel cell carcinoma, human papilloma virus induced cervical, and head and neck cancers; infectious diseases, including Ebola; and other serious viral, fungal, and bacterial infections. It is also develops high-affinity natural killer product candidates primarily for the treatment of solid tumors, breast cancer, head and neck/squamous, lymphoma, and various cancer;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20" spans="2:38" ht="14.85" customHeight="1">
      <c r="B20" s="250" t="str">
        <f>'Capital IQ Sheet-GPC'!C21</f>
        <v>Cocrystal Pharma, Inc.</v>
      </c>
      <c r="C20" s="759">
        <f>'Beta Calc'!R18</f>
        <v>311.30250000000001</v>
      </c>
      <c r="H20" s="759">
        <f>'Capital IQ Sheet-GPC'!O21</f>
        <v>0</v>
      </c>
      <c r="I20" s="759">
        <f>'Capital IQ Sheet-GPC'!P21</f>
        <v>8.6999999999999994E-2</v>
      </c>
      <c r="J20" s="759">
        <f>'Capital IQ Sheet-GPC'!Q21</f>
        <v>0</v>
      </c>
      <c r="K20" s="331"/>
      <c r="L20" s="759">
        <f>'Capital IQ Sheet-GPC'!R21</f>
        <v>8.9999999999999993E-3</v>
      </c>
      <c r="M20" s="759">
        <f>'Capital IQ Sheet-GPC'!S21</f>
        <v>7.8E-2</v>
      </c>
      <c r="N20" s="759" t="str">
        <f>'Capital IQ Sheet-GPC'!T21</f>
        <v>n/a</v>
      </c>
      <c r="O20" s="759" t="str">
        <f>'Capital IQ Sheet-GPC'!U21</f>
        <v>n/a</v>
      </c>
      <c r="P20" s="759" t="str">
        <f>'Capital IQ Sheet-GPC'!V21</f>
        <v>n/a</v>
      </c>
      <c r="R20" s="1174" t="str">
        <f t="shared" si="0"/>
        <v>n/a</v>
      </c>
      <c r="S20" s="1174">
        <f t="shared" si="1"/>
        <v>3578.1896551724139</v>
      </c>
      <c r="T20" s="1174" t="str">
        <f t="shared" si="2"/>
        <v>n/a</v>
      </c>
      <c r="V20" s="1174" t="str">
        <f t="shared" si="3"/>
        <v>NM</v>
      </c>
      <c r="W20" s="1174" t="str">
        <f t="shared" si="4"/>
        <v>NM</v>
      </c>
      <c r="X20" s="1174" t="str">
        <f t="shared" si="5"/>
        <v>n/a</v>
      </c>
      <c r="Y20" s="1174" t="str">
        <f t="shared" si="6"/>
        <v>n/a</v>
      </c>
      <c r="Z20" s="1174" t="str">
        <f t="shared" si="7"/>
        <v>n/a</v>
      </c>
      <c r="AB20" s="331">
        <f>'Beta Calc'!K18</f>
        <v>317.20850000000002</v>
      </c>
      <c r="AC20" s="331">
        <f>'Beta Calc'!L18</f>
        <v>0</v>
      </c>
      <c r="AD20" s="331">
        <f>'Beta Calc'!M18</f>
        <v>0</v>
      </c>
      <c r="AE20" s="331">
        <f>'Beta Calc'!N18</f>
        <v>0</v>
      </c>
      <c r="AF20" s="331">
        <f t="shared" si="8"/>
        <v>0</v>
      </c>
      <c r="AG20" s="1303">
        <f t="shared" si="9"/>
        <v>317.20850000000002</v>
      </c>
      <c r="AH20" s="331">
        <f>'Beta Calc'!Q18</f>
        <v>5.9059999999999997</v>
      </c>
      <c r="AI20" s="759">
        <f t="shared" si="10"/>
        <v>311.30250000000001</v>
      </c>
      <c r="AK20" s="1177" t="str">
        <f>IF('MASTER PubCo Inputs'!C36="","",'MASTER PubCo Inputs'!C36)</f>
        <v>IQ49062639</v>
      </c>
      <c r="AL20" s="250" t="str">
        <f>'Capital IQ Sheet-GPC'!AP21</f>
        <v>Cocrystal Pharma, Inc., a preclinical-stage biopharmaceutical company, focuses on developing antiviral therapeutics for human diseases. The company focuses on developing inhibitors that target viral replication enzymes and viral replication protein. It is developing antiviral therapeutics for human diseases, including hepatitis C virus (HCV), influenza virus, and norovirus. The company also develops targeted in-house chemical libraries consisting of nucleosides, non-nucleoside inhibitors, metal-binding inhibitors, and fragments. Cocrystal Pharma, Inc. was founded in 2007 and is headquartered in Tucker, Georgia.</v>
      </c>
    </row>
    <row r="21" spans="2:38" ht="14.85" customHeight="1">
      <c r="B21" s="250" t="str">
        <f>'Capital IQ Sheet-GPC'!C22</f>
        <v>Intellia Therapeutics Inc.</v>
      </c>
      <c r="C21" s="759">
        <f>'Beta Calc'!R19</f>
        <v>276.30846000000003</v>
      </c>
      <c r="H21" s="759">
        <f>'Capital IQ Sheet-GPC'!O22</f>
        <v>0</v>
      </c>
      <c r="I21" s="759">
        <f>'Capital IQ Sheet-GPC'!P22</f>
        <v>4.351</v>
      </c>
      <c r="J21" s="759">
        <f>'Capital IQ Sheet-GPC'!Q22</f>
        <v>12.545</v>
      </c>
      <c r="K21" s="331"/>
      <c r="L21" s="759">
        <f>'Capital IQ Sheet-GPC'!R22</f>
        <v>0</v>
      </c>
      <c r="M21" s="759">
        <f>'Capital IQ Sheet-GPC'!S22</f>
        <v>6.0439999999999996</v>
      </c>
      <c r="N21" s="759">
        <f>'Capital IQ Sheet-GPC'!T22</f>
        <v>16.55</v>
      </c>
      <c r="O21" s="759">
        <f>'Capital IQ Sheet-GPC'!U22</f>
        <v>24.891249999999999</v>
      </c>
      <c r="P21" s="759">
        <f>'Capital IQ Sheet-GPC'!V22</f>
        <v>32.833329999999997</v>
      </c>
      <c r="R21" s="1174" t="str">
        <f t="shared" si="0"/>
        <v>n/a</v>
      </c>
      <c r="S21" s="1174">
        <f t="shared" si="1"/>
        <v>63.50458745116066</v>
      </c>
      <c r="T21" s="1174">
        <f t="shared" si="2"/>
        <v>22.025385412514947</v>
      </c>
      <c r="V21" s="1174" t="str">
        <f t="shared" si="3"/>
        <v>n/a</v>
      </c>
      <c r="W21" s="1174">
        <f t="shared" si="4"/>
        <v>45.716158173395108</v>
      </c>
      <c r="X21" s="1174">
        <f t="shared" si="5"/>
        <v>16.695375226586105</v>
      </c>
      <c r="Y21" s="1174">
        <f t="shared" si="6"/>
        <v>11.100626123637825</v>
      </c>
      <c r="Z21" s="1174">
        <f t="shared" si="7"/>
        <v>8.4154869457347168</v>
      </c>
      <c r="AB21" s="331">
        <f>'Beta Calc'!K19</f>
        <v>566.92646000000002</v>
      </c>
      <c r="AC21" s="331">
        <f>'Beta Calc'!L19</f>
        <v>0</v>
      </c>
      <c r="AD21" s="331">
        <f>'Beta Calc'!M19</f>
        <v>0</v>
      </c>
      <c r="AE21" s="331">
        <f>'Beta Calc'!N19</f>
        <v>0</v>
      </c>
      <c r="AF21" s="331">
        <f t="shared" si="8"/>
        <v>0</v>
      </c>
      <c r="AG21" s="1303">
        <f t="shared" si="9"/>
        <v>566.92646000000002</v>
      </c>
      <c r="AH21" s="331">
        <f>'Beta Calc'!Q19</f>
        <v>290.61799999999999</v>
      </c>
      <c r="AI21" s="759">
        <f t="shared" si="10"/>
        <v>276.30846000000003</v>
      </c>
      <c r="AK21" s="1177" t="str">
        <f>IF('MASTER PubCo Inputs'!C37="","",'MASTER PubCo Inputs'!C37)</f>
        <v>IQ277799796</v>
      </c>
      <c r="AL21" s="250" t="str">
        <f>'Capital IQ Sheet-GPC'!AP22</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and partnered programs focuses on chimeric antigen receptor T cells and hematopoietic stem cells. Intellia Therapeutics Inc. has collaboration agreement with Novartis; Regeneron Pharmaceuticals, Inc.; and Caribou Biosciences, Inc. The company was formerly known as AZRN, Inc. and changed its name to Intellia Therapeutics Inc. in July 2014. Intellia Therapeutics Inc. was founded in 2014 and is headquartered in Cambridge, Massachusetts.</v>
      </c>
    </row>
    <row r="22" spans="2:38" ht="14.85" customHeight="1">
      <c r="B22" s="250" t="str">
        <f>'Capital IQ Sheet-GPC'!C23</f>
        <v>GenSight Biologics S.A.</v>
      </c>
      <c r="C22" s="759">
        <f>'Beta Calc'!R20</f>
        <v>224.07716000000005</v>
      </c>
      <c r="H22" s="759">
        <f>'Capital IQ Sheet-GPC'!O23</f>
        <v>0</v>
      </c>
      <c r="I22" s="759">
        <f>'Capital IQ Sheet-GPC'!P23</f>
        <v>1.33474</v>
      </c>
      <c r="J22" s="759">
        <f>'Capital IQ Sheet-GPC'!Q23</f>
        <v>3.8664100000000001</v>
      </c>
      <c r="K22" s="331"/>
      <c r="L22" s="759">
        <f>'Capital IQ Sheet-GPC'!R23</f>
        <v>1.33474</v>
      </c>
      <c r="M22" s="759">
        <f>'Capital IQ Sheet-GPC'!S23</f>
        <v>3.8664100000000001</v>
      </c>
      <c r="N22" s="759">
        <f>'Capital IQ Sheet-GPC'!T23</f>
        <v>6.3424899999999997</v>
      </c>
      <c r="O22" s="759">
        <f>'Capital IQ Sheet-GPC'!U23</f>
        <v>6.3424899999999997</v>
      </c>
      <c r="P22" s="759">
        <f>'Capital IQ Sheet-GPC'!V23</f>
        <v>38.90063</v>
      </c>
      <c r="R22" s="1174" t="str">
        <f t="shared" si="0"/>
        <v>n/a</v>
      </c>
      <c r="S22" s="1174">
        <f t="shared" si="1"/>
        <v>167.88075580262827</v>
      </c>
      <c r="T22" s="1174">
        <f t="shared" si="2"/>
        <v>57.954836657260884</v>
      </c>
      <c r="V22" s="1174" t="str">
        <f t="shared" si="3"/>
        <v>NM</v>
      </c>
      <c r="W22" s="1174">
        <f t="shared" si="4"/>
        <v>57.954836657260884</v>
      </c>
      <c r="X22" s="1174">
        <f t="shared" si="5"/>
        <v>35.329525154947042</v>
      </c>
      <c r="Y22" s="1174">
        <f t="shared" si="6"/>
        <v>35.329525154947042</v>
      </c>
      <c r="Z22" s="1174">
        <f t="shared" si="7"/>
        <v>5.7602450140267667</v>
      </c>
      <c r="AB22" s="331">
        <f>'Beta Calc'!K20</f>
        <v>256.04862000000003</v>
      </c>
      <c r="AC22" s="331">
        <f>'Beta Calc'!L20</f>
        <v>0.67574000000000001</v>
      </c>
      <c r="AD22" s="331">
        <f>'Beta Calc'!M20</f>
        <v>0</v>
      </c>
      <c r="AE22" s="331">
        <f>'Beta Calc'!N20</f>
        <v>0</v>
      </c>
      <c r="AF22" s="331">
        <f t="shared" si="8"/>
        <v>0.67574000000000001</v>
      </c>
      <c r="AG22" s="1303">
        <f t="shared" si="9"/>
        <v>256.72436000000005</v>
      </c>
      <c r="AH22" s="331">
        <f>'Beta Calc'!Q20</f>
        <v>32.647199999999998</v>
      </c>
      <c r="AI22" s="759">
        <f t="shared" si="10"/>
        <v>224.07716000000005</v>
      </c>
      <c r="AK22" s="1177" t="str">
        <f>IF('MASTER PubCo Inputs'!C38="","",'MASTER PubCo Inputs'!C38)</f>
        <v>IQ235063288</v>
      </c>
      <c r="AL22" s="250" t="str">
        <f>'Capital IQ Sheet-GPC'!AP23</f>
        <v>GenSight Biologics S.A., a clinical-stage biotechnology company, engages in the discovery and development of therapies for mitochondrial and neurodegenerative diseases of the eye and central nervous system. The company develops its products through gene therapy-based approach with technology platforms of mitochondrial targeting sequence and optogenetics. Its lead product candidates include GS010, an AAV2 containing the human wild-type ND4 gene, which is in Phase III clinical trials for the treatment of Leber Hereditary Optic Neuropathy associated with mutation in the ND4 gene; and GS030 that comprises a gene encoding a photoactivatable channelrhodopsin for the treatment of reinitis pigmentosa and geographic atrophy in dry age-related macular degeneration. It is also developing products in preclinical development targeting ophthalmic and neurodegenerative diseases. GenSight Biologics S.A. was founded in 2012 and is based in Paris, France.</v>
      </c>
    </row>
    <row r="23" spans="2:38" ht="14.85" customHeight="1">
      <c r="B23" s="250" t="str">
        <f>'Capital IQ Sheet-GPC'!C24</f>
        <v>Advaxis, Inc.</v>
      </c>
      <c r="C23" s="759">
        <f>'Beta Calc'!R21</f>
        <v>252.38670000000002</v>
      </c>
      <c r="H23" s="759">
        <f>'Capital IQ Sheet-GPC'!O24</f>
        <v>1</v>
      </c>
      <c r="I23" s="759">
        <f>'Capital IQ Sheet-GPC'!P24</f>
        <v>0</v>
      </c>
      <c r="J23" s="759">
        <f>'Capital IQ Sheet-GPC'!Q24</f>
        <v>0.25</v>
      </c>
      <c r="K23" s="331"/>
      <c r="L23" s="759">
        <f>'Capital IQ Sheet-GPC'!R24</f>
        <v>1</v>
      </c>
      <c r="M23" s="759">
        <f>'Capital IQ Sheet-GPC'!S24</f>
        <v>0.25</v>
      </c>
      <c r="N23" s="759">
        <f>'Capital IQ Sheet-GPC'!T24</f>
        <v>6.4999999999999997E-3</v>
      </c>
      <c r="O23" s="759">
        <f>'Capital IQ Sheet-GPC'!U24</f>
        <v>3.1951999999999998</v>
      </c>
      <c r="P23" s="759">
        <f>'Capital IQ Sheet-GPC'!V24</f>
        <v>18.701000000000001</v>
      </c>
      <c r="R23" s="1174">
        <f t="shared" si="0"/>
        <v>252.38670000000002</v>
      </c>
      <c r="S23" s="1174" t="str">
        <f t="shared" si="1"/>
        <v>n/a</v>
      </c>
      <c r="T23" s="1174" t="str">
        <f t="shared" si="2"/>
        <v>NM</v>
      </c>
      <c r="V23" s="1174" t="str">
        <f t="shared" si="3"/>
        <v>NM</v>
      </c>
      <c r="W23" s="1174" t="str">
        <f t="shared" si="4"/>
        <v>NM</v>
      </c>
      <c r="X23" s="1174" t="str">
        <f t="shared" si="5"/>
        <v>NM</v>
      </c>
      <c r="Y23" s="1174">
        <f t="shared" si="6"/>
        <v>78.989327741612428</v>
      </c>
      <c r="Z23" s="1174">
        <f t="shared" si="7"/>
        <v>13.495893267739694</v>
      </c>
      <c r="AB23" s="331">
        <f>'Beta Calc'!K21</f>
        <v>331.10462000000001</v>
      </c>
      <c r="AC23" s="331">
        <f>'Beta Calc'!L21</f>
        <v>0</v>
      </c>
      <c r="AD23" s="331">
        <f>'Beta Calc'!M21</f>
        <v>0</v>
      </c>
      <c r="AE23" s="331">
        <f>'Beta Calc'!N21</f>
        <v>0</v>
      </c>
      <c r="AF23" s="331">
        <f t="shared" si="8"/>
        <v>0</v>
      </c>
      <c r="AG23" s="1303">
        <f t="shared" si="9"/>
        <v>331.10462000000001</v>
      </c>
      <c r="AH23" s="331">
        <f>'Beta Calc'!Q21</f>
        <v>78.717920000000007</v>
      </c>
      <c r="AI23" s="759">
        <f t="shared" si="10"/>
        <v>252.38670000000002</v>
      </c>
      <c r="AK23" s="1177" t="str">
        <f>IF('MASTER PubCo Inputs'!C39="","",'MASTER PubCo Inputs'!C39)</f>
        <v>IQ7924894</v>
      </c>
      <c r="AL23" s="250" t="str">
        <f>'Capital IQ Sheet-GPC'!AP24</f>
        <v>Advaxis, Inc., a clinical stage biotechnology company, focuses on the discovery, development, and commercialization of Lm-LLO cancer immunotherapies in the United States. Its lead product Axalimogene filolisbac, an Lm-LLO immunotherapy product candidate, which completed its Phase II study for the treatment of human papilloma virus associated cancers, including cervical, head and neck, and anal cancer. The company is also developing ADXS-PSA, an Lm-LLO immunotherapy product candidate, which is in Phase I/II clinical trials designed to target the prostate specific antigen associated with prostate cancer; and ADXS-HER2, an Lm-LLO immunotherapy product candidate that is in Phase Ib clinical trials used for the treatment of human epidermal growth factor receptor 2 expressing cancers, including human and canine osteosarcoma. It has clinical trial collaboration agreements with Merck &amp; Co., Inc. for the Phase I/II dose-escalation and safety study of ADXS31-142; and MedImmune, LLC to initiate a Phase I/II clinical study in the United States to evaluate MEDI4736, an investigational anti-PD-L1 immune checkpoint inhibitor. The company also has a licensing agreement with Global BioPharma Inc.; co-development and commercialization agreement with Especificos Stendhal SA de CV; and collaboration agreement with Amgen Inc. for the development and commercialization of ADXS-NEO, a preclinical investigational cancer immunotherapy treatment that activates patient’s immune system to respond against mutations or neoepitopes. Advaxis, Inc. was founded in 2002 and is based in Princeton, New Jersey.</v>
      </c>
    </row>
    <row r="24" spans="2:38" ht="14.85" customHeight="1">
      <c r="B24" s="250" t="str">
        <f>'Capital IQ Sheet-GPC'!C25</f>
        <v>Audentes Therapeutics, Inc.</v>
      </c>
      <c r="C24" s="759">
        <f>'Beta Calc'!R22</f>
        <v>237.76443</v>
      </c>
      <c r="H24" s="759">
        <f>'Capital IQ Sheet-GPC'!O25</f>
        <v>0</v>
      </c>
      <c r="I24" s="759">
        <f>'Capital IQ Sheet-GPC'!P25</f>
        <v>0</v>
      </c>
      <c r="J24" s="759">
        <f>'Capital IQ Sheet-GPC'!Q25</f>
        <v>0</v>
      </c>
      <c r="K24" s="331"/>
      <c r="L24" s="759">
        <f>'Capital IQ Sheet-GPC'!R25</f>
        <v>0</v>
      </c>
      <c r="M24" s="759">
        <f>'Capital IQ Sheet-GPC'!S25</f>
        <v>0</v>
      </c>
      <c r="N24" s="759" t="str">
        <f>'Capital IQ Sheet-GPC'!T25</f>
        <v>n/a</v>
      </c>
      <c r="O24" s="759" t="str">
        <f>'Capital IQ Sheet-GPC'!U25</f>
        <v>n/a</v>
      </c>
      <c r="P24" s="759" t="str">
        <f>'Capital IQ Sheet-GPC'!V25</f>
        <v>n/a</v>
      </c>
      <c r="R24" s="1174" t="str">
        <f t="shared" si="0"/>
        <v>n/a</v>
      </c>
      <c r="S24" s="1174" t="str">
        <f t="shared" si="1"/>
        <v>n/a</v>
      </c>
      <c r="T24" s="1174" t="str">
        <f t="shared" si="2"/>
        <v>n/a</v>
      </c>
      <c r="V24" s="1174" t="str">
        <f t="shared" si="3"/>
        <v>n/a</v>
      </c>
      <c r="W24" s="1174" t="str">
        <f t="shared" si="4"/>
        <v>n/a</v>
      </c>
      <c r="X24" s="1174" t="str">
        <f t="shared" si="5"/>
        <v>n/a</v>
      </c>
      <c r="Y24" s="1174" t="str">
        <f t="shared" si="6"/>
        <v>n/a</v>
      </c>
      <c r="Z24" s="1174" t="str">
        <f t="shared" si="7"/>
        <v>n/a</v>
      </c>
      <c r="AB24" s="331">
        <f>'Beta Calc'!K22</f>
        <v>356.94443000000001</v>
      </c>
      <c r="AC24" s="331">
        <f>'Beta Calc'!L22</f>
        <v>0</v>
      </c>
      <c r="AD24" s="331">
        <f>'Beta Calc'!M22</f>
        <v>0</v>
      </c>
      <c r="AE24" s="331">
        <f>'Beta Calc'!N22</f>
        <v>0</v>
      </c>
      <c r="AF24" s="331">
        <f t="shared" si="8"/>
        <v>0</v>
      </c>
      <c r="AG24" s="1303">
        <f t="shared" si="9"/>
        <v>356.94443000000001</v>
      </c>
      <c r="AH24" s="331">
        <f>'Beta Calc'!Q22</f>
        <v>119.18</v>
      </c>
      <c r="AI24" s="759">
        <f t="shared" si="10"/>
        <v>237.76443</v>
      </c>
      <c r="AK24" s="1177" t="str">
        <f>IF('MASTER PubCo Inputs'!C40="","",'MASTER PubCo Inputs'!C40)</f>
        <v>IQ243223852</v>
      </c>
      <c r="AL24" s="250" t="str">
        <f>'Capital IQ Sheet-GPC'!AP25</f>
        <v>Audentes Therapeutics, Inc., a biotechnology company, focuses on developing and commercializing gene therapy products for patients suffering from diseases caused by single gene defects in the United States. The company is developing AT132 for the treatment of X-linked myotubular myopathy; AT342 for the treatment of crigler-najjar syndrome type 1; AT982 for the treatment of pompe disease; and AT307 for the treatment of the CASQ2 subtype of catecholaminergic polymorphic ventricular tachycardia. Audentes Therapeutics, Inc. has a collaboration with the University of Pennsylvania for the treatment of Crigler-Najjar. The company was founded in 2012 and is headquartered in San Francisco, California.</v>
      </c>
    </row>
    <row r="25" spans="2:38" ht="14.85" customHeight="1">
      <c r="B25" s="250" t="str">
        <f>'Capital IQ Sheet-GPC'!C26</f>
        <v>Syros Pharmaceuticals, Inc.</v>
      </c>
      <c r="C25" s="759">
        <f>'Beta Calc'!R23</f>
        <v>224.27377000000004</v>
      </c>
      <c r="H25" s="759">
        <f>'Capital IQ Sheet-GPC'!O26</f>
        <v>0</v>
      </c>
      <c r="I25" s="759">
        <f>'Capital IQ Sheet-GPC'!P26</f>
        <v>0.317</v>
      </c>
      <c r="J25" s="759">
        <f>'Capital IQ Sheet-GPC'!Q26</f>
        <v>0</v>
      </c>
      <c r="K25" s="331"/>
      <c r="L25" s="759">
        <f>'Capital IQ Sheet-GPC'!R26</f>
        <v>0</v>
      </c>
      <c r="M25" s="759">
        <f>'Capital IQ Sheet-GPC'!S26</f>
        <v>0.317</v>
      </c>
      <c r="N25" s="759" t="str">
        <f>'Capital IQ Sheet-GPC'!T26</f>
        <v>n/a</v>
      </c>
      <c r="O25" s="759" t="str">
        <f>'Capital IQ Sheet-GPC'!U26</f>
        <v>n/a</v>
      </c>
      <c r="P25" s="759">
        <f>'Capital IQ Sheet-GPC'!V26</f>
        <v>9.9535</v>
      </c>
      <c r="R25" s="1174" t="str">
        <f t="shared" si="0"/>
        <v>n/a</v>
      </c>
      <c r="S25" s="1174">
        <f t="shared" si="1"/>
        <v>707.48823343848596</v>
      </c>
      <c r="T25" s="1174" t="str">
        <f t="shared" si="2"/>
        <v>n/a</v>
      </c>
      <c r="V25" s="1174" t="str">
        <f t="shared" si="3"/>
        <v>n/a</v>
      </c>
      <c r="W25" s="1174" t="str">
        <f t="shared" si="4"/>
        <v>NM</v>
      </c>
      <c r="X25" s="1174" t="str">
        <f t="shared" si="5"/>
        <v>n/a</v>
      </c>
      <c r="Y25" s="1174" t="str">
        <f t="shared" si="6"/>
        <v>n/a</v>
      </c>
      <c r="Z25" s="1174">
        <f t="shared" si="7"/>
        <v>22.532151504495911</v>
      </c>
      <c r="AB25" s="331">
        <f>'Beta Calc'!K23</f>
        <v>317.50677000000002</v>
      </c>
      <c r="AC25" s="331">
        <f>'Beta Calc'!L23</f>
        <v>0.26100000000000001</v>
      </c>
      <c r="AD25" s="331">
        <f>'Beta Calc'!M23</f>
        <v>0</v>
      </c>
      <c r="AE25" s="331">
        <f>'Beta Calc'!N23</f>
        <v>0</v>
      </c>
      <c r="AF25" s="331">
        <f t="shared" si="8"/>
        <v>0.26100000000000001</v>
      </c>
      <c r="AG25" s="1303">
        <f t="shared" si="9"/>
        <v>317.76777000000004</v>
      </c>
      <c r="AH25" s="331">
        <f>'Beta Calc'!Q23</f>
        <v>93.494</v>
      </c>
      <c r="AI25" s="759">
        <f t="shared" si="10"/>
        <v>224.27377000000004</v>
      </c>
      <c r="AK25" s="1177" t="str">
        <f>IF('MASTER PubCo Inputs'!C41="","",'MASTER PubCo Inputs'!C41)</f>
        <v>IQ236291486</v>
      </c>
      <c r="AL25" s="250" t="str">
        <f>'Capital IQ Sheet-GPC'!AP26</f>
        <v>Syros Pharmaceuticals, Inc., a biopharmaceutical company, focuses on developing treatments for cancer and immune-mediated diseases, and building a pipeline of gene control medicines. Its lead drug candidates are SY-1425, a selective RARa agonist in a Phase 2 clinical trial for genomically defined subsets of patients with acute myeloid leukemia and myelodysplastic syndrome; and SY-1365, a selective CDK7 inhibitor with potential in a range of solid tumors and blood cancers. The company was formerly known as LS22, Inc. and changed its name to Syros Pharmaceuticals, Inc. in August 2012. Syros Pharmaceuticals, Inc. was founded in 2011 and is based in Cambridge, Massachusetts.</v>
      </c>
    </row>
    <row r="26" spans="2:38" ht="14.85" customHeight="1">
      <c r="B26" s="250" t="str">
        <f>'Capital IQ Sheet-GPC'!C27</f>
        <v>Abeona Therapeutics Inc.</v>
      </c>
      <c r="C26" s="759">
        <f>'Beta Calc'!R24</f>
        <v>218.56229999999999</v>
      </c>
      <c r="H26" s="759">
        <f>'Capital IQ Sheet-GPC'!O27</f>
        <v>0.85299999999999998</v>
      </c>
      <c r="I26" s="759">
        <f>'Capital IQ Sheet-GPC'!P27</f>
        <v>1.0589999999999999</v>
      </c>
      <c r="J26" s="759">
        <f>'Capital IQ Sheet-GPC'!Q27</f>
        <v>0.84799999999999998</v>
      </c>
      <c r="K26" s="331"/>
      <c r="L26" s="759">
        <f>'Capital IQ Sheet-GPC'!R27</f>
        <v>0.92500000000000004</v>
      </c>
      <c r="M26" s="759">
        <f>'Capital IQ Sheet-GPC'!S27</f>
        <v>1.04</v>
      </c>
      <c r="N26" s="759">
        <f>'Capital IQ Sheet-GPC'!T27</f>
        <v>0.84833000000000003</v>
      </c>
      <c r="O26" s="759">
        <f>'Capital IQ Sheet-GPC'!U27</f>
        <v>3.3712499999999999</v>
      </c>
      <c r="P26" s="759">
        <f>'Capital IQ Sheet-GPC'!V27</f>
        <v>41.981000000000002</v>
      </c>
      <c r="R26" s="1174">
        <f t="shared" si="0"/>
        <v>256.22778429073855</v>
      </c>
      <c r="S26" s="1174">
        <f t="shared" si="1"/>
        <v>206.38555240793201</v>
      </c>
      <c r="T26" s="1174" t="str">
        <f t="shared" si="2"/>
        <v>NM</v>
      </c>
      <c r="V26" s="1174" t="str">
        <f t="shared" si="3"/>
        <v>NM</v>
      </c>
      <c r="W26" s="1174" t="str">
        <f t="shared" si="4"/>
        <v>NM</v>
      </c>
      <c r="X26" s="1174" t="str">
        <f t="shared" si="5"/>
        <v>NM</v>
      </c>
      <c r="Y26" s="1174">
        <f t="shared" si="6"/>
        <v>64.831234705228027</v>
      </c>
      <c r="Z26" s="1174">
        <f t="shared" si="7"/>
        <v>5.2062194802410611</v>
      </c>
      <c r="AB26" s="331">
        <f>'Beta Calc'!K24</f>
        <v>249.7473</v>
      </c>
      <c r="AC26" s="331">
        <f>'Beta Calc'!L24</f>
        <v>0</v>
      </c>
      <c r="AD26" s="331">
        <f>'Beta Calc'!M24</f>
        <v>0</v>
      </c>
      <c r="AE26" s="331">
        <f>'Beta Calc'!N24</f>
        <v>0</v>
      </c>
      <c r="AF26" s="331">
        <f t="shared" si="8"/>
        <v>0</v>
      </c>
      <c r="AG26" s="1303">
        <f t="shared" si="9"/>
        <v>249.7473</v>
      </c>
      <c r="AH26" s="331">
        <f>'Beta Calc'!Q24</f>
        <v>31.184999999999999</v>
      </c>
      <c r="AI26" s="759">
        <f t="shared" si="10"/>
        <v>218.56229999999999</v>
      </c>
      <c r="AK26" s="1177" t="str">
        <f>IF('MASTER PubCo Inputs'!C42="","",'MASTER PubCo Inputs'!C42)</f>
        <v>IQ360935</v>
      </c>
      <c r="AL26" s="250" t="str">
        <f>'Capital IQ Sheet-GPC'!AP27</f>
        <v>Abeona Therapeutics Inc. focuses on developing and delivering gene therapy and plasma-based products for severe and life-threatening rare diseases. The company’s lead programs are ABO-101 and ABO-102, which are adeno-associated virus -based gene therapies for Sanfilippo syndrome. It is also developing EB-201 for epidermolysis bullosa (EB); ABO-201 gene therapy for juvenile Batten disease; ABO-202 gene therapy for treatment of infantile Batten disease; ABO-301 for Fanconi anemia disorder; and ABO-302 using a novel CRISPR/Cas9-based gene editing approach to gene therapy program for rare blood diseases. In addition, the company is developing plasma-based protein therapies, including SDF Alpha, an alpha-1 protease inhibitor for inherited COPD using its proprietary salt diafiltration ethanol-free process.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The company was formerly known as PlasmaTech Biopharmaceuticals, Inc. and changed its name to Abeona Therapeutics Inc. in June 2015. Abeona Therapeutics Inc. was incorporated in 1989 and is based in Dallas, Texas.</v>
      </c>
    </row>
    <row r="27" spans="2:38" ht="14.85" customHeight="1">
      <c r="B27" s="250" t="str">
        <f>'Capital IQ Sheet-GPC'!C28</f>
        <v>Idera Pharmaceuticals, Inc.</v>
      </c>
      <c r="C27" s="759">
        <f>'Beta Calc'!R25</f>
        <v>198.09277</v>
      </c>
      <c r="H27" s="759">
        <f>'Capital IQ Sheet-GPC'!O28</f>
        <v>7.4999999999999997E-2</v>
      </c>
      <c r="I27" s="759">
        <f>'Capital IQ Sheet-GPC'!P28</f>
        <v>6.0999999999999999E-2</v>
      </c>
      <c r="J27" s="759">
        <f>'Capital IQ Sheet-GPC'!Q28</f>
        <v>1.1080000000000001</v>
      </c>
      <c r="K27" s="331"/>
      <c r="L27" s="759">
        <f>'Capital IQ Sheet-GPC'!R28</f>
        <v>7.2999999999999995E-2</v>
      </c>
      <c r="M27" s="759">
        <f>'Capital IQ Sheet-GPC'!S28</f>
        <v>0.249</v>
      </c>
      <c r="N27" s="759">
        <f>'Capital IQ Sheet-GPC'!T28</f>
        <v>1</v>
      </c>
      <c r="O27" s="759">
        <f>'Capital IQ Sheet-GPC'!U28</f>
        <v>0.65</v>
      </c>
      <c r="P27" s="759">
        <f>'Capital IQ Sheet-GPC'!V28</f>
        <v>13.15</v>
      </c>
      <c r="R27" s="1174">
        <f t="shared" si="0"/>
        <v>2641.2369333333336</v>
      </c>
      <c r="S27" s="1174">
        <f t="shared" si="1"/>
        <v>3247.4224590163935</v>
      </c>
      <c r="T27" s="1174" t="str">
        <f t="shared" si="2"/>
        <v>NM</v>
      </c>
      <c r="V27" s="1174" t="str">
        <f t="shared" si="3"/>
        <v>NM</v>
      </c>
      <c r="W27" s="1174" t="str">
        <f t="shared" si="4"/>
        <v>NM</v>
      </c>
      <c r="X27" s="1174" t="str">
        <f t="shared" si="5"/>
        <v>NM</v>
      </c>
      <c r="Y27" s="1174" t="str">
        <f t="shared" si="6"/>
        <v>NM</v>
      </c>
      <c r="Z27" s="1174">
        <f t="shared" si="7"/>
        <v>15.064088973384029</v>
      </c>
      <c r="AB27" s="331">
        <f>'Beta Calc'!K25</f>
        <v>249.53377</v>
      </c>
      <c r="AC27" s="331">
        <f>'Beta Calc'!L25</f>
        <v>0.56899999999999995</v>
      </c>
      <c r="AD27" s="331">
        <f>'Beta Calc'!M25</f>
        <v>0</v>
      </c>
      <c r="AE27" s="331">
        <f>'Beta Calc'!N25</f>
        <v>0</v>
      </c>
      <c r="AF27" s="331">
        <f t="shared" si="8"/>
        <v>0.56899999999999995</v>
      </c>
      <c r="AG27" s="1303">
        <f t="shared" si="9"/>
        <v>250.10276999999999</v>
      </c>
      <c r="AH27" s="331">
        <f>'Beta Calc'!Q25</f>
        <v>52.01</v>
      </c>
      <c r="AI27" s="759">
        <f t="shared" si="10"/>
        <v>198.09277</v>
      </c>
      <c r="AK27" s="1177" t="str">
        <f>IF('MASTER PubCo Inputs'!C43="","",'MASTER PubCo Inputs'!C43)</f>
        <v>IQ29643</v>
      </c>
      <c r="AL27" s="250" t="str">
        <f>'Capital IQ Sheet-GPC'!AP28</f>
        <v>Idera Pharmaceuticals, Inc., a clinical-stage biopharmaceutical company, focuses on the discovery, development, and commercialization of oligonucleotide therapeutics for oncology and rare diseases in the United States. It uses two drug discovery technology platforms to design and develop drug candidates, including toll-like receptor targeting technology and third-generation antisense (3GA) technology. The company’s drug candidates include IMO-2125, an agonist that is in Phase I/II clinical trials in combination with ipilimumab and pembrolizumab for the treatment of anti-PD-1 refractory metastatic melanoma and refractory solid tumors; IMO-8400, an antagonist, which is in Phase II clinical trial for the treatment of dermatomyositis. It also develops IDRA-008 for undisclosed liver target for rare disorder; 3GA compound for renal target; and IMO-9200, a drug candidate for potential use in selected autoimmune disease indications. In addition, the company is developing drug candidates to turn off the messenger RNA associated with disease causing genes. Idera Pharmaceuticals, Inc. has collaboration and license agreement with GSK to research, develop, and commercialize selected molecules from its 3GA technology for the treatment of selected targets in renal disease; collaboration with Abbott Molecular Inc. for the development of an in vitro companion diagnostic; and Merck &amp; Co to research, develop, and commercialize vaccine products. The company was founded in 1989 and is based in Cambridge, Massachusetts.</v>
      </c>
    </row>
    <row r="28" spans="2:38" ht="14.85" customHeight="1">
      <c r="B28" s="250" t="str">
        <f>'Capital IQ Sheet-GPC'!C29</f>
        <v>Achillion Pharmaceuticals, Inc.</v>
      </c>
      <c r="C28" s="759">
        <f>'Beta Calc'!R26</f>
        <v>157.44288</v>
      </c>
      <c r="H28" s="759">
        <f>'Capital IQ Sheet-GPC'!O29</f>
        <v>0</v>
      </c>
      <c r="I28" s="759">
        <f>'Capital IQ Sheet-GPC'!P29</f>
        <v>34.530999999999999</v>
      </c>
      <c r="J28" s="759">
        <f>'Capital IQ Sheet-GPC'!Q29</f>
        <v>31.591000000000001</v>
      </c>
      <c r="K28" s="331"/>
      <c r="L28" s="759">
        <f>'Capital IQ Sheet-GPC'!R29</f>
        <v>0</v>
      </c>
      <c r="M28" s="759">
        <f>'Capital IQ Sheet-GPC'!S29</f>
        <v>66.122</v>
      </c>
      <c r="N28" s="759" t="str">
        <f>'Capital IQ Sheet-GPC'!T29</f>
        <v>n/a</v>
      </c>
      <c r="O28" s="759">
        <f>'Capital IQ Sheet-GPC'!U29</f>
        <v>26.25</v>
      </c>
      <c r="P28" s="759">
        <f>'Capital IQ Sheet-GPC'!V29</f>
        <v>69</v>
      </c>
      <c r="R28" s="1174" t="str">
        <f t="shared" si="0"/>
        <v>n/a</v>
      </c>
      <c r="S28" s="1174">
        <f t="shared" si="1"/>
        <v>4.5594648287046429</v>
      </c>
      <c r="T28" s="1174">
        <f t="shared" si="2"/>
        <v>4.9837890538444496</v>
      </c>
      <c r="V28" s="1174" t="str">
        <f t="shared" ref="V28:V41" si="11">IFERROR(IF(($C28/L28)&gt;$AC$6, "NM", IF(($C28/L28)&lt;$AE$6, "NM", $C28/L28)),"n/a")</f>
        <v>n/a</v>
      </c>
      <c r="W28" s="1174">
        <f t="shared" ref="W28:W41" si="12">IFERROR(IF(($C28/M28)&gt;$AC$6, "NM", IF(($C28/M28)&lt;$AE$6, "NM", $C28/M28)),"n/a")</f>
        <v>2.3810967605335591</v>
      </c>
      <c r="X28" s="1174" t="str">
        <f t="shared" si="5"/>
        <v>n/a</v>
      </c>
      <c r="Y28" s="1174">
        <f t="shared" si="6"/>
        <v>5.9978240000000005</v>
      </c>
      <c r="Z28" s="1174">
        <f t="shared" si="7"/>
        <v>2.2817808695652175</v>
      </c>
      <c r="AB28" s="331">
        <f>'Beta Calc'!K26</f>
        <v>565.85888</v>
      </c>
      <c r="AC28" s="331">
        <f>'Beta Calc'!L26</f>
        <v>0.28899999999999998</v>
      </c>
      <c r="AD28" s="331">
        <f>'Beta Calc'!M26</f>
        <v>0</v>
      </c>
      <c r="AE28" s="331">
        <f>'Beta Calc'!N26</f>
        <v>0</v>
      </c>
      <c r="AF28" s="331">
        <f t="shared" si="8"/>
        <v>0.28899999999999998</v>
      </c>
      <c r="AG28" s="1303">
        <f t="shared" si="9"/>
        <v>566.14787999999999</v>
      </c>
      <c r="AH28" s="331">
        <f>'Beta Calc'!Q26</f>
        <v>408.70499999999998</v>
      </c>
      <c r="AI28" s="759">
        <f t="shared" si="10"/>
        <v>157.44288</v>
      </c>
      <c r="AK28" s="1177" t="str">
        <f>IF('MASTER PubCo Inputs'!C44="","",'MASTER PubCo Inputs'!C44)</f>
        <v>IQ120199</v>
      </c>
      <c r="AL28" s="250" t="str">
        <f>'Capital IQ Sheet-GPC'!AP29</f>
        <v>Achillion Pharmaceuticals, Inc., a biopharmaceutical company, discovers, develops, and commercializes small molecule drug therapies for infectious diseases and immune system disorders in the United States and internationally. Its drug candidates for treating chronic hepatitis C virus (HCV) infection comprise Odalasvir, a NS5A inhibitor, which has completed Phase IIa clinical trials; ACH-3422, a NS5B nucleotide polymerase inhibitor; and Sovaprevir, a NS3 protease inhibitor that has completed Phase II clinical trial. The company is also developing ACH-4471, a complement factor D inhibitor, which is in Phase I clinical trial to treat patients with paroxysmal nocturnal hemoglobinuria and C3G, a disease resulting from alternative pathway over-activation; and other factor D inhibitors. It has a license and development agreement with Ora, Inc. for the development and commercialization of ACH-702, a drug candidate that is delivered topically or locally; and collaboration arrangement with Janssen Pharmaceuticals Inc. to develop and commercialize antiviral drug candidates for treating HCV infection. The company was founded in 1998 and is headquartered in New Haven, Connecticut.</v>
      </c>
    </row>
    <row r="29" spans="2:38" ht="14.85" customHeight="1">
      <c r="B29" s="250" t="str">
        <f>'Capital IQ Sheet-GPC'!C30</f>
        <v>ContraVir Pharmaceuticals, Inc.</v>
      </c>
      <c r="C29" s="759">
        <f>'Beta Calc'!R27</f>
        <v>117.4936</v>
      </c>
      <c r="H29" s="759">
        <f>'Capital IQ Sheet-GPC'!O30</f>
        <v>0</v>
      </c>
      <c r="I29" s="759">
        <f>'Capital IQ Sheet-GPC'!P30</f>
        <v>0</v>
      </c>
      <c r="J29" s="759">
        <f>'Capital IQ Sheet-GPC'!Q30</f>
        <v>0</v>
      </c>
      <c r="K29" s="331"/>
      <c r="L29" s="759">
        <f>'Capital IQ Sheet-GPC'!R30</f>
        <v>0</v>
      </c>
      <c r="M29" s="759">
        <f>'Capital IQ Sheet-GPC'!S30</f>
        <v>0</v>
      </c>
      <c r="N29" s="759" t="str">
        <f>'Capital IQ Sheet-GPC'!T30</f>
        <v>n/a</v>
      </c>
      <c r="O29" s="759" t="str">
        <f>'Capital IQ Sheet-GPC'!U30</f>
        <v>n/a</v>
      </c>
      <c r="P29" s="759" t="str">
        <f>'Capital IQ Sheet-GPC'!V30</f>
        <v>n/a</v>
      </c>
      <c r="R29" s="1174" t="str">
        <f t="shared" si="0"/>
        <v>n/a</v>
      </c>
      <c r="S29" s="1174" t="str">
        <f t="shared" si="1"/>
        <v>n/a</v>
      </c>
      <c r="T29" s="1174" t="str">
        <f t="shared" si="2"/>
        <v>n/a</v>
      </c>
      <c r="V29" s="1174" t="str">
        <f t="shared" si="11"/>
        <v>n/a</v>
      </c>
      <c r="W29" s="1174" t="str">
        <f t="shared" si="12"/>
        <v>n/a</v>
      </c>
      <c r="X29" s="1174" t="str">
        <f t="shared" si="5"/>
        <v>n/a</v>
      </c>
      <c r="Y29" s="1174" t="str">
        <f t="shared" si="6"/>
        <v>n/a</v>
      </c>
      <c r="Z29" s="1174" t="str">
        <f t="shared" si="7"/>
        <v>n/a</v>
      </c>
      <c r="AB29" s="331">
        <f>'Beta Calc'!K27</f>
        <v>118.69085</v>
      </c>
      <c r="AC29" s="331">
        <f>'Beta Calc'!L27</f>
        <v>0</v>
      </c>
      <c r="AD29" s="331">
        <f>'Beta Calc'!M27</f>
        <v>1.83091</v>
      </c>
      <c r="AE29" s="331">
        <f>'Beta Calc'!N27</f>
        <v>0</v>
      </c>
      <c r="AF29" s="331">
        <f t="shared" si="8"/>
        <v>1.83091</v>
      </c>
      <c r="AG29" s="1303">
        <f t="shared" si="9"/>
        <v>120.52176</v>
      </c>
      <c r="AH29" s="331">
        <f>'Beta Calc'!Q27</f>
        <v>3.0281600000000002</v>
      </c>
      <c r="AI29" s="759">
        <f t="shared" si="10"/>
        <v>117.4936</v>
      </c>
      <c r="AK29" s="1177" t="str">
        <f>IF('MASTER PubCo Inputs'!C45="","",'MASTER PubCo Inputs'!C45)</f>
        <v>IQ244424098</v>
      </c>
      <c r="AL29" s="250" t="str">
        <f>'Capital IQ Sheet-GPC'!AP30</f>
        <v>ContraVir Pharmaceuticals, Inc. operates as a biopharmaceutical company focused on the development of antiviral drugs with a primary emphasis on the treatment of Hepatitis B virus (HBV) infections. The company is developing CMX157 and CRV431 to treat HBV infection; and FV-100, an orally available, small molecule compound for the prevention of post-herpetic neuralgia, and treatment of herpes zoster infection and acute zoster-associated pain. ContraVir Pharmaceuticals, Inc. was founded in 2013 and is headquartered in Edison, New Jersey.</v>
      </c>
    </row>
    <row r="30" spans="2:38" ht="14.85" customHeight="1">
      <c r="B30" s="250" t="str">
        <f>'Capital IQ Sheet-GPC'!C31</f>
        <v>Sangamo Therapeutics, Inc.</v>
      </c>
      <c r="C30" s="759">
        <f>'Beta Calc'!R28</f>
        <v>80.415350000000018</v>
      </c>
      <c r="H30" s="759">
        <f>'Capital IQ Sheet-GPC'!O31</f>
        <v>37.786999999999999</v>
      </c>
      <c r="I30" s="759">
        <f>'Capital IQ Sheet-GPC'!P31</f>
        <v>45.37</v>
      </c>
      <c r="J30" s="759">
        <f>'Capital IQ Sheet-GPC'!Q31</f>
        <v>19.588000000000001</v>
      </c>
      <c r="K30" s="331"/>
      <c r="L30" s="759">
        <f>'Capital IQ Sheet-GPC'!R31</f>
        <v>45.87</v>
      </c>
      <c r="M30" s="759">
        <f>'Capital IQ Sheet-GPC'!S31</f>
        <v>39.539000000000001</v>
      </c>
      <c r="N30" s="759">
        <f>'Capital IQ Sheet-GPC'!T31</f>
        <v>14.41283</v>
      </c>
      <c r="O30" s="759">
        <f>'Capital IQ Sheet-GPC'!U31</f>
        <v>20.44417</v>
      </c>
      <c r="P30" s="759">
        <f>'Capital IQ Sheet-GPC'!V31</f>
        <v>23.681249999999999</v>
      </c>
      <c r="R30" s="1174">
        <f t="shared" si="0"/>
        <v>2.1281221054860144</v>
      </c>
      <c r="S30" s="1174">
        <f t="shared" si="1"/>
        <v>1.7724344280361477</v>
      </c>
      <c r="T30" s="1174">
        <f t="shared" si="2"/>
        <v>4.1053374515009198</v>
      </c>
      <c r="V30" s="1174">
        <f t="shared" si="11"/>
        <v>1.7531142358840206</v>
      </c>
      <c r="W30" s="1174">
        <f t="shared" si="12"/>
        <v>2.0338235666051245</v>
      </c>
      <c r="X30" s="1174">
        <f t="shared" si="5"/>
        <v>5.5794281900223632</v>
      </c>
      <c r="Y30" s="1174">
        <f t="shared" si="6"/>
        <v>3.9334123126544154</v>
      </c>
      <c r="Z30" s="1174">
        <f t="shared" si="7"/>
        <v>3.3957392451834267</v>
      </c>
      <c r="AB30" s="331">
        <f>'Beta Calc'!K28</f>
        <v>225.99635000000001</v>
      </c>
      <c r="AC30" s="331">
        <f>'Beta Calc'!L28</f>
        <v>0</v>
      </c>
      <c r="AD30" s="331">
        <f>'Beta Calc'!M28</f>
        <v>0</v>
      </c>
      <c r="AE30" s="331">
        <f>'Beta Calc'!N28</f>
        <v>0</v>
      </c>
      <c r="AF30" s="331">
        <f t="shared" si="8"/>
        <v>0</v>
      </c>
      <c r="AG30" s="1303">
        <f t="shared" si="9"/>
        <v>225.99635000000001</v>
      </c>
      <c r="AH30" s="331">
        <f>'Beta Calc'!Q28</f>
        <v>145.58099999999999</v>
      </c>
      <c r="AI30" s="759">
        <f t="shared" si="10"/>
        <v>80.415350000000018</v>
      </c>
      <c r="AK30" s="1177" t="str">
        <f>IF('MASTER PubCo Inputs'!C46="","",'MASTER PubCo Inputs'!C46)</f>
        <v>IQ412674</v>
      </c>
      <c r="AL30" s="250" t="str">
        <f>'Capital IQ Sheet-GPC'!AP31</f>
        <v>Sangamo Therapeutics, Inc., a clinical stage biopharmaceutical company, focuses on translating ground-breaking science into genomic therapies that transform patients' lives using platform technologies in genome editing, gene therapy, gene regulation, and cell therapy. The company’s proprietary zinc finger DNA-binding protein (ZFP) technology enables specific genome editing and gene regulation. The ZFPs could be engineered to make ZFP nucleases (ZFNs), proteins that could be used to specifically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Phase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proprietary preclinical programs in other LSDs; and research stage programs in certain central nervous system disorders and cancer immunotherapies. It has collaborative partnerships with Biogen Inc. to develop therapeutic genome editing products in hemoglobinopathies; and with Shire International GmbH to develop the preclinical development program in Huntington’s disease, as well as license agreement with Sigma-Aldrich Corporation to develop ZFP-based laboratory research reagents and Dow AgroSciences, LLC to modify the genomes or alter protein expression of plant cells, plants, or plant cell cultures. The company was formerly known as Sangamo BioSciences, Inc. and changed its name to Sangamo Therapeutics, Inc. in January 2017. Sangamo Therapeutics, Inc. was founded in 1995 and is headquartered in Richmond, California.</v>
      </c>
    </row>
    <row r="31" spans="2:38" ht="14.85" customHeight="1">
      <c r="B31" s="250" t="str">
        <f>'Capital IQ Sheet-GPC'!C32</f>
        <v>Immune Design Corp.</v>
      </c>
      <c r="C31" s="759">
        <f>'Beta Calc'!R29</f>
        <v>74.286450000000002</v>
      </c>
      <c r="H31" s="759">
        <f>'Capital IQ Sheet-GPC'!O32</f>
        <v>4.657</v>
      </c>
      <c r="I31" s="759">
        <f>'Capital IQ Sheet-GPC'!P32</f>
        <v>10.170999999999999</v>
      </c>
      <c r="J31" s="759">
        <f>'Capital IQ Sheet-GPC'!Q32</f>
        <v>12.340999999999999</v>
      </c>
      <c r="K31" s="331"/>
      <c r="L31" s="759">
        <f>'Capital IQ Sheet-GPC'!R32</f>
        <v>6.4329999999999998</v>
      </c>
      <c r="M31" s="759">
        <f>'Capital IQ Sheet-GPC'!S32</f>
        <v>9.51</v>
      </c>
      <c r="N31" s="759">
        <f>'Capital IQ Sheet-GPC'!T32</f>
        <v>12.79575</v>
      </c>
      <c r="O31" s="759">
        <f>'Capital IQ Sheet-GPC'!U32</f>
        <v>6.8425000000000002</v>
      </c>
      <c r="P31" s="759">
        <f>'Capital IQ Sheet-GPC'!V32</f>
        <v>15.81367</v>
      </c>
      <c r="R31" s="1174">
        <f t="shared" si="0"/>
        <v>15.951567532746404</v>
      </c>
      <c r="S31" s="1174">
        <f t="shared" si="1"/>
        <v>7.3037508602890577</v>
      </c>
      <c r="T31" s="1174">
        <f t="shared" si="2"/>
        <v>6.0194838343732275</v>
      </c>
      <c r="V31" s="1174">
        <f t="shared" si="11"/>
        <v>11.547714907508162</v>
      </c>
      <c r="W31" s="1174">
        <f t="shared" si="12"/>
        <v>7.8114037854889595</v>
      </c>
      <c r="X31" s="1174">
        <f t="shared" si="5"/>
        <v>5.805556532442413</v>
      </c>
      <c r="Y31" s="1174">
        <f t="shared" si="6"/>
        <v>10.856624040920716</v>
      </c>
      <c r="Z31" s="1174">
        <f t="shared" si="7"/>
        <v>4.6976097262684755</v>
      </c>
      <c r="AB31" s="331">
        <f>'Beta Calc'!K29</f>
        <v>186.75745000000001</v>
      </c>
      <c r="AC31" s="331">
        <f>'Beta Calc'!L29</f>
        <v>0</v>
      </c>
      <c r="AD31" s="331">
        <f>'Beta Calc'!M29</f>
        <v>0</v>
      </c>
      <c r="AE31" s="331">
        <f>'Beta Calc'!N29</f>
        <v>0</v>
      </c>
      <c r="AF31" s="331">
        <f t="shared" si="8"/>
        <v>0</v>
      </c>
      <c r="AG31" s="1303">
        <f t="shared" si="9"/>
        <v>186.75745000000001</v>
      </c>
      <c r="AH31" s="331">
        <f>'Beta Calc'!Q29</f>
        <v>112.471</v>
      </c>
      <c r="AI31" s="759">
        <f t="shared" si="10"/>
        <v>74.286450000000002</v>
      </c>
      <c r="AK31" s="1177" t="str">
        <f>IF('MASTER PubCo Inputs'!C47="","",'MASTER PubCo Inputs'!C47)</f>
        <v>IQ46099827</v>
      </c>
      <c r="AL31" s="250" t="str">
        <f>'Capital IQ Sheet-GPC'!AP32</f>
        <v>Immune Design Corp., a clinical-stage immunotherapy company, engages in the research and development of in vivo treatments for cancer. It primarily develops oncology product candidates based on its ZVex and GLAAS product discovery platforms. The company’s products include CMB305, which is in Phase 2 trial for the treatment of NY-ESO-1 tumor antigen; LV305 that is in Phase 1 trial for the treatment of patients with relapsed or metastatic melanoma, sarcoma, ovarian cancer, or non-small cell lung cancer that express NY-ESO-1; and G100, an intratumoral immune activation product candidate for the treatment of patients with Merkel cell carcinoma and non-Hodgkin Lymphoma. In addition, its technologies are also used in the fields of infectious diseases and allergies. The company has license agreements with California Institute of Technology, University of North Carolina at Chapel Hill, TheraVectys SA, Infectious Disease Research Institute, MedImmune LLC, and Sanofi; and a collaboration agreement with Sanofi Pasteur. Immune Design Corp. was founded in 2008 and is headquartered in Seattle, Washington.</v>
      </c>
    </row>
    <row r="32" spans="2:38" ht="14.85" customHeight="1">
      <c r="B32" s="250" t="str">
        <f>'Capital IQ Sheet-GPC'!C33</f>
        <v>Fate Therapeutics, Inc.</v>
      </c>
      <c r="C32" s="759">
        <f>'Beta Calc'!R30</f>
        <v>66.411570000000012</v>
      </c>
      <c r="H32" s="759">
        <f>'Capital IQ Sheet-GPC'!O33</f>
        <v>0</v>
      </c>
      <c r="I32" s="759">
        <f>'Capital IQ Sheet-GPC'!P33</f>
        <v>1.355</v>
      </c>
      <c r="J32" s="759">
        <f>'Capital IQ Sheet-GPC'!Q33</f>
        <v>4.4509999999999996</v>
      </c>
      <c r="K32" s="331"/>
      <c r="L32" s="759">
        <f>'Capital IQ Sheet-GPC'!R33</f>
        <v>0</v>
      </c>
      <c r="M32" s="759">
        <f>'Capital IQ Sheet-GPC'!S33</f>
        <v>2.431</v>
      </c>
      <c r="N32" s="759">
        <f>'Capital IQ Sheet-GPC'!T33</f>
        <v>4.3366699999999998</v>
      </c>
      <c r="O32" s="759">
        <f>'Capital IQ Sheet-GPC'!U33</f>
        <v>4.7973299999999997</v>
      </c>
      <c r="P32" s="759">
        <f>'Capital IQ Sheet-GPC'!V33</f>
        <v>3.6767500000000002</v>
      </c>
      <c r="R32" s="1174" t="str">
        <f t="shared" si="0"/>
        <v>n/a</v>
      </c>
      <c r="S32" s="1174">
        <f t="shared" si="1"/>
        <v>49.012228782287835</v>
      </c>
      <c r="T32" s="1174">
        <f t="shared" si="2"/>
        <v>14.920595371826559</v>
      </c>
      <c r="V32" s="1174" t="str">
        <f t="shared" si="11"/>
        <v>n/a</v>
      </c>
      <c r="W32" s="1174">
        <f t="shared" si="12"/>
        <v>27.318621966269028</v>
      </c>
      <c r="X32" s="1174">
        <f t="shared" si="5"/>
        <v>15.313955177590183</v>
      </c>
      <c r="Y32" s="1174">
        <f t="shared" si="6"/>
        <v>13.843444165817239</v>
      </c>
      <c r="Z32" s="1174">
        <f t="shared" si="7"/>
        <v>18.06257428435439</v>
      </c>
      <c r="AB32" s="331">
        <f>'Beta Calc'!K30</f>
        <v>100.39557000000001</v>
      </c>
      <c r="AC32" s="331">
        <f>'Beta Calc'!L30</f>
        <v>12.635</v>
      </c>
      <c r="AD32" s="331">
        <f>'Beta Calc'!M30</f>
        <v>0</v>
      </c>
      <c r="AE32" s="331">
        <f>'Beta Calc'!N30</f>
        <v>0</v>
      </c>
      <c r="AF32" s="331">
        <f t="shared" si="8"/>
        <v>12.635</v>
      </c>
      <c r="AG32" s="1303">
        <f t="shared" si="9"/>
        <v>113.03057000000001</v>
      </c>
      <c r="AH32" s="331">
        <f>'Beta Calc'!Q30</f>
        <v>46.619</v>
      </c>
      <c r="AI32" s="759">
        <f t="shared" si="10"/>
        <v>66.411570000000012</v>
      </c>
      <c r="AK32" s="1177" t="str">
        <f>IF('MASTER PubCo Inputs'!C48="","",'MASTER PubCo Inputs'!C48)</f>
        <v>IQ39268712</v>
      </c>
      <c r="AL32" s="250" t="str">
        <f>'Capital IQ Sheet-GPC'!AP33</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engineered hnCD16 induced pluripotent stem cells (iPSC)-derived natural killer cell therapy candidates for hematologic/solid tumors; and engineered chimeric antigen receptor iPSC-derived T cell therapy product candidates for hematologic/solid tumors. The company’s immuno-regulation product candidates comprise ProTmune, an investigational programmed cellular immunotherapy for use as a next-generation allogeneic hematopoietic cell transplantation cell graft; and ToleraCyte for the treatment of autoimmune and inflammatory diseases; engineered iPSC-derived CD34+ cell therapy for immune disorders. Fate Therapeutics, Inc. has a research collaboration and license agreement with Memorial Sloan Kettering Cancer Center to develop off-the-shelf T-cell immunotherapies; and strategic research collaboration and license agreement with Juno Therapeutics, Inc. to identify small molecule modulators that enhance the function of T cells. Fate Therapeutics, Inc. was founded in 2007 and is headquartered in San Diego, California.</v>
      </c>
    </row>
    <row r="33" spans="2:38" ht="14.85" customHeight="1">
      <c r="B33" s="250" t="str">
        <f>'Capital IQ Sheet-GPC'!C34</f>
        <v>Arrowhead Pharmaceuticals, Inc.</v>
      </c>
      <c r="C33" s="759">
        <f>'Beta Calc'!R31</f>
        <v>61.070200000000007</v>
      </c>
      <c r="H33" s="759">
        <f>'Capital IQ Sheet-GPC'!O34</f>
        <v>0.17499999999999999</v>
      </c>
      <c r="I33" s="759">
        <f>'Capital IQ Sheet-GPC'!P34</f>
        <v>0.38200000000000001</v>
      </c>
      <c r="J33" s="759">
        <f>'Capital IQ Sheet-GPC'!Q34</f>
        <v>0.17083000000000001</v>
      </c>
      <c r="K33" s="331"/>
      <c r="L33" s="759">
        <f>'Capital IQ Sheet-GPC'!R34</f>
        <v>0.30199999999999999</v>
      </c>
      <c r="M33" s="759">
        <f>'Capital IQ Sheet-GPC'!S34</f>
        <v>0.255</v>
      </c>
      <c r="N33" s="759">
        <f>'Capital IQ Sheet-GPC'!T34</f>
        <v>0.16639999999999999</v>
      </c>
      <c r="O33" s="759">
        <f>'Capital IQ Sheet-GPC'!U34</f>
        <v>6.2992999999999997</v>
      </c>
      <c r="P33" s="759">
        <f>'Capital IQ Sheet-GPC'!V34</f>
        <v>28.625</v>
      </c>
      <c r="R33" s="1174">
        <f t="shared" si="0"/>
        <v>348.97257142857148</v>
      </c>
      <c r="S33" s="1174">
        <f t="shared" si="1"/>
        <v>159.86963350785342</v>
      </c>
      <c r="T33" s="1174" t="str">
        <f t="shared" si="2"/>
        <v>NM</v>
      </c>
      <c r="V33" s="1174" t="str">
        <f t="shared" si="11"/>
        <v>NM</v>
      </c>
      <c r="W33" s="1174" t="str">
        <f t="shared" si="12"/>
        <v>NM</v>
      </c>
      <c r="X33" s="1174" t="str">
        <f t="shared" si="5"/>
        <v>NM</v>
      </c>
      <c r="Y33" s="1174">
        <f t="shared" si="6"/>
        <v>9.6947597352086756</v>
      </c>
      <c r="Z33" s="1174">
        <f t="shared" si="7"/>
        <v>2.1334567685589523</v>
      </c>
      <c r="AB33" s="331">
        <f>'Beta Calc'!K31</f>
        <v>102.94919</v>
      </c>
      <c r="AC33" s="331">
        <f>'Beta Calc'!L31</f>
        <v>3.32328</v>
      </c>
      <c r="AD33" s="331">
        <f>'Beta Calc'!M31</f>
        <v>2.0000000000000002E-5</v>
      </c>
      <c r="AE33" s="331">
        <f>'Beta Calc'!N31</f>
        <v>-0.55518999999999996</v>
      </c>
      <c r="AF33" s="331">
        <f t="shared" si="8"/>
        <v>2.7681100000000001</v>
      </c>
      <c r="AG33" s="1303">
        <f t="shared" si="9"/>
        <v>105.71730000000001</v>
      </c>
      <c r="AH33" s="331">
        <f>'Beta Calc'!Q31</f>
        <v>44.647100000000002</v>
      </c>
      <c r="AI33" s="759">
        <f t="shared" si="10"/>
        <v>61.070200000000007</v>
      </c>
      <c r="AK33" s="1177" t="str">
        <f>IF('MASTER PubCo Inputs'!C49="","",'MASTER PubCo Inputs'!C49)</f>
        <v>IQ203142</v>
      </c>
      <c r="AL33" s="250" t="str">
        <f>'Capital IQ Sheet-GPC'!AP34</f>
        <v>Arrowhead Pharmaceuticals, Inc. develops novel drugs to treat intractable diseases in the United States. Its pre-clinical stage drug candidates include ARO-HBV to treat chronic hepatitis B virus infection; ARO-AAT to treat liver disease associated with alpha-1 antitrypsin deficiency; ARO-LPA to reduce production of apolipoprotein A; ARO-AMG1, which is developed against an undisclosed genetically validated cardiovascular target; and ARO-F12, a potential treatment for factor 12 mediated diseases, such as hereditary angioedema and thromboembolic disorders. The company also develops ARO-HIF2, a drug candidate for the treatment of clear cell renal cell carcinoma. Arrowhead Pharmaceuticals, Inc. has collaboration and license agreements with Amgen, Inc. The company was formerly known as Arrowhead Research Corporation and changed its name to Arrowhead Pharmaceuticals, Inc. in April 2016. Arrowhead Pharmaceuticals, Inc. was incorporated in 1989 and is headquartered in Pasadena, California.</v>
      </c>
    </row>
    <row r="34" spans="2:38" ht="14.85" customHeight="1">
      <c r="B34" s="250" t="str">
        <f>'Capital IQ Sheet-GPC'!C35</f>
        <v>Regulus Therapeutics Inc.</v>
      </c>
      <c r="C34" s="759">
        <f>'Beta Calc'!R32</f>
        <v>57.866100000000017</v>
      </c>
      <c r="H34" s="759">
        <f>'Capital IQ Sheet-GPC'!O35</f>
        <v>8.9039999999999999</v>
      </c>
      <c r="I34" s="759">
        <f>'Capital IQ Sheet-GPC'!P35</f>
        <v>14.118</v>
      </c>
      <c r="J34" s="759">
        <f>'Capital IQ Sheet-GPC'!Q35</f>
        <v>12.036</v>
      </c>
      <c r="K34" s="331"/>
      <c r="L34" s="759">
        <f>'Capital IQ Sheet-GPC'!R35</f>
        <v>7.6689999999999996</v>
      </c>
      <c r="M34" s="759">
        <f>'Capital IQ Sheet-GPC'!S35</f>
        <v>20.759</v>
      </c>
      <c r="N34" s="759">
        <f>'Capital IQ Sheet-GPC'!T35</f>
        <v>2.2724000000000002</v>
      </c>
      <c r="O34" s="759">
        <f>'Capital IQ Sheet-GPC'!U35</f>
        <v>7.6288</v>
      </c>
      <c r="P34" s="759">
        <f>'Capital IQ Sheet-GPC'!V35</f>
        <v>6.8360000000000003</v>
      </c>
      <c r="R34" s="1174">
        <f t="shared" si="0"/>
        <v>6.4988881401617267</v>
      </c>
      <c r="S34" s="1174">
        <f t="shared" si="1"/>
        <v>4.0987462813429678</v>
      </c>
      <c r="T34" s="1174">
        <f t="shared" si="2"/>
        <v>4.8077517447657048</v>
      </c>
      <c r="V34" s="1174">
        <f t="shared" si="11"/>
        <v>7.5454557308645223</v>
      </c>
      <c r="W34" s="1174">
        <f t="shared" si="12"/>
        <v>2.7875186666024381</v>
      </c>
      <c r="X34" s="1174">
        <f t="shared" si="5"/>
        <v>25.464750924133082</v>
      </c>
      <c r="Y34" s="1174">
        <f t="shared" si="6"/>
        <v>7.5852165478187938</v>
      </c>
      <c r="Z34" s="1174">
        <f t="shared" si="7"/>
        <v>8.4649063779988314</v>
      </c>
      <c r="AB34" s="331">
        <f>'Beta Calc'!K32</f>
        <v>129.66210000000001</v>
      </c>
      <c r="AC34" s="331">
        <f>'Beta Calc'!L32</f>
        <v>19.786999999999999</v>
      </c>
      <c r="AD34" s="331">
        <f>'Beta Calc'!M32</f>
        <v>0</v>
      </c>
      <c r="AE34" s="331">
        <f>'Beta Calc'!N32</f>
        <v>0</v>
      </c>
      <c r="AF34" s="331">
        <f t="shared" si="8"/>
        <v>19.786999999999999</v>
      </c>
      <c r="AG34" s="1303">
        <f t="shared" si="9"/>
        <v>149.44910000000002</v>
      </c>
      <c r="AH34" s="331">
        <f>'Beta Calc'!Q32</f>
        <v>91.582999999999998</v>
      </c>
      <c r="AI34" s="759">
        <f t="shared" si="10"/>
        <v>57.866100000000017</v>
      </c>
      <c r="AK34" s="1177" t="str">
        <f>IF('MASTER PubCo Inputs'!C50="","",'MASTER PubCo Inputs'!C50)</f>
        <v>IQ36742485</v>
      </c>
      <c r="AL34" s="250" t="str">
        <f>'Capital IQ Sheet-GPC'!AP35</f>
        <v>Regulus Therapeutics Inc., a biopharmaceutical company, focuses on the discovery and development of drugs that target microRNAs to treat a range of diseases in the United States. The company uses its microRNA product platform to develop anti-miRs, which are chemically modified and single-stranded oligonucleotides. Its clinical development products include RG-101, a GalNAc-conjugated anti-miR targeting miR-122 to treat patients with hepatitis C virus infection; RG-012, an anti-miR targeting microRNA-21 for the treatment of Alport syndrome; RG-125, a GalNAc-conjugated anti-miR targeting microRNA-103/107 for the treatment of non-alcoholic fatty liver disease; RGLS5040, an anti-miR targeting microRNA-27 for the treatment of cholestatic disease; and RGLS4326, an anti-miR targeting microRNA-17 for the treatment of autosomal dominant polycystic kidney disease. The company has strategic alliance with AstraZeneca AB and Sanofi to discover, develop, and commercialize microRNA therapeutics; and Biogen Inc. on microRNA biomarkers for multiple sclerosis, as well as a clinical trial collaboration agreement with GSK LLC. Regulus Therapeutics Inc. was founded in 2007 and is headquartered in San Diego, California.</v>
      </c>
    </row>
    <row r="35" spans="2:38" ht="14.85" customHeight="1">
      <c r="B35" s="250" t="str">
        <f>'Capital IQ Sheet-GPC'!C36</f>
        <v>CEL-SCI Corporation</v>
      </c>
      <c r="C35" s="759">
        <f>'Beta Calc'!R33</f>
        <v>27.601040000000001</v>
      </c>
      <c r="H35" s="759">
        <f>'Capital IQ Sheet-GPC'!O36</f>
        <v>0.21167</v>
      </c>
      <c r="I35" s="759">
        <f>'Capital IQ Sheet-GPC'!P36</f>
        <v>0.79149999999999998</v>
      </c>
      <c r="J35" s="759">
        <f>'Capital IQ Sheet-GPC'!Q36</f>
        <v>0.11742</v>
      </c>
      <c r="K35" s="331"/>
      <c r="L35" s="759">
        <f>'Capital IQ Sheet-GPC'!R36</f>
        <v>0.28772999999999999</v>
      </c>
      <c r="M35" s="759">
        <f>'Capital IQ Sheet-GPC'!S36</f>
        <v>0.54152</v>
      </c>
      <c r="N35" s="759" t="str">
        <f>'Capital IQ Sheet-GPC'!T36</f>
        <v>n/a</v>
      </c>
      <c r="O35" s="759" t="str">
        <f>'Capital IQ Sheet-GPC'!U36</f>
        <v>n/a</v>
      </c>
      <c r="P35" s="759" t="str">
        <f>'Capital IQ Sheet-GPC'!V36</f>
        <v>n/a</v>
      </c>
      <c r="R35" s="1174">
        <f t="shared" si="0"/>
        <v>130.39656068408371</v>
      </c>
      <c r="S35" s="1174">
        <f t="shared" si="1"/>
        <v>34.87181301326595</v>
      </c>
      <c r="T35" s="1174" t="str">
        <f t="shared" si="2"/>
        <v>NM</v>
      </c>
      <c r="V35" s="1174">
        <f t="shared" si="11"/>
        <v>95.926875890591887</v>
      </c>
      <c r="W35" s="1174">
        <f t="shared" si="12"/>
        <v>50.969567144334469</v>
      </c>
      <c r="X35" s="1174" t="str">
        <f t="shared" si="5"/>
        <v>n/a</v>
      </c>
      <c r="Y35" s="1174" t="str">
        <f t="shared" si="6"/>
        <v>n/a</v>
      </c>
      <c r="Z35" s="1174" t="str">
        <f t="shared" si="7"/>
        <v>n/a</v>
      </c>
      <c r="AB35" s="331">
        <f>'Beta Calc'!K33</f>
        <v>32.817689999999999</v>
      </c>
      <c r="AC35" s="331">
        <f>'Beta Calc'!L33</f>
        <v>2.31E-3</v>
      </c>
      <c r="AD35" s="331">
        <f>'Beta Calc'!M33</f>
        <v>0</v>
      </c>
      <c r="AE35" s="331">
        <f>'Beta Calc'!N33</f>
        <v>0</v>
      </c>
      <c r="AF35" s="331">
        <f t="shared" si="8"/>
        <v>2.31E-3</v>
      </c>
      <c r="AG35" s="1303">
        <f t="shared" si="9"/>
        <v>32.82</v>
      </c>
      <c r="AH35" s="331">
        <f>'Beta Calc'!Q33</f>
        <v>5.21896</v>
      </c>
      <c r="AI35" s="759">
        <f t="shared" si="10"/>
        <v>27.601040000000001</v>
      </c>
      <c r="AK35" s="1177" t="str">
        <f>IF('MASTER PubCo Inputs'!C51="","",'MASTER PubCo Inputs'!C51)</f>
        <v>IQ258746</v>
      </c>
      <c r="AL35" s="250" t="str">
        <f>'Capital IQ Sheet-GPC'!AP36</f>
        <v>CEL-SCI Corporation engages in the research and development of drugs and vaccines. Its lead investigational immunotherapy is Multikine, which is under pivotal phase III clinical trial for the treatment of primary head and neck cancer. The company’s Multikine is also used in a Phase I study with the Naval Medical Center, San Diego under a cooperative research and development agreement in HIV/HPV co-infected men and women with peri-anal warts. Its Ligand Epitope Antigen Presentation System, a pre-clinical patented T-cell modulation process that stimulates the human immune system to fight bacterial, viral, and parasitic infections, as well as autoimmune diseases, allergies, transplantation rejections, and cancer. The company also develops LEAPS-H1N1-DC, a product candidate for the treatment of pandemic influenza in hospitalized patients; and CEL-2000 and CEL-4000 vaccine product candidates for the treatment of rheumatoid arthritis. CEL-SCI Corporation was founded in 1983 and is headquartered in Vienna, Virginia.</v>
      </c>
    </row>
    <row r="36" spans="2:38" ht="14.85" customHeight="1">
      <c r="B36" s="250" t="str">
        <f>'Capital IQ Sheet-GPC'!C37</f>
        <v>PhaseRx, Inc.</v>
      </c>
      <c r="C36" s="759">
        <f>'Beta Calc'!R34</f>
        <v>11.525689999999997</v>
      </c>
      <c r="H36" s="759">
        <f>'Capital IQ Sheet-GPC'!O37</f>
        <v>0</v>
      </c>
      <c r="I36" s="759">
        <f>'Capital IQ Sheet-GPC'!P37</f>
        <v>1.2</v>
      </c>
      <c r="J36" s="759">
        <f>'Capital IQ Sheet-GPC'!Q37</f>
        <v>0</v>
      </c>
      <c r="K36" s="331"/>
      <c r="L36" s="759">
        <f>'Capital IQ Sheet-GPC'!R37</f>
        <v>1.2</v>
      </c>
      <c r="M36" s="759">
        <f>'Capital IQ Sheet-GPC'!S37</f>
        <v>0.375</v>
      </c>
      <c r="N36" s="759" t="str">
        <f>'Capital IQ Sheet-GPC'!T37</f>
        <v>n/a</v>
      </c>
      <c r="O36" s="759">
        <f>'Capital IQ Sheet-GPC'!U37</f>
        <v>8.3330000000000002</v>
      </c>
      <c r="P36" s="759">
        <f>'Capital IQ Sheet-GPC'!V37</f>
        <v>4.6665000000000001</v>
      </c>
      <c r="R36" s="1174" t="str">
        <f t="shared" si="0"/>
        <v>n/a</v>
      </c>
      <c r="S36" s="1174">
        <f t="shared" si="1"/>
        <v>9.6047416666666656</v>
      </c>
      <c r="T36" s="1174" t="str">
        <f t="shared" si="2"/>
        <v>n/a</v>
      </c>
      <c r="V36" s="1174">
        <f t="shared" si="11"/>
        <v>9.6047416666666656</v>
      </c>
      <c r="W36" s="1174">
        <f t="shared" si="12"/>
        <v>30.735173333333325</v>
      </c>
      <c r="X36" s="1174" t="str">
        <f t="shared" si="5"/>
        <v>n/a</v>
      </c>
      <c r="Y36" s="1174">
        <f t="shared" si="6"/>
        <v>1.3831381255250206</v>
      </c>
      <c r="Z36" s="1174">
        <f t="shared" si="7"/>
        <v>2.4698789242472938</v>
      </c>
      <c r="AB36" s="331">
        <f>'Beta Calc'!K34</f>
        <v>24.549689999999998</v>
      </c>
      <c r="AC36" s="331">
        <f>'Beta Calc'!L34</f>
        <v>5.6109999999999998</v>
      </c>
      <c r="AD36" s="331">
        <f>'Beta Calc'!M34</f>
        <v>0</v>
      </c>
      <c r="AE36" s="331">
        <f>'Beta Calc'!N34</f>
        <v>0</v>
      </c>
      <c r="AF36" s="331">
        <f t="shared" si="8"/>
        <v>5.6109999999999998</v>
      </c>
      <c r="AG36" s="1303">
        <f t="shared" si="9"/>
        <v>30.160689999999999</v>
      </c>
      <c r="AH36" s="331">
        <f>'Beta Calc'!Q34</f>
        <v>18.635000000000002</v>
      </c>
      <c r="AI36" s="759">
        <f t="shared" si="10"/>
        <v>11.525689999999997</v>
      </c>
      <c r="AK36" s="1177" t="str">
        <f>IF('MASTER PubCo Inputs'!C52="","",'MASTER PubCo Inputs'!C52)</f>
        <v>IQ41693120</v>
      </c>
      <c r="AL36" s="250" t="str">
        <f>'Capital IQ Sheet-GPC'!AP37</f>
        <v>PhaseRx, Inc., a biopharmaceutical company, engages in developing a portfolio of products for the treatment of inherited enzyme deficiencies in the liver using intracellular enzyme replacement therapy. The company develops its products based on its proprietary Hybrid mRNA technology platform, which allows the synthesis of missing enzyme inside the cell. Its therapeutic urea cycle disorder programs under development include PRX-OTC to treat ornithine transcarbamylase deficiency; PRX-ASL to treat argininosuccinate lyase deficiency; and PRX-ASS1 to treat argininosuccinate synthetase deficiency. The company was incorporated in 2006 and is headquartered in Seattle, Washington.</v>
      </c>
    </row>
    <row r="37" spans="2:38" ht="14.85" customHeight="1">
      <c r="B37" s="250" t="str">
        <f>'Capital IQ Sheet-GPC'!C38</f>
        <v>Marina Biotech, Inc.</v>
      </c>
      <c r="C37" s="759">
        <f>'Beta Calc'!R35</f>
        <v>9.8748500000000003</v>
      </c>
      <c r="H37" s="759">
        <f>'Capital IQ Sheet-GPC'!O38</f>
        <v>0</v>
      </c>
      <c r="I37" s="759">
        <f>'Capital IQ Sheet-GPC'!P38</f>
        <v>0</v>
      </c>
      <c r="J37" s="759">
        <f>'Capital IQ Sheet-GPC'!Q38</f>
        <v>0</v>
      </c>
      <c r="K37" s="331"/>
      <c r="L37" s="759">
        <f>'Capital IQ Sheet-GPC'!R38</f>
        <v>0</v>
      </c>
      <c r="M37" s="759">
        <f>'Capital IQ Sheet-GPC'!S38</f>
        <v>0</v>
      </c>
      <c r="N37" s="759" t="str">
        <f>'Capital IQ Sheet-GPC'!T38</f>
        <v>n/a</v>
      </c>
      <c r="O37" s="759" t="str">
        <f>'Capital IQ Sheet-GPC'!U38</f>
        <v>n/a</v>
      </c>
      <c r="P37" s="759" t="str">
        <f>'Capital IQ Sheet-GPC'!V38</f>
        <v>n/a</v>
      </c>
      <c r="R37" s="1174" t="str">
        <f t="shared" si="0"/>
        <v>n/a</v>
      </c>
      <c r="S37" s="1174" t="str">
        <f t="shared" si="1"/>
        <v>n/a</v>
      </c>
      <c r="T37" s="1174" t="str">
        <f t="shared" si="2"/>
        <v>n/a</v>
      </c>
      <c r="V37" s="1174" t="str">
        <f t="shared" si="11"/>
        <v>n/a</v>
      </c>
      <c r="W37" s="1174" t="str">
        <f t="shared" si="12"/>
        <v>n/a</v>
      </c>
      <c r="X37" s="1174" t="str">
        <f t="shared" si="5"/>
        <v>n/a</v>
      </c>
      <c r="Y37" s="1174" t="str">
        <f t="shared" si="6"/>
        <v>n/a</v>
      </c>
      <c r="Z37" s="1174" t="str">
        <f t="shared" si="7"/>
        <v>n/a</v>
      </c>
      <c r="AB37" s="331">
        <f>'Beta Calc'!K35</f>
        <v>9.8748500000000003</v>
      </c>
      <c r="AC37" s="331">
        <f>'Beta Calc'!L35</f>
        <v>0</v>
      </c>
      <c r="AD37" s="331">
        <f>'Beta Calc'!M35</f>
        <v>0</v>
      </c>
      <c r="AE37" s="331">
        <f>'Beta Calc'!N35</f>
        <v>0</v>
      </c>
      <c r="AF37" s="331">
        <f t="shared" si="8"/>
        <v>0</v>
      </c>
      <c r="AG37" s="1303">
        <f t="shared" si="9"/>
        <v>9.8748500000000003</v>
      </c>
      <c r="AH37" s="331">
        <f>'Beta Calc'!Q35</f>
        <v>0</v>
      </c>
      <c r="AI37" s="759">
        <f t="shared" si="10"/>
        <v>9.8748500000000003</v>
      </c>
      <c r="AK37" s="1177" t="str">
        <f>IF('MASTER PubCo Inputs'!C53="","",'MASTER PubCo Inputs'!C53)</f>
        <v>IQ280596151</v>
      </c>
      <c r="AL37" s="250" t="str">
        <f>'Capital IQ Sheet-GPC'!AP38</f>
        <v>Marina Biotech, Inc., a biopharmaceutical company, engages in the discovery, acquisition, development, and commercialization of proprietary drug therapeutics for addressing unmet medical needs in the United States, Europe, and internationally. The company has three clinical development programs, such as IT-102 and IT-103, a celecoxib program drug candidates for the treatment of combined arthritis pain/hypertension and the treatment of pain requiring a high dose of celecoxib; CEQ508, an oral delivery of small interfering RNA against beta-catenin, combined with IT-102 to suppress polyps in the precancerous syndrome and orphan indication of familial adenomatous polyposis; and CEQ508 combined with IT-103 to treat colorectal cancer. Its preclinical pipeline includes oligotherapeutics for the treatment of bladder cancer, inflammatory bowel, and duchenne muscular dystrophy diseases. The company is based in City of Industry, California.</v>
      </c>
    </row>
    <row r="38" spans="2:38" ht="14.85" customHeight="1">
      <c r="B38" s="250" t="str">
        <f>'Capital IQ Sheet-GPC'!C39</f>
        <v>RXi Pharmaceuticals Corporation</v>
      </c>
      <c r="C38" s="759">
        <f>'Beta Calc'!R36</f>
        <v>5.5867699999999996</v>
      </c>
      <c r="H38" s="759">
        <f>'Capital IQ Sheet-GPC'!O39</f>
        <v>8.5999999999999993E-2</v>
      </c>
      <c r="I38" s="759">
        <f>'Capital IQ Sheet-GPC'!P39</f>
        <v>4.8000000000000001E-2</v>
      </c>
      <c r="J38" s="759">
        <f>'Capital IQ Sheet-GPC'!Q39</f>
        <v>1.9E-2</v>
      </c>
      <c r="K38" s="331"/>
      <c r="L38" s="759">
        <f>'Capital IQ Sheet-GPC'!R39</f>
        <v>7.0999999999999994E-2</v>
      </c>
      <c r="M38" s="759">
        <f>'Capital IQ Sheet-GPC'!S39</f>
        <v>3.4000000000000002E-2</v>
      </c>
      <c r="N38" s="759">
        <f>'Capital IQ Sheet-GPC'!T39</f>
        <v>1.9E-2</v>
      </c>
      <c r="O38" s="759" t="str">
        <f>'Capital IQ Sheet-GPC'!U39</f>
        <v>n/a</v>
      </c>
      <c r="P38" s="759">
        <f>'Capital IQ Sheet-GPC'!V39</f>
        <v>1.3</v>
      </c>
      <c r="R38" s="1174">
        <f t="shared" si="0"/>
        <v>64.96244186046512</v>
      </c>
      <c r="S38" s="1174">
        <f t="shared" si="1"/>
        <v>116.39104166666665</v>
      </c>
      <c r="T38" s="1174" t="str">
        <f t="shared" si="2"/>
        <v>NM</v>
      </c>
      <c r="V38" s="1174">
        <f t="shared" si="11"/>
        <v>78.686901408450709</v>
      </c>
      <c r="W38" s="1174" t="str">
        <f t="shared" si="12"/>
        <v>NM</v>
      </c>
      <c r="X38" s="1174" t="str">
        <f t="shared" si="5"/>
        <v>NM</v>
      </c>
      <c r="Y38" s="1174" t="str">
        <f t="shared" si="6"/>
        <v>n/a</v>
      </c>
      <c r="Z38" s="1174">
        <f t="shared" si="7"/>
        <v>4.2975153846153837</v>
      </c>
      <c r="AB38" s="331">
        <f>'Beta Calc'!K36</f>
        <v>9.9657699999999991</v>
      </c>
      <c r="AC38" s="331">
        <f>'Beta Calc'!L36</f>
        <v>0</v>
      </c>
      <c r="AD38" s="331">
        <f>'Beta Calc'!M36</f>
        <v>0</v>
      </c>
      <c r="AE38" s="331">
        <f>'Beta Calc'!N36</f>
        <v>0</v>
      </c>
      <c r="AF38" s="331">
        <f t="shared" si="8"/>
        <v>0</v>
      </c>
      <c r="AG38" s="1303">
        <f t="shared" si="9"/>
        <v>9.9657699999999991</v>
      </c>
      <c r="AH38" s="331">
        <f>'Beta Calc'!Q36</f>
        <v>4.3789999999999996</v>
      </c>
      <c r="AI38" s="759">
        <f t="shared" si="10"/>
        <v>5.5867699999999996</v>
      </c>
      <c r="AK38" s="1177" t="str">
        <f>IF('MASTER PubCo Inputs'!C54="","",'MASTER PubCo Inputs'!C54)</f>
        <v>IQ140969529</v>
      </c>
      <c r="AL38" s="250" t="str">
        <f>'Capital IQ Sheet-GPC'!AP39</f>
        <v>RXi Pharmaceuticals Corporation, a clinical-stage company, focuses on developing therapeutics for unmet medical needs. It develops therapies based on its self-delivering RNAi (sd-rxRNA) platform; and Samcyprone topical immunomodulatory. The company’s clinical development programs include RXI-109, an sd-rxRNA compound, which is in Phase II clinical trial for preventing or reducing dermal scarring following scar revision surgery of an existing hypertrophic scar; and in Phase I/II clinical trial for treating retinal scarring, as well as in discovery stage for the treatment of corneal scarring. Its clinical development programs also comprise RXI-231, an sd-rxRNA compound targeting tyrosinase, which is in development stage as a cosmetic ingredient for treating uneven skin tone and pigmentation; and RXI-185, an sd-rxRNA compound targeting collagenase that is in development stage as a cosmetic ingredient for treating wrinkles and skin laxity. The company is also developing Samcyprone, a formulation of the small molecule diphenylcyclopropenone, which is in Phase IIa clinical trial for the clearance of common warts. In addition, it is developing cell-based cancer immunotherapies. RXi Pharmaceuticals Corporation was incorporated in 2011 and is headquartered in Marlborough, Massachusetts.</v>
      </c>
    </row>
    <row r="39" spans="2:38" ht="14.85" customHeight="1">
      <c r="B39" s="250" t="str">
        <f>'Capital IQ Sheet-GPC'!C40</f>
        <v>Benitec Biopharma Limited</v>
      </c>
      <c r="C39" s="759">
        <f>'Beta Calc'!R37</f>
        <v>2.1931599999999989</v>
      </c>
      <c r="H39" s="759">
        <f>'Capital IQ Sheet-GPC'!O40</f>
        <v>1.3834900000000001</v>
      </c>
      <c r="I39" s="759">
        <f>'Capital IQ Sheet-GPC'!P40</f>
        <v>2.3238099999999999</v>
      </c>
      <c r="J39" s="759">
        <f>'Capital IQ Sheet-GPC'!Q40</f>
        <v>7.3621299999999996</v>
      </c>
      <c r="K39" s="331"/>
      <c r="L39" s="759">
        <f>'Capital IQ Sheet-GPC'!R40</f>
        <v>1.464</v>
      </c>
      <c r="M39" s="759">
        <f>'Capital IQ Sheet-GPC'!S40</f>
        <v>2.2444700000000002</v>
      </c>
      <c r="N39" s="759" t="str">
        <f>'Capital IQ Sheet-GPC'!T40</f>
        <v>n/a</v>
      </c>
      <c r="O39" s="759" t="str">
        <f>'Capital IQ Sheet-GPC'!U40</f>
        <v>n/a</v>
      </c>
      <c r="P39" s="759" t="str">
        <f>'Capital IQ Sheet-GPC'!V40</f>
        <v>n/a</v>
      </c>
      <c r="R39" s="1174">
        <f t="shared" si="0"/>
        <v>1.5852373345669277</v>
      </c>
      <c r="S39" s="1174">
        <f t="shared" si="1"/>
        <v>0.94377767545539393</v>
      </c>
      <c r="T39" s="1174">
        <f t="shared" si="2"/>
        <v>0.2978974834728535</v>
      </c>
      <c r="V39" s="1174">
        <f t="shared" si="11"/>
        <v>1.4980601092896169</v>
      </c>
      <c r="W39" s="1174">
        <f t="shared" si="12"/>
        <v>0.9771393692052015</v>
      </c>
      <c r="X39" s="1174" t="str">
        <f t="shared" si="5"/>
        <v>n/a</v>
      </c>
      <c r="Y39" s="1174" t="str">
        <f t="shared" si="6"/>
        <v>n/a</v>
      </c>
      <c r="Z39" s="1174" t="str">
        <f t="shared" si="7"/>
        <v>n/a</v>
      </c>
      <c r="AB39" s="331">
        <f>'Beta Calc'!K37</f>
        <v>12.459519999999999</v>
      </c>
      <c r="AC39" s="331">
        <f>'Beta Calc'!L37</f>
        <v>0</v>
      </c>
      <c r="AD39" s="331">
        <f>'Beta Calc'!M37</f>
        <v>0</v>
      </c>
      <c r="AE39" s="331">
        <f>'Beta Calc'!N37</f>
        <v>0</v>
      </c>
      <c r="AF39" s="331">
        <f t="shared" si="8"/>
        <v>0</v>
      </c>
      <c r="AG39" s="1303">
        <f t="shared" si="9"/>
        <v>12.459519999999999</v>
      </c>
      <c r="AH39" s="331">
        <f>'Beta Calc'!Q37</f>
        <v>10.266360000000001</v>
      </c>
      <c r="AI39" s="759">
        <f t="shared" si="10"/>
        <v>2.1931599999999989</v>
      </c>
      <c r="AK39" s="1177" t="str">
        <f>IF('MASTER PubCo Inputs'!C55="","",'MASTER PubCo Inputs'!C55)</f>
        <v>IQ4492928</v>
      </c>
      <c r="AL39" s="250" t="str">
        <f>'Capital IQ Sheet-GPC'!AP40</f>
        <v>Benitec Biopharma Limited, a biotechnology company, develops treatments for chronic and life-threatening human diseases based on its gene silencing therapy, DNA-directed RNA interference (ddRNAi) in Australia, the United Kingdom, and the United States. Its in-house development programs include TT-034, which is in Phase I/IIa clinical trials for the treatment of hepatitis C; BB-HB-331 for the treatment of the hepatitis B virus; and ddRNAi-based therapies, such as BB-AMD-211 and BB-AMD-233 for the treatment of wet age-related macular degeneration (AMD), as well as BB-AMD-231 for the treatment of wet and dry AMD. The company also engages in developing a ddRNAi-based gene therapy for the treatment of oculopharyngeal muscular dystrophy, an autosomal-dominant inherited, slow-progressing, and late-onset degenerative muscle disorder that occurs at the age of 40 or 50 years in patients. In addition, it licenses its ddRNAi technology to other biopharmaceutical companies for the progress of HIV/AIDS, retinitis pigmentosa, cancer immunotherapy, Huntington’s disease, and neuropathic pain programs. The company has a strategic partnership with Nant Capital, LLC for a scientific collaboration in clinical programs; and a research collaboration agreement with Nant Capital LLC for the clinical development of BB-401, a recombinant DNA construct that produces an antisense RNA with specificity against epidermal growth factor receptor. Benitec Biopharma Limited was founded in 1995 and is headquartered in North Sydney, Australia.</v>
      </c>
    </row>
    <row r="40" spans="2:38" ht="14.85" customHeight="1">
      <c r="B40" s="250" t="str">
        <f>'Capital IQ Sheet-GPC'!C41</f>
        <v>GenVec, Inc.</v>
      </c>
      <c r="C40" s="759">
        <f>'Beta Calc'!R38</f>
        <v>-1.0658100000000008</v>
      </c>
      <c r="H40" s="759">
        <f>'Capital IQ Sheet-GPC'!O41</f>
        <v>2.657</v>
      </c>
      <c r="I40" s="759">
        <f>'Capital IQ Sheet-GPC'!P41</f>
        <v>4.2539999999999996</v>
      </c>
      <c r="J40" s="759">
        <f>'Capital IQ Sheet-GPC'!Q41</f>
        <v>0.64900000000000002</v>
      </c>
      <c r="K40" s="331"/>
      <c r="L40" s="759">
        <f>'Capital IQ Sheet-GPC'!R41</f>
        <v>6.0410000000000004</v>
      </c>
      <c r="M40" s="759">
        <f>'Capital IQ Sheet-GPC'!S41</f>
        <v>0.88500000000000001</v>
      </c>
      <c r="N40" s="759">
        <f>'Capital IQ Sheet-GPC'!T41</f>
        <v>0.6</v>
      </c>
      <c r="O40" s="759">
        <f>'Capital IQ Sheet-GPC'!U41</f>
        <v>0.7</v>
      </c>
      <c r="P40" s="759">
        <f>'Capital IQ Sheet-GPC'!V41</f>
        <v>1.2</v>
      </c>
      <c r="R40" s="1174">
        <f t="shared" si="0"/>
        <v>-0.40113285660519415</v>
      </c>
      <c r="S40" s="1174">
        <f t="shared" si="1"/>
        <v>-0.25054301833568426</v>
      </c>
      <c r="T40" s="1174" t="str">
        <f t="shared" si="2"/>
        <v>NM</v>
      </c>
      <c r="V40" s="1174" t="str">
        <f t="shared" si="11"/>
        <v>NM</v>
      </c>
      <c r="W40" s="1174" t="str">
        <f t="shared" si="12"/>
        <v>NM</v>
      </c>
      <c r="X40" s="1174" t="str">
        <f t="shared" si="5"/>
        <v>NM</v>
      </c>
      <c r="Y40" s="1174" t="str">
        <f t="shared" si="6"/>
        <v>NM</v>
      </c>
      <c r="Z40" s="1174" t="str">
        <f t="shared" si="7"/>
        <v>NM</v>
      </c>
      <c r="AB40" s="331">
        <f>'Beta Calc'!K38</f>
        <v>7.33019</v>
      </c>
      <c r="AC40" s="331">
        <f>'Beta Calc'!L38</f>
        <v>0</v>
      </c>
      <c r="AD40" s="331">
        <f>'Beta Calc'!M38</f>
        <v>0</v>
      </c>
      <c r="AE40" s="331">
        <f>'Beta Calc'!N38</f>
        <v>0</v>
      </c>
      <c r="AF40" s="331">
        <f t="shared" si="8"/>
        <v>0</v>
      </c>
      <c r="AG40" s="1303">
        <f t="shared" si="9"/>
        <v>7.33019</v>
      </c>
      <c r="AH40" s="331">
        <f>'Beta Calc'!Q38</f>
        <v>8.3960000000000008</v>
      </c>
      <c r="AI40" s="759">
        <f t="shared" si="10"/>
        <v>-1.0658100000000008</v>
      </c>
      <c r="AK40" s="1177" t="str">
        <f>IF('MASTER PubCo Inputs'!C56="","",'MASTER PubCo Inputs'!C56)</f>
        <v>IQ28949</v>
      </c>
      <c r="AL40" s="250" t="str">
        <f>'Capital IQ Sheet-GPC'!AP41</f>
        <v>GenVec, Inc., a clinical-stage biopharmaceutical company, focuses on developing a pipeline of therapeutics and vaccines through its proprietary AdenoVerse gene delivery platform in the United States. It designs, tests, and manufactures adenoviral-based product candidates. The company’s lead product candidate is CGF166, which is in Phase I/II clinical trial for the treatment of hearing loss and balance disorders. It is also developing GV2311 vaccine for respiratory syncytial virus; and GV2207 vaccine for the treatment of herpes simplex virus. The company has a collaboration agreement with Novartis AG to develop CGF166. It also has collaboration agreement with TheraBiologics, Inc. to develop cancer therapeutics; National Institute of Allergy and Infectious Diseases to generate vaccine candidates for the prevention of malaria; Laboratory of Malaria Immunology and Vaccinology to create and test various malaria vaccine candidates; and Merial to develop and commercialize vaccine and anti-viral candidates for the prevention and containment of foot-and-mouth diseases in livestock and other animals. The company was founded in 1992 and is based in Gaithersburg, Maryland.</v>
      </c>
    </row>
    <row r="41" spans="2:38" ht="14.85" customHeight="1">
      <c r="B41" s="250" t="str">
        <f>'Capital IQ Sheet-GPC'!C42</f>
        <v>Arbutus Biopharma Corporation</v>
      </c>
      <c r="C41" s="759">
        <f>'Beta Calc'!R39</f>
        <v>-4.3520399999999881</v>
      </c>
      <c r="H41" s="759">
        <f>'Capital IQ Sheet-GPC'!O42</f>
        <v>18.13</v>
      </c>
      <c r="I41" s="759">
        <f>'Capital IQ Sheet-GPC'!P42</f>
        <v>16.536999999999999</v>
      </c>
      <c r="J41" s="759">
        <f>'Capital IQ Sheet-GPC'!Q42</f>
        <v>14.372</v>
      </c>
      <c r="K41" s="331"/>
      <c r="L41" s="759">
        <f>'Capital IQ Sheet-GPC'!R42</f>
        <v>14.952999999999999</v>
      </c>
      <c r="M41" s="759">
        <f>'Capital IQ Sheet-GPC'!S42</f>
        <v>24.873000000000001</v>
      </c>
      <c r="N41" s="759">
        <f>'Capital IQ Sheet-GPC'!T42</f>
        <v>2.1284999999999998</v>
      </c>
      <c r="O41" s="759">
        <f>'Capital IQ Sheet-GPC'!U42</f>
        <v>3.05688</v>
      </c>
      <c r="P41" s="759">
        <f>'Capital IQ Sheet-GPC'!V42</f>
        <v>7.1647699999999999</v>
      </c>
      <c r="R41" s="1174">
        <f t="shared" si="0"/>
        <v>-0.24004633204633141</v>
      </c>
      <c r="S41" s="1174">
        <f t="shared" si="1"/>
        <v>-0.26316986152264549</v>
      </c>
      <c r="T41" s="1174" t="str">
        <f t="shared" si="2"/>
        <v>NM</v>
      </c>
      <c r="V41" s="1174" t="str">
        <f t="shared" si="11"/>
        <v>NM</v>
      </c>
      <c r="W41" s="1174" t="str">
        <f t="shared" si="12"/>
        <v>NM</v>
      </c>
      <c r="X41" s="1174" t="str">
        <f t="shared" si="5"/>
        <v>NM</v>
      </c>
      <c r="Y41" s="1174" t="str">
        <f t="shared" si="6"/>
        <v>NM</v>
      </c>
      <c r="Z41" s="1174" t="str">
        <f t="shared" si="7"/>
        <v>NM</v>
      </c>
      <c r="AB41" s="331">
        <f>'Beta Calc'!K39</f>
        <v>145.32996</v>
      </c>
      <c r="AC41" s="331">
        <f>'Beta Calc'!L39</f>
        <v>0</v>
      </c>
      <c r="AD41" s="331">
        <f>'Beta Calc'!M39</f>
        <v>0</v>
      </c>
      <c r="AE41" s="331">
        <f>'Beta Calc'!N39</f>
        <v>0</v>
      </c>
      <c r="AF41" s="331">
        <f t="shared" si="8"/>
        <v>0</v>
      </c>
      <c r="AG41" s="1303">
        <f t="shared" si="9"/>
        <v>145.32996</v>
      </c>
      <c r="AH41" s="331">
        <f>'Beta Calc'!Q39</f>
        <v>149.68199999999999</v>
      </c>
      <c r="AI41" s="759">
        <f t="shared" si="10"/>
        <v>-4.3520399999999881</v>
      </c>
      <c r="AK41" s="1177" t="str">
        <f>IF('MASTER PubCo Inputs'!C57="","",'MASTER PubCo Inputs'!C57)</f>
        <v>IQ34160168</v>
      </c>
      <c r="AL41" s="250" t="str">
        <f>'Capital IQ Sheet-GPC'!AP42</f>
        <v>Arbutus Biopharma Corporation, a biopharmaceutical company, engages in discovering, developing, and commercializing a cure for patients suffering from chronic Hepatitis B virus (HBV) infection in Canada and the United States. It also develops a pipeline of products based on RNA interference therapeutics (RNAi). The company’s lead candidate is ARB-1467, which is in a Phase II trial to eliminate HBV surface antigen expression in patients chronically infected with HBV. Its product candidates also comprise ARB-1740, a pan-genotypic second-generation siRNA therapeutic in Phase II multi-dose study in Hepatitis B e antigen-chronic HBV patients; and AB-423, a core protein/capsid assembly inhibitor in Phase I clinical trial as an oral therapeutic for the treatment of chronic HBV infection. In addition, the company has various research programs for the discovery and development of proprietary HBV candidates, including oral surface antigen inhibitors, cccDNA targeting agents, and immunomodulators. Further, its partnered programs consist of Patisiran (ALN-TTR02), an RNAi therapeutic targeting transthyretin (TTR) in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DCR-PH1 for the treatment of primary hyperoxaluria type 1. The company was formerly known as Tekmira Pharmaceuticals Corporation and changed its name to Arbutus Biopharma Corporation in July 2015. Arbutus Biopharma Corporation is headquartered in Burnaby, Canada.</v>
      </c>
    </row>
    <row r="42" spans="2:38" ht="14.85" customHeight="1">
      <c r="C42" s="331"/>
      <c r="H42" s="331"/>
      <c r="I42" s="331"/>
      <c r="J42" s="331"/>
      <c r="K42" s="331"/>
      <c r="L42" s="331"/>
      <c r="M42" s="331"/>
      <c r="N42" s="331"/>
      <c r="O42" s="331"/>
      <c r="P42" s="331"/>
    </row>
    <row r="43" spans="2:38" ht="14.85" customHeight="1">
      <c r="B43" s="860" t="s">
        <v>111</v>
      </c>
      <c r="C43" s="1304">
        <f>MAX(C12:C41)</f>
        <v>1387.752</v>
      </c>
      <c r="D43" s="861"/>
      <c r="E43" s="1305"/>
      <c r="F43" s="1305"/>
      <c r="G43" s="1305"/>
      <c r="H43" s="1304">
        <f t="shared" ref="H43:J43" si="13">MAX(H12:H41)</f>
        <v>46.453000000000003</v>
      </c>
      <c r="I43" s="1304">
        <f t="shared" si="13"/>
        <v>149.101</v>
      </c>
      <c r="J43" s="1304">
        <f t="shared" si="13"/>
        <v>89.843000000000004</v>
      </c>
      <c r="K43" s="1304"/>
      <c r="L43" s="1304">
        <f t="shared" ref="L43:P43" si="14">MAX(L12:L41)</f>
        <v>124.346</v>
      </c>
      <c r="M43" s="1304">
        <f t="shared" si="14"/>
        <v>131.827</v>
      </c>
      <c r="N43" s="1304">
        <f t="shared" si="14"/>
        <v>52.526000000000003</v>
      </c>
      <c r="O43" s="1304">
        <f t="shared" si="14"/>
        <v>27.338999999999999</v>
      </c>
      <c r="P43" s="1304">
        <f t="shared" si="14"/>
        <v>163.61997</v>
      </c>
      <c r="Q43" s="1306"/>
      <c r="R43" s="1307">
        <f t="shared" ref="R43:T43" si="15">MAX(R12:R41)</f>
        <v>69387.599999999991</v>
      </c>
      <c r="S43" s="1307">
        <f t="shared" si="15"/>
        <v>4438.675657894737</v>
      </c>
      <c r="T43" s="1307">
        <f t="shared" si="15"/>
        <v>67.743792398855746</v>
      </c>
      <c r="U43" s="1306"/>
      <c r="V43" s="1307">
        <f t="shared" ref="V43:Z43" si="16">MAX(V12:V41)</f>
        <v>95.926875890591887</v>
      </c>
      <c r="W43" s="1307">
        <f t="shared" si="16"/>
        <v>65.53863732208751</v>
      </c>
      <c r="X43" s="1307">
        <f t="shared" si="16"/>
        <v>50.609746568423539</v>
      </c>
      <c r="Y43" s="1307">
        <f t="shared" si="16"/>
        <v>90.884335564588852</v>
      </c>
      <c r="Z43" s="1308">
        <f t="shared" si="16"/>
        <v>73.810097903348392</v>
      </c>
      <c r="AA43" s="723"/>
      <c r="AB43" s="723"/>
    </row>
    <row r="44" spans="2:38" ht="14.85" customHeight="1">
      <c r="B44" s="1309" t="s">
        <v>115</v>
      </c>
      <c r="C44" s="1190">
        <f>QUARTILE(C12:C41,3)</f>
        <v>330.71264999999994</v>
      </c>
      <c r="D44" s="1188"/>
      <c r="E44" s="1188"/>
      <c r="F44" s="1188"/>
      <c r="G44" s="1188"/>
      <c r="H44" s="1190">
        <f t="shared" ref="H44:J44" si="17">QUARTILE(H12:H41,3)</f>
        <v>2.3386225</v>
      </c>
      <c r="I44" s="1190">
        <f t="shared" si="17"/>
        <v>5.1976149999999999</v>
      </c>
      <c r="J44" s="1190">
        <f t="shared" si="17"/>
        <v>12.264749999999999</v>
      </c>
      <c r="K44" s="1190"/>
      <c r="L44" s="1190">
        <f t="shared" ref="L44:P44" si="18">QUARTILE(L12:L41,3)</f>
        <v>4.8967499999999999</v>
      </c>
      <c r="M44" s="1190">
        <f t="shared" si="18"/>
        <v>9.0295000000000005</v>
      </c>
      <c r="N44" s="1190">
        <f t="shared" si="18"/>
        <v>6.7316000000000003</v>
      </c>
      <c r="O44" s="1190">
        <f t="shared" si="18"/>
        <v>9.8339999999999996</v>
      </c>
      <c r="P44" s="1190">
        <f t="shared" si="18"/>
        <v>27.935164999999998</v>
      </c>
      <c r="Q44" s="1310"/>
      <c r="R44" s="1189">
        <f t="shared" ref="R44:T44" si="19">QUARTILE(R12:R41,3)</f>
        <v>256.22778429073855</v>
      </c>
      <c r="S44" s="1189">
        <f t="shared" si="19"/>
        <v>253.24773441463404</v>
      </c>
      <c r="T44" s="1189">
        <f t="shared" si="19"/>
        <v>57.286795022700502</v>
      </c>
      <c r="U44" s="1310"/>
      <c r="V44" s="1189">
        <f t="shared" ref="V44:Z44" si="20">QUARTILE(V12:V41,3)</f>
        <v>68.692123861444202</v>
      </c>
      <c r="W44" s="1189">
        <f t="shared" si="20"/>
        <v>49.656214901599625</v>
      </c>
      <c r="X44" s="1189">
        <f t="shared" si="20"/>
        <v>25.464750924133082</v>
      </c>
      <c r="Y44" s="1189">
        <f t="shared" si="20"/>
        <v>62.830356801307005</v>
      </c>
      <c r="Z44" s="1311">
        <f t="shared" si="20"/>
        <v>16.563331628869211</v>
      </c>
      <c r="AA44" s="723"/>
      <c r="AB44" s="723"/>
    </row>
    <row r="45" spans="2:38" ht="14.85" customHeight="1">
      <c r="B45" s="1309" t="s">
        <v>113</v>
      </c>
      <c r="C45" s="1190">
        <f>AVERAGE(C12:C41)</f>
        <v>248.63261900000001</v>
      </c>
      <c r="D45" s="1188"/>
      <c r="E45" s="1188"/>
      <c r="F45" s="1188"/>
      <c r="G45" s="1188"/>
      <c r="H45" s="1190">
        <f t="shared" ref="H45:J45" si="21">AVERAGE(H12:H41)</f>
        <v>4.6272826666666651</v>
      </c>
      <c r="I45" s="1190">
        <f t="shared" si="21"/>
        <v>11.185417666666666</v>
      </c>
      <c r="J45" s="1190">
        <f t="shared" si="21"/>
        <v>9.4077866666666683</v>
      </c>
      <c r="K45" s="1190"/>
      <c r="L45" s="1190">
        <f t="shared" ref="L45:P45" si="22">AVERAGE(L12:L41)</f>
        <v>7.661005666666667</v>
      </c>
      <c r="M45" s="1190">
        <f t="shared" si="22"/>
        <v>12.790939333333331</v>
      </c>
      <c r="N45" s="1190">
        <f t="shared" si="22"/>
        <v>7.9790933333333331</v>
      </c>
      <c r="O45" s="1190">
        <f t="shared" si="22"/>
        <v>9.1727942857142839</v>
      </c>
      <c r="P45" s="1190">
        <f t="shared" si="22"/>
        <v>23.619331304347828</v>
      </c>
      <c r="Q45" s="1310"/>
      <c r="R45" s="1189">
        <f t="shared" ref="R45:T45" si="23">AVERAGE(R12:R41)</f>
        <v>4341.2210920797252</v>
      </c>
      <c r="S45" s="1189">
        <f t="shared" si="23"/>
        <v>585.63540536262337</v>
      </c>
      <c r="T45" s="1189">
        <f t="shared" si="23"/>
        <v>24.813886601567951</v>
      </c>
      <c r="U45" s="1310"/>
      <c r="V45" s="1189">
        <f t="shared" ref="V45:Z45" si="24">AVERAGE(V12:V41)</f>
        <v>32.960181412730734</v>
      </c>
      <c r="W45" s="1189">
        <f t="shared" si="24"/>
        <v>26.428239274574683</v>
      </c>
      <c r="X45" s="1189">
        <f t="shared" si="24"/>
        <v>19.378595036266788</v>
      </c>
      <c r="Y45" s="1189">
        <f t="shared" si="24"/>
        <v>34.080793997818922</v>
      </c>
      <c r="Z45" s="1311">
        <f t="shared" si="24"/>
        <v>16.422601701373907</v>
      </c>
      <c r="AA45" s="723"/>
      <c r="AB45" s="723"/>
    </row>
    <row r="46" spans="2:38" ht="14.85" customHeight="1">
      <c r="B46" s="1309" t="s">
        <v>44</v>
      </c>
      <c r="C46" s="1190">
        <f>MEDIAN(C12:C41)</f>
        <v>208.32753500000001</v>
      </c>
      <c r="D46" s="1188"/>
      <c r="E46" s="1188"/>
      <c r="F46" s="1188"/>
      <c r="G46" s="1188"/>
      <c r="H46" s="1190">
        <f t="shared" ref="H46:J46" si="25">MEDIAN(H12:H41)</f>
        <v>8.0499999999999988E-2</v>
      </c>
      <c r="I46" s="1190">
        <f t="shared" si="25"/>
        <v>1.1294999999999999</v>
      </c>
      <c r="J46" s="1190">
        <f t="shared" si="25"/>
        <v>2.0875000000000004</v>
      </c>
      <c r="K46" s="1190"/>
      <c r="L46" s="1190">
        <f t="shared" ref="L46:P46" si="26">MEDIAN(L12:L41)</f>
        <v>0.46796499999999996</v>
      </c>
      <c r="M46" s="1190">
        <f t="shared" si="26"/>
        <v>0.96250000000000002</v>
      </c>
      <c r="N46" s="1190">
        <f t="shared" si="26"/>
        <v>3.71333</v>
      </c>
      <c r="O46" s="1190">
        <f t="shared" si="26"/>
        <v>6.8207500000000003</v>
      </c>
      <c r="P46" s="1190">
        <f t="shared" si="26"/>
        <v>11.1845</v>
      </c>
      <c r="Q46" s="1310"/>
      <c r="R46" s="1189">
        <f t="shared" ref="R46:T46" si="27">MEDIAN(R12:R41)</f>
        <v>64.96244186046512</v>
      </c>
      <c r="S46" s="1189">
        <f t="shared" si="27"/>
        <v>63.50458745116066</v>
      </c>
      <c r="T46" s="1189">
        <f t="shared" si="27"/>
        <v>12.343971952398862</v>
      </c>
      <c r="U46" s="1310"/>
      <c r="V46" s="1189">
        <f t="shared" ref="V46:Z46" si="28">MEDIAN(V12:V41)</f>
        <v>10.576228287087414</v>
      </c>
      <c r="W46" s="1189">
        <f t="shared" si="28"/>
        <v>18.647447784498802</v>
      </c>
      <c r="X46" s="1189">
        <f t="shared" si="28"/>
        <v>15.313955177590183</v>
      </c>
      <c r="Y46" s="1189">
        <f t="shared" si="28"/>
        <v>14.324305754586444</v>
      </c>
      <c r="Z46" s="1311">
        <f t="shared" si="28"/>
        <v>8.4649063779988314</v>
      </c>
      <c r="AA46" s="723"/>
      <c r="AB46" s="723"/>
    </row>
    <row r="47" spans="2:38" ht="14.85" customHeight="1">
      <c r="B47" s="1309" t="s">
        <v>114</v>
      </c>
      <c r="C47" s="1190">
        <f>QUARTILE(C12:C41,1)</f>
        <v>58.667125000000013</v>
      </c>
      <c r="D47" s="1188"/>
      <c r="E47" s="1188"/>
      <c r="F47" s="1188"/>
      <c r="G47" s="1188"/>
      <c r="H47" s="1190">
        <f t="shared" ref="H47:J47" si="29">QUARTILE(H12:H41,1)</f>
        <v>0</v>
      </c>
      <c r="I47" s="1190">
        <f t="shared" si="29"/>
        <v>0.10324999999999999</v>
      </c>
      <c r="J47" s="1190">
        <f t="shared" si="29"/>
        <v>6.2354999999999994E-2</v>
      </c>
      <c r="K47" s="1190"/>
      <c r="L47" s="1190">
        <f t="shared" ref="L47:P47" si="30">QUARTILE(L12:L41,1)</f>
        <v>0</v>
      </c>
      <c r="M47" s="1190">
        <f t="shared" si="30"/>
        <v>0.2475</v>
      </c>
      <c r="N47" s="1190">
        <f t="shared" si="30"/>
        <v>0.84833000000000003</v>
      </c>
      <c r="O47" s="1190">
        <f t="shared" si="30"/>
        <v>3.1951999999999998</v>
      </c>
      <c r="P47" s="1190">
        <f t="shared" si="30"/>
        <v>6.7513350000000001</v>
      </c>
      <c r="Q47" s="1310"/>
      <c r="R47" s="1189">
        <f t="shared" ref="R47:T47" si="31">QUARTILE(R12:R41,1)</f>
        <v>6.4988881401617267</v>
      </c>
      <c r="S47" s="1189">
        <f t="shared" si="31"/>
        <v>4.5594648287046429</v>
      </c>
      <c r="T47" s="1189">
        <f t="shared" si="31"/>
        <v>4.8077517447657048</v>
      </c>
      <c r="U47" s="1310"/>
      <c r="V47" s="1189">
        <f t="shared" ref="V47:Z47" si="32">QUARTILE(V12:V41,1)</f>
        <v>4.1902257979952706</v>
      </c>
      <c r="W47" s="1189">
        <f t="shared" si="32"/>
        <v>2.8150126297848672</v>
      </c>
      <c r="X47" s="1189">
        <f t="shared" si="32"/>
        <v>7.2719797814415701</v>
      </c>
      <c r="Y47" s="1189">
        <f t="shared" si="32"/>
        <v>9.1673739383612052</v>
      </c>
      <c r="Z47" s="1311">
        <f t="shared" si="32"/>
        <v>4.4975625554419292</v>
      </c>
      <c r="AA47" s="723"/>
      <c r="AB47" s="723"/>
    </row>
    <row r="48" spans="2:38" ht="14.85" customHeight="1">
      <c r="B48" s="1192" t="s">
        <v>112</v>
      </c>
      <c r="C48" s="867">
        <f>MIN(C12:C41)</f>
        <v>-4.3520399999999881</v>
      </c>
      <c r="D48" s="858"/>
      <c r="E48" s="858"/>
      <c r="F48" s="858"/>
      <c r="G48" s="858"/>
      <c r="H48" s="867">
        <f t="shared" ref="H48:J48" si="33">MIN(H12:H41)</f>
        <v>0</v>
      </c>
      <c r="I48" s="867">
        <f t="shared" si="33"/>
        <v>0</v>
      </c>
      <c r="J48" s="867">
        <f t="shared" si="33"/>
        <v>0</v>
      </c>
      <c r="K48" s="867"/>
      <c r="L48" s="867">
        <f t="shared" ref="L48:P48" si="34">MIN(L12:L41)</f>
        <v>0</v>
      </c>
      <c r="M48" s="867">
        <f t="shared" si="34"/>
        <v>0</v>
      </c>
      <c r="N48" s="867">
        <f t="shared" si="34"/>
        <v>6.4999999999999997E-3</v>
      </c>
      <c r="O48" s="867">
        <f t="shared" si="34"/>
        <v>6.3329999999999997E-2</v>
      </c>
      <c r="P48" s="867">
        <f t="shared" si="34"/>
        <v>7.3999999999999996E-2</v>
      </c>
      <c r="Q48" s="1312"/>
      <c r="R48" s="1193">
        <f t="shared" ref="R48:T48" si="35">MIN(R12:R41)</f>
        <v>-0.40113285660519415</v>
      </c>
      <c r="S48" s="1193">
        <f t="shared" si="35"/>
        <v>-0.26316986152264549</v>
      </c>
      <c r="T48" s="1193">
        <f t="shared" si="35"/>
        <v>0.2978974834728535</v>
      </c>
      <c r="U48" s="1312"/>
      <c r="V48" s="1193">
        <f t="shared" ref="V48:Z48" si="36">MIN(V12:V41)</f>
        <v>1.4980601092896169</v>
      </c>
      <c r="W48" s="1193">
        <f t="shared" si="36"/>
        <v>0.9771393692052015</v>
      </c>
      <c r="X48" s="1193">
        <f t="shared" si="36"/>
        <v>5.5794281900223632</v>
      </c>
      <c r="Y48" s="1193">
        <f t="shared" si="36"/>
        <v>1.3831381255250206</v>
      </c>
      <c r="Z48" s="1313">
        <f t="shared" si="36"/>
        <v>2.1334567685589523</v>
      </c>
      <c r="AA48" s="723"/>
      <c r="AB48" s="723"/>
    </row>
    <row r="49" spans="2:16" ht="14.85" customHeight="1">
      <c r="C49" s="331"/>
      <c r="H49" s="331"/>
      <c r="I49" s="331"/>
      <c r="J49" s="331"/>
      <c r="K49" s="331"/>
      <c r="L49" s="331"/>
      <c r="M49" s="331"/>
      <c r="N49" s="331"/>
      <c r="O49" s="331"/>
      <c r="P49" s="331"/>
    </row>
    <row r="50" spans="2:16" ht="14.85" customHeight="1">
      <c r="B50" s="356" t="s">
        <v>116</v>
      </c>
    </row>
    <row r="51" spans="2:16" ht="14.85" customHeight="1">
      <c r="B51" s="356"/>
    </row>
    <row r="52" spans="2:16" ht="14.85" customHeight="1"/>
    <row r="53" spans="2:16" ht="14.85" customHeight="1"/>
    <row r="54" spans="2:16" ht="14.85" customHeight="1"/>
    <row r="55" spans="2:16" ht="14.85" customHeight="1"/>
    <row r="56" spans="2:16" ht="14.85" customHeight="1"/>
    <row r="57" spans="2:16" ht="14.85" customHeight="1"/>
    <row r="58" spans="2:16" ht="14.85" customHeight="1"/>
    <row r="59" spans="2:16" ht="14.85" customHeight="1"/>
    <row r="60" spans="2:16" ht="14.85" customHeight="1"/>
    <row r="61" spans="2:16" ht="14.85" customHeight="1"/>
    <row r="62" spans="2:16" ht="14.85" customHeight="1"/>
    <row r="63" spans="2:16" ht="14.85" customHeight="1"/>
    <row r="64" spans="2:16"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2:C41">
    <cfRule type="cellIs" dxfId="252" priority="19" operator="equal">
      <formula>"(Invalid Identifier)"</formula>
    </cfRule>
  </conditionalFormatting>
  <conditionalFormatting sqref="B4:L4">
    <cfRule type="cellIs" dxfId="251" priority="16" stopIfTrue="1" operator="equal">
      <formula>"input"</formula>
    </cfRule>
  </conditionalFormatting>
  <conditionalFormatting sqref="M4">
    <cfRule type="cellIs" dxfId="250" priority="14" stopIfTrue="1" operator="equal">
      <formula>"input"</formula>
    </cfRule>
  </conditionalFormatting>
  <conditionalFormatting sqref="M4">
    <cfRule type="cellIs" dxfId="249" priority="15" stopIfTrue="1" operator="equal">
      <formula>"input"</formula>
    </cfRule>
  </conditionalFormatting>
  <conditionalFormatting sqref="N4:P4">
    <cfRule type="cellIs" dxfId="248" priority="12" stopIfTrue="1" operator="equal">
      <formula>"input"</formula>
    </cfRule>
  </conditionalFormatting>
  <conditionalFormatting sqref="N4:P4">
    <cfRule type="cellIs" dxfId="247" priority="13" stopIfTrue="1" operator="equal">
      <formula>"input"</formula>
    </cfRule>
  </conditionalFormatting>
  <conditionalFormatting sqref="Q4">
    <cfRule type="cellIs" dxfId="246" priority="10" stopIfTrue="1" operator="equal">
      <formula>"input"</formula>
    </cfRule>
  </conditionalFormatting>
  <conditionalFormatting sqref="Q4">
    <cfRule type="cellIs" dxfId="245" priority="11" stopIfTrue="1" operator="equal">
      <formula>"input"</formula>
    </cfRule>
  </conditionalFormatting>
  <conditionalFormatting sqref="R4:Y4">
    <cfRule type="cellIs" dxfId="244" priority="8" stopIfTrue="1" operator="equal">
      <formula>"input"</formula>
    </cfRule>
  </conditionalFormatting>
  <conditionalFormatting sqref="R4:Y4">
    <cfRule type="cellIs" dxfId="243" priority="9" stopIfTrue="1" operator="equal">
      <formula>"input"</formula>
    </cfRule>
  </conditionalFormatting>
  <conditionalFormatting sqref="Z4">
    <cfRule type="cellIs" dxfId="242" priority="1" stopIfTrue="1" operator="equal">
      <formula>"input"</formula>
    </cfRule>
  </conditionalFormatting>
  <conditionalFormatting sqref="Z4">
    <cfRule type="cellIs" dxfId="241" priority="2" stopIfTrue="1" operator="equal">
      <formula>"input"</formula>
    </cfRule>
  </conditionalFormatting>
  <pageMargins left="0.5" right="0.5" top="0.5" bottom="0.5" header="0.5" footer="0.5"/>
  <pageSetup scale="84" fitToWidth="0" fitToHeight="0" orientation="landscape" r:id="rId1"/>
  <legacyDrawingHF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0"/>
  <dimension ref="B1:AI764"/>
  <sheetViews>
    <sheetView showGridLines="0" view="pageBreakPreview" zoomScale="80" zoomScaleNormal="100" zoomScaleSheetLayoutView="80" workbookViewId="0"/>
  </sheetViews>
  <sheetFormatPr defaultRowHeight="12.75" outlineLevelCol="1"/>
  <cols>
    <col min="1" max="1" width="4.5" style="250" customWidth="1"/>
    <col min="2" max="2" width="51.33203125" style="250" customWidth="1"/>
    <col min="3" max="3" width="11.83203125" style="250" customWidth="1"/>
    <col min="4" max="4" width="2.83203125" style="250" customWidth="1"/>
    <col min="5" max="6" width="15.1640625" style="250" hidden="1" customWidth="1" outlineLevel="1"/>
    <col min="7" max="7" width="11.83203125" style="250" customWidth="1" collapsed="1"/>
    <col min="8" max="8" width="2.83203125" style="250" customWidth="1"/>
    <col min="9" max="10" width="15.1640625" style="250" hidden="1" customWidth="1" outlineLevel="1"/>
    <col min="11" max="11" width="15.1640625" style="250" customWidth="1" collapsed="1"/>
    <col min="12" max="13" width="15.1640625" style="250" customWidth="1"/>
    <col min="14" max="14" width="2.83203125" style="250" customWidth="1"/>
    <col min="15" max="16" width="14.83203125" style="250" hidden="1" customWidth="1" outlineLevel="1"/>
    <col min="17" max="17" width="11.83203125" style="250" customWidth="1" collapsed="1"/>
    <col min="18" max="18" width="2.83203125" style="250" customWidth="1"/>
    <col min="19" max="20" width="14.83203125" style="250" hidden="1" customWidth="1" outlineLevel="1"/>
    <col min="21" max="21" width="9.83203125" style="250" customWidth="1" collapsed="1"/>
    <col min="22" max="23" width="9.83203125" style="250" customWidth="1"/>
    <col min="24" max="24" width="4.5" style="250" customWidth="1"/>
    <col min="25" max="32" width="12.83203125" style="250" customWidth="1"/>
    <col min="33" max="33" width="1.83203125" style="250" customWidth="1"/>
    <col min="34" max="34" width="15.33203125" style="250" bestFit="1" customWidth="1"/>
    <col min="35" max="35" width="14.33203125" style="250" bestFit="1" customWidth="1"/>
    <col min="36" max="36" width="1.83203125" style="250" customWidth="1"/>
    <col min="37" max="16384" width="9.33203125" style="250"/>
  </cols>
  <sheetData>
    <row r="1" spans="2:35" ht="10.7" customHeight="1" thickBot="1">
      <c r="Y1" s="1264"/>
      <c r="Z1" s="1265" t="s">
        <v>984</v>
      </c>
      <c r="AA1" s="1265" t="s">
        <v>985</v>
      </c>
      <c r="AB1" s="1266" t="s">
        <v>110</v>
      </c>
    </row>
    <row r="2" spans="2:35" ht="16.5" customHeight="1" thickTop="1">
      <c r="B2" s="258" t="str">
        <f>'MASTER PubCo Inputs'!$C$5</f>
        <v>ABC, Inc.</v>
      </c>
      <c r="C2" s="258"/>
      <c r="D2" s="258"/>
      <c r="E2" s="258"/>
      <c r="F2" s="258"/>
      <c r="G2" s="258"/>
      <c r="H2" s="258"/>
      <c r="I2" s="258"/>
      <c r="J2" s="258"/>
      <c r="K2" s="258"/>
      <c r="L2" s="258"/>
      <c r="M2" s="258"/>
      <c r="N2" s="258"/>
      <c r="O2" s="258"/>
      <c r="P2" s="258"/>
      <c r="Q2" s="258"/>
      <c r="R2" s="258"/>
      <c r="S2" s="258"/>
      <c r="T2" s="258"/>
      <c r="U2" s="258"/>
      <c r="V2" s="258"/>
      <c r="W2" s="258"/>
      <c r="Y2" s="1267" t="str">
        <f>+C8</f>
        <v>Enterprise Value</v>
      </c>
      <c r="Z2" s="1268" t="e">
        <f ca="1">SUM('GPC Linked'!H13:H42)</f>
        <v>#NAME?</v>
      </c>
      <c r="AA2" s="1268">
        <f>+SUM('Capital IQ Sheet-GPC'!H13:H42)</f>
        <v>7458.1841100000001</v>
      </c>
      <c r="AB2" s="468" t="e">
        <f ca="1">Z2=AA2</f>
        <v>#NAME?</v>
      </c>
      <c r="AH2" s="1151" t="s">
        <v>87</v>
      </c>
      <c r="AI2" s="1152">
        <f>'MASTER PubCo Inputs'!$C$6</f>
        <v>42735</v>
      </c>
    </row>
    <row r="3" spans="2:35" ht="15.75" customHeight="1">
      <c r="B3" s="259" t="str">
        <f>VLOOKUP(B4,Outline!$E$8:$G$79,COLUMNS(Outline!$E$8:$G$8),FALSE)</f>
        <v>Exhibit E.3</v>
      </c>
      <c r="C3" s="259"/>
      <c r="D3" s="259"/>
      <c r="E3" s="259"/>
      <c r="F3" s="259"/>
      <c r="G3" s="259"/>
      <c r="H3" s="259"/>
      <c r="I3" s="259"/>
      <c r="J3" s="259"/>
      <c r="K3" s="259"/>
      <c r="L3" s="259"/>
      <c r="M3" s="259"/>
      <c r="N3" s="259"/>
      <c r="O3" s="259"/>
      <c r="P3" s="259"/>
      <c r="Q3" s="259"/>
      <c r="R3" s="259"/>
      <c r="S3" s="259"/>
      <c r="T3" s="259"/>
      <c r="U3" s="259"/>
      <c r="V3" s="259"/>
      <c r="W3" s="259"/>
      <c r="Y3" s="1267" t="str">
        <f>+G8</f>
        <v>LTM</v>
      </c>
      <c r="Z3" s="1268" t="e">
        <f ca="1">+SUM('GPC Linked'!Z13:Z42)</f>
        <v>#NAME?</v>
      </c>
      <c r="AA3" s="1268">
        <f>+SUM('Capital IQ Sheet-GPC'!Z13:Z42)</f>
        <v>-1286.0643500000003</v>
      </c>
      <c r="AB3" s="468" t="e">
        <f t="shared" ref="AB3:AB4" ca="1" si="0">Z3=AA3</f>
        <v>#NAME?</v>
      </c>
      <c r="AH3" s="1153" t="s">
        <v>489</v>
      </c>
      <c r="AI3" s="1269" t="s">
        <v>491</v>
      </c>
    </row>
    <row r="4" spans="2:35" ht="16.5" customHeight="1" thickBot="1">
      <c r="B4" s="924" t="s">
        <v>821</v>
      </c>
      <c r="C4" s="924"/>
      <c r="D4" s="2068"/>
      <c r="E4" s="924"/>
      <c r="F4" s="924"/>
      <c r="G4" s="924"/>
      <c r="H4" s="924"/>
      <c r="I4" s="924"/>
      <c r="J4" s="925"/>
      <c r="K4" s="925"/>
      <c r="L4" s="925"/>
      <c r="M4" s="925"/>
      <c r="N4" s="925"/>
      <c r="O4" s="925"/>
      <c r="P4" s="925"/>
      <c r="Q4" s="925"/>
      <c r="R4" s="925"/>
      <c r="S4" s="925"/>
      <c r="T4" s="925"/>
      <c r="U4" s="925"/>
      <c r="V4" s="925"/>
      <c r="W4" s="925" t="str">
        <f>+'MASTER PubCo Inputs'!$C$24</f>
        <v>(in millions of USD)</v>
      </c>
      <c r="Y4" s="1270">
        <f>+K8</f>
        <v>2016</v>
      </c>
      <c r="Z4" s="1271" t="e">
        <f ca="1">+SUM('GPC Linked'!AC13:AC42)</f>
        <v>#NAME?</v>
      </c>
      <c r="AA4" s="1271">
        <f>+SUM('Capital IQ Sheet-GPC'!AC13:AC42)</f>
        <v>-668.19737000000009</v>
      </c>
      <c r="AB4" s="897" t="e">
        <f t="shared" ca="1" si="0"/>
        <v>#NAME?</v>
      </c>
      <c r="AH4" s="1153" t="s">
        <v>490</v>
      </c>
      <c r="AI4" s="1269" t="s">
        <v>492</v>
      </c>
    </row>
    <row r="5" spans="2:35" ht="14.85" customHeight="1" thickTop="1">
      <c r="B5" s="1229"/>
      <c r="C5" s="1229"/>
      <c r="AH5" s="518" t="s">
        <v>89</v>
      </c>
      <c r="AI5" s="1272" t="s">
        <v>90</v>
      </c>
    </row>
    <row r="6" spans="2:35" ht="14.85" customHeight="1">
      <c r="H6" s="467"/>
      <c r="I6" s="1273" t="s">
        <v>344</v>
      </c>
      <c r="J6" s="1276"/>
      <c r="K6" s="1273" t="s">
        <v>344</v>
      </c>
      <c r="L6" s="1275"/>
      <c r="M6" s="1276"/>
      <c r="N6" s="467"/>
      <c r="O6" s="467"/>
      <c r="P6" s="467"/>
      <c r="Q6" s="467"/>
      <c r="R6" s="639"/>
      <c r="S6" s="1273" t="s">
        <v>344</v>
      </c>
      <c r="T6" s="1276"/>
      <c r="U6" s="1273" t="s">
        <v>344</v>
      </c>
      <c r="V6" s="1275"/>
      <c r="W6" s="1276"/>
      <c r="Y6" s="1281" t="s">
        <v>1137</v>
      </c>
      <c r="Z6" s="1282">
        <v>50</v>
      </c>
      <c r="AA6" s="1281" t="s">
        <v>1138</v>
      </c>
      <c r="AB6" s="1282">
        <v>0</v>
      </c>
    </row>
    <row r="7" spans="2:35" ht="14.85" customHeight="1">
      <c r="E7" s="1283" t="s">
        <v>795</v>
      </c>
      <c r="F7" s="1051"/>
      <c r="G7" s="1284" t="s">
        <v>794</v>
      </c>
      <c r="H7" s="1055"/>
      <c r="I7" s="1283" t="s">
        <v>793</v>
      </c>
      <c r="J7" s="1051"/>
      <c r="K7" s="1283" t="s">
        <v>793</v>
      </c>
      <c r="L7" s="1050"/>
      <c r="M7" s="1051"/>
      <c r="O7" s="1314" t="s">
        <v>345</v>
      </c>
      <c r="P7" s="1314"/>
      <c r="Q7" s="1284" t="s">
        <v>345</v>
      </c>
      <c r="R7" s="1055"/>
      <c r="S7" s="1315"/>
      <c r="T7" s="1316"/>
      <c r="U7" s="1283" t="s">
        <v>345</v>
      </c>
      <c r="V7" s="1050"/>
      <c r="W7" s="1051"/>
      <c r="Y7" s="1239" t="s">
        <v>91</v>
      </c>
      <c r="Z7" s="1240"/>
      <c r="AA7" s="1240"/>
      <c r="AB7" s="1240"/>
      <c r="AC7" s="1240"/>
      <c r="AD7" s="1240"/>
      <c r="AE7" s="1240"/>
      <c r="AF7" s="1241"/>
    </row>
    <row r="8" spans="2:35" s="272" customFormat="1" ht="14.85" customHeight="1">
      <c r="B8" s="1286" t="s">
        <v>815</v>
      </c>
      <c r="C8" s="1166" t="s">
        <v>153</v>
      </c>
      <c r="D8" s="347"/>
      <c r="E8" s="1289" t="s">
        <v>366</v>
      </c>
      <c r="F8" s="1317" t="s">
        <v>342</v>
      </c>
      <c r="G8" s="1251" t="s">
        <v>343</v>
      </c>
      <c r="H8" s="1292"/>
      <c r="I8" s="1295">
        <f>J8-1</f>
        <v>2014</v>
      </c>
      <c r="J8" s="1297">
        <f>K8-1</f>
        <v>2015</v>
      </c>
      <c r="K8" s="1295">
        <f>YEAR($AI$2)</f>
        <v>2016</v>
      </c>
      <c r="L8" s="1296">
        <f>K8+1</f>
        <v>2017</v>
      </c>
      <c r="M8" s="1297">
        <f>L8+1</f>
        <v>2018</v>
      </c>
      <c r="N8" s="347"/>
      <c r="O8" s="1292" t="str">
        <f>E8</f>
        <v>LTM-2</v>
      </c>
      <c r="P8" s="1292" t="str">
        <f>F8</f>
        <v>LTM-1</v>
      </c>
      <c r="Q8" s="1251" t="str">
        <f>G8</f>
        <v>LTM</v>
      </c>
      <c r="R8" s="1292"/>
      <c r="S8" s="1293">
        <f>I8</f>
        <v>2014</v>
      </c>
      <c r="T8" s="1318">
        <f>J8</f>
        <v>2015</v>
      </c>
      <c r="U8" s="1295">
        <f>K8</f>
        <v>2016</v>
      </c>
      <c r="V8" s="1296">
        <f>L8</f>
        <v>2017</v>
      </c>
      <c r="W8" s="1297">
        <f>M8</f>
        <v>2018</v>
      </c>
      <c r="Y8" s="1298" t="s">
        <v>94</v>
      </c>
      <c r="Z8" s="1299" t="s">
        <v>95</v>
      </c>
      <c r="AA8" s="1299" t="s">
        <v>96</v>
      </c>
      <c r="AB8" s="1299" t="s">
        <v>97</v>
      </c>
      <c r="AC8" s="1299" t="s">
        <v>98</v>
      </c>
      <c r="AD8" s="1299" t="s">
        <v>99</v>
      </c>
      <c r="AE8" s="1299" t="s">
        <v>100</v>
      </c>
      <c r="AF8" s="1301" t="s">
        <v>101</v>
      </c>
      <c r="AH8" s="1170" t="s">
        <v>108</v>
      </c>
    </row>
    <row r="9" spans="2:35" ht="14.85" customHeight="1">
      <c r="H9" s="639"/>
      <c r="R9" s="639"/>
    </row>
    <row r="10" spans="2:35" ht="14.85" customHeight="1">
      <c r="B10" s="1302" t="s">
        <v>494</v>
      </c>
      <c r="C10" s="1259"/>
      <c r="D10" s="516"/>
      <c r="E10" s="1259"/>
      <c r="F10" s="1259"/>
      <c r="G10" s="1259"/>
      <c r="H10" s="1259"/>
      <c r="I10" s="1259"/>
      <c r="J10" s="1259"/>
      <c r="K10" s="1259"/>
      <c r="L10" s="1259"/>
      <c r="M10" s="1259"/>
      <c r="N10" s="512"/>
      <c r="O10" s="516"/>
      <c r="P10" s="516"/>
      <c r="Q10" s="516"/>
      <c r="R10" s="516"/>
      <c r="S10" s="516"/>
      <c r="T10" s="516"/>
      <c r="U10" s="516"/>
      <c r="V10" s="516"/>
      <c r="W10" s="516"/>
      <c r="AH10" s="1179"/>
    </row>
    <row r="11" spans="2:35" s="1180" customFormat="1" ht="14.85" customHeight="1">
      <c r="B11" s="723"/>
      <c r="C11" s="1319"/>
      <c r="D11" s="723"/>
      <c r="E11" s="1319"/>
      <c r="F11" s="1319"/>
      <c r="G11" s="1319"/>
      <c r="H11" s="1319"/>
      <c r="I11" s="1319"/>
      <c r="J11" s="1319"/>
      <c r="K11" s="1319"/>
      <c r="L11" s="1319"/>
      <c r="M11" s="1319"/>
      <c r="O11" s="723"/>
      <c r="P11" s="723"/>
      <c r="Q11" s="723"/>
      <c r="R11" s="723"/>
      <c r="S11" s="723"/>
      <c r="T11" s="723"/>
      <c r="U11" s="723"/>
      <c r="V11" s="723"/>
      <c r="W11" s="723"/>
      <c r="Y11" s="250"/>
      <c r="Z11" s="250"/>
      <c r="AA11" s="250"/>
      <c r="AB11" s="250"/>
      <c r="AC11" s="250"/>
      <c r="AD11" s="250"/>
      <c r="AE11" s="250"/>
      <c r="AF11" s="250"/>
    </row>
    <row r="12" spans="2:35" ht="14.85" customHeight="1">
      <c r="B12" s="250" t="str">
        <f>'Comp.1'!B12</f>
        <v>Spark Therapeutics, Inc.</v>
      </c>
      <c r="C12" s="759">
        <f>'Comp.1'!C12</f>
        <v>1387.752</v>
      </c>
      <c r="E12" s="759">
        <f>'Capital IQ Sheet-GPC'!X13</f>
        <v>0</v>
      </c>
      <c r="F12" s="759">
        <f>'Capital IQ Sheet-GPC'!Y13</f>
        <v>-47.957880000000003</v>
      </c>
      <c r="G12" s="759">
        <f>'Capital IQ Sheet-GPC'!Z13</f>
        <v>-90.806719999999999</v>
      </c>
      <c r="H12" s="331"/>
      <c r="I12" s="759">
        <f>'Capital IQ Sheet-GPC'!AA13</f>
        <v>-23.410540000000001</v>
      </c>
      <c r="J12" s="759">
        <f>'Capital IQ Sheet-GPC'!AB13</f>
        <v>-45.584829999999997</v>
      </c>
      <c r="K12" s="759">
        <f>'Capital IQ Sheet-GPC'!AC13</f>
        <v>-115.42700000000001</v>
      </c>
      <c r="L12" s="759">
        <f>'Capital IQ Sheet-GPC'!AD13</f>
        <v>-120.71899999999999</v>
      </c>
      <c r="M12" s="759">
        <f>'Capital IQ Sheet-GPC'!AE13</f>
        <v>39.859000000000002</v>
      </c>
      <c r="O12" s="1174" t="str">
        <f>IF(ISERROR($C12/E12), "n/a", $C12/E12)</f>
        <v>n/a</v>
      </c>
      <c r="P12" s="1174">
        <f>IF(ISERROR($C12/F12), "n/a", $C12/F12)</f>
        <v>-28.936892122837786</v>
      </c>
      <c r="Q12" s="1174" t="str">
        <f>IFERROR(IF(($C12/G12)&gt;$Z$6, "NM", IF(($C12/G12)&lt;$AB$6, "NM", $C12/G12)),"n/a")</f>
        <v>NM</v>
      </c>
      <c r="S12" s="1174">
        <f>IF(ISERROR($C12/I12), "n/a", $C12/I12)</f>
        <v>-59.278940169684248</v>
      </c>
      <c r="T12" s="1174">
        <f>IF(ISERROR($C12/J12), "n/a", $C12/J12)</f>
        <v>-30.443285628135502</v>
      </c>
      <c r="U12" s="1174" t="str">
        <f>IFERROR(IF(($C12/K12)&gt;$Z$6, "NM", IF(($C12/K12)&lt;$AB$6, "NM", $C12/K12)),"n/a")</f>
        <v>NM</v>
      </c>
      <c r="V12" s="1174" t="str">
        <f>IFERROR(IF(($C12/L12)&gt;$Z$6, "NM", IF(($C12/L12)&lt;$AB$6, "NM", $C12/L12)),"n/a")</f>
        <v>NM</v>
      </c>
      <c r="W12" s="1174">
        <f>IFERROR(IF(($C12/M12)&gt;$Z$6, "NM", IF(($C12/M12)&lt;$AB$6, "NM", $C12/M12)),"n/a")</f>
        <v>34.816528262123981</v>
      </c>
      <c r="Y12" s="331">
        <f>'Comp.1'!AB12</f>
        <v>1692.82537</v>
      </c>
      <c r="Z12" s="331">
        <f>'Comp.1'!AC12</f>
        <v>1.57541</v>
      </c>
      <c r="AA12" s="331">
        <f>'Comp.1'!AD12</f>
        <v>0</v>
      </c>
      <c r="AB12" s="331">
        <f>'Comp.1'!AE12</f>
        <v>0</v>
      </c>
      <c r="AC12" s="331">
        <f>SUM(Z12:AB12)</f>
        <v>1.57541</v>
      </c>
      <c r="AD12" s="331">
        <f>SUM(Y12:AB12)</f>
        <v>1694.4007799999999</v>
      </c>
      <c r="AE12" s="331">
        <f>'Comp.1'!AH12</f>
        <v>306.64877999999999</v>
      </c>
      <c r="AF12" s="759">
        <f>IF(ISERROR(AD12-AE12), "n/a", AD12-AE12)</f>
        <v>1387.752</v>
      </c>
      <c r="AH12" s="1177" t="str">
        <f>IF('MASTER PubCo Inputs'!C28="","",'MASTER PubCo Inputs'!C28)</f>
        <v>IQ249341857</v>
      </c>
      <c r="AI12" s="250" t="str">
        <f>'Comp.1'!AL12</f>
        <v>Spark Therapeutics, Inc. focuses on the development of gene therapy products for patients suffering from debilitating genetic diseases. Its products include voretigene neparvovec, which is in Phase III clinical trial for the treatment of genetic blinding conditions called inherited retinal diseases caused by non sex-linked, autosomal recessive, or biallelic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a form of Batten disease and Huntington's disease; RhoNova for the treatment of rhodopsin-linked autosomal dominant retinitis pigmentosa; and SPK-LHON for treating Leber hereditary optic neuropathy, as well as preclinical programs in development for the treatment of rare genetic blinding conditions, hematologic disorders,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3" spans="2:35" ht="14.85" customHeight="1">
      <c r="B13" s="250" t="str">
        <f>'Comp.1'!B13</f>
        <v>CRISPR Therapeutics AG</v>
      </c>
      <c r="C13" s="759">
        <f>'Comp.1'!C13</f>
        <v>825.52904000000012</v>
      </c>
      <c r="E13" s="759">
        <f>'Capital IQ Sheet-GPC'!X14</f>
        <v>0</v>
      </c>
      <c r="F13" s="759">
        <f>'Capital IQ Sheet-GPC'!Y14</f>
        <v>-6.5890000000000004</v>
      </c>
      <c r="G13" s="759">
        <f>'Capital IQ Sheet-GPC'!Z14</f>
        <v>-54.414000000000001</v>
      </c>
      <c r="H13" s="331"/>
      <c r="I13" s="759">
        <f>'Capital IQ Sheet-GPC'!AA14</f>
        <v>-6.5890000000000004</v>
      </c>
      <c r="J13" s="759">
        <f>'Capital IQ Sheet-GPC'!AB14</f>
        <v>-25.602</v>
      </c>
      <c r="K13" s="759" t="str">
        <f>'Capital IQ Sheet-GPC'!AC14</f>
        <v>n/a</v>
      </c>
      <c r="L13" s="759" t="str">
        <f>'Capital IQ Sheet-GPC'!AD14</f>
        <v>n/a</v>
      </c>
      <c r="M13" s="759" t="str">
        <f>'Capital IQ Sheet-GPC'!AE14</f>
        <v>n/a</v>
      </c>
      <c r="O13" s="1174" t="str">
        <f t="shared" ref="O13:O41" si="1">IF(ISERROR($C13/E13), "n/a", $C13/E13)</f>
        <v>n/a</v>
      </c>
      <c r="P13" s="1174">
        <f t="shared" ref="P13:P41" si="2">IF(ISERROR($C13/F13), "n/a", $C13/F13)</f>
        <v>-125.28897252997422</v>
      </c>
      <c r="Q13" s="1174" t="str">
        <f t="shared" ref="Q13:Q41" si="3">IFERROR(IF(($C13/G13)&gt;$Z$6, "NM", IF(($C13/G13)&lt;$AB$6, "NM", $C13/G13)),"n/a")</f>
        <v>NM</v>
      </c>
      <c r="S13" s="1174">
        <f t="shared" ref="S13:S41" si="4">IF(ISERROR($C13/I13), "n/a", $C13/I13)</f>
        <v>-125.28897252997422</v>
      </c>
      <c r="T13" s="1174">
        <f t="shared" ref="T13:T41" si="5">IF(ISERROR($C13/J13), "n/a", $C13/J13)</f>
        <v>-32.244709007108824</v>
      </c>
      <c r="U13" s="1174" t="str">
        <f t="shared" ref="U13:U41" si="6">IFERROR(IF(($C13/K13)&gt;$Z$6, "NM", IF(($C13/K13)&lt;$AB$6, "NM", $C13/K13)),"n/a")</f>
        <v>n/a</v>
      </c>
      <c r="V13" s="1174" t="str">
        <f t="shared" ref="V13:V41" si="7">IFERROR(IF(($C13/L13)&gt;$Z$6, "NM", IF(($C13/L13)&lt;$AB$6, "NM", $C13/L13)),"n/a")</f>
        <v>n/a</v>
      </c>
      <c r="W13" s="1174" t="str">
        <f t="shared" ref="W13:W41" si="8">IFERROR(IF(($C13/M13)&gt;$Z$6, "NM", IF(($C13/M13)&lt;$AB$6, "NM", $C13/M13)),"n/a")</f>
        <v>n/a</v>
      </c>
      <c r="Y13" s="331">
        <f>'Comp.1'!AB13</f>
        <v>868.62804000000006</v>
      </c>
      <c r="Z13" s="331">
        <f>'Comp.1'!AC13</f>
        <v>0</v>
      </c>
      <c r="AA13" s="331">
        <f>'Comp.1'!AD13</f>
        <v>185.565</v>
      </c>
      <c r="AB13" s="331">
        <f>'Comp.1'!AE13</f>
        <v>-5.0999999999999997E-2</v>
      </c>
      <c r="AC13" s="331">
        <f t="shared" ref="AC13:AC41" si="9">SUM(Z13:AB13)</f>
        <v>185.51400000000001</v>
      </c>
      <c r="AD13" s="331">
        <f t="shared" ref="AD13:AD41" si="10">SUM(Y13:AB13)</f>
        <v>1054.1420400000002</v>
      </c>
      <c r="AE13" s="331">
        <f>'Comp.1'!AH13</f>
        <v>228.613</v>
      </c>
      <c r="AF13" s="759">
        <f t="shared" ref="AF13:AF41" si="11">IF(ISERROR(AD13-AE13), "n/a", AD13-AE13)</f>
        <v>825.52904000000012</v>
      </c>
      <c r="AH13" s="1177" t="str">
        <f>IF('MASTER PubCo Inputs'!C29="","",'MASTER PubCo Inputs'!C29)</f>
        <v>IQ262549448</v>
      </c>
      <c r="AI13" s="250" t="str">
        <f>'Comp.1'!AL13</f>
        <v>CRISPR Therapeutics AG, a gene editing company, focuses on developing transformative gene-based medicines for the treatment of serious human diseases using its proprietary clustered, regularly interspaced short palindromic repeats associated protein-9 (CRISPR/Cas9 )gene-editing platform in Switzerland. The CRISPR/Cas9 technology allows for changes to genomic DNA. It has a collaboration agreement with Vertex Pharmaceuticals, Incorporated to develop, manufacture, commercialize, sell, and use therapeutics; and license agreement with Anagenesis Biotechnologies SAS. CRISPR Therapeutics AG is headquartered in Basel, Switzerland.</v>
      </c>
    </row>
    <row r="14" spans="2:35" ht="14.85" customHeight="1">
      <c r="B14" s="250" t="str">
        <f>'Comp.1'!B14</f>
        <v>WAVE Life Sciences Ltd.</v>
      </c>
      <c r="C14" s="759">
        <f>'Comp.1'!C14</f>
        <v>674.67870000000005</v>
      </c>
      <c r="E14" s="759">
        <f>'Capital IQ Sheet-GPC'!X15</f>
        <v>-7.9151999999999996</v>
      </c>
      <c r="F14" s="759">
        <f>'Capital IQ Sheet-GPC'!Y15</f>
        <v>-13.316000000000001</v>
      </c>
      <c r="G14" s="759">
        <f>'Capital IQ Sheet-GPC'!Z15</f>
        <v>-43.581000000000003</v>
      </c>
      <c r="H14" s="331"/>
      <c r="I14" s="759">
        <f>'Capital IQ Sheet-GPC'!AA15</f>
        <v>-5.1130000000000004</v>
      </c>
      <c r="J14" s="759">
        <f>'Capital IQ Sheet-GPC'!AB15</f>
        <v>-18.905000000000001</v>
      </c>
      <c r="K14" s="759" t="str">
        <f>'Capital IQ Sheet-GPC'!AC15</f>
        <v>n/a</v>
      </c>
      <c r="L14" s="759" t="str">
        <f>'Capital IQ Sheet-GPC'!AD15</f>
        <v>n/a</v>
      </c>
      <c r="M14" s="759" t="str">
        <f>'Capital IQ Sheet-GPC'!AE15</f>
        <v>n/a</v>
      </c>
      <c r="O14" s="1174">
        <f t="shared" si="1"/>
        <v>-85.238364160097035</v>
      </c>
      <c r="P14" s="1174">
        <f t="shared" si="2"/>
        <v>-50.666769300090117</v>
      </c>
      <c r="Q14" s="1174" t="str">
        <f t="shared" si="3"/>
        <v>NM</v>
      </c>
      <c r="S14" s="1174">
        <f t="shared" si="4"/>
        <v>-131.953588891062</v>
      </c>
      <c r="T14" s="1174">
        <f t="shared" si="5"/>
        <v>-35.687844485585828</v>
      </c>
      <c r="U14" s="1174" t="str">
        <f t="shared" si="6"/>
        <v>n/a</v>
      </c>
      <c r="V14" s="1174" t="str">
        <f t="shared" si="7"/>
        <v>n/a</v>
      </c>
      <c r="W14" s="1174" t="str">
        <f t="shared" si="8"/>
        <v>n/a</v>
      </c>
      <c r="Y14" s="331">
        <f>'Comp.1'!AB14</f>
        <v>835.72670000000005</v>
      </c>
      <c r="Z14" s="331">
        <f>'Comp.1'!AC14</f>
        <v>9.2999999999999999E-2</v>
      </c>
      <c r="AA14" s="331">
        <f>'Comp.1'!AD14</f>
        <v>7.8739999999999997</v>
      </c>
      <c r="AB14" s="331">
        <f>'Comp.1'!AE14</f>
        <v>0</v>
      </c>
      <c r="AC14" s="331">
        <f t="shared" si="9"/>
        <v>7.9669999999999996</v>
      </c>
      <c r="AD14" s="331">
        <f t="shared" si="10"/>
        <v>843.69370000000004</v>
      </c>
      <c r="AE14" s="331">
        <f>'Comp.1'!AH14</f>
        <v>169.01499999999999</v>
      </c>
      <c r="AF14" s="759">
        <f t="shared" si="11"/>
        <v>674.67870000000005</v>
      </c>
      <c r="AH14" s="1177" t="str">
        <f>IF('MASTER PubCo Inputs'!C30="","",'MASTER PubCo Inputs'!C30)</f>
        <v>IQ256557334</v>
      </c>
      <c r="AI14" s="250" t="str">
        <f>'Comp.1'!AL14</f>
        <v>WAVE Life Sciences Ltd., a genetic medicines company, designs, develops, and commercializes nucleic acid therapeutic candidates for genetically defined diseases by utilizing proprietary synthetic chemistry drug development platform. The company is primarily developing oligonucleotides that target genetic defects to either reduce the expression of disease-promoting proteins or transform the production of dysfunctional mutant proteins into the production of functional proteins. It focuses on proprietary programs in neurology in the central nervous system and neuromuscular system. The company has a research, license, and option agreement with Pfizer Inc. for the discovery, development, and commercialization of stereopure oligonucleotide therapeutics. WAVE Life Sciences Ltd. was founded in 2012 and is based in Cambridge, Massachusetts.</v>
      </c>
    </row>
    <row r="15" spans="2:35" ht="14.85" customHeight="1">
      <c r="B15" s="250" t="str">
        <f>'Comp.1'!B15</f>
        <v>Regenxbio Inc.</v>
      </c>
      <c r="C15" s="759">
        <f>'Comp.1'!C15</f>
        <v>497.30718000000002</v>
      </c>
      <c r="E15" s="759">
        <f>'Capital IQ Sheet-GPC'!X16</f>
        <v>0</v>
      </c>
      <c r="F15" s="759">
        <f>'Capital IQ Sheet-GPC'!Y16</f>
        <v>0</v>
      </c>
      <c r="G15" s="759">
        <f>'Capital IQ Sheet-GPC'!Z16</f>
        <v>-50.012</v>
      </c>
      <c r="H15" s="331"/>
      <c r="I15" s="759">
        <f>'Capital IQ Sheet-GPC'!AA16</f>
        <v>0</v>
      </c>
      <c r="J15" s="759">
        <f>'Capital IQ Sheet-GPC'!AB16</f>
        <v>-23</v>
      </c>
      <c r="K15" s="759">
        <f>'Capital IQ Sheet-GPC'!AC16</f>
        <v>-59.632570000000001</v>
      </c>
      <c r="L15" s="759">
        <f>'Capital IQ Sheet-GPC'!AD16</f>
        <v>-88.3446</v>
      </c>
      <c r="M15" s="759">
        <f>'Capital IQ Sheet-GPC'!AE16</f>
        <v>-111.44589999999999</v>
      </c>
      <c r="O15" s="1174" t="str">
        <f t="shared" si="1"/>
        <v>n/a</v>
      </c>
      <c r="P15" s="1174" t="str">
        <f t="shared" si="2"/>
        <v>n/a</v>
      </c>
      <c r="Q15" s="1174" t="str">
        <f t="shared" si="3"/>
        <v>NM</v>
      </c>
      <c r="S15" s="1174" t="str">
        <f t="shared" si="4"/>
        <v>n/a</v>
      </c>
      <c r="T15" s="1174">
        <f t="shared" si="5"/>
        <v>-21.622051304347828</v>
      </c>
      <c r="U15" s="1174" t="str">
        <f t="shared" si="6"/>
        <v>NM</v>
      </c>
      <c r="V15" s="1174" t="str">
        <f t="shared" si="7"/>
        <v>NM</v>
      </c>
      <c r="W15" s="1174" t="str">
        <f t="shared" si="8"/>
        <v>NM</v>
      </c>
      <c r="Y15" s="331">
        <f>'Comp.1'!AB15</f>
        <v>589.07718</v>
      </c>
      <c r="Z15" s="331">
        <f>'Comp.1'!AC15</f>
        <v>0</v>
      </c>
      <c r="AA15" s="331">
        <f>'Comp.1'!AD15</f>
        <v>0</v>
      </c>
      <c r="AB15" s="331">
        <f>'Comp.1'!AE15</f>
        <v>0</v>
      </c>
      <c r="AC15" s="331">
        <f t="shared" si="9"/>
        <v>0</v>
      </c>
      <c r="AD15" s="331">
        <f t="shared" si="10"/>
        <v>589.07718</v>
      </c>
      <c r="AE15" s="331">
        <f>'Comp.1'!AH15</f>
        <v>91.77</v>
      </c>
      <c r="AF15" s="759">
        <f t="shared" si="11"/>
        <v>497.30718000000002</v>
      </c>
      <c r="AH15" s="1177" t="str">
        <f>IF('MASTER PubCo Inputs'!C31="","",'MASTER PubCo Inputs'!C31)</f>
        <v>IQ130641748</v>
      </c>
      <c r="AI15" s="250" t="str">
        <f>'Comp.1'!AL15</f>
        <v>REGENXBIO Inc., a clinical-stage biotechnology company, provides gene therapy product candidates to deliver genes to cells to address genetic defects or to enable cells in the body to produce therapeutic proteins that are intended to impact disease. Its gene therapy product candidates are based on NAV Technology Platform, a proprietary adeno-associated virus (AAV) gene delivery platform. The company’s lead product candidate is RGX-314 for the treatment of wet age-related macular degeneration. It is also developing RGX-501, a product candidate for the treatment of homozygous familial hypercholesterolemia, which uses the AAV8 vector to deliver the human low-density lipoprotein receptor gene to liver cells; and RGX-111, a product candidate to treat the neurological symptoms of Mucopolysaccharidosis Type I that uses the AAV9 vector to deliver the human a-l-iduronidase gene to the central nervous system (CNS). In addition, the company engages in the development of RGX-121, a product candidate for the treatment of Mucopolysaccharidosis Type II, which uses the AAV9 vector to deliver the human iduronate-2-sulfatase gene to the CNS. Further, it licenses its NAV vectors to various other biotechnology companies. The company was formerly known as REGENX Biosciences, LLC and changed its name to REGENXBIO Inc. in September 2014. REGENXBIO Inc. was founded in 2008 and is headquartered in Rockville, Maryland.</v>
      </c>
    </row>
    <row r="16" spans="2:35" ht="14.85" customHeight="1">
      <c r="B16" s="250" t="str">
        <f>'Comp.1'!B16</f>
        <v>Inovio Pharmaceuticals, Inc.</v>
      </c>
      <c r="C16" s="759">
        <f>'Comp.1'!C16</f>
        <v>404.75847000000005</v>
      </c>
      <c r="E16" s="759">
        <f>'Capital IQ Sheet-GPC'!X17</f>
        <v>-35.705069999999999</v>
      </c>
      <c r="F16" s="759">
        <f>'Capital IQ Sheet-GPC'!Y17</f>
        <v>-29.94896</v>
      </c>
      <c r="G16" s="759">
        <f>'Capital IQ Sheet-GPC'!Z17</f>
        <v>-66.610519999999994</v>
      </c>
      <c r="H16" s="331"/>
      <c r="I16" s="759">
        <f>'Capital IQ Sheet-GPC'!AA17</f>
        <v>-37.926690000000001</v>
      </c>
      <c r="J16" s="759">
        <f>'Capital IQ Sheet-GPC'!AB17</f>
        <v>-33.365070000000003</v>
      </c>
      <c r="K16" s="759" t="str">
        <f>'Capital IQ Sheet-GPC'!AC17</f>
        <v>n/a</v>
      </c>
      <c r="L16" s="759" t="str">
        <f>'Capital IQ Sheet-GPC'!AD17</f>
        <v>n/a</v>
      </c>
      <c r="M16" s="759" t="str">
        <f>'Capital IQ Sheet-GPC'!AE17</f>
        <v>n/a</v>
      </c>
      <c r="O16" s="1174">
        <f t="shared" si="1"/>
        <v>-11.336162343331075</v>
      </c>
      <c r="P16" s="1174">
        <f t="shared" si="2"/>
        <v>-13.514942422040701</v>
      </c>
      <c r="Q16" s="1174" t="str">
        <f t="shared" si="3"/>
        <v>NM</v>
      </c>
      <c r="S16" s="1174">
        <f t="shared" si="4"/>
        <v>-10.672127464853908</v>
      </c>
      <c r="T16" s="1174">
        <f t="shared" si="5"/>
        <v>-12.131203980689985</v>
      </c>
      <c r="U16" s="1174" t="str">
        <f t="shared" si="6"/>
        <v>n/a</v>
      </c>
      <c r="V16" s="1174" t="str">
        <f t="shared" si="7"/>
        <v>n/a</v>
      </c>
      <c r="W16" s="1174" t="str">
        <f t="shared" si="8"/>
        <v>n/a</v>
      </c>
      <c r="Y16" s="331">
        <f>'Comp.1'!AB16</f>
        <v>524.34855000000005</v>
      </c>
      <c r="Z16" s="331">
        <f>'Comp.1'!AC16</f>
        <v>0</v>
      </c>
      <c r="AA16" s="331">
        <f>'Comp.1'!AD16</f>
        <v>0</v>
      </c>
      <c r="AB16" s="331">
        <f>'Comp.1'!AE16</f>
        <v>9.6269999999999994E-2</v>
      </c>
      <c r="AC16" s="331">
        <f t="shared" si="9"/>
        <v>9.6269999999999994E-2</v>
      </c>
      <c r="AD16" s="331">
        <f t="shared" si="10"/>
        <v>524.44482000000005</v>
      </c>
      <c r="AE16" s="331">
        <f>'Comp.1'!AH16</f>
        <v>119.68635</v>
      </c>
      <c r="AF16" s="759">
        <f t="shared" si="11"/>
        <v>404.75847000000005</v>
      </c>
      <c r="AH16" s="1177" t="str">
        <f>IF('MASTER PubCo Inputs'!C32="","",'MASTER PubCo Inputs'!C32)</f>
        <v>IQ28922</v>
      </c>
      <c r="AI16" s="250" t="str">
        <f>'Comp.1'!AL16</f>
        <v>Inovio Pharmaceuticals, Inc., a clinical stage biopharmaceutical company, develops active DNA immunotherapies and vaccines in combination with proprietary electroporation delivery devices to prevent and treat cancers and infectious diseases. Its SynCon immunotherapy design has the ability to break the immune system’s tolerance of cancerous cells; and SynCon product design is also intended to facilitate cross-strain protection against known, as well as new unmatched strains of pathogens, such as influenza. It has completed, current or planned clinical programs of its proprietary SynCon immunotherapies for HPV-caused pre-cancers and cancers, influenza, prostate cancer, breast/lung/pancreatic cancer, hepatitis C virus, hepatitis B virus, HIV, Ebola, Middle East Respiratory Syndrome, and Zika virus. The company’s partners and collaborators include MedImmune, LLC, the Wistar Institute, University of Pennsylvania, Defense Advanced Research Projects Agency, GeneOne Life Science, Plumbline Life Sciences, ApolloBio Corporation, Drexel University, the National Institutes of Health, HIV Vaccines Trial Network, National Cancer Institute, and U.S. Military HIV Research Program. Inovio Pharmaceuticals, Inc. was founded in 1979 and is headquartered in Plymouth Meeting, Pennsylvania.</v>
      </c>
    </row>
    <row r="17" spans="2:35" ht="14.85" customHeight="1">
      <c r="B17" s="250" t="str">
        <f>'Comp.1'!B17</f>
        <v>Enanta Pharmaceuticals, Inc.</v>
      </c>
      <c r="C17" s="759">
        <f>'Comp.1'!C17</f>
        <v>381.96800999999994</v>
      </c>
      <c r="E17" s="759">
        <f>'Capital IQ Sheet-GPC'!X18</f>
        <v>19.925000000000001</v>
      </c>
      <c r="F17" s="759">
        <f>'Capital IQ Sheet-GPC'!Y18</f>
        <v>115.693</v>
      </c>
      <c r="G17" s="759">
        <f>'Capital IQ Sheet-GPC'!Z18</f>
        <v>39.024000000000001</v>
      </c>
      <c r="H17" s="331"/>
      <c r="I17" s="759">
        <f>'Capital IQ Sheet-GPC'!AA18</f>
        <v>95.058000000000007</v>
      </c>
      <c r="J17" s="759">
        <f>'Capital IQ Sheet-GPC'!AB18</f>
        <v>90.381</v>
      </c>
      <c r="K17" s="759" t="str">
        <f>'Capital IQ Sheet-GPC'!AC18</f>
        <v>n/a</v>
      </c>
      <c r="L17" s="759" t="str">
        <f>'Capital IQ Sheet-GPC'!AD18</f>
        <v>n/a</v>
      </c>
      <c r="M17" s="759" t="str">
        <f>'Capital IQ Sheet-GPC'!AE18</f>
        <v>n/a</v>
      </c>
      <c r="O17" s="1174">
        <f t="shared" si="1"/>
        <v>19.170289084065242</v>
      </c>
      <c r="P17" s="1174">
        <f t="shared" si="2"/>
        <v>3.3015654361110864</v>
      </c>
      <c r="Q17" s="1174">
        <f t="shared" si="3"/>
        <v>9.7880281365313628</v>
      </c>
      <c r="S17" s="1174">
        <f t="shared" si="4"/>
        <v>4.0182626396515806</v>
      </c>
      <c r="T17" s="1174">
        <f t="shared" si="5"/>
        <v>4.2261980947322995</v>
      </c>
      <c r="U17" s="1174" t="str">
        <f t="shared" si="6"/>
        <v>n/a</v>
      </c>
      <c r="V17" s="1174" t="str">
        <f t="shared" si="7"/>
        <v>n/a</v>
      </c>
      <c r="W17" s="1174" t="str">
        <f t="shared" si="8"/>
        <v>n/a</v>
      </c>
      <c r="Y17" s="331">
        <f>'Comp.1'!AB17</f>
        <v>598.48901000000001</v>
      </c>
      <c r="Z17" s="331">
        <f>'Comp.1'!AC17</f>
        <v>0.70699999999999996</v>
      </c>
      <c r="AA17" s="331">
        <f>'Comp.1'!AD17</f>
        <v>1.2370000000000001</v>
      </c>
      <c r="AB17" s="331">
        <f>'Comp.1'!AE17</f>
        <v>0</v>
      </c>
      <c r="AC17" s="331">
        <f t="shared" si="9"/>
        <v>1.944</v>
      </c>
      <c r="AD17" s="331">
        <f t="shared" si="10"/>
        <v>600.43300999999997</v>
      </c>
      <c r="AE17" s="331">
        <f>'Comp.1'!AH17</f>
        <v>218.465</v>
      </c>
      <c r="AF17" s="759">
        <f t="shared" si="11"/>
        <v>381.96800999999994</v>
      </c>
      <c r="AH17" s="1177" t="str">
        <f>IF('MASTER PubCo Inputs'!C33="","",'MASTER PubCo Inputs'!C33)</f>
        <v>IQ345286</v>
      </c>
      <c r="AI17" s="250" t="str">
        <f>'Comp.1'!AL17</f>
        <v>Enanta Pharmaceuticals, Inc., a research and development-focused biotechnology company focuses on discovering and developing small molecule drugs for the treatment of viral infections and liver diseases. The company’s research and development focuses on four disease targets: Hepatitis C virus (HCV), Hepatitis B virus (HBV), Non-alcoholic Steatohepatitis (NASH), and Respiratory Syncytial Virus (RSV). Its lead product is paritaprevir, a protease inhibitor designed for use against HCV. The company also develops HCV protease inhibitor in phase III development with AbbVie, as well as a HCV program using a different class of molecules known as cyclophilin inhibitors. In addition, it has a program in non-alcoholic steatohepatitis; and discovers programs in other areas of viral infection and liver disease. Enanta Pharmaceuticals, Inc. has a collaborative development and license agreement with AbbVie to develop and commercialize HCV NS3 and NS3/4A protease inhibitors. The company was founded in 1995 and is headquartered in Watertown, Massachusetts.</v>
      </c>
    </row>
    <row r="18" spans="2:35" ht="14.85" customHeight="1">
      <c r="B18" s="250" t="str">
        <f>'Comp.1'!B18</f>
        <v>Editas Medicine, Inc.</v>
      </c>
      <c r="C18" s="759">
        <f>'Comp.1'!C18</f>
        <v>340.68456999999989</v>
      </c>
      <c r="E18" s="759">
        <f>'Capital IQ Sheet-GPC'!X19</f>
        <v>-5.2169999999999996</v>
      </c>
      <c r="F18" s="759">
        <f>'Capital IQ Sheet-GPC'!Y19</f>
        <v>-27.739000000000001</v>
      </c>
      <c r="G18" s="759">
        <f>'Capital IQ Sheet-GPC'!Z19</f>
        <v>-69.715000000000003</v>
      </c>
      <c r="H18" s="331"/>
      <c r="I18" s="759">
        <f>'Capital IQ Sheet-GPC'!AA19</f>
        <v>-12.566000000000001</v>
      </c>
      <c r="J18" s="759">
        <f>'Capital IQ Sheet-GPC'!AB19</f>
        <v>-34.841000000000001</v>
      </c>
      <c r="K18" s="759">
        <f>'Capital IQ Sheet-GPC'!AC19</f>
        <v>-74.872140000000002</v>
      </c>
      <c r="L18" s="759">
        <f>'Capital IQ Sheet-GPC'!AD19</f>
        <v>-86.281800000000004</v>
      </c>
      <c r="M18" s="759">
        <f>'Capital IQ Sheet-GPC'!AE19</f>
        <v>-102.31648</v>
      </c>
      <c r="O18" s="1174">
        <f t="shared" si="1"/>
        <v>-65.302773624688498</v>
      </c>
      <c r="P18" s="1174">
        <f t="shared" si="2"/>
        <v>-12.281789898698579</v>
      </c>
      <c r="Q18" s="1174" t="str">
        <f t="shared" si="3"/>
        <v>NM</v>
      </c>
      <c r="S18" s="1174">
        <f t="shared" si="4"/>
        <v>-27.111616266114904</v>
      </c>
      <c r="T18" s="1174">
        <f t="shared" si="5"/>
        <v>-9.778266123245599</v>
      </c>
      <c r="U18" s="1174" t="str">
        <f t="shared" si="6"/>
        <v>NM</v>
      </c>
      <c r="V18" s="1174" t="str">
        <f t="shared" si="7"/>
        <v>NM</v>
      </c>
      <c r="W18" s="1174" t="str">
        <f t="shared" si="8"/>
        <v>NM</v>
      </c>
      <c r="Y18" s="331">
        <f>'Comp.1'!AB18</f>
        <v>508.51056999999997</v>
      </c>
      <c r="Z18" s="331">
        <f>'Comp.1'!AC18</f>
        <v>32.048000000000002</v>
      </c>
      <c r="AA18" s="331">
        <f>'Comp.1'!AD18</f>
        <v>0</v>
      </c>
      <c r="AB18" s="331">
        <f>'Comp.1'!AE18</f>
        <v>0</v>
      </c>
      <c r="AC18" s="331">
        <f t="shared" si="9"/>
        <v>32.048000000000002</v>
      </c>
      <c r="AD18" s="331">
        <f t="shared" si="10"/>
        <v>540.55856999999992</v>
      </c>
      <c r="AE18" s="331">
        <f>'Comp.1'!AH18</f>
        <v>199.874</v>
      </c>
      <c r="AF18" s="759">
        <f t="shared" si="11"/>
        <v>340.68456999999989</v>
      </c>
      <c r="AH18" s="1177" t="str">
        <f>IF('MASTER PubCo Inputs'!C34="","",'MASTER PubCo Inputs'!C34)</f>
        <v>IQ252050056</v>
      </c>
      <c r="AI18" s="250" t="str">
        <f>'Comp.1'!AL18</f>
        <v>Editas Medicine, Inc. operates as a genome editing company. It focuses on treating patients with genetically defined diseases by correcting their disease causing genes. It is developing a proprietary genome editing platform based on CRISPR technology to target genetically defined diseases with an initial focus on debilitating illnesses where there are no approved treatments. Editas Medicine, Inc. has a collaboration and license agreement with Juno Therapeutics, Inc. for the research and development of engineered T cells with chimeric antigen receptors and T cell receptors; and collaboration, option, and license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based in Cambridge, Massachusetts.</v>
      </c>
    </row>
    <row r="19" spans="2:35" ht="14.85" customHeight="1">
      <c r="B19" s="250" t="str">
        <f>'Comp.1'!B19</f>
        <v>NantKwest, Inc.</v>
      </c>
      <c r="C19" s="759">
        <f>'Comp.1'!C19</f>
        <v>337.18269999999995</v>
      </c>
      <c r="E19" s="759">
        <f>'Capital IQ Sheet-GPC'!X20</f>
        <v>-2.2650000000000001</v>
      </c>
      <c r="F19" s="759">
        <f>'Capital IQ Sheet-GPC'!Y20</f>
        <v>-187.99199999999999</v>
      </c>
      <c r="G19" s="759">
        <f>'Capital IQ Sheet-GPC'!Z20</f>
        <v>-149.721</v>
      </c>
      <c r="H19" s="331"/>
      <c r="I19" s="759">
        <f>'Capital IQ Sheet-GPC'!AA20</f>
        <v>-5.5389999999999997</v>
      </c>
      <c r="J19" s="759">
        <f>'Capital IQ Sheet-GPC'!AB20</f>
        <v>-237.404</v>
      </c>
      <c r="K19" s="759">
        <f>'Capital IQ Sheet-GPC'!AC20</f>
        <v>-49.87</v>
      </c>
      <c r="L19" s="759">
        <f>'Capital IQ Sheet-GPC'!AD20</f>
        <v>-97.143000000000001</v>
      </c>
      <c r="M19" s="759" t="str">
        <f>'Capital IQ Sheet-GPC'!AE20</f>
        <v>n/a</v>
      </c>
      <c r="O19" s="1174">
        <f t="shared" si="1"/>
        <v>-148.86653421633551</v>
      </c>
      <c r="P19" s="1174">
        <f t="shared" si="2"/>
        <v>-1.7936013234605725</v>
      </c>
      <c r="Q19" s="1174" t="str">
        <f t="shared" si="3"/>
        <v>NM</v>
      </c>
      <c r="S19" s="1174">
        <f t="shared" si="4"/>
        <v>-60.874291388337241</v>
      </c>
      <c r="T19" s="1174">
        <f t="shared" si="5"/>
        <v>-1.4202907280416504</v>
      </c>
      <c r="U19" s="1174" t="str">
        <f t="shared" si="6"/>
        <v>NM</v>
      </c>
      <c r="V19" s="1174" t="str">
        <f t="shared" si="7"/>
        <v>NM</v>
      </c>
      <c r="W19" s="1174" t="str">
        <f t="shared" si="8"/>
        <v>n/a</v>
      </c>
      <c r="Y19" s="331">
        <f>'Comp.1'!AB19</f>
        <v>538.73569999999995</v>
      </c>
      <c r="Z19" s="331">
        <f>'Comp.1'!AC19</f>
        <v>7.7030000000000003</v>
      </c>
      <c r="AA19" s="331">
        <f>'Comp.1'!AD19</f>
        <v>0</v>
      </c>
      <c r="AB19" s="331">
        <f>'Comp.1'!AE19</f>
        <v>0</v>
      </c>
      <c r="AC19" s="331">
        <f t="shared" si="9"/>
        <v>7.7030000000000003</v>
      </c>
      <c r="AD19" s="331">
        <f t="shared" si="10"/>
        <v>546.43869999999993</v>
      </c>
      <c r="AE19" s="331">
        <f>'Comp.1'!AH19</f>
        <v>209.256</v>
      </c>
      <c r="AF19" s="759">
        <f t="shared" si="11"/>
        <v>337.18269999999995</v>
      </c>
      <c r="AH19" s="1177" t="str">
        <f>IF('MASTER PubCo Inputs'!C35="","",'MASTER PubCo Inputs'!C35)</f>
        <v>IQ262241549</v>
      </c>
      <c r="AI19" s="250" t="str">
        <f>'Comp.1'!AL19</f>
        <v>NantKwest, Inc., a clinical-stage immunotherapy biotechnology company, develops immunotherapeutic treatments for cancer, infectious diseases, and inflammatory diseases in the United States. The company develops activated natural killer product candidates for the treatment of virally-induced cancers, such as polyoma virus induced merkel cell carcinoma, human papilloma virus induced cervical, and head and neck cancers; infectious diseases, including Ebola; and other serious viral, fungal, and bacterial infections. It is also develops high-affinity natural killer product candidates primarily for the treatment of solid tumors, breast cancer, head and neck/squamous, lymphoma, and various cancer;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20" spans="2:35" ht="14.85" customHeight="1">
      <c r="B20" s="250" t="str">
        <f>'Comp.1'!B20</f>
        <v>Cocrystal Pharma, Inc.</v>
      </c>
      <c r="C20" s="759">
        <f>'Comp.1'!C20</f>
        <v>311.30250000000001</v>
      </c>
      <c r="E20" s="759">
        <f>'Capital IQ Sheet-GPC'!X21</f>
        <v>-4.9130000000000003</v>
      </c>
      <c r="F20" s="759">
        <f>'Capital IQ Sheet-GPC'!Y21</f>
        <v>-11.057</v>
      </c>
      <c r="G20" s="759">
        <f>'Capital IQ Sheet-GPC'!Z21</f>
        <v>-55.07</v>
      </c>
      <c r="H20" s="331"/>
      <c r="I20" s="759">
        <f>'Capital IQ Sheet-GPC'!AA21</f>
        <v>-5.6</v>
      </c>
      <c r="J20" s="759">
        <f>'Capital IQ Sheet-GPC'!AB21</f>
        <v>-53.238</v>
      </c>
      <c r="K20" s="759" t="str">
        <f>'Capital IQ Sheet-GPC'!AC21</f>
        <v>n/a</v>
      </c>
      <c r="L20" s="759" t="str">
        <f>'Capital IQ Sheet-GPC'!AD21</f>
        <v>n/a</v>
      </c>
      <c r="M20" s="759" t="str">
        <f>'Capital IQ Sheet-GPC'!AE21</f>
        <v>n/a</v>
      </c>
      <c r="O20" s="1174">
        <f t="shared" si="1"/>
        <v>-63.363016486871565</v>
      </c>
      <c r="P20" s="1174">
        <f t="shared" si="2"/>
        <v>-28.154336619336167</v>
      </c>
      <c r="Q20" s="1174" t="str">
        <f t="shared" si="3"/>
        <v>NM</v>
      </c>
      <c r="S20" s="1174">
        <f t="shared" si="4"/>
        <v>-55.589732142857144</v>
      </c>
      <c r="T20" s="1174">
        <f t="shared" si="5"/>
        <v>-5.8473740561253242</v>
      </c>
      <c r="U20" s="1174" t="str">
        <f t="shared" si="6"/>
        <v>n/a</v>
      </c>
      <c r="V20" s="1174" t="str">
        <f t="shared" si="7"/>
        <v>n/a</v>
      </c>
      <c r="W20" s="1174" t="str">
        <f t="shared" si="8"/>
        <v>n/a</v>
      </c>
      <c r="Y20" s="331">
        <f>'Comp.1'!AB20</f>
        <v>317.20850000000002</v>
      </c>
      <c r="Z20" s="331">
        <f>'Comp.1'!AC20</f>
        <v>0</v>
      </c>
      <c r="AA20" s="331">
        <f>'Comp.1'!AD20</f>
        <v>0</v>
      </c>
      <c r="AB20" s="331">
        <f>'Comp.1'!AE20</f>
        <v>0</v>
      </c>
      <c r="AC20" s="331">
        <f t="shared" si="9"/>
        <v>0</v>
      </c>
      <c r="AD20" s="331">
        <f t="shared" si="10"/>
        <v>317.20850000000002</v>
      </c>
      <c r="AE20" s="331">
        <f>'Comp.1'!AH20</f>
        <v>5.9059999999999997</v>
      </c>
      <c r="AF20" s="759">
        <f t="shared" si="11"/>
        <v>311.30250000000001</v>
      </c>
      <c r="AH20" s="1177" t="str">
        <f>IF('MASTER PubCo Inputs'!C36="","",'MASTER PubCo Inputs'!C36)</f>
        <v>IQ49062639</v>
      </c>
      <c r="AI20" s="250" t="str">
        <f>'Comp.1'!AL20</f>
        <v>Cocrystal Pharma, Inc., a preclinical-stage biopharmaceutical company, focuses on developing antiviral therapeutics for human diseases. The company focuses on developing inhibitors that target viral replication enzymes and viral replication protein. It is developing antiviral therapeutics for human diseases, including hepatitis C virus (HCV), influenza virus, and norovirus. The company also develops targeted in-house chemical libraries consisting of nucleosides, non-nucleoside inhibitors, metal-binding inhibitors, and fragments. Cocrystal Pharma, Inc. was founded in 2007 and is headquartered in Tucker, Georgia.</v>
      </c>
    </row>
    <row r="21" spans="2:35" ht="14.85" customHeight="1">
      <c r="B21" s="250" t="str">
        <f>'Comp.1'!B21</f>
        <v>Intellia Therapeutics Inc.</v>
      </c>
      <c r="C21" s="759">
        <f>'Comp.1'!C21</f>
        <v>276.30846000000003</v>
      </c>
      <c r="E21" s="759">
        <f>'Capital IQ Sheet-GPC'!X22</f>
        <v>0</v>
      </c>
      <c r="F21" s="759">
        <f>'Capital IQ Sheet-GPC'!Y22</f>
        <v>0</v>
      </c>
      <c r="G21" s="759">
        <f>'Capital IQ Sheet-GPC'!Z22</f>
        <v>-25.997</v>
      </c>
      <c r="H21" s="331"/>
      <c r="I21" s="759">
        <f>'Capital IQ Sheet-GPC'!AA22</f>
        <v>-5.2214999999999998</v>
      </c>
      <c r="J21" s="759">
        <f>'Capital IQ Sheet-GPC'!AB22</f>
        <v>-13.081</v>
      </c>
      <c r="K21" s="759">
        <f>'Capital IQ Sheet-GPC'!AC22</f>
        <v>-29.22</v>
      </c>
      <c r="L21" s="759">
        <f>'Capital IQ Sheet-GPC'!AD22</f>
        <v>-33.585999999999999</v>
      </c>
      <c r="M21" s="759">
        <f>'Capital IQ Sheet-GPC'!AE22</f>
        <v>-36</v>
      </c>
      <c r="O21" s="1174" t="str">
        <f t="shared" si="1"/>
        <v>n/a</v>
      </c>
      <c r="P21" s="1174" t="str">
        <f t="shared" si="2"/>
        <v>n/a</v>
      </c>
      <c r="Q21" s="1174" t="str">
        <f t="shared" si="3"/>
        <v>NM</v>
      </c>
      <c r="S21" s="1174">
        <f t="shared" si="4"/>
        <v>-52.917449008905493</v>
      </c>
      <c r="T21" s="1174">
        <f t="shared" si="5"/>
        <v>-21.122885100527487</v>
      </c>
      <c r="U21" s="1174" t="str">
        <f t="shared" si="6"/>
        <v>NM</v>
      </c>
      <c r="V21" s="1174" t="str">
        <f t="shared" si="7"/>
        <v>NM</v>
      </c>
      <c r="W21" s="1174" t="str">
        <f t="shared" si="8"/>
        <v>NM</v>
      </c>
      <c r="Y21" s="331">
        <f>'Comp.1'!AB21</f>
        <v>566.92646000000002</v>
      </c>
      <c r="Z21" s="331">
        <f>'Comp.1'!AC21</f>
        <v>0</v>
      </c>
      <c r="AA21" s="331">
        <f>'Comp.1'!AD21</f>
        <v>0</v>
      </c>
      <c r="AB21" s="331">
        <f>'Comp.1'!AE21</f>
        <v>0</v>
      </c>
      <c r="AC21" s="331">
        <f t="shared" si="9"/>
        <v>0</v>
      </c>
      <c r="AD21" s="331">
        <f t="shared" si="10"/>
        <v>566.92646000000002</v>
      </c>
      <c r="AE21" s="331">
        <f>'Comp.1'!AH21</f>
        <v>290.61799999999999</v>
      </c>
      <c r="AF21" s="759">
        <f t="shared" si="11"/>
        <v>276.30846000000003</v>
      </c>
      <c r="AH21" s="1177" t="str">
        <f>IF('MASTER PubCo Inputs'!C37="","",'MASTER PubCo Inputs'!C37)</f>
        <v>IQ277799796</v>
      </c>
      <c r="AI21" s="250" t="str">
        <f>'Comp.1'!AL21</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and partnered programs focuses on chimeric antigen receptor T cells and hematopoietic stem cells. Intellia Therapeutics Inc. has collaboration agreement with Novartis; Regeneron Pharmaceuticals, Inc.; and Caribou Biosciences, Inc. The company was formerly known as AZRN, Inc. and changed its name to Intellia Therapeutics Inc. in July 2014. Intellia Therapeutics Inc. was founded in 2014 and is headquartered in Cambridge, Massachusetts.</v>
      </c>
    </row>
    <row r="22" spans="2:35" ht="14.85" customHeight="1">
      <c r="B22" s="250" t="str">
        <f>'Comp.1'!B22</f>
        <v>GenSight Biologics S.A.</v>
      </c>
      <c r="C22" s="759">
        <f>'Comp.1'!C22</f>
        <v>224.07716000000005</v>
      </c>
      <c r="E22" s="759">
        <f>'Capital IQ Sheet-GPC'!X23</f>
        <v>0</v>
      </c>
      <c r="F22" s="759">
        <f>'Capital IQ Sheet-GPC'!Y23</f>
        <v>-7.85276</v>
      </c>
      <c r="G22" s="759">
        <f>'Capital IQ Sheet-GPC'!Z23</f>
        <v>-11.42834</v>
      </c>
      <c r="H22" s="331"/>
      <c r="I22" s="759">
        <f>'Capital IQ Sheet-GPC'!AA23</f>
        <v>-7.85276</v>
      </c>
      <c r="J22" s="759">
        <f>'Capital IQ Sheet-GPC'!AB23</f>
        <v>-11.42834</v>
      </c>
      <c r="K22" s="759">
        <f>'Capital IQ Sheet-GPC'!AC23</f>
        <v>-23.290009999999999</v>
      </c>
      <c r="L22" s="759">
        <f>'Capital IQ Sheet-GPC'!AD23</f>
        <v>-23.97099</v>
      </c>
      <c r="M22" s="759">
        <f>'Capital IQ Sheet-GPC'!AE23</f>
        <v>-10.620850000000001</v>
      </c>
      <c r="O22" s="1174" t="str">
        <f t="shared" si="1"/>
        <v>n/a</v>
      </c>
      <c r="P22" s="1174">
        <f t="shared" si="2"/>
        <v>-28.53482851889018</v>
      </c>
      <c r="Q22" s="1174" t="str">
        <f t="shared" si="3"/>
        <v>NM</v>
      </c>
      <c r="S22" s="1174">
        <f t="shared" si="4"/>
        <v>-28.53482851889018</v>
      </c>
      <c r="T22" s="1174">
        <f t="shared" si="5"/>
        <v>-19.607148544758036</v>
      </c>
      <c r="U22" s="1174" t="str">
        <f t="shared" si="6"/>
        <v>NM</v>
      </c>
      <c r="V22" s="1174" t="str">
        <f t="shared" si="7"/>
        <v>NM</v>
      </c>
      <c r="W22" s="1174" t="str">
        <f t="shared" si="8"/>
        <v>NM</v>
      </c>
      <c r="Y22" s="331">
        <f>'Comp.1'!AB22</f>
        <v>256.04862000000003</v>
      </c>
      <c r="Z22" s="331">
        <f>'Comp.1'!AC22</f>
        <v>0.67574000000000001</v>
      </c>
      <c r="AA22" s="331">
        <f>'Comp.1'!AD22</f>
        <v>0</v>
      </c>
      <c r="AB22" s="331">
        <f>'Comp.1'!AE22</f>
        <v>0</v>
      </c>
      <c r="AC22" s="331">
        <f t="shared" si="9"/>
        <v>0.67574000000000001</v>
      </c>
      <c r="AD22" s="331">
        <f t="shared" si="10"/>
        <v>256.72436000000005</v>
      </c>
      <c r="AE22" s="331">
        <f>'Comp.1'!AH22</f>
        <v>32.647199999999998</v>
      </c>
      <c r="AF22" s="759">
        <f t="shared" si="11"/>
        <v>224.07716000000005</v>
      </c>
      <c r="AH22" s="1177" t="str">
        <f>IF('MASTER PubCo Inputs'!C38="","",'MASTER PubCo Inputs'!C38)</f>
        <v>IQ235063288</v>
      </c>
      <c r="AI22" s="250" t="str">
        <f>'Comp.1'!AL22</f>
        <v>GenSight Biologics S.A., a clinical-stage biotechnology company, engages in the discovery and development of therapies for mitochondrial and neurodegenerative diseases of the eye and central nervous system. The company develops its products through gene therapy-based approach with technology platforms of mitochondrial targeting sequence and optogenetics. Its lead product candidates include GS010, an AAV2 containing the human wild-type ND4 gene, which is in Phase III clinical trials for the treatment of Leber Hereditary Optic Neuropathy associated with mutation in the ND4 gene; and GS030 that comprises a gene encoding a photoactivatable channelrhodopsin for the treatment of reinitis pigmentosa and geographic atrophy in dry age-related macular degeneration. It is also developing products in preclinical development targeting ophthalmic and neurodegenerative diseases. GenSight Biologics S.A. was founded in 2012 and is based in Paris, France.</v>
      </c>
    </row>
    <row r="23" spans="2:35" ht="14.85" customHeight="1">
      <c r="B23" s="250" t="str">
        <f>'Comp.1'!B23</f>
        <v>Advaxis, Inc.</v>
      </c>
      <c r="C23" s="759">
        <f>'Comp.1'!C23</f>
        <v>252.38670000000002</v>
      </c>
      <c r="E23" s="759">
        <f>'Capital IQ Sheet-GPC'!X24</f>
        <v>-18.337630000000001</v>
      </c>
      <c r="F23" s="759">
        <f>'Capital IQ Sheet-GPC'!Y24</f>
        <v>-38.498480000000001</v>
      </c>
      <c r="G23" s="759">
        <f>'Capital IQ Sheet-GPC'!Z24</f>
        <v>-66.103949999999998</v>
      </c>
      <c r="H23" s="331"/>
      <c r="I23" s="759">
        <f>'Capital IQ Sheet-GPC'!AA24</f>
        <v>-19.64725</v>
      </c>
      <c r="J23" s="759">
        <f>'Capital IQ Sheet-GPC'!AB24</f>
        <v>-61.532229999999998</v>
      </c>
      <c r="K23" s="759" t="str">
        <f>'Capital IQ Sheet-GPC'!AC24</f>
        <v>n/a</v>
      </c>
      <c r="L23" s="759" t="str">
        <f>'Capital IQ Sheet-GPC'!AD24</f>
        <v>n/a</v>
      </c>
      <c r="M23" s="759" t="str">
        <f>'Capital IQ Sheet-GPC'!AE24</f>
        <v>n/a</v>
      </c>
      <c r="O23" s="1174">
        <f t="shared" si="1"/>
        <v>-13.763321650616792</v>
      </c>
      <c r="P23" s="1174">
        <f t="shared" si="2"/>
        <v>-6.5557575260114174</v>
      </c>
      <c r="Q23" s="1174" t="str">
        <f t="shared" si="3"/>
        <v>NM</v>
      </c>
      <c r="S23" s="1174">
        <f t="shared" si="4"/>
        <v>-12.845904643143443</v>
      </c>
      <c r="T23" s="1174">
        <f t="shared" si="5"/>
        <v>-4.1016992233176017</v>
      </c>
      <c r="U23" s="1174" t="str">
        <f t="shared" si="6"/>
        <v>n/a</v>
      </c>
      <c r="V23" s="1174" t="str">
        <f t="shared" si="7"/>
        <v>n/a</v>
      </c>
      <c r="W23" s="1174" t="str">
        <f t="shared" si="8"/>
        <v>n/a</v>
      </c>
      <c r="Y23" s="331">
        <f>'Comp.1'!AB23</f>
        <v>331.10462000000001</v>
      </c>
      <c r="Z23" s="331">
        <f>'Comp.1'!AC23</f>
        <v>0</v>
      </c>
      <c r="AA23" s="331">
        <f>'Comp.1'!AD23</f>
        <v>0</v>
      </c>
      <c r="AB23" s="331">
        <f>'Comp.1'!AE23</f>
        <v>0</v>
      </c>
      <c r="AC23" s="331">
        <f t="shared" si="9"/>
        <v>0</v>
      </c>
      <c r="AD23" s="331">
        <f t="shared" si="10"/>
        <v>331.10462000000001</v>
      </c>
      <c r="AE23" s="331">
        <f>'Comp.1'!AH23</f>
        <v>78.717920000000007</v>
      </c>
      <c r="AF23" s="759">
        <f t="shared" si="11"/>
        <v>252.38670000000002</v>
      </c>
      <c r="AH23" s="1177" t="str">
        <f>IF('MASTER PubCo Inputs'!C39="","",'MASTER PubCo Inputs'!C39)</f>
        <v>IQ7924894</v>
      </c>
      <c r="AI23" s="250" t="str">
        <f>'Comp.1'!AL23</f>
        <v>Advaxis, Inc., a clinical stage biotechnology company, focuses on the discovery, development, and commercialization of Lm-LLO cancer immunotherapies in the United States. Its lead product Axalimogene filolisbac, an Lm-LLO immunotherapy product candidate, which completed its Phase II study for the treatment of human papilloma virus associated cancers, including cervical, head and neck, and anal cancer. The company is also developing ADXS-PSA, an Lm-LLO immunotherapy product candidate, which is in Phase I/II clinical trials designed to target the prostate specific antigen associated with prostate cancer; and ADXS-HER2, an Lm-LLO immunotherapy product candidate that is in Phase Ib clinical trials used for the treatment of human epidermal growth factor receptor 2 expressing cancers, including human and canine osteosarcoma. It has clinical trial collaboration agreements with Merck &amp; Co., Inc. for the Phase I/II dose-escalation and safety study of ADXS31-142; and MedImmune, LLC to initiate a Phase I/II clinical study in the United States to evaluate MEDI4736, an investigational anti-PD-L1 immune checkpoint inhibitor. The company also has a licensing agreement with Global BioPharma Inc.; co-development and commercialization agreement with Especificos Stendhal SA de CV; and collaboration agreement with Amgen Inc. for the development and commercialization of ADXS-NEO, a preclinical investigational cancer immunotherapy treatment that activates patient’s immune system to respond against mutations or neoepitopes. Advaxis, Inc. was founded in 2002 and is based in Princeton, New Jersey.</v>
      </c>
    </row>
    <row r="24" spans="2:35" ht="14.85" customHeight="1">
      <c r="B24" s="250" t="str">
        <f>'Comp.1'!B24</f>
        <v>Audentes Therapeutics, Inc.</v>
      </c>
      <c r="C24" s="759">
        <f>'Comp.1'!C24</f>
        <v>237.76443</v>
      </c>
      <c r="E24" s="759">
        <f>'Capital IQ Sheet-GPC'!X25</f>
        <v>-3.0510000000000002</v>
      </c>
      <c r="F24" s="759">
        <f>'Capital IQ Sheet-GPC'!Y25</f>
        <v>-20.78</v>
      </c>
      <c r="G24" s="759">
        <f>'Capital IQ Sheet-GPC'!Z25</f>
        <v>-48.180999999999997</v>
      </c>
      <c r="H24" s="331"/>
      <c r="I24" s="759">
        <f>'Capital IQ Sheet-GPC'!AA25</f>
        <v>-10.914999999999999</v>
      </c>
      <c r="J24" s="759">
        <f>'Capital IQ Sheet-GPC'!AB25</f>
        <v>-25.893000000000001</v>
      </c>
      <c r="K24" s="759">
        <f>'Capital IQ Sheet-GPC'!AC25</f>
        <v>-55.146099999999997</v>
      </c>
      <c r="L24" s="759">
        <f>'Capital IQ Sheet-GPC'!AD25</f>
        <v>-56.853360000000002</v>
      </c>
      <c r="M24" s="759" t="str">
        <f>'Capital IQ Sheet-GPC'!AE25</f>
        <v>n/a</v>
      </c>
      <c r="O24" s="1174">
        <f t="shared" si="1"/>
        <v>-77.929999999999993</v>
      </c>
      <c r="P24" s="1174">
        <f t="shared" si="2"/>
        <v>-11.441984119345523</v>
      </c>
      <c r="Q24" s="1174" t="str">
        <f t="shared" si="3"/>
        <v>NM</v>
      </c>
      <c r="S24" s="1174">
        <f t="shared" si="4"/>
        <v>-21.7832734768667</v>
      </c>
      <c r="T24" s="1174">
        <f t="shared" si="5"/>
        <v>-9.1825755995828988</v>
      </c>
      <c r="U24" s="1174" t="str">
        <f t="shared" si="6"/>
        <v>NM</v>
      </c>
      <c r="V24" s="1174" t="str">
        <f t="shared" si="7"/>
        <v>NM</v>
      </c>
      <c r="W24" s="1174" t="str">
        <f t="shared" si="8"/>
        <v>n/a</v>
      </c>
      <c r="Y24" s="331">
        <f>'Comp.1'!AB24</f>
        <v>356.94443000000001</v>
      </c>
      <c r="Z24" s="331">
        <f>'Comp.1'!AC24</f>
        <v>0</v>
      </c>
      <c r="AA24" s="331">
        <f>'Comp.1'!AD24</f>
        <v>0</v>
      </c>
      <c r="AB24" s="331">
        <f>'Comp.1'!AE24</f>
        <v>0</v>
      </c>
      <c r="AC24" s="331">
        <f t="shared" si="9"/>
        <v>0</v>
      </c>
      <c r="AD24" s="331">
        <f t="shared" si="10"/>
        <v>356.94443000000001</v>
      </c>
      <c r="AE24" s="331">
        <f>'Comp.1'!AH24</f>
        <v>119.18</v>
      </c>
      <c r="AF24" s="759">
        <f t="shared" si="11"/>
        <v>237.76443</v>
      </c>
      <c r="AH24" s="1177" t="str">
        <f>IF('MASTER PubCo Inputs'!C40="","",'MASTER PubCo Inputs'!C40)</f>
        <v>IQ243223852</v>
      </c>
      <c r="AI24" s="250" t="str">
        <f>'Comp.1'!AL24</f>
        <v>Audentes Therapeutics, Inc., a biotechnology company, focuses on developing and commercializing gene therapy products for patients suffering from diseases caused by single gene defects in the United States. The company is developing AT132 for the treatment of X-linked myotubular myopathy; AT342 for the treatment of crigler-najjar syndrome type 1; AT982 for the treatment of pompe disease; and AT307 for the treatment of the CASQ2 subtype of catecholaminergic polymorphic ventricular tachycardia. Audentes Therapeutics, Inc. has a collaboration with the University of Pennsylvania for the treatment of Crigler-Najjar. The company was founded in 2012 and is headquartered in San Francisco, California.</v>
      </c>
    </row>
    <row r="25" spans="2:35" ht="14.85" customHeight="1">
      <c r="B25" s="250" t="str">
        <f>'Comp.1'!B25</f>
        <v>Syros Pharmaceuticals, Inc.</v>
      </c>
      <c r="C25" s="759">
        <f>'Comp.1'!C25</f>
        <v>224.27377000000004</v>
      </c>
      <c r="E25" s="759">
        <f>'Capital IQ Sheet-GPC'!X26</f>
        <v>0</v>
      </c>
      <c r="F25" s="759">
        <f>'Capital IQ Sheet-GPC'!Y26</f>
        <v>-22.378</v>
      </c>
      <c r="G25" s="759">
        <f>'Capital IQ Sheet-GPC'!Z26</f>
        <v>-46.442999999999998</v>
      </c>
      <c r="H25" s="331"/>
      <c r="I25" s="759">
        <f>'Capital IQ Sheet-GPC'!AA26</f>
        <v>-13.177</v>
      </c>
      <c r="J25" s="759">
        <f>'Capital IQ Sheet-GPC'!AB26</f>
        <v>-29.218</v>
      </c>
      <c r="K25" s="759" t="str">
        <f>'Capital IQ Sheet-GPC'!AC26</f>
        <v>n/a</v>
      </c>
      <c r="L25" s="759" t="str">
        <f>'Capital IQ Sheet-GPC'!AD26</f>
        <v>n/a</v>
      </c>
      <c r="M25" s="759" t="str">
        <f>'Capital IQ Sheet-GPC'!AE26</f>
        <v>n/a</v>
      </c>
      <c r="O25" s="1174" t="str">
        <f t="shared" si="1"/>
        <v>n/a</v>
      </c>
      <c r="P25" s="1174">
        <f t="shared" si="2"/>
        <v>-10.022064974528556</v>
      </c>
      <c r="Q25" s="1174" t="str">
        <f t="shared" si="3"/>
        <v>NM</v>
      </c>
      <c r="S25" s="1174">
        <f t="shared" si="4"/>
        <v>-17.020093344463842</v>
      </c>
      <c r="T25" s="1174">
        <f t="shared" si="5"/>
        <v>-7.6758768567321525</v>
      </c>
      <c r="U25" s="1174" t="str">
        <f t="shared" si="6"/>
        <v>n/a</v>
      </c>
      <c r="V25" s="1174" t="str">
        <f t="shared" si="7"/>
        <v>n/a</v>
      </c>
      <c r="W25" s="1174" t="str">
        <f t="shared" si="8"/>
        <v>n/a</v>
      </c>
      <c r="Y25" s="331">
        <f>'Comp.1'!AB25</f>
        <v>317.50677000000002</v>
      </c>
      <c r="Z25" s="331">
        <f>'Comp.1'!AC25</f>
        <v>0.26100000000000001</v>
      </c>
      <c r="AA25" s="331">
        <f>'Comp.1'!AD25</f>
        <v>0</v>
      </c>
      <c r="AB25" s="331">
        <f>'Comp.1'!AE25</f>
        <v>0</v>
      </c>
      <c r="AC25" s="331">
        <f t="shared" si="9"/>
        <v>0.26100000000000001</v>
      </c>
      <c r="AD25" s="331">
        <f t="shared" si="10"/>
        <v>317.76777000000004</v>
      </c>
      <c r="AE25" s="331">
        <f>'Comp.1'!AH25</f>
        <v>93.494</v>
      </c>
      <c r="AF25" s="759">
        <f t="shared" si="11"/>
        <v>224.27377000000004</v>
      </c>
      <c r="AH25" s="1177" t="str">
        <f>IF('MASTER PubCo Inputs'!C41="","",'MASTER PubCo Inputs'!C41)</f>
        <v>IQ236291486</v>
      </c>
      <c r="AI25" s="250" t="str">
        <f>'Comp.1'!AL25</f>
        <v>Syros Pharmaceuticals, Inc., a biopharmaceutical company, focuses on developing treatments for cancer and immune-mediated diseases, and building a pipeline of gene control medicines. Its lead drug candidates are SY-1425, a selective RARa agonist in a Phase 2 clinical trial for genomically defined subsets of patients with acute myeloid leukemia and myelodysplastic syndrome; and SY-1365, a selective CDK7 inhibitor with potential in a range of solid tumors and blood cancers. The company was formerly known as LS22, Inc. and changed its name to Syros Pharmaceuticals, Inc. in August 2012. Syros Pharmaceuticals, Inc. was founded in 2011 and is based in Cambridge, Massachusetts.</v>
      </c>
    </row>
    <row r="26" spans="2:35" ht="14.85" customHeight="1">
      <c r="B26" s="250" t="str">
        <f>'Comp.1'!B26</f>
        <v>Abeona Therapeutics Inc.</v>
      </c>
      <c r="C26" s="759">
        <f>'Comp.1'!C26</f>
        <v>218.56229999999999</v>
      </c>
      <c r="E26" s="759">
        <f>'Capital IQ Sheet-GPC'!X27</f>
        <v>-3.3450000000000002</v>
      </c>
      <c r="F26" s="759">
        <f>'Capital IQ Sheet-GPC'!Y27</f>
        <v>-12.35</v>
      </c>
      <c r="G26" s="759">
        <f>'Capital IQ Sheet-GPC'!Z27</f>
        <v>-23.574999999999999</v>
      </c>
      <c r="H26" s="331"/>
      <c r="I26" s="759">
        <f>'Capital IQ Sheet-GPC'!AA27</f>
        <v>-3.12</v>
      </c>
      <c r="J26" s="759">
        <f>'Capital IQ Sheet-GPC'!AB27</f>
        <v>-17.995000000000001</v>
      </c>
      <c r="K26" s="759" t="str">
        <f>'Capital IQ Sheet-GPC'!AC27</f>
        <v>n/a</v>
      </c>
      <c r="L26" s="759" t="str">
        <f>'Capital IQ Sheet-GPC'!AD27</f>
        <v>n/a</v>
      </c>
      <c r="M26" s="759" t="str">
        <f>'Capital IQ Sheet-GPC'!AE27</f>
        <v>n/a</v>
      </c>
      <c r="O26" s="1174">
        <f t="shared" si="1"/>
        <v>-65.339999999999989</v>
      </c>
      <c r="P26" s="1174">
        <f t="shared" si="2"/>
        <v>-17.697352226720646</v>
      </c>
      <c r="Q26" s="1174" t="str">
        <f t="shared" si="3"/>
        <v>NM</v>
      </c>
      <c r="S26" s="1174">
        <f t="shared" si="4"/>
        <v>-70.052019230769233</v>
      </c>
      <c r="T26" s="1174">
        <f t="shared" si="5"/>
        <v>-12.145723812170047</v>
      </c>
      <c r="U26" s="1174" t="str">
        <f t="shared" si="6"/>
        <v>n/a</v>
      </c>
      <c r="V26" s="1174" t="str">
        <f t="shared" si="7"/>
        <v>n/a</v>
      </c>
      <c r="W26" s="1174" t="str">
        <f t="shared" si="8"/>
        <v>n/a</v>
      </c>
      <c r="Y26" s="331">
        <f>'Comp.1'!AB26</f>
        <v>249.7473</v>
      </c>
      <c r="Z26" s="331">
        <f>'Comp.1'!AC26</f>
        <v>0</v>
      </c>
      <c r="AA26" s="331">
        <f>'Comp.1'!AD26</f>
        <v>0</v>
      </c>
      <c r="AB26" s="331">
        <f>'Comp.1'!AE26</f>
        <v>0</v>
      </c>
      <c r="AC26" s="331">
        <f t="shared" si="9"/>
        <v>0</v>
      </c>
      <c r="AD26" s="331">
        <f t="shared" si="10"/>
        <v>249.7473</v>
      </c>
      <c r="AE26" s="331">
        <f>'Comp.1'!AH26</f>
        <v>31.184999999999999</v>
      </c>
      <c r="AF26" s="759">
        <f t="shared" si="11"/>
        <v>218.56229999999999</v>
      </c>
      <c r="AH26" s="1177" t="str">
        <f>IF('MASTER PubCo Inputs'!C42="","",'MASTER PubCo Inputs'!C42)</f>
        <v>IQ360935</v>
      </c>
      <c r="AI26" s="250" t="str">
        <f>'Comp.1'!AL26</f>
        <v>Abeona Therapeutics Inc. focuses on developing and delivering gene therapy and plasma-based products for severe and life-threatening rare diseases. The company’s lead programs are ABO-101 and ABO-102, which are adeno-associated virus -based gene therapies for Sanfilippo syndrome. It is also developing EB-201 for epidermolysis bullosa (EB); ABO-201 gene therapy for juvenile Batten disease; ABO-202 gene therapy for treatment of infantile Batten disease; ABO-301 for Fanconi anemia disorder; and ABO-302 using a novel CRISPR/Cas9-based gene editing approach to gene therapy program for rare blood diseases. In addition, the company is developing plasma-based protein therapies, including SDF Alpha, an alpha-1 protease inhibitor for inherited COPD using its proprietary salt diafiltration ethanol-free process.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The company was formerly known as PlasmaTech Biopharmaceuticals, Inc. and changed its name to Abeona Therapeutics Inc. in June 2015. Abeona Therapeutics Inc. was incorporated in 1989 and is based in Dallas, Texas.</v>
      </c>
    </row>
    <row r="27" spans="2:35" ht="14.85" customHeight="1">
      <c r="B27" s="250" t="str">
        <f>'Comp.1'!B27</f>
        <v>Idera Pharmaceuticals, Inc.</v>
      </c>
      <c r="C27" s="759">
        <f>'Comp.1'!C27</f>
        <v>198.09277</v>
      </c>
      <c r="E27" s="759">
        <f>'Capital IQ Sheet-GPC'!X28</f>
        <v>-32.728999999999999</v>
      </c>
      <c r="F27" s="759">
        <f>'Capital IQ Sheet-GPC'!Y28</f>
        <v>-48.274999999999999</v>
      </c>
      <c r="G27" s="759">
        <f>'Capital IQ Sheet-GPC'!Z28</f>
        <v>-50.957000000000001</v>
      </c>
      <c r="H27" s="331"/>
      <c r="I27" s="759">
        <f>'Capital IQ Sheet-GPC'!AA28</f>
        <v>-38.545999999999999</v>
      </c>
      <c r="J27" s="759">
        <f>'Capital IQ Sheet-GPC'!AB28</f>
        <v>-48.357999999999997</v>
      </c>
      <c r="K27" s="759">
        <f>'Capital IQ Sheet-GPC'!AC28</f>
        <v>-53</v>
      </c>
      <c r="L27" s="759">
        <f>'Capital IQ Sheet-GPC'!AD28</f>
        <v>-55</v>
      </c>
      <c r="M27" s="759">
        <f>'Capital IQ Sheet-GPC'!AE28</f>
        <v>-59</v>
      </c>
      <c r="O27" s="1174">
        <f t="shared" si="1"/>
        <v>-6.0525152005866358</v>
      </c>
      <c r="P27" s="1174">
        <f t="shared" si="2"/>
        <v>-4.1034235111341273</v>
      </c>
      <c r="Q27" s="1174" t="str">
        <f t="shared" si="3"/>
        <v>NM</v>
      </c>
      <c r="S27" s="1174">
        <f t="shared" si="4"/>
        <v>-5.1391264982099312</v>
      </c>
      <c r="T27" s="1174">
        <f t="shared" si="5"/>
        <v>-4.0963805368294803</v>
      </c>
      <c r="U27" s="1174" t="str">
        <f t="shared" si="6"/>
        <v>NM</v>
      </c>
      <c r="V27" s="1174" t="str">
        <f t="shared" si="7"/>
        <v>NM</v>
      </c>
      <c r="W27" s="1174" t="str">
        <f t="shared" si="8"/>
        <v>NM</v>
      </c>
      <c r="Y27" s="331">
        <f>'Comp.1'!AB27</f>
        <v>249.53377</v>
      </c>
      <c r="Z27" s="331">
        <f>'Comp.1'!AC27</f>
        <v>0.56899999999999995</v>
      </c>
      <c r="AA27" s="331">
        <f>'Comp.1'!AD27</f>
        <v>0</v>
      </c>
      <c r="AB27" s="331">
        <f>'Comp.1'!AE27</f>
        <v>0</v>
      </c>
      <c r="AC27" s="331">
        <f t="shared" si="9"/>
        <v>0.56899999999999995</v>
      </c>
      <c r="AD27" s="331">
        <f t="shared" si="10"/>
        <v>250.10276999999999</v>
      </c>
      <c r="AE27" s="331">
        <f>'Comp.1'!AH27</f>
        <v>52.01</v>
      </c>
      <c r="AF27" s="759">
        <f t="shared" si="11"/>
        <v>198.09277</v>
      </c>
      <c r="AH27" s="1177" t="str">
        <f>IF('MASTER PubCo Inputs'!C43="","",'MASTER PubCo Inputs'!C43)</f>
        <v>IQ29643</v>
      </c>
      <c r="AI27" s="250" t="str">
        <f>'Comp.1'!AL27</f>
        <v>Idera Pharmaceuticals, Inc., a clinical-stage biopharmaceutical company, focuses on the discovery, development, and commercialization of oligonucleotide therapeutics for oncology and rare diseases in the United States. It uses two drug discovery technology platforms to design and develop drug candidates, including toll-like receptor targeting technology and third-generation antisense (3GA) technology. The company’s drug candidates include IMO-2125, an agonist that is in Phase I/II clinical trials in combination with ipilimumab and pembrolizumab for the treatment of anti-PD-1 refractory metastatic melanoma and refractory solid tumors; IMO-8400, an antagonist, which is in Phase II clinical trial for the treatment of dermatomyositis. It also develops IDRA-008 for undisclosed liver target for rare disorder; 3GA compound for renal target; and IMO-9200, a drug candidate for potential use in selected autoimmune disease indications. In addition, the company is developing drug candidates to turn off the messenger RNA associated with disease causing genes. Idera Pharmaceuticals, Inc. has collaboration and license agreement with GSK to research, develop, and commercialize selected molecules from its 3GA technology for the treatment of selected targets in renal disease; collaboration with Abbott Molecular Inc. for the development of an in vitro companion diagnostic; and Merck &amp; Co to research, develop, and commercialize vaccine products. The company was founded in 1989 and is based in Cambridge, Massachusetts.</v>
      </c>
    </row>
    <row r="28" spans="2:35" ht="14.85" customHeight="1">
      <c r="B28" s="250" t="str">
        <f>'Comp.1'!B28</f>
        <v>Achillion Pharmaceuticals, Inc.</v>
      </c>
      <c r="C28" s="759">
        <f>'Comp.1'!C28</f>
        <v>157.44288</v>
      </c>
      <c r="E28" s="759">
        <f>'Capital IQ Sheet-GPC'!X29</f>
        <v>-60.804000000000002</v>
      </c>
      <c r="F28" s="759">
        <f>'Capital IQ Sheet-GPC'!Y29</f>
        <v>-52.627000000000002</v>
      </c>
      <c r="G28" s="759">
        <f>'Capital IQ Sheet-GPC'!Z29</f>
        <v>-42.197000000000003</v>
      </c>
      <c r="H28" s="331"/>
      <c r="I28" s="759">
        <f>'Capital IQ Sheet-GPC'!AA29</f>
        <v>-68.936999999999998</v>
      </c>
      <c r="J28" s="759">
        <f>'Capital IQ Sheet-GPC'!AB29</f>
        <v>-14.413</v>
      </c>
      <c r="K28" s="759">
        <f>'Capital IQ Sheet-GPC'!AC29</f>
        <v>-76.09</v>
      </c>
      <c r="L28" s="759">
        <f>'Capital IQ Sheet-GPC'!AD29</f>
        <v>-78.344999999999999</v>
      </c>
      <c r="M28" s="759" t="str">
        <f>'Capital IQ Sheet-GPC'!AE29</f>
        <v>n/a</v>
      </c>
      <c r="O28" s="1174">
        <f t="shared" si="1"/>
        <v>-2.5893507006118019</v>
      </c>
      <c r="P28" s="1174">
        <f t="shared" si="2"/>
        <v>-2.9916749957246278</v>
      </c>
      <c r="Q28" s="1174" t="str">
        <f t="shared" si="3"/>
        <v>NM</v>
      </c>
      <c r="S28" s="1174">
        <f t="shared" si="4"/>
        <v>-2.2838661386483312</v>
      </c>
      <c r="T28" s="1174">
        <f t="shared" si="5"/>
        <v>-10.923671685284118</v>
      </c>
      <c r="U28" s="1174" t="str">
        <f t="shared" si="6"/>
        <v>NM</v>
      </c>
      <c r="V28" s="1174" t="str">
        <f t="shared" si="7"/>
        <v>NM</v>
      </c>
      <c r="W28" s="1174" t="str">
        <f t="shared" si="8"/>
        <v>n/a</v>
      </c>
      <c r="Y28" s="331">
        <f>'Comp.1'!AB28</f>
        <v>565.85888</v>
      </c>
      <c r="Z28" s="331">
        <f>'Comp.1'!AC28</f>
        <v>0.28899999999999998</v>
      </c>
      <c r="AA28" s="331">
        <f>'Comp.1'!AD28</f>
        <v>0</v>
      </c>
      <c r="AB28" s="331">
        <f>'Comp.1'!AE28</f>
        <v>0</v>
      </c>
      <c r="AC28" s="331">
        <f t="shared" si="9"/>
        <v>0.28899999999999998</v>
      </c>
      <c r="AD28" s="331">
        <f t="shared" si="10"/>
        <v>566.14787999999999</v>
      </c>
      <c r="AE28" s="331">
        <f>'Comp.1'!AH28</f>
        <v>408.70499999999998</v>
      </c>
      <c r="AF28" s="759">
        <f t="shared" si="11"/>
        <v>157.44288</v>
      </c>
      <c r="AH28" s="1177" t="str">
        <f>IF('MASTER PubCo Inputs'!C44="","",'MASTER PubCo Inputs'!C44)</f>
        <v>IQ120199</v>
      </c>
      <c r="AI28" s="250" t="str">
        <f>'Comp.1'!AL28</f>
        <v>Achillion Pharmaceuticals, Inc., a biopharmaceutical company, discovers, develops, and commercializes small molecule drug therapies for infectious diseases and immune system disorders in the United States and internationally. Its drug candidates for treating chronic hepatitis C virus (HCV) infection comprise Odalasvir, a NS5A inhibitor, which has completed Phase IIa clinical trials; ACH-3422, a NS5B nucleotide polymerase inhibitor; and Sovaprevir, a NS3 protease inhibitor that has completed Phase II clinical trial. The company is also developing ACH-4471, a complement factor D inhibitor, which is in Phase I clinical trial to treat patients with paroxysmal nocturnal hemoglobinuria and C3G, a disease resulting from alternative pathway over-activation; and other factor D inhibitors. It has a license and development agreement with Ora, Inc. for the development and commercialization of ACH-702, a drug candidate that is delivered topically or locally; and collaboration arrangement with Janssen Pharmaceuticals Inc. to develop and commercialize antiviral drug candidates for treating HCV infection. The company was founded in 1998 and is headquartered in New Haven, Connecticut.</v>
      </c>
    </row>
    <row r="29" spans="2:35" ht="14.85" customHeight="1">
      <c r="B29" s="250" t="str">
        <f>'Comp.1'!B29</f>
        <v>ContraVir Pharmaceuticals, Inc.</v>
      </c>
      <c r="C29" s="759">
        <f>'Comp.1'!C29</f>
        <v>117.4936</v>
      </c>
      <c r="E29" s="759">
        <f>'Capital IQ Sheet-GPC'!X30</f>
        <v>0</v>
      </c>
      <c r="F29" s="759">
        <f>'Capital IQ Sheet-GPC'!Y30</f>
        <v>-17.70298</v>
      </c>
      <c r="G29" s="759">
        <f>'Capital IQ Sheet-GPC'!Z30</f>
        <v>-20.600850000000001</v>
      </c>
      <c r="H29" s="331"/>
      <c r="I29" s="759">
        <f>'Capital IQ Sheet-GPC'!AA30</f>
        <v>0</v>
      </c>
      <c r="J29" s="759">
        <f>'Capital IQ Sheet-GPC'!AB30</f>
        <v>-20.111059999999998</v>
      </c>
      <c r="K29" s="759" t="str">
        <f>'Capital IQ Sheet-GPC'!AC30</f>
        <v>n/a</v>
      </c>
      <c r="L29" s="759" t="str">
        <f>'Capital IQ Sheet-GPC'!AD30</f>
        <v>n/a</v>
      </c>
      <c r="M29" s="759" t="str">
        <f>'Capital IQ Sheet-GPC'!AE30</f>
        <v>n/a</v>
      </c>
      <c r="O29" s="1174" t="str">
        <f t="shared" si="1"/>
        <v>n/a</v>
      </c>
      <c r="P29" s="1174">
        <f t="shared" si="2"/>
        <v>-6.6369390916105653</v>
      </c>
      <c r="Q29" s="1174" t="str">
        <f t="shared" si="3"/>
        <v>NM</v>
      </c>
      <c r="S29" s="1174" t="str">
        <f t="shared" si="4"/>
        <v>n/a</v>
      </c>
      <c r="T29" s="1174">
        <f t="shared" si="5"/>
        <v>-5.8422380520967074</v>
      </c>
      <c r="U29" s="1174" t="str">
        <f t="shared" si="6"/>
        <v>n/a</v>
      </c>
      <c r="V29" s="1174" t="str">
        <f t="shared" si="7"/>
        <v>n/a</v>
      </c>
      <c r="W29" s="1174" t="str">
        <f t="shared" si="8"/>
        <v>n/a</v>
      </c>
      <c r="Y29" s="331">
        <f>'Comp.1'!AB29</f>
        <v>118.69085</v>
      </c>
      <c r="Z29" s="331">
        <f>'Comp.1'!AC29</f>
        <v>0</v>
      </c>
      <c r="AA29" s="331">
        <f>'Comp.1'!AD29</f>
        <v>1.83091</v>
      </c>
      <c r="AB29" s="331">
        <f>'Comp.1'!AE29</f>
        <v>0</v>
      </c>
      <c r="AC29" s="331">
        <f t="shared" si="9"/>
        <v>1.83091</v>
      </c>
      <c r="AD29" s="331">
        <f t="shared" si="10"/>
        <v>120.52176</v>
      </c>
      <c r="AE29" s="331">
        <f>'Comp.1'!AH29</f>
        <v>3.0281600000000002</v>
      </c>
      <c r="AF29" s="759">
        <f t="shared" si="11"/>
        <v>117.4936</v>
      </c>
      <c r="AH29" s="1177" t="str">
        <f>IF('MASTER PubCo Inputs'!C45="","",'MASTER PubCo Inputs'!C45)</f>
        <v>IQ244424098</v>
      </c>
      <c r="AI29" s="250" t="str">
        <f>'Comp.1'!AL29</f>
        <v>ContraVir Pharmaceuticals, Inc. operates as a biopharmaceutical company focused on the development of antiviral drugs with a primary emphasis on the treatment of Hepatitis B virus (HBV) infections. The company is developing CMX157 and CRV431 to treat HBV infection; and FV-100, an orally available, small molecule compound for the prevention of post-herpetic neuralgia, and treatment of herpes zoster infection and acute zoster-associated pain. ContraVir Pharmaceuticals, Inc. was founded in 2013 and is headquartered in Edison, New Jersey.</v>
      </c>
    </row>
    <row r="30" spans="2:35" ht="14.85" customHeight="1">
      <c r="B30" s="250" t="str">
        <f>'Comp.1'!B30</f>
        <v>Sangamo Therapeutics, Inc.</v>
      </c>
      <c r="C30" s="759">
        <f>'Comp.1'!C30</f>
        <v>80.415350000000018</v>
      </c>
      <c r="E30" s="759">
        <f>'Capital IQ Sheet-GPC'!X31</f>
        <v>-29.771999999999998</v>
      </c>
      <c r="F30" s="759">
        <f>'Capital IQ Sheet-GPC'!Y31</f>
        <v>-34.658000000000001</v>
      </c>
      <c r="G30" s="759">
        <f>'Capital IQ Sheet-GPC'!Z31</f>
        <v>-71.244</v>
      </c>
      <c r="H30" s="331"/>
      <c r="I30" s="759">
        <f>'Capital IQ Sheet-GPC'!AA31</f>
        <v>-26.001999999999999</v>
      </c>
      <c r="J30" s="759">
        <f>'Capital IQ Sheet-GPC'!AB31</f>
        <v>-45.798000000000002</v>
      </c>
      <c r="K30" s="759">
        <f>'Capital IQ Sheet-GPC'!AC31</f>
        <v>-82</v>
      </c>
      <c r="L30" s="759" t="str">
        <f>'Capital IQ Sheet-GPC'!AD31</f>
        <v>n/a</v>
      </c>
      <c r="M30" s="759" t="str">
        <f>'Capital IQ Sheet-GPC'!AE31</f>
        <v>n/a</v>
      </c>
      <c r="O30" s="1174">
        <f t="shared" si="1"/>
        <v>-2.701039567378746</v>
      </c>
      <c r="P30" s="1174">
        <f t="shared" si="2"/>
        <v>-2.3202536210975824</v>
      </c>
      <c r="Q30" s="1174" t="str">
        <f t="shared" si="3"/>
        <v>NM</v>
      </c>
      <c r="S30" s="1174">
        <f t="shared" si="4"/>
        <v>-3.0926601799861557</v>
      </c>
      <c r="T30" s="1174">
        <f t="shared" si="5"/>
        <v>-1.7558703436831307</v>
      </c>
      <c r="U30" s="1174" t="str">
        <f t="shared" si="6"/>
        <v>NM</v>
      </c>
      <c r="V30" s="1174" t="str">
        <f t="shared" si="7"/>
        <v>n/a</v>
      </c>
      <c r="W30" s="1174" t="str">
        <f t="shared" si="8"/>
        <v>n/a</v>
      </c>
      <c r="Y30" s="331">
        <f>'Comp.1'!AB30</f>
        <v>225.99635000000001</v>
      </c>
      <c r="Z30" s="331">
        <f>'Comp.1'!AC30</f>
        <v>0</v>
      </c>
      <c r="AA30" s="331">
        <f>'Comp.1'!AD30</f>
        <v>0</v>
      </c>
      <c r="AB30" s="331">
        <f>'Comp.1'!AE30</f>
        <v>0</v>
      </c>
      <c r="AC30" s="331">
        <f t="shared" si="9"/>
        <v>0</v>
      </c>
      <c r="AD30" s="331">
        <f t="shared" si="10"/>
        <v>225.99635000000001</v>
      </c>
      <c r="AE30" s="331">
        <f>'Comp.1'!AH30</f>
        <v>145.58099999999999</v>
      </c>
      <c r="AF30" s="759">
        <f t="shared" si="11"/>
        <v>80.415350000000018</v>
      </c>
      <c r="AH30" s="1177" t="str">
        <f>IF('MASTER PubCo Inputs'!C46="","",'MASTER PubCo Inputs'!C46)</f>
        <v>IQ412674</v>
      </c>
      <c r="AI30" s="250" t="str">
        <f>'Comp.1'!AL30</f>
        <v>Sangamo Therapeutics, Inc., a clinical stage biopharmaceutical company, focuses on translating ground-breaking science into genomic therapies that transform patients' lives using platform technologies in genome editing, gene therapy, gene regulation, and cell therapy. The company’s proprietary zinc finger DNA-binding protein (ZFP) technology enables specific genome editing and gene regulation. The ZFPs could be engineered to make ZFP nucleases (ZFNs), proteins that could be used to specifically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Phase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proprietary preclinical programs in other LSDs; and research stage programs in certain central nervous system disorders and cancer immunotherapies. It has collaborative partnerships with Biogen Inc. to develop therapeutic genome editing products in hemoglobinopathies; and with Shire International GmbH to develop the preclinical development program in Huntington’s disease, as well as license agreement with Sigma-Aldrich Corporation to develop ZFP-based laboratory research reagents and Dow AgroSciences, LLC to modify the genomes or alter protein expression of plant cells, plants, or plant cell cultures. The company was formerly known as Sangamo BioSciences, Inc. and changed its name to Sangamo Therapeutics, Inc. in January 2017. Sangamo Therapeutics, Inc. was founded in 1995 and is headquartered in Richmond, California.</v>
      </c>
    </row>
    <row r="31" spans="2:35" ht="14.85" customHeight="1">
      <c r="B31" s="250" t="str">
        <f>'Comp.1'!B31</f>
        <v>Immune Design Corp.</v>
      </c>
      <c r="C31" s="759">
        <f>'Comp.1'!C31</f>
        <v>74.286450000000002</v>
      </c>
      <c r="E31" s="759">
        <f>'Capital IQ Sheet-GPC'!X32</f>
        <v>-20.942</v>
      </c>
      <c r="F31" s="759">
        <f>'Capital IQ Sheet-GPC'!Y32</f>
        <v>-40.228000000000002</v>
      </c>
      <c r="G31" s="759">
        <f>'Capital IQ Sheet-GPC'!Z32</f>
        <v>-45.686</v>
      </c>
      <c r="H31" s="331"/>
      <c r="I31" s="759">
        <f>'Capital IQ Sheet-GPC'!AA32</f>
        <v>-29.64</v>
      </c>
      <c r="J31" s="759">
        <f>'Capital IQ Sheet-GPC'!AB32</f>
        <v>-39.241999999999997</v>
      </c>
      <c r="K31" s="759" t="str">
        <f>'Capital IQ Sheet-GPC'!AC32</f>
        <v>n/a</v>
      </c>
      <c r="L31" s="759" t="str">
        <f>'Capital IQ Sheet-GPC'!AD32</f>
        <v>n/a</v>
      </c>
      <c r="M31" s="759" t="str">
        <f>'Capital IQ Sheet-GPC'!AE32</f>
        <v>n/a</v>
      </c>
      <c r="O31" s="1174">
        <f t="shared" si="1"/>
        <v>-3.5472471588195971</v>
      </c>
      <c r="P31" s="1174">
        <f t="shared" si="2"/>
        <v>-1.8466354280600576</v>
      </c>
      <c r="Q31" s="1174" t="str">
        <f t="shared" si="3"/>
        <v>NM</v>
      </c>
      <c r="S31" s="1174">
        <f t="shared" si="4"/>
        <v>-2.5062904858299597</v>
      </c>
      <c r="T31" s="1174">
        <f t="shared" si="5"/>
        <v>-1.8930342490189085</v>
      </c>
      <c r="U31" s="1174" t="str">
        <f t="shared" si="6"/>
        <v>n/a</v>
      </c>
      <c r="V31" s="1174" t="str">
        <f t="shared" si="7"/>
        <v>n/a</v>
      </c>
      <c r="W31" s="1174" t="str">
        <f t="shared" si="8"/>
        <v>n/a</v>
      </c>
      <c r="Y31" s="331">
        <f>'Comp.1'!AB31</f>
        <v>186.75745000000001</v>
      </c>
      <c r="Z31" s="331">
        <f>'Comp.1'!AC31</f>
        <v>0</v>
      </c>
      <c r="AA31" s="331">
        <f>'Comp.1'!AD31</f>
        <v>0</v>
      </c>
      <c r="AB31" s="331">
        <f>'Comp.1'!AE31</f>
        <v>0</v>
      </c>
      <c r="AC31" s="331">
        <f t="shared" si="9"/>
        <v>0</v>
      </c>
      <c r="AD31" s="331">
        <f t="shared" si="10"/>
        <v>186.75745000000001</v>
      </c>
      <c r="AE31" s="331">
        <f>'Comp.1'!AH31</f>
        <v>112.471</v>
      </c>
      <c r="AF31" s="759">
        <f t="shared" si="11"/>
        <v>74.286450000000002</v>
      </c>
      <c r="AH31" s="1177" t="str">
        <f>IF('MASTER PubCo Inputs'!C47="","",'MASTER PubCo Inputs'!C47)</f>
        <v>IQ46099827</v>
      </c>
      <c r="AI31" s="250" t="str">
        <f>'Comp.1'!AL31</f>
        <v>Immune Design Corp., a clinical-stage immunotherapy company, engages in the research and development of in vivo treatments for cancer. It primarily develops oncology product candidates based on its ZVex and GLAAS product discovery platforms. The company’s products include CMB305, which is in Phase 2 trial for the treatment of NY-ESO-1 tumor antigen; LV305 that is in Phase 1 trial for the treatment of patients with relapsed or metastatic melanoma, sarcoma, ovarian cancer, or non-small cell lung cancer that express NY-ESO-1; and G100, an intratumoral immune activation product candidate for the treatment of patients with Merkel cell carcinoma and non-Hodgkin Lymphoma. In addition, its technologies are also used in the fields of infectious diseases and allergies. The company has license agreements with California Institute of Technology, University of North Carolina at Chapel Hill, TheraVectys SA, Infectious Disease Research Institute, MedImmune LLC, and Sanofi; and a collaboration agreement with Sanofi Pasteur. Immune Design Corp. was founded in 2008 and is headquartered in Seattle, Washington.</v>
      </c>
    </row>
    <row r="32" spans="2:35" ht="14.85" customHeight="1">
      <c r="B32" s="250" t="str">
        <f>'Comp.1'!B32</f>
        <v>Fate Therapeutics, Inc.</v>
      </c>
      <c r="C32" s="759">
        <f>'Comp.1'!C32</f>
        <v>66.411570000000012</v>
      </c>
      <c r="E32" s="759">
        <f>'Capital IQ Sheet-GPC'!X33</f>
        <v>-23.363</v>
      </c>
      <c r="F32" s="759">
        <f>'Capital IQ Sheet-GPC'!Y33</f>
        <v>-26.210999999999999</v>
      </c>
      <c r="G32" s="759">
        <f>'Capital IQ Sheet-GPC'!Z33</f>
        <v>-30.332999999999998</v>
      </c>
      <c r="H32" s="331"/>
      <c r="I32" s="759">
        <f>'Capital IQ Sheet-GPC'!AA33</f>
        <v>-24.408000000000001</v>
      </c>
      <c r="J32" s="759">
        <f>'Capital IQ Sheet-GPC'!AB33</f>
        <v>-27.094999999999999</v>
      </c>
      <c r="K32" s="759" t="str">
        <f>'Capital IQ Sheet-GPC'!AC33</f>
        <v>n/a</v>
      </c>
      <c r="L32" s="759" t="str">
        <f>'Capital IQ Sheet-GPC'!AD33</f>
        <v>n/a</v>
      </c>
      <c r="M32" s="759" t="str">
        <f>'Capital IQ Sheet-GPC'!AE33</f>
        <v>n/a</v>
      </c>
      <c r="O32" s="1174">
        <f t="shared" si="1"/>
        <v>-2.8425959851046532</v>
      </c>
      <c r="P32" s="1174">
        <f t="shared" si="2"/>
        <v>-2.5337289687535773</v>
      </c>
      <c r="Q32" s="1174" t="str">
        <f t="shared" si="3"/>
        <v>NM</v>
      </c>
      <c r="S32" s="1174">
        <f t="shared" si="4"/>
        <v>-2.7208935594886925</v>
      </c>
      <c r="T32" s="1174">
        <f t="shared" si="5"/>
        <v>-2.4510636648828203</v>
      </c>
      <c r="U32" s="1174" t="str">
        <f t="shared" si="6"/>
        <v>n/a</v>
      </c>
      <c r="V32" s="1174" t="str">
        <f t="shared" si="7"/>
        <v>n/a</v>
      </c>
      <c r="W32" s="1174" t="str">
        <f t="shared" si="8"/>
        <v>n/a</v>
      </c>
      <c r="Y32" s="331">
        <f>'Comp.1'!AB32</f>
        <v>100.39557000000001</v>
      </c>
      <c r="Z32" s="331">
        <f>'Comp.1'!AC32</f>
        <v>12.635</v>
      </c>
      <c r="AA32" s="331">
        <f>'Comp.1'!AD32</f>
        <v>0</v>
      </c>
      <c r="AB32" s="331">
        <f>'Comp.1'!AE32</f>
        <v>0</v>
      </c>
      <c r="AC32" s="331">
        <f t="shared" si="9"/>
        <v>12.635</v>
      </c>
      <c r="AD32" s="331">
        <f t="shared" si="10"/>
        <v>113.03057000000001</v>
      </c>
      <c r="AE32" s="331">
        <f>'Comp.1'!AH32</f>
        <v>46.619</v>
      </c>
      <c r="AF32" s="759">
        <f t="shared" si="11"/>
        <v>66.411570000000012</v>
      </c>
      <c r="AH32" s="1177" t="str">
        <f>IF('MASTER PubCo Inputs'!C48="","",'MASTER PubCo Inputs'!C48)</f>
        <v>IQ39268712</v>
      </c>
      <c r="AI32" s="250" t="str">
        <f>'Comp.1'!AL32</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engineered hnCD16 induced pluripotent stem cells (iPSC)-derived natural killer cell therapy candidates for hematologic/solid tumors; and engineered chimeric antigen receptor iPSC-derived T cell therapy product candidates for hematologic/solid tumors. The company’s immuno-regulation product candidates comprise ProTmune, an investigational programmed cellular immunotherapy for use as a next-generation allogeneic hematopoietic cell transplantation cell graft; and ToleraCyte for the treatment of autoimmune and inflammatory diseases; engineered iPSC-derived CD34+ cell therapy for immune disorders. Fate Therapeutics, Inc. has a research collaboration and license agreement with Memorial Sloan Kettering Cancer Center to develop off-the-shelf T-cell immunotherapies; and strategic research collaboration and license agreement with Juno Therapeutics, Inc. to identify small molecule modulators that enhance the function of T cells. Fate Therapeutics, Inc. was founded in 2007 and is headquartered in San Diego, California.</v>
      </c>
    </row>
    <row r="33" spans="2:35" ht="14.85" customHeight="1">
      <c r="B33" s="250" t="str">
        <f>'Comp.1'!B33</f>
        <v>Arrowhead Pharmaceuticals, Inc.</v>
      </c>
      <c r="C33" s="759">
        <f>'Comp.1'!C33</f>
        <v>61.070200000000007</v>
      </c>
      <c r="E33" s="759">
        <f>'Capital IQ Sheet-GPC'!X34</f>
        <v>-36.145229999999998</v>
      </c>
      <c r="F33" s="759">
        <f>'Capital IQ Sheet-GPC'!Y34</f>
        <v>-76.656549999999996</v>
      </c>
      <c r="G33" s="759">
        <f>'Capital IQ Sheet-GPC'!Z34</f>
        <v>-80.013900000000007</v>
      </c>
      <c r="H33" s="331"/>
      <c r="I33" s="759">
        <f>'Capital IQ Sheet-GPC'!AA34</f>
        <v>-65.601849999999999</v>
      </c>
      <c r="J33" s="759">
        <f>'Capital IQ Sheet-GPC'!AB34</f>
        <v>-75.325130000000001</v>
      </c>
      <c r="K33" s="759" t="str">
        <f>'Capital IQ Sheet-GPC'!AC34</f>
        <v>n/a</v>
      </c>
      <c r="L33" s="759" t="str">
        <f>'Capital IQ Sheet-GPC'!AD34</f>
        <v>n/a</v>
      </c>
      <c r="M33" s="759" t="str">
        <f>'Capital IQ Sheet-GPC'!AE34</f>
        <v>n/a</v>
      </c>
      <c r="O33" s="1174">
        <f t="shared" si="1"/>
        <v>-1.6895784035680506</v>
      </c>
      <c r="P33" s="1174">
        <f t="shared" si="2"/>
        <v>-0.79667295227870305</v>
      </c>
      <c r="Q33" s="1174" t="str">
        <f t="shared" si="3"/>
        <v>NM</v>
      </c>
      <c r="S33" s="1174">
        <f t="shared" si="4"/>
        <v>-0.93092191759836052</v>
      </c>
      <c r="T33" s="1174">
        <f t="shared" si="5"/>
        <v>-0.81075465784128098</v>
      </c>
      <c r="U33" s="1174" t="str">
        <f t="shared" si="6"/>
        <v>n/a</v>
      </c>
      <c r="V33" s="1174" t="str">
        <f t="shared" si="7"/>
        <v>n/a</v>
      </c>
      <c r="W33" s="1174" t="str">
        <f t="shared" si="8"/>
        <v>n/a</v>
      </c>
      <c r="Y33" s="331">
        <f>'Comp.1'!AB33</f>
        <v>102.94919</v>
      </c>
      <c r="Z33" s="331">
        <f>'Comp.1'!AC33</f>
        <v>3.32328</v>
      </c>
      <c r="AA33" s="331">
        <f>'Comp.1'!AD33</f>
        <v>2.0000000000000002E-5</v>
      </c>
      <c r="AB33" s="331">
        <f>'Comp.1'!AE33</f>
        <v>-0.55518999999999996</v>
      </c>
      <c r="AC33" s="331">
        <f t="shared" si="9"/>
        <v>2.7681100000000001</v>
      </c>
      <c r="AD33" s="331">
        <f t="shared" si="10"/>
        <v>105.71730000000001</v>
      </c>
      <c r="AE33" s="331">
        <f>'Comp.1'!AH33</f>
        <v>44.647100000000002</v>
      </c>
      <c r="AF33" s="759">
        <f t="shared" si="11"/>
        <v>61.070200000000007</v>
      </c>
      <c r="AH33" s="1177" t="str">
        <f>IF('MASTER PubCo Inputs'!C49="","",'MASTER PubCo Inputs'!C49)</f>
        <v>IQ203142</v>
      </c>
      <c r="AI33" s="250" t="str">
        <f>'Comp.1'!AL33</f>
        <v>Arrowhead Pharmaceuticals, Inc. develops novel drugs to treat intractable diseases in the United States. Its pre-clinical stage drug candidates include ARO-HBV to treat chronic hepatitis B virus infection; ARO-AAT to treat liver disease associated with alpha-1 antitrypsin deficiency; ARO-LPA to reduce production of apolipoprotein A; ARO-AMG1, which is developed against an undisclosed genetically validated cardiovascular target; and ARO-F12, a potential treatment for factor 12 mediated diseases, such as hereditary angioedema and thromboembolic disorders. The company also develops ARO-HIF2, a drug candidate for the treatment of clear cell renal cell carcinoma. Arrowhead Pharmaceuticals, Inc. has collaboration and license agreements with Amgen, Inc. The company was formerly known as Arrowhead Research Corporation and changed its name to Arrowhead Pharmaceuticals, Inc. in April 2016. Arrowhead Pharmaceuticals, Inc. was incorporated in 1989 and is headquartered in Pasadena, California.</v>
      </c>
    </row>
    <row r="34" spans="2:35" ht="14.85" customHeight="1">
      <c r="B34" s="250" t="str">
        <f>'Comp.1'!B34</f>
        <v>Regulus Therapeutics Inc.</v>
      </c>
      <c r="C34" s="759">
        <f>'Comp.1'!C34</f>
        <v>57.866100000000017</v>
      </c>
      <c r="E34" s="759">
        <f>'Capital IQ Sheet-GPC'!X35</f>
        <v>-38.576999999999998</v>
      </c>
      <c r="F34" s="759">
        <f>'Capital IQ Sheet-GPC'!Y35</f>
        <v>-55.360999999999997</v>
      </c>
      <c r="G34" s="759">
        <f>'Capital IQ Sheet-GPC'!Z35</f>
        <v>-61.517000000000003</v>
      </c>
      <c r="H34" s="331"/>
      <c r="I34" s="759">
        <f>'Capital IQ Sheet-GPC'!AA35</f>
        <v>-43.42</v>
      </c>
      <c r="J34" s="759">
        <f>'Capital IQ Sheet-GPC'!AB35</f>
        <v>-47.567</v>
      </c>
      <c r="K34" s="759" t="str">
        <f>'Capital IQ Sheet-GPC'!AC35</f>
        <v>n/a</v>
      </c>
      <c r="L34" s="759" t="str">
        <f>'Capital IQ Sheet-GPC'!AD35</f>
        <v>n/a</v>
      </c>
      <c r="M34" s="759" t="str">
        <f>'Capital IQ Sheet-GPC'!AE35</f>
        <v>n/a</v>
      </c>
      <c r="O34" s="1174">
        <f t="shared" si="1"/>
        <v>-1.500015553308967</v>
      </c>
      <c r="P34" s="1174">
        <f t="shared" si="2"/>
        <v>-1.045250266433049</v>
      </c>
      <c r="Q34" s="1174" t="str">
        <f t="shared" si="3"/>
        <v>NM</v>
      </c>
      <c r="S34" s="1174">
        <f t="shared" si="4"/>
        <v>-1.3327061262091207</v>
      </c>
      <c r="T34" s="1174">
        <f t="shared" si="5"/>
        <v>-1.2165177539050185</v>
      </c>
      <c r="U34" s="1174" t="str">
        <f t="shared" si="6"/>
        <v>n/a</v>
      </c>
      <c r="V34" s="1174" t="str">
        <f t="shared" si="7"/>
        <v>n/a</v>
      </c>
      <c r="W34" s="1174" t="str">
        <f t="shared" si="8"/>
        <v>n/a</v>
      </c>
      <c r="Y34" s="331">
        <f>'Comp.1'!AB34</f>
        <v>129.66210000000001</v>
      </c>
      <c r="Z34" s="331">
        <f>'Comp.1'!AC34</f>
        <v>19.786999999999999</v>
      </c>
      <c r="AA34" s="331">
        <f>'Comp.1'!AD34</f>
        <v>0</v>
      </c>
      <c r="AB34" s="331">
        <f>'Comp.1'!AE34</f>
        <v>0</v>
      </c>
      <c r="AC34" s="331">
        <f t="shared" si="9"/>
        <v>19.786999999999999</v>
      </c>
      <c r="AD34" s="331">
        <f t="shared" si="10"/>
        <v>149.44910000000002</v>
      </c>
      <c r="AE34" s="331">
        <f>'Comp.1'!AH34</f>
        <v>91.582999999999998</v>
      </c>
      <c r="AF34" s="759">
        <f t="shared" si="11"/>
        <v>57.866100000000017</v>
      </c>
      <c r="AH34" s="1177" t="str">
        <f>IF('MASTER PubCo Inputs'!C50="","",'MASTER PubCo Inputs'!C50)</f>
        <v>IQ36742485</v>
      </c>
      <c r="AI34" s="250" t="str">
        <f>'Comp.1'!AL34</f>
        <v>Regulus Therapeutics Inc., a biopharmaceutical company, focuses on the discovery and development of drugs that target microRNAs to treat a range of diseases in the United States. The company uses its microRNA product platform to develop anti-miRs, which are chemically modified and single-stranded oligonucleotides. Its clinical development products include RG-101, a GalNAc-conjugated anti-miR targeting miR-122 to treat patients with hepatitis C virus infection; RG-012, an anti-miR targeting microRNA-21 for the treatment of Alport syndrome; RG-125, a GalNAc-conjugated anti-miR targeting microRNA-103/107 for the treatment of non-alcoholic fatty liver disease; RGLS5040, an anti-miR targeting microRNA-27 for the treatment of cholestatic disease; and RGLS4326, an anti-miR targeting microRNA-17 for the treatment of autosomal dominant polycystic kidney disease. The company has strategic alliance with AstraZeneca AB and Sanofi to discover, develop, and commercialize microRNA therapeutics; and Biogen Inc. on microRNA biomarkers for multiple sclerosis, as well as a clinical trial collaboration agreement with GSK LLC. Regulus Therapeutics Inc. was founded in 2007 and is headquartered in San Diego, California.</v>
      </c>
    </row>
    <row r="35" spans="2:35" ht="14.85" customHeight="1">
      <c r="B35" s="250" t="str">
        <f>'Comp.1'!B35</f>
        <v>CEL-SCI Corporation</v>
      </c>
      <c r="C35" s="759">
        <f>'Comp.1'!C35</f>
        <v>27.601040000000001</v>
      </c>
      <c r="E35" s="759">
        <f>'Capital IQ Sheet-GPC'!X36</f>
        <v>-23.876750000000001</v>
      </c>
      <c r="F35" s="759">
        <f>'Capital IQ Sheet-GPC'!Y36</f>
        <v>-34.245420000000003</v>
      </c>
      <c r="G35" s="759">
        <f>'Capital IQ Sheet-GPC'!Z36</f>
        <v>-26.61788</v>
      </c>
      <c r="H35" s="331"/>
      <c r="I35" s="759">
        <f>'Capital IQ Sheet-GPC'!AA36</f>
        <v>-31.402699999999999</v>
      </c>
      <c r="J35" s="759">
        <f>'Capital IQ Sheet-GPC'!AB36</f>
        <v>-29.892060000000001</v>
      </c>
      <c r="K35" s="759" t="str">
        <f>'Capital IQ Sheet-GPC'!AC36</f>
        <v>n/a</v>
      </c>
      <c r="L35" s="759" t="str">
        <f>'Capital IQ Sheet-GPC'!AD36</f>
        <v>n/a</v>
      </c>
      <c r="M35" s="759" t="str">
        <f>'Capital IQ Sheet-GPC'!AE36</f>
        <v>n/a</v>
      </c>
      <c r="O35" s="1174">
        <f t="shared" si="1"/>
        <v>-1.1559797711162532</v>
      </c>
      <c r="P35" s="1174">
        <f t="shared" si="2"/>
        <v>-0.80597755845891217</v>
      </c>
      <c r="Q35" s="1174" t="str">
        <f t="shared" si="3"/>
        <v>NM</v>
      </c>
      <c r="S35" s="1174">
        <f t="shared" si="4"/>
        <v>-0.87893843523009174</v>
      </c>
      <c r="T35" s="1174">
        <f t="shared" si="5"/>
        <v>-0.92335690481017374</v>
      </c>
      <c r="U35" s="1174" t="str">
        <f t="shared" si="6"/>
        <v>n/a</v>
      </c>
      <c r="V35" s="1174" t="str">
        <f t="shared" si="7"/>
        <v>n/a</v>
      </c>
      <c r="W35" s="1174" t="str">
        <f t="shared" si="8"/>
        <v>n/a</v>
      </c>
      <c r="Y35" s="331">
        <f>'Comp.1'!AB35</f>
        <v>32.817689999999999</v>
      </c>
      <c r="Z35" s="331">
        <f>'Comp.1'!AC35</f>
        <v>2.31E-3</v>
      </c>
      <c r="AA35" s="331">
        <f>'Comp.1'!AD35</f>
        <v>0</v>
      </c>
      <c r="AB35" s="331">
        <f>'Comp.1'!AE35</f>
        <v>0</v>
      </c>
      <c r="AC35" s="331">
        <f t="shared" si="9"/>
        <v>2.31E-3</v>
      </c>
      <c r="AD35" s="331">
        <f t="shared" si="10"/>
        <v>32.82</v>
      </c>
      <c r="AE35" s="331">
        <f>'Comp.1'!AH35</f>
        <v>5.21896</v>
      </c>
      <c r="AF35" s="759">
        <f t="shared" si="11"/>
        <v>27.601040000000001</v>
      </c>
      <c r="AH35" s="1177" t="str">
        <f>IF('MASTER PubCo Inputs'!C51="","",'MASTER PubCo Inputs'!C51)</f>
        <v>IQ258746</v>
      </c>
      <c r="AI35" s="250" t="str">
        <f>'Comp.1'!AL35</f>
        <v>CEL-SCI Corporation engages in the research and development of drugs and vaccines. Its lead investigational immunotherapy is Multikine, which is under pivotal phase III clinical trial for the treatment of primary head and neck cancer. The company’s Multikine is also used in a Phase I study with the Naval Medical Center, San Diego under a cooperative research and development agreement in HIV/HPV co-infected men and women with peri-anal warts. Its Ligand Epitope Antigen Presentation System, a pre-clinical patented T-cell modulation process that stimulates the human immune system to fight bacterial, viral, and parasitic infections, as well as autoimmune diseases, allergies, transplantation rejections, and cancer. The company also develops LEAPS-H1N1-DC, a product candidate for the treatment of pandemic influenza in hospitalized patients; and CEL-2000 and CEL-4000 vaccine product candidates for the treatment of rheumatoid arthritis. CEL-SCI Corporation was founded in 1983 and is headquartered in Vienna, Virginia.</v>
      </c>
    </row>
    <row r="36" spans="2:35" ht="14.85" customHeight="1">
      <c r="B36" s="250" t="str">
        <f>'Comp.1'!B36</f>
        <v>PhaseRx, Inc.</v>
      </c>
      <c r="C36" s="759">
        <f>'Comp.1'!C36</f>
        <v>11.525689999999997</v>
      </c>
      <c r="E36" s="759">
        <f>'Capital IQ Sheet-GPC'!X37</f>
        <v>0</v>
      </c>
      <c r="F36" s="759">
        <f>'Capital IQ Sheet-GPC'!Y37</f>
        <v>-5.0789999999999997</v>
      </c>
      <c r="G36" s="759">
        <f>'Capital IQ Sheet-GPC'!Z37</f>
        <v>-16.576000000000001</v>
      </c>
      <c r="H36" s="331"/>
      <c r="I36" s="759">
        <f>'Capital IQ Sheet-GPC'!AA37</f>
        <v>-5.0789999999999997</v>
      </c>
      <c r="J36" s="759">
        <f>'Capital IQ Sheet-GPC'!AB37</f>
        <v>-5.476</v>
      </c>
      <c r="K36" s="759" t="str">
        <f>'Capital IQ Sheet-GPC'!AC37</f>
        <v>n/a</v>
      </c>
      <c r="L36" s="759" t="str">
        <f>'Capital IQ Sheet-GPC'!AD37</f>
        <v>n/a</v>
      </c>
      <c r="M36" s="759" t="str">
        <f>'Capital IQ Sheet-GPC'!AE37</f>
        <v>n/a</v>
      </c>
      <c r="O36" s="1174" t="str">
        <f t="shared" si="1"/>
        <v>n/a</v>
      </c>
      <c r="P36" s="1174">
        <f t="shared" si="2"/>
        <v>-2.2692833234888754</v>
      </c>
      <c r="Q36" s="1174" t="str">
        <f t="shared" si="3"/>
        <v>NM</v>
      </c>
      <c r="S36" s="1174">
        <f t="shared" si="4"/>
        <v>-2.2692833234888754</v>
      </c>
      <c r="T36" s="1174">
        <f t="shared" si="5"/>
        <v>-2.1047644265887504</v>
      </c>
      <c r="U36" s="1174" t="str">
        <f t="shared" si="6"/>
        <v>n/a</v>
      </c>
      <c r="V36" s="1174" t="str">
        <f t="shared" si="7"/>
        <v>n/a</v>
      </c>
      <c r="W36" s="1174" t="str">
        <f t="shared" si="8"/>
        <v>n/a</v>
      </c>
      <c r="Y36" s="331">
        <f>'Comp.1'!AB36</f>
        <v>24.549689999999998</v>
      </c>
      <c r="Z36" s="331">
        <f>'Comp.1'!AC36</f>
        <v>5.6109999999999998</v>
      </c>
      <c r="AA36" s="331">
        <f>'Comp.1'!AD36</f>
        <v>0</v>
      </c>
      <c r="AB36" s="331">
        <f>'Comp.1'!AE36</f>
        <v>0</v>
      </c>
      <c r="AC36" s="331">
        <f t="shared" si="9"/>
        <v>5.6109999999999998</v>
      </c>
      <c r="AD36" s="331">
        <f t="shared" si="10"/>
        <v>30.160689999999999</v>
      </c>
      <c r="AE36" s="331">
        <f>'Comp.1'!AH36</f>
        <v>18.635000000000002</v>
      </c>
      <c r="AF36" s="759">
        <f t="shared" si="11"/>
        <v>11.525689999999997</v>
      </c>
      <c r="AH36" s="1177" t="str">
        <f>IF('MASTER PubCo Inputs'!C52="","",'MASTER PubCo Inputs'!C52)</f>
        <v>IQ41693120</v>
      </c>
      <c r="AI36" s="250" t="str">
        <f>'Comp.1'!AL36</f>
        <v>PhaseRx, Inc., a biopharmaceutical company, engages in developing a portfolio of products for the treatment of inherited enzyme deficiencies in the liver using intracellular enzyme replacement therapy. The company develops its products based on its proprietary Hybrid mRNA technology platform, which allows the synthesis of missing enzyme inside the cell. Its therapeutic urea cycle disorder programs under development include PRX-OTC to treat ornithine transcarbamylase deficiency; PRX-ASL to treat argininosuccinate lyase deficiency; and PRX-ASS1 to treat argininosuccinate synthetase deficiency. The company was incorporated in 2006 and is headquartered in Seattle, Washington.</v>
      </c>
    </row>
    <row r="37" spans="2:35" ht="14.85" customHeight="1">
      <c r="B37" s="250" t="str">
        <f>'Comp.1'!B37</f>
        <v>Marina Biotech, Inc.</v>
      </c>
      <c r="C37" s="759">
        <f>'Comp.1'!C37</f>
        <v>9.8748500000000003</v>
      </c>
      <c r="E37" s="759">
        <f>'Capital IQ Sheet-GPC'!X38</f>
        <v>0</v>
      </c>
      <c r="F37" s="759">
        <f>'Capital IQ Sheet-GPC'!Y38</f>
        <v>0</v>
      </c>
      <c r="G37" s="759">
        <f>'Capital IQ Sheet-GPC'!Z38</f>
        <v>0</v>
      </c>
      <c r="H37" s="331"/>
      <c r="I37" s="759">
        <f>'Capital IQ Sheet-GPC'!AA38</f>
        <v>0</v>
      </c>
      <c r="J37" s="759">
        <f>'Capital IQ Sheet-GPC'!AB38</f>
        <v>0</v>
      </c>
      <c r="K37" s="759" t="str">
        <f>'Capital IQ Sheet-GPC'!AC38</f>
        <v>n/a</v>
      </c>
      <c r="L37" s="759" t="str">
        <f>'Capital IQ Sheet-GPC'!AD38</f>
        <v>n/a</v>
      </c>
      <c r="M37" s="759" t="str">
        <f>'Capital IQ Sheet-GPC'!AE38</f>
        <v>n/a</v>
      </c>
      <c r="O37" s="1174" t="str">
        <f t="shared" si="1"/>
        <v>n/a</v>
      </c>
      <c r="P37" s="1174" t="str">
        <f t="shared" si="2"/>
        <v>n/a</v>
      </c>
      <c r="Q37" s="1174" t="str">
        <f t="shared" si="3"/>
        <v>n/a</v>
      </c>
      <c r="S37" s="1174" t="str">
        <f t="shared" si="4"/>
        <v>n/a</v>
      </c>
      <c r="T37" s="1174" t="str">
        <f t="shared" si="5"/>
        <v>n/a</v>
      </c>
      <c r="U37" s="1174" t="str">
        <f t="shared" si="6"/>
        <v>n/a</v>
      </c>
      <c r="V37" s="1174" t="str">
        <f t="shared" si="7"/>
        <v>n/a</v>
      </c>
      <c r="W37" s="1174" t="str">
        <f t="shared" si="8"/>
        <v>n/a</v>
      </c>
      <c r="Y37" s="331">
        <f>'Comp.1'!AB37</f>
        <v>9.8748500000000003</v>
      </c>
      <c r="Z37" s="331">
        <f>'Comp.1'!AC37</f>
        <v>0</v>
      </c>
      <c r="AA37" s="331">
        <f>'Comp.1'!AD37</f>
        <v>0</v>
      </c>
      <c r="AB37" s="331">
        <f>'Comp.1'!AE37</f>
        <v>0</v>
      </c>
      <c r="AC37" s="331">
        <f t="shared" si="9"/>
        <v>0</v>
      </c>
      <c r="AD37" s="331">
        <f t="shared" si="10"/>
        <v>9.8748500000000003</v>
      </c>
      <c r="AE37" s="331">
        <f>'Comp.1'!AH37</f>
        <v>0</v>
      </c>
      <c r="AF37" s="759">
        <f t="shared" si="11"/>
        <v>9.8748500000000003</v>
      </c>
      <c r="AH37" s="1177" t="str">
        <f>IF('MASTER PubCo Inputs'!C53="","",'MASTER PubCo Inputs'!C53)</f>
        <v>IQ280596151</v>
      </c>
      <c r="AI37" s="250" t="str">
        <f>'Comp.1'!AL37</f>
        <v>Marina Biotech, Inc., a biopharmaceutical company, engages in the discovery, acquisition, development, and commercialization of proprietary drug therapeutics for addressing unmet medical needs in the United States, Europe, and internationally. The company has three clinical development programs, such as IT-102 and IT-103, a celecoxib program drug candidates for the treatment of combined arthritis pain/hypertension and the treatment of pain requiring a high dose of celecoxib; CEQ508, an oral delivery of small interfering RNA against beta-catenin, combined with IT-102 to suppress polyps in the precancerous syndrome and orphan indication of familial adenomatous polyposis; and CEQ508 combined with IT-103 to treat colorectal cancer. Its preclinical pipeline includes oligotherapeutics for the treatment of bladder cancer, inflammatory bowel, and duchenne muscular dystrophy diseases. The company is based in City of Industry, California.</v>
      </c>
    </row>
    <row r="38" spans="2:35" ht="14.85" customHeight="1">
      <c r="B38" s="250" t="str">
        <f>'Comp.1'!B38</f>
        <v>RXi Pharmaceuticals Corporation</v>
      </c>
      <c r="C38" s="759">
        <f>'Comp.1'!C38</f>
        <v>5.5867699999999996</v>
      </c>
      <c r="E38" s="759">
        <f>'Capital IQ Sheet-GPC'!X39</f>
        <v>-8.9489999999999998</v>
      </c>
      <c r="F38" s="759">
        <f>'Capital IQ Sheet-GPC'!Y39</f>
        <v>-9.8420000000000005</v>
      </c>
      <c r="G38" s="759">
        <f>'Capital IQ Sheet-GPC'!Z39</f>
        <v>-9.24</v>
      </c>
      <c r="H38" s="331"/>
      <c r="I38" s="759">
        <f>'Capital IQ Sheet-GPC'!AA39</f>
        <v>-8.7390000000000008</v>
      </c>
      <c r="J38" s="759">
        <f>'Capital IQ Sheet-GPC'!AB39</f>
        <v>-10.16</v>
      </c>
      <c r="K38" s="759">
        <f>'Capital IQ Sheet-GPC'!AC39</f>
        <v>-7.7789999999999999</v>
      </c>
      <c r="L38" s="759">
        <f>'Capital IQ Sheet-GPC'!AD39</f>
        <v>-10.406000000000001</v>
      </c>
      <c r="M38" s="759" t="str">
        <f>'Capital IQ Sheet-GPC'!AE39</f>
        <v>n/a</v>
      </c>
      <c r="O38" s="1174">
        <f t="shared" si="1"/>
        <v>-0.62428986478936188</v>
      </c>
      <c r="P38" s="1174">
        <f t="shared" si="2"/>
        <v>-0.5676458036984352</v>
      </c>
      <c r="Q38" s="1174" t="str">
        <f t="shared" si="3"/>
        <v>NM</v>
      </c>
      <c r="S38" s="1174">
        <f t="shared" si="4"/>
        <v>-0.6392916809703626</v>
      </c>
      <c r="T38" s="1174">
        <f t="shared" si="5"/>
        <v>-0.54987893700787394</v>
      </c>
      <c r="U38" s="1174" t="str">
        <f t="shared" si="6"/>
        <v>NM</v>
      </c>
      <c r="V38" s="1174" t="str">
        <f t="shared" si="7"/>
        <v>NM</v>
      </c>
      <c r="W38" s="1174" t="str">
        <f t="shared" si="8"/>
        <v>n/a</v>
      </c>
      <c r="Y38" s="331">
        <f>'Comp.1'!AB38</f>
        <v>9.9657699999999991</v>
      </c>
      <c r="Z38" s="331">
        <f>'Comp.1'!AC38</f>
        <v>0</v>
      </c>
      <c r="AA38" s="331">
        <f>'Comp.1'!AD38</f>
        <v>0</v>
      </c>
      <c r="AB38" s="331">
        <f>'Comp.1'!AE38</f>
        <v>0</v>
      </c>
      <c r="AC38" s="331">
        <f t="shared" si="9"/>
        <v>0</v>
      </c>
      <c r="AD38" s="331">
        <f t="shared" si="10"/>
        <v>9.9657699999999991</v>
      </c>
      <c r="AE38" s="331">
        <f>'Comp.1'!AH38</f>
        <v>4.3789999999999996</v>
      </c>
      <c r="AF38" s="759">
        <f t="shared" si="11"/>
        <v>5.5867699999999996</v>
      </c>
      <c r="AH38" s="1177" t="str">
        <f>IF('MASTER PubCo Inputs'!C54="","",'MASTER PubCo Inputs'!C54)</f>
        <v>IQ140969529</v>
      </c>
      <c r="AI38" s="250" t="str">
        <f>'Comp.1'!AL38</f>
        <v>RXi Pharmaceuticals Corporation, a clinical-stage company, focuses on developing therapeutics for unmet medical needs. It develops therapies based on its self-delivering RNAi (sd-rxRNA) platform; and Samcyprone topical immunomodulatory. The company’s clinical development programs include RXI-109, an sd-rxRNA compound, which is in Phase II clinical trial for preventing or reducing dermal scarring following scar revision surgery of an existing hypertrophic scar; and in Phase I/II clinical trial for treating retinal scarring, as well as in discovery stage for the treatment of corneal scarring. Its clinical development programs also comprise RXI-231, an sd-rxRNA compound targeting tyrosinase, which is in development stage as a cosmetic ingredient for treating uneven skin tone and pigmentation; and RXI-185, an sd-rxRNA compound targeting collagenase that is in development stage as a cosmetic ingredient for treating wrinkles and skin laxity. The company is also developing Samcyprone, a formulation of the small molecule diphenylcyclopropenone, which is in Phase IIa clinical trial for the clearance of common warts. In addition, it is developing cell-based cancer immunotherapies. RXi Pharmaceuticals Corporation was incorporated in 2011 and is headquartered in Marlborough, Massachusetts.</v>
      </c>
    </row>
    <row r="39" spans="2:35" ht="14.85" customHeight="1">
      <c r="B39" s="250" t="str">
        <f>'Comp.1'!B39</f>
        <v>Benitec Biopharma Limited</v>
      </c>
      <c r="C39" s="759">
        <f>'Comp.1'!C39</f>
        <v>2.1931599999999989</v>
      </c>
      <c r="E39" s="759">
        <f>'Capital IQ Sheet-GPC'!X40</f>
        <v>-7.1390900000000004</v>
      </c>
      <c r="F39" s="759">
        <f>'Capital IQ Sheet-GPC'!Y40</f>
        <v>-11.77862</v>
      </c>
      <c r="G39" s="759">
        <f>'Capital IQ Sheet-GPC'!Z40</f>
        <v>-8.8061900000000009</v>
      </c>
      <c r="H39" s="331"/>
      <c r="I39" s="759">
        <f>'Capital IQ Sheet-GPC'!AA40</f>
        <v>-7.3262999999999998</v>
      </c>
      <c r="J39" s="759">
        <f>'Capital IQ Sheet-GPC'!AB40</f>
        <v>-14.801729999999999</v>
      </c>
      <c r="K39" s="759" t="str">
        <f>'Capital IQ Sheet-GPC'!AC40</f>
        <v>n/a</v>
      </c>
      <c r="L39" s="759" t="str">
        <f>'Capital IQ Sheet-GPC'!AD40</f>
        <v>n/a</v>
      </c>
      <c r="M39" s="759" t="str">
        <f>'Capital IQ Sheet-GPC'!AE40</f>
        <v>n/a</v>
      </c>
      <c r="O39" s="1174">
        <f t="shared" si="1"/>
        <v>-0.30720441961090261</v>
      </c>
      <c r="P39" s="1174">
        <f t="shared" si="2"/>
        <v>-0.18619838317222212</v>
      </c>
      <c r="Q39" s="1174" t="str">
        <f t="shared" si="3"/>
        <v>NM</v>
      </c>
      <c r="S39" s="1174">
        <f t="shared" si="4"/>
        <v>-0.29935438079248722</v>
      </c>
      <c r="T39" s="1174">
        <f t="shared" si="5"/>
        <v>-0.14816916671226937</v>
      </c>
      <c r="U39" s="1174" t="str">
        <f t="shared" si="6"/>
        <v>n/a</v>
      </c>
      <c r="V39" s="1174" t="str">
        <f t="shared" si="7"/>
        <v>n/a</v>
      </c>
      <c r="W39" s="1174" t="str">
        <f t="shared" si="8"/>
        <v>n/a</v>
      </c>
      <c r="Y39" s="331">
        <f>'Comp.1'!AB39</f>
        <v>12.459519999999999</v>
      </c>
      <c r="Z39" s="331">
        <f>'Comp.1'!AC39</f>
        <v>0</v>
      </c>
      <c r="AA39" s="331">
        <f>'Comp.1'!AD39</f>
        <v>0</v>
      </c>
      <c r="AB39" s="331">
        <f>'Comp.1'!AE39</f>
        <v>0</v>
      </c>
      <c r="AC39" s="331">
        <f t="shared" si="9"/>
        <v>0</v>
      </c>
      <c r="AD39" s="331">
        <f t="shared" si="10"/>
        <v>12.459519999999999</v>
      </c>
      <c r="AE39" s="331">
        <f>'Comp.1'!AH39</f>
        <v>10.266360000000001</v>
      </c>
      <c r="AF39" s="759">
        <f t="shared" si="11"/>
        <v>2.1931599999999989</v>
      </c>
      <c r="AH39" s="1177" t="str">
        <f>IF('MASTER PubCo Inputs'!C55="","",'MASTER PubCo Inputs'!C55)</f>
        <v>IQ4492928</v>
      </c>
      <c r="AI39" s="250" t="str">
        <f>'Comp.1'!AL39</f>
        <v>Benitec Biopharma Limited, a biotechnology company, develops treatments for chronic and life-threatening human diseases based on its gene silencing therapy, DNA-directed RNA interference (ddRNAi) in Australia, the United Kingdom, and the United States. Its in-house development programs include TT-034, which is in Phase I/IIa clinical trials for the treatment of hepatitis C; BB-HB-331 for the treatment of the hepatitis B virus; and ddRNAi-based therapies, such as BB-AMD-211 and BB-AMD-233 for the treatment of wet age-related macular degeneration (AMD), as well as BB-AMD-231 for the treatment of wet and dry AMD. The company also engages in developing a ddRNAi-based gene therapy for the treatment of oculopharyngeal muscular dystrophy, an autosomal-dominant inherited, slow-progressing, and late-onset degenerative muscle disorder that occurs at the age of 40 or 50 years in patients. In addition, it licenses its ddRNAi technology to other biopharmaceutical companies for the progress of HIV/AIDS, retinitis pigmentosa, cancer immunotherapy, Huntington’s disease, and neuropathic pain programs. The company has a strategic partnership with Nant Capital, LLC for a scientific collaboration in clinical programs; and a research collaboration agreement with Nant Capital LLC for the clinical development of BB-401, a recombinant DNA construct that produces an antisense RNA with specificity against epidermal growth factor receptor. Benitec Biopharma Limited was founded in 1995 and is headquartered in North Sydney, Australia.</v>
      </c>
    </row>
    <row r="40" spans="2:35" ht="14.85" customHeight="1">
      <c r="B40" s="250" t="str">
        <f>'Comp.1'!B40</f>
        <v>GenVec, Inc.</v>
      </c>
      <c r="C40" s="759">
        <f>'Comp.1'!C40</f>
        <v>-1.0658100000000008</v>
      </c>
      <c r="E40" s="759">
        <f>'Capital IQ Sheet-GPC'!X41</f>
        <v>-3.069</v>
      </c>
      <c r="F40" s="759">
        <f>'Capital IQ Sheet-GPC'!Y41</f>
        <v>-3.7189999999999999</v>
      </c>
      <c r="G40" s="759">
        <f>'Capital IQ Sheet-GPC'!Z41</f>
        <v>-6.6529999999999996</v>
      </c>
      <c r="H40" s="331"/>
      <c r="I40" s="759">
        <f>'Capital IQ Sheet-GPC'!AA41</f>
        <v>-2.3559999999999999</v>
      </c>
      <c r="J40" s="759">
        <f>'Capital IQ Sheet-GPC'!AB41</f>
        <v>-6.47</v>
      </c>
      <c r="K40" s="759">
        <f>'Capital IQ Sheet-GPC'!AC41</f>
        <v>-6.7</v>
      </c>
      <c r="L40" s="759">
        <f>'Capital IQ Sheet-GPC'!AD41</f>
        <v>-7</v>
      </c>
      <c r="M40" s="759">
        <f>'Capital IQ Sheet-GPC'!AE41</f>
        <v>-7.9</v>
      </c>
      <c r="O40" s="1174">
        <f t="shared" si="1"/>
        <v>0.34728250244379305</v>
      </c>
      <c r="P40" s="1174">
        <f t="shared" si="2"/>
        <v>0.28658510352245248</v>
      </c>
      <c r="Q40" s="1174">
        <f t="shared" si="3"/>
        <v>0.16019990981512114</v>
      </c>
      <c r="S40" s="1174">
        <f t="shared" si="4"/>
        <v>0.45238115449915145</v>
      </c>
      <c r="T40" s="1174">
        <f t="shared" si="5"/>
        <v>0.16473106646058747</v>
      </c>
      <c r="U40" s="1174">
        <f t="shared" si="6"/>
        <v>0.15907611940298519</v>
      </c>
      <c r="V40" s="1174">
        <f t="shared" si="7"/>
        <v>0.15225857142857155</v>
      </c>
      <c r="W40" s="1174">
        <f t="shared" si="8"/>
        <v>0.1349126582278482</v>
      </c>
      <c r="Y40" s="331">
        <f>'Comp.1'!AB40</f>
        <v>7.33019</v>
      </c>
      <c r="Z40" s="331">
        <f>'Comp.1'!AC40</f>
        <v>0</v>
      </c>
      <c r="AA40" s="331">
        <f>'Comp.1'!AD40</f>
        <v>0</v>
      </c>
      <c r="AB40" s="331">
        <f>'Comp.1'!AE40</f>
        <v>0</v>
      </c>
      <c r="AC40" s="331">
        <f t="shared" si="9"/>
        <v>0</v>
      </c>
      <c r="AD40" s="331">
        <f t="shared" si="10"/>
        <v>7.33019</v>
      </c>
      <c r="AE40" s="331">
        <f>'Comp.1'!AH40</f>
        <v>8.3960000000000008</v>
      </c>
      <c r="AF40" s="759">
        <f t="shared" si="11"/>
        <v>-1.0658100000000008</v>
      </c>
      <c r="AH40" s="1177" t="str">
        <f>IF('MASTER PubCo Inputs'!C56="","",'MASTER PubCo Inputs'!C56)</f>
        <v>IQ28949</v>
      </c>
      <c r="AI40" s="250" t="str">
        <f>'Comp.1'!AL40</f>
        <v>GenVec, Inc., a clinical-stage biopharmaceutical company, focuses on developing a pipeline of therapeutics and vaccines through its proprietary AdenoVerse gene delivery platform in the United States. It designs, tests, and manufactures adenoviral-based product candidates. The company’s lead product candidate is CGF166, which is in Phase I/II clinical trial for the treatment of hearing loss and balance disorders. It is also developing GV2311 vaccine for respiratory syncytial virus; and GV2207 vaccine for the treatment of herpes simplex virus. The company has a collaboration agreement with Novartis AG to develop CGF166. It also has collaboration agreement with TheraBiologics, Inc. to develop cancer therapeutics; National Institute of Allergy and Infectious Diseases to generate vaccine candidates for the prevention of malaria; Laboratory of Malaria Immunology and Vaccinology to create and test various malaria vaccine candidates; and Merial to develop and commercialize vaccine and anti-viral candidates for the prevention and containment of foot-and-mouth diseases in livestock and other animals. The company was founded in 1992 and is based in Gaithersburg, Maryland.</v>
      </c>
    </row>
    <row r="41" spans="2:35" ht="14.85" customHeight="1">
      <c r="B41" s="250" t="str">
        <f>'Comp.1'!B41</f>
        <v>Arbutus Biopharma Corporation</v>
      </c>
      <c r="C41" s="759">
        <f>'Comp.1'!C41</f>
        <v>-4.3520399999999881</v>
      </c>
      <c r="E41" s="759">
        <f>'Capital IQ Sheet-GPC'!X42</f>
        <v>-24.097999999999999</v>
      </c>
      <c r="F41" s="759">
        <f>'Capital IQ Sheet-GPC'!Y42</f>
        <v>-42.131999999999998</v>
      </c>
      <c r="G41" s="759">
        <f>'Capital IQ Sheet-GPC'!Z42</f>
        <v>-52.988</v>
      </c>
      <c r="H41" s="331"/>
      <c r="I41" s="759">
        <f>'Capital IQ Sheet-GPC'!AA42</f>
        <v>-32.442999999999998</v>
      </c>
      <c r="J41" s="759">
        <f>'Capital IQ Sheet-GPC'!AB42</f>
        <v>-36.369999999999997</v>
      </c>
      <c r="K41" s="759">
        <f>'Capital IQ Sheet-GPC'!AC42</f>
        <v>-35.170549999999999</v>
      </c>
      <c r="L41" s="759">
        <f>'Capital IQ Sheet-GPC'!AD42</f>
        <v>-30.898340000000001</v>
      </c>
      <c r="M41" s="759">
        <f>'Capital IQ Sheet-GPC'!AE42</f>
        <v>-8.7640799999999999</v>
      </c>
      <c r="O41" s="1174">
        <f t="shared" si="1"/>
        <v>0.18059755996348195</v>
      </c>
      <c r="P41" s="1174">
        <f t="shared" si="2"/>
        <v>0.10329535744802024</v>
      </c>
      <c r="Q41" s="1174">
        <f t="shared" si="3"/>
        <v>8.213255831508999E-2</v>
      </c>
      <c r="S41" s="1174">
        <f t="shared" si="4"/>
        <v>0.13414419135098446</v>
      </c>
      <c r="T41" s="1174">
        <f t="shared" si="5"/>
        <v>0.11966015947209206</v>
      </c>
      <c r="U41" s="1174">
        <f t="shared" si="6"/>
        <v>0.12374102764955305</v>
      </c>
      <c r="V41" s="1174">
        <f t="shared" si="7"/>
        <v>0.14085028516095</v>
      </c>
      <c r="W41" s="1174">
        <f t="shared" si="8"/>
        <v>0.49657693676917464</v>
      </c>
      <c r="Y41" s="331">
        <f>'Comp.1'!AB41</f>
        <v>145.32996</v>
      </c>
      <c r="Z41" s="331">
        <f>'Comp.1'!AC41</f>
        <v>0</v>
      </c>
      <c r="AA41" s="331">
        <f>'Comp.1'!AD41</f>
        <v>0</v>
      </c>
      <c r="AB41" s="331">
        <f>'Comp.1'!AE41</f>
        <v>0</v>
      </c>
      <c r="AC41" s="331">
        <f t="shared" si="9"/>
        <v>0</v>
      </c>
      <c r="AD41" s="331">
        <f t="shared" si="10"/>
        <v>145.32996</v>
      </c>
      <c r="AE41" s="331">
        <f>'Comp.1'!AH41</f>
        <v>149.68199999999999</v>
      </c>
      <c r="AF41" s="759">
        <f t="shared" si="11"/>
        <v>-4.3520399999999881</v>
      </c>
      <c r="AH41" s="1177" t="str">
        <f>IF('MASTER PubCo Inputs'!C57="","",'MASTER PubCo Inputs'!C57)</f>
        <v>IQ34160168</v>
      </c>
      <c r="AI41" s="250" t="str">
        <f>'Comp.1'!AL41</f>
        <v>Arbutus Biopharma Corporation, a biopharmaceutical company, engages in discovering, developing, and commercializing a cure for patients suffering from chronic Hepatitis B virus (HBV) infection in Canada and the United States. It also develops a pipeline of products based on RNA interference therapeutics (RNAi). The company’s lead candidate is ARB-1467, which is in a Phase II trial to eliminate HBV surface antigen expression in patients chronically infected with HBV. Its product candidates also comprise ARB-1740, a pan-genotypic second-generation siRNA therapeutic in Phase II multi-dose study in Hepatitis B e antigen-chronic HBV patients; and AB-423, a core protein/capsid assembly inhibitor in Phase I clinical trial as an oral therapeutic for the treatment of chronic HBV infection. In addition, the company has various research programs for the discovery and development of proprietary HBV candidates, including oral surface antigen inhibitors, cccDNA targeting agents, and immunomodulators. Further, its partnered programs consist of Patisiran (ALN-TTR02), an RNAi therapeutic targeting transthyretin (TTR) in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DCR-PH1 for the treatment of primary hyperoxaluria type 1. The company was formerly known as Tekmira Pharmaceuticals Corporation and changed its name to Arbutus Biopharma Corporation in July 2015. Arbutus Biopharma Corporation is headquartered in Burnaby, Canada.</v>
      </c>
    </row>
    <row r="42" spans="2:35" ht="14.85" customHeight="1">
      <c r="C42" s="331"/>
      <c r="E42" s="331"/>
      <c r="F42" s="331"/>
      <c r="G42" s="331"/>
      <c r="H42" s="331"/>
      <c r="I42" s="331"/>
      <c r="J42" s="331"/>
      <c r="K42" s="331"/>
      <c r="L42" s="331"/>
      <c r="M42" s="331"/>
    </row>
    <row r="43" spans="2:35" ht="14.85" customHeight="1">
      <c r="B43" s="860" t="s">
        <v>111</v>
      </c>
      <c r="C43" s="1304">
        <f>MAX(C12:C42)</f>
        <v>1387.752</v>
      </c>
      <c r="D43" s="861"/>
      <c r="E43" s="1304">
        <f>MAX(E12:E42)</f>
        <v>19.925000000000001</v>
      </c>
      <c r="F43" s="1304">
        <f>MAX(F12:F42)</f>
        <v>115.693</v>
      </c>
      <c r="G43" s="1304">
        <f>MAX(G12:G42)</f>
        <v>39.024000000000001</v>
      </c>
      <c r="H43" s="1304"/>
      <c r="I43" s="1304">
        <f>MAX(I12:I42)</f>
        <v>95.058000000000007</v>
      </c>
      <c r="J43" s="1304">
        <f>MAX(J12:J42)</f>
        <v>90.381</v>
      </c>
      <c r="K43" s="1304">
        <f>MAX(K12:K42)</f>
        <v>-6.7</v>
      </c>
      <c r="L43" s="1304">
        <f>MAX(L12:L42)</f>
        <v>-7</v>
      </c>
      <c r="M43" s="1304">
        <f>MAX(M12:M42)</f>
        <v>39.859000000000002</v>
      </c>
      <c r="N43" s="1306"/>
      <c r="O43" s="1307">
        <f>MAX(O12:O42)</f>
        <v>19.170289084065242</v>
      </c>
      <c r="P43" s="1307">
        <f>MAX(P12:P42)</f>
        <v>3.3015654361110864</v>
      </c>
      <c r="Q43" s="1307">
        <f>MAX(Q12:Q42)</f>
        <v>9.7880281365313628</v>
      </c>
      <c r="R43" s="1306"/>
      <c r="S43" s="1307">
        <f>MAX(S12:S42)</f>
        <v>4.0182626396515806</v>
      </c>
      <c r="T43" s="1307">
        <f>MAX(T12:T42)</f>
        <v>4.2261980947322995</v>
      </c>
      <c r="U43" s="1307">
        <f>MAX(U12:U42)</f>
        <v>0.15907611940298519</v>
      </c>
      <c r="V43" s="1307">
        <f>MAX(V12:V42)</f>
        <v>0.15225857142857155</v>
      </c>
      <c r="W43" s="1308">
        <f>MAX(W12:W42)</f>
        <v>34.816528262123981</v>
      </c>
      <c r="X43" s="723"/>
      <c r="Y43" s="723"/>
    </row>
    <row r="44" spans="2:35" ht="14.85" customHeight="1">
      <c r="B44" s="1309" t="s">
        <v>115</v>
      </c>
      <c r="C44" s="1190">
        <f>QUARTILE(C12:C42,3)</f>
        <v>330.71264999999994</v>
      </c>
      <c r="D44" s="1188"/>
      <c r="E44" s="1190">
        <f>QUARTILE(E12:E42,3)</f>
        <v>0</v>
      </c>
      <c r="F44" s="1190">
        <f>QUARTILE(F12:F42,3)</f>
        <v>-8.3500700000000005</v>
      </c>
      <c r="G44" s="1190">
        <f>QUARTILE(G12:G42,3)</f>
        <v>-21.3443875</v>
      </c>
      <c r="H44" s="1190"/>
      <c r="I44" s="1190">
        <f>QUARTILE(I12:I42,3)</f>
        <v>-5.1401250000000003</v>
      </c>
      <c r="J44" s="1190">
        <f>QUARTILE(J12:J42,3)</f>
        <v>-14.510182499999999</v>
      </c>
      <c r="K44" s="1190">
        <f>QUARTILE(K12:K42,3)</f>
        <v>-29.22</v>
      </c>
      <c r="L44" s="1190">
        <f>QUARTILE(L12:L42,3)</f>
        <v>-29.1665025</v>
      </c>
      <c r="M44" s="1190">
        <f>QUARTILE(M12:M42,3)</f>
        <v>-8.5480599999999995</v>
      </c>
      <c r="N44" s="1310"/>
      <c r="O44" s="1189">
        <f>QUARTILE(O12:O42,3)</f>
        <v>-1.1559797711162532</v>
      </c>
      <c r="P44" s="1189">
        <f>QUARTILE(P12:P42,3)</f>
        <v>-0.92561391244598057</v>
      </c>
      <c r="Q44" s="1189">
        <f>QUARTILE(Q12:Q42,3)</f>
        <v>4.9741140231732421</v>
      </c>
      <c r="R44" s="1310"/>
      <c r="S44" s="1189">
        <f>QUARTILE(S12:S42,3)</f>
        <v>-1.1318140219037405</v>
      </c>
      <c r="T44" s="1189">
        <f>QUARTILE(T12:T42,3)</f>
        <v>-1.2165177539050185</v>
      </c>
      <c r="U44" s="1189">
        <f>QUARTILE(U12:U42,3)</f>
        <v>0.15024234646462714</v>
      </c>
      <c r="V44" s="1189">
        <f>QUARTILE(V12:V42,3)</f>
        <v>0.14940649986166615</v>
      </c>
      <c r="W44" s="1311">
        <f>QUARTILE(W12:W42,3)</f>
        <v>17.656552599446577</v>
      </c>
      <c r="X44" s="723"/>
      <c r="Y44" s="723"/>
    </row>
    <row r="45" spans="2:35" ht="14.85" customHeight="1">
      <c r="B45" s="1309" t="s">
        <v>113</v>
      </c>
      <c r="C45" s="1190">
        <f>AVERAGE(C12:C42)</f>
        <v>248.63261900000001</v>
      </c>
      <c r="D45" s="1188"/>
      <c r="E45" s="1190">
        <f>AVERAGE(E12:E42)</f>
        <v>-12.342932333333334</v>
      </c>
      <c r="F45" s="1190">
        <f>AVERAGE(F12:F42)</f>
        <v>-25.642721666666667</v>
      </c>
      <c r="G45" s="1190">
        <f>AVERAGE(G12:G42)</f>
        <v>-42.86881166666668</v>
      </c>
      <c r="H45" s="1190"/>
      <c r="I45" s="1190">
        <f>AVERAGE(I12:I42)</f>
        <v>-14.850686333333332</v>
      </c>
      <c r="J45" s="1190">
        <f>AVERAGE(J12:J42)</f>
        <v>-32.059514999999998</v>
      </c>
      <c r="K45" s="1190">
        <f>AVERAGE(K12:K42)</f>
        <v>-51.3997976923077</v>
      </c>
      <c r="L45" s="1190">
        <f>AVERAGE(L12:L42)</f>
        <v>-57.3790075</v>
      </c>
      <c r="M45" s="1190">
        <f>AVERAGE(M12:M42)</f>
        <v>-37.023538749999993</v>
      </c>
      <c r="N45" s="1310"/>
      <c r="O45" s="1189">
        <f>AVERAGE(O12:O42)</f>
        <v>-25.450086664779178</v>
      </c>
      <c r="P45" s="1189">
        <f>AVERAGE(P12:P42)</f>
        <v>-13.233389984769021</v>
      </c>
      <c r="Q45" s="1189">
        <f>AVERAGE(Q12:Q42)</f>
        <v>3.3434535348871912</v>
      </c>
      <c r="R45" s="1310"/>
      <c r="S45" s="1189">
        <f>AVERAGE(S12:S42)</f>
        <v>-25.607828956180491</v>
      </c>
      <c r="T45" s="1189">
        <f>AVERAGE(T12:T42)</f>
        <v>-8.6626222589091153</v>
      </c>
      <c r="U45" s="1189">
        <f>AVERAGE(U12:U42)</f>
        <v>0.14140857352626912</v>
      </c>
      <c r="V45" s="1189">
        <f>AVERAGE(V12:V42)</f>
        <v>0.14655442829476079</v>
      </c>
      <c r="W45" s="1311">
        <f>AVERAGE(W12:W42)</f>
        <v>11.816005952373667</v>
      </c>
      <c r="X45" s="723"/>
      <c r="Y45" s="723"/>
    </row>
    <row r="46" spans="2:35" ht="14.85" customHeight="1">
      <c r="B46" s="1309" t="s">
        <v>44</v>
      </c>
      <c r="C46" s="1190">
        <f>MEDIAN(C12:C42)</f>
        <v>208.32753500000001</v>
      </c>
      <c r="D46" s="1188"/>
      <c r="E46" s="1190">
        <f>MEDIAN(E12:E42)</f>
        <v>-5.0649999999999995</v>
      </c>
      <c r="F46" s="1190">
        <f>MEDIAN(F12:F42)</f>
        <v>-21.579000000000001</v>
      </c>
      <c r="G46" s="1190">
        <f>MEDIAN(G12:G42)</f>
        <v>-46.064499999999995</v>
      </c>
      <c r="H46" s="1190"/>
      <c r="I46" s="1190">
        <f>MEDIAN(I12:I42)</f>
        <v>-9.827</v>
      </c>
      <c r="J46" s="1190">
        <f>MEDIAN(J12:J42)</f>
        <v>-26.494</v>
      </c>
      <c r="K46" s="1190">
        <f>MEDIAN(K12:K42)</f>
        <v>-53</v>
      </c>
      <c r="L46" s="1190">
        <f>MEDIAN(L12:L42)</f>
        <v>-55.926680000000005</v>
      </c>
      <c r="M46" s="1190">
        <f>MEDIAN(M12:M42)</f>
        <v>-23.310425000000002</v>
      </c>
      <c r="N46" s="1310"/>
      <c r="O46" s="1189">
        <f>MEDIAN(O12:O42)</f>
        <v>-2.8425959851046532</v>
      </c>
      <c r="P46" s="1189">
        <f>MEDIAN(P12:P42)</f>
        <v>-2.9916749957246278</v>
      </c>
      <c r="Q46" s="1189">
        <f>MEDIAN(Q12:Q42)</f>
        <v>0.16019990981512114</v>
      </c>
      <c r="R46" s="1310"/>
      <c r="S46" s="1189">
        <f>MEDIAN(S12:S42)</f>
        <v>-5.1391264982099312</v>
      </c>
      <c r="T46" s="1189">
        <f>MEDIAN(T12:T42)</f>
        <v>-4.1016992233176017</v>
      </c>
      <c r="U46" s="1189">
        <f>MEDIAN(U12:U42)</f>
        <v>0.14140857352626912</v>
      </c>
      <c r="V46" s="1189">
        <f>MEDIAN(V12:V42)</f>
        <v>0.14655442829476079</v>
      </c>
      <c r="W46" s="1311">
        <f>MEDIAN(W12:W42)</f>
        <v>0.49657693676917464</v>
      </c>
      <c r="X46" s="723"/>
      <c r="Y46" s="723"/>
    </row>
    <row r="47" spans="2:35" ht="14.85" customHeight="1">
      <c r="B47" s="1309" t="s">
        <v>114</v>
      </c>
      <c r="C47" s="1190">
        <f>QUARTILE(C12:C42,1)</f>
        <v>58.667125000000013</v>
      </c>
      <c r="D47" s="1188"/>
      <c r="E47" s="1190">
        <f>QUARTILE(E12:E42,1)</f>
        <v>-23.748312500000001</v>
      </c>
      <c r="F47" s="1190">
        <f>QUARTILE(F12:F42,1)</f>
        <v>-39.79562</v>
      </c>
      <c r="G47" s="1190">
        <f>QUARTILE(G12:G42,1)</f>
        <v>-59.905250000000002</v>
      </c>
      <c r="H47" s="1190"/>
      <c r="I47" s="1190">
        <f>QUARTILE(I12:I42,1)</f>
        <v>-28.730499999999999</v>
      </c>
      <c r="J47" s="1190">
        <f>QUARTILE(J12:J42,1)</f>
        <v>-43.999122499999999</v>
      </c>
      <c r="K47" s="1190">
        <f>QUARTILE(K12:K42,1)</f>
        <v>-74.872140000000002</v>
      </c>
      <c r="L47" s="1190">
        <f>QUARTILE(L12:L42,1)</f>
        <v>-86.797499999999999</v>
      </c>
      <c r="M47" s="1190">
        <f>QUARTILE(M12:M42,1)</f>
        <v>-69.829120000000003</v>
      </c>
      <c r="N47" s="1310"/>
      <c r="O47" s="1189">
        <f>QUARTILE(O12:O42,1)</f>
        <v>-63.363016486871565</v>
      </c>
      <c r="P47" s="1189">
        <f>QUARTILE(P12:P42,1)</f>
        <v>-12.89836616036964</v>
      </c>
      <c r="Q47" s="1189">
        <f>QUARTILE(Q12:Q42,1)</f>
        <v>0.12116623406510557</v>
      </c>
      <c r="R47" s="1310"/>
      <c r="S47" s="1189">
        <f>QUARTILE(S12:S42,1)</f>
        <v>-40.726138763897836</v>
      </c>
      <c r="T47" s="1189">
        <f>QUARTILE(T12:T42,1)</f>
        <v>-12.131203980689985</v>
      </c>
      <c r="U47" s="1189">
        <f>QUARTILE(U12:U42,1)</f>
        <v>0.1325748005879111</v>
      </c>
      <c r="V47" s="1189">
        <f>QUARTILE(V12:V42,1)</f>
        <v>0.14370235672785539</v>
      </c>
      <c r="W47" s="1311">
        <f>QUARTILE(W12:W42,1)</f>
        <v>0.31574479749851142</v>
      </c>
      <c r="X47" s="723"/>
      <c r="Y47" s="723"/>
    </row>
    <row r="48" spans="2:35" ht="14.85" customHeight="1">
      <c r="B48" s="1192" t="s">
        <v>112</v>
      </c>
      <c r="C48" s="867">
        <f>MIN(C12:C42)</f>
        <v>-4.3520399999999881</v>
      </c>
      <c r="D48" s="858"/>
      <c r="E48" s="867">
        <f>MIN(E12:E42)</f>
        <v>-60.804000000000002</v>
      </c>
      <c r="F48" s="867">
        <f>MIN(F12:F42)</f>
        <v>-187.99199999999999</v>
      </c>
      <c r="G48" s="867">
        <f>MIN(G12:G42)</f>
        <v>-149.721</v>
      </c>
      <c r="H48" s="867"/>
      <c r="I48" s="867">
        <f>MIN(I12:I42)</f>
        <v>-68.936999999999998</v>
      </c>
      <c r="J48" s="867">
        <f>MIN(J12:J42)</f>
        <v>-237.404</v>
      </c>
      <c r="K48" s="867">
        <f>MIN(K12:K42)</f>
        <v>-115.42700000000001</v>
      </c>
      <c r="L48" s="867">
        <f>MIN(L12:L42)</f>
        <v>-120.71899999999999</v>
      </c>
      <c r="M48" s="867">
        <f>MIN(M12:M42)</f>
        <v>-111.44589999999999</v>
      </c>
      <c r="N48" s="1312"/>
      <c r="O48" s="1193">
        <f>MIN(O12:O42)</f>
        <v>-148.86653421633551</v>
      </c>
      <c r="P48" s="1193">
        <f>MIN(P12:P42)</f>
        <v>-125.28897252997422</v>
      </c>
      <c r="Q48" s="1193">
        <f>MIN(Q12:Q42)</f>
        <v>8.213255831508999E-2</v>
      </c>
      <c r="R48" s="1312"/>
      <c r="S48" s="1193">
        <f>MIN(S12:S42)</f>
        <v>-131.953588891062</v>
      </c>
      <c r="T48" s="1193">
        <f>MIN(T12:T42)</f>
        <v>-35.687844485585828</v>
      </c>
      <c r="U48" s="1193">
        <f>MIN(U12:U42)</f>
        <v>0.12374102764955305</v>
      </c>
      <c r="V48" s="1193">
        <f>MIN(V12:V42)</f>
        <v>0.14085028516095</v>
      </c>
      <c r="W48" s="1313">
        <f>MIN(W12:W42)</f>
        <v>0.1349126582278482</v>
      </c>
      <c r="X48" s="723"/>
      <c r="Y48" s="723"/>
    </row>
    <row r="49" spans="2:2" ht="14.85" customHeight="1"/>
    <row r="50" spans="2:2" ht="14.85" customHeight="1">
      <c r="B50" s="356" t="s">
        <v>116</v>
      </c>
    </row>
    <row r="51" spans="2:2" ht="14.85" customHeight="1">
      <c r="B51" s="356"/>
    </row>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2:C41">
    <cfRule type="cellIs" dxfId="240" priority="15" operator="equal">
      <formula>"(Invalid Identifier)"</formula>
    </cfRule>
  </conditionalFormatting>
  <conditionalFormatting sqref="C4:I4">
    <cfRule type="cellIs" dxfId="239" priority="14" stopIfTrue="1" operator="equal">
      <formula>"input"</formula>
    </cfRule>
  </conditionalFormatting>
  <conditionalFormatting sqref="J4">
    <cfRule type="cellIs" dxfId="238" priority="12" stopIfTrue="1" operator="equal">
      <formula>"input"</formula>
    </cfRule>
  </conditionalFormatting>
  <conditionalFormatting sqref="J4">
    <cfRule type="cellIs" dxfId="237" priority="13" stopIfTrue="1" operator="equal">
      <formula>"input"</formula>
    </cfRule>
  </conditionalFormatting>
  <conditionalFormatting sqref="K4:M4">
    <cfRule type="cellIs" dxfId="236" priority="10" stopIfTrue="1" operator="equal">
      <formula>"input"</formula>
    </cfRule>
  </conditionalFormatting>
  <conditionalFormatting sqref="K4:M4">
    <cfRule type="cellIs" dxfId="235" priority="11" stopIfTrue="1" operator="equal">
      <formula>"input"</formula>
    </cfRule>
  </conditionalFormatting>
  <conditionalFormatting sqref="N4">
    <cfRule type="cellIs" dxfId="234" priority="8" stopIfTrue="1" operator="equal">
      <formula>"input"</formula>
    </cfRule>
  </conditionalFormatting>
  <conditionalFormatting sqref="N4">
    <cfRule type="cellIs" dxfId="233" priority="9" stopIfTrue="1" operator="equal">
      <formula>"input"</formula>
    </cfRule>
  </conditionalFormatting>
  <conditionalFormatting sqref="O4:V4">
    <cfRule type="cellIs" dxfId="232" priority="6" stopIfTrue="1" operator="equal">
      <formula>"input"</formula>
    </cfRule>
  </conditionalFormatting>
  <conditionalFormatting sqref="O4:V4">
    <cfRule type="cellIs" dxfId="231" priority="7" stopIfTrue="1" operator="equal">
      <formula>"input"</formula>
    </cfRule>
  </conditionalFormatting>
  <conditionalFormatting sqref="W4">
    <cfRule type="cellIs" dxfId="230" priority="2" stopIfTrue="1" operator="equal">
      <formula>"input"</formula>
    </cfRule>
  </conditionalFormatting>
  <conditionalFormatting sqref="W4">
    <cfRule type="cellIs" dxfId="229" priority="3" stopIfTrue="1" operator="equal">
      <formula>"input"</formula>
    </cfRule>
  </conditionalFormatting>
  <conditionalFormatting sqref="B4">
    <cfRule type="cellIs" dxfId="228" priority="1" stopIfTrue="1" operator="equal">
      <formula>"input"</formula>
    </cfRule>
  </conditionalFormatting>
  <pageMargins left="0.5" right="0.5" top="0.5" bottom="0.5" header="0.5" footer="0.5"/>
  <pageSetup scale="84" fitToWidth="0" fitToHeight="0" orientation="landscape" r:id="rId1"/>
  <legacyDrawingHF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B1:AC764"/>
  <sheetViews>
    <sheetView showGridLines="0" view="pageBreakPreview" zoomScale="80" zoomScaleNormal="100" zoomScaleSheetLayoutView="80" workbookViewId="0"/>
  </sheetViews>
  <sheetFormatPr defaultRowHeight="12.75"/>
  <cols>
    <col min="1" max="1" width="4.5" style="250" customWidth="1"/>
    <col min="2" max="2" width="72.6640625" style="250" bestFit="1" customWidth="1"/>
    <col min="3" max="3" width="2.83203125" style="250" customWidth="1"/>
    <col min="4" max="7" width="15.83203125" style="250" customWidth="1"/>
    <col min="8" max="8" width="2.83203125" style="250" customWidth="1"/>
    <col min="9" max="11" width="15.83203125" style="250" customWidth="1"/>
    <col min="12" max="12" width="2.83203125" style="250" customWidth="1"/>
    <col min="13" max="15" width="11.83203125" style="250" customWidth="1"/>
    <col min="16" max="16" width="2.83203125" style="250" customWidth="1"/>
    <col min="17" max="19" width="11.83203125" style="250" customWidth="1"/>
    <col min="20" max="20" width="2.83203125" style="250" customWidth="1"/>
    <col min="21" max="23" width="11.83203125" style="250" customWidth="1"/>
    <col min="24" max="24" width="4.5" style="250" customWidth="1"/>
    <col min="25" max="25" width="2.83203125" style="250" customWidth="1"/>
    <col min="26" max="26" width="15.33203125" style="250" bestFit="1" customWidth="1"/>
    <col min="27" max="27" width="14.33203125" style="250" bestFit="1" customWidth="1"/>
    <col min="28" max="28" width="15.33203125" style="250" bestFit="1" customWidth="1"/>
    <col min="29" max="29" width="9.5" style="250" bestFit="1" customWidth="1"/>
    <col min="30" max="33" width="9.33203125" style="250"/>
    <col min="34" max="34" width="8.83203125" style="250" customWidth="1"/>
    <col min="35" max="16384" width="9.33203125" style="250"/>
  </cols>
  <sheetData>
    <row r="1" spans="2:29" ht="10.7" customHeight="1" thickBot="1"/>
    <row r="2" spans="2:29" ht="16.5" customHeight="1" thickTop="1">
      <c r="B2" s="258" t="str">
        <f>'MASTER PubCo Inputs'!$C$5</f>
        <v>ABC, Inc.</v>
      </c>
      <c r="C2" s="258"/>
      <c r="D2" s="258"/>
      <c r="E2" s="258"/>
      <c r="F2" s="258"/>
      <c r="G2" s="258"/>
      <c r="H2" s="258"/>
      <c r="I2" s="258"/>
      <c r="J2" s="258"/>
      <c r="K2" s="258"/>
      <c r="L2" s="258"/>
      <c r="M2" s="258"/>
      <c r="N2" s="258"/>
      <c r="O2" s="258"/>
      <c r="P2" s="258"/>
      <c r="Q2" s="258"/>
      <c r="R2" s="258"/>
      <c r="S2" s="258"/>
      <c r="T2" s="258"/>
      <c r="U2" s="258"/>
      <c r="V2" s="258"/>
      <c r="W2" s="258"/>
      <c r="Z2" s="1151" t="s">
        <v>87</v>
      </c>
      <c r="AA2" s="1152">
        <f>+'Comp.1'!$AL$2</f>
        <v>42735</v>
      </c>
    </row>
    <row r="3" spans="2:29" ht="15.75" customHeight="1">
      <c r="B3" s="259" t="str">
        <f>VLOOKUP(B4,Outline!$E$8:$G$79,COLUMNS(Outline!$E$8:$G$8),FALSE)</f>
        <v>Exhibit E.4</v>
      </c>
      <c r="C3" s="259"/>
      <c r="D3" s="259"/>
      <c r="E3" s="259"/>
      <c r="F3" s="259"/>
      <c r="G3" s="259"/>
      <c r="H3" s="259"/>
      <c r="I3" s="259"/>
      <c r="J3" s="259"/>
      <c r="K3" s="259"/>
      <c r="L3" s="259"/>
      <c r="M3" s="259"/>
      <c r="N3" s="259"/>
      <c r="O3" s="259"/>
      <c r="P3" s="259"/>
      <c r="Q3" s="259"/>
      <c r="R3" s="259"/>
      <c r="S3" s="259"/>
      <c r="T3" s="259"/>
      <c r="U3" s="259"/>
      <c r="V3" s="259"/>
      <c r="W3" s="259"/>
      <c r="Z3" s="1153" t="s">
        <v>489</v>
      </c>
      <c r="AA3" s="1154" t="str">
        <f>+'Comp.1'!$AL$3</f>
        <v>F</v>
      </c>
    </row>
    <row r="4" spans="2:29" ht="16.5" customHeight="1" thickBot="1">
      <c r="B4" s="924" t="s">
        <v>823</v>
      </c>
      <c r="C4" s="924"/>
      <c r="D4" s="924"/>
      <c r="E4" s="924"/>
      <c r="F4" s="924"/>
      <c r="G4" s="924"/>
      <c r="H4" s="924"/>
      <c r="I4" s="924"/>
      <c r="J4" s="925"/>
      <c r="K4" s="925" t="str">
        <f>+'MASTER PubCo Inputs'!$C$24</f>
        <v>(in millions of USD)</v>
      </c>
      <c r="L4" s="924"/>
      <c r="M4" s="925"/>
      <c r="N4" s="925"/>
      <c r="O4" s="925"/>
      <c r="P4" s="925"/>
      <c r="Q4" s="925"/>
      <c r="R4" s="925"/>
      <c r="S4" s="925"/>
      <c r="T4" s="925"/>
      <c r="U4" s="925"/>
      <c r="V4" s="925"/>
      <c r="W4" s="925" t="str">
        <f>+'MASTER PubCo Inputs'!$C$24</f>
        <v>(in millions of USD)</v>
      </c>
      <c r="Z4" s="1153" t="s">
        <v>490</v>
      </c>
      <c r="AA4" s="1154" t="str">
        <f>+'Comp.1'!$AL$4</f>
        <v>USD</v>
      </c>
    </row>
    <row r="5" spans="2:29" ht="14.85" customHeight="1" thickTop="1">
      <c r="Z5" s="518" t="s">
        <v>89</v>
      </c>
      <c r="AA5" s="1155" t="str">
        <f>+'Comp.1'!$AL$5</f>
        <v>H</v>
      </c>
    </row>
    <row r="6" spans="2:29" ht="14.85" customHeight="1">
      <c r="D6" s="1320" t="s">
        <v>343</v>
      </c>
      <c r="E6" s="1321"/>
      <c r="F6" s="1321"/>
      <c r="G6" s="1322"/>
    </row>
    <row r="7" spans="2:29" ht="14.85" customHeight="1">
      <c r="D7" s="799" t="s">
        <v>360</v>
      </c>
      <c r="E7" s="800"/>
      <c r="F7" s="801"/>
      <c r="G7" s="1248"/>
      <c r="I7" s="799" t="s">
        <v>773</v>
      </c>
      <c r="J7" s="800"/>
      <c r="K7" s="801"/>
      <c r="M7" s="2089" t="s">
        <v>965</v>
      </c>
      <c r="N7" s="2090"/>
      <c r="O7" s="2091"/>
      <c r="Q7" s="799" t="s">
        <v>224</v>
      </c>
      <c r="R7" s="800"/>
      <c r="S7" s="801"/>
      <c r="U7" s="799" t="s">
        <v>367</v>
      </c>
      <c r="V7" s="800"/>
      <c r="W7" s="801"/>
      <c r="Z7" s="1281" t="s">
        <v>1137</v>
      </c>
      <c r="AA7" s="1323">
        <v>1</v>
      </c>
      <c r="AB7" s="1281" t="s">
        <v>1138</v>
      </c>
      <c r="AC7" s="1323">
        <v>-1</v>
      </c>
    </row>
    <row r="8" spans="2:29" s="272" customFormat="1" ht="14.85" customHeight="1">
      <c r="B8" s="1324" t="s">
        <v>815</v>
      </c>
      <c r="D8" s="1289" t="s">
        <v>358</v>
      </c>
      <c r="E8" s="1290" t="s">
        <v>181</v>
      </c>
      <c r="F8" s="1290" t="s">
        <v>182</v>
      </c>
      <c r="G8" s="1325" t="s">
        <v>359</v>
      </c>
      <c r="H8" s="347"/>
      <c r="I8" s="1289" t="s">
        <v>366</v>
      </c>
      <c r="J8" s="1290" t="s">
        <v>342</v>
      </c>
      <c r="K8" s="1325" t="s">
        <v>343</v>
      </c>
      <c r="L8" s="347"/>
      <c r="M8" s="1289" t="s">
        <v>366</v>
      </c>
      <c r="N8" s="1290" t="s">
        <v>342</v>
      </c>
      <c r="O8" s="1317" t="s">
        <v>343</v>
      </c>
      <c r="P8" s="347"/>
      <c r="Q8" s="1163" t="s">
        <v>366</v>
      </c>
      <c r="R8" s="1164" t="s">
        <v>342</v>
      </c>
      <c r="S8" s="1166" t="s">
        <v>343</v>
      </c>
      <c r="T8" s="347"/>
      <c r="U8" s="1163" t="s">
        <v>366</v>
      </c>
      <c r="V8" s="1164" t="s">
        <v>342</v>
      </c>
      <c r="W8" s="1166" t="s">
        <v>343</v>
      </c>
      <c r="X8" s="250"/>
      <c r="Z8" s="1170" t="s">
        <v>108</v>
      </c>
    </row>
    <row r="9" spans="2:29" ht="14.85" customHeight="1"/>
    <row r="10" spans="2:29" ht="14.85" customHeight="1">
      <c r="B10" s="250" t="str">
        <f>'Comp.1'!B12</f>
        <v>Spark Therapeutics, Inc.</v>
      </c>
      <c r="D10" s="1066">
        <f>'Capital IQ Sheet-GPC'!AF13</f>
        <v>1</v>
      </c>
      <c r="E10" s="1066" t="str">
        <f>'Capital IQ Sheet-GPC'!AG13</f>
        <v>n/a</v>
      </c>
      <c r="F10" s="1066" t="str">
        <f>'Capital IQ Sheet-GPC'!AH13</f>
        <v>n/a</v>
      </c>
      <c r="G10" s="1066" t="str">
        <f>'Capital IQ Sheet-GPC'!AI13</f>
        <v>n/a</v>
      </c>
      <c r="I10" s="759">
        <f>'Capital IQ Sheet-GPC'!AJ13</f>
        <v>-4.9917899999999999</v>
      </c>
      <c r="J10" s="759">
        <f>'Capital IQ Sheet-GPC'!AK13</f>
        <v>-16.47682</v>
      </c>
      <c r="K10" s="759">
        <f>'Capital IQ Sheet-GPC'!AL13</f>
        <v>-21.251919999999998</v>
      </c>
      <c r="M10" s="1066" t="str">
        <f>IFERROR(IF(I10/'Comp.1'!H12&gt;$AA$7,"NM",IF((I10/'Comp.1'!H12)&lt;$AC$7,"NM",I10/'Comp.1'!H12)),"n/a")</f>
        <v>NM</v>
      </c>
      <c r="N10" s="1066" t="str">
        <f>IFERROR(IF(J10/'Comp.1'!I12&gt;$AA$7,"NM",IF((J10/'Comp.1'!I12)&lt;$AC$7,"NM",J10/'Comp.1'!I12)),"n/a")</f>
        <v>NM</v>
      </c>
      <c r="O10" s="1066" t="str">
        <f>IFERROR(IF(K10/'Comp.1'!J12&gt;$AA$7,"NM",IF((K10/'Comp.1'!J12)&lt;$AC$7,"NM",K10/'Comp.1'!J12)),"n/a")</f>
        <v>NM</v>
      </c>
      <c r="P10" s="331"/>
      <c r="Q10" s="759">
        <f>'Capital IQ Sheet-GPC'!AM13</f>
        <v>-4.9638400000000003</v>
      </c>
      <c r="R10" s="759">
        <f>'Capital IQ Sheet-GPC'!AN13</f>
        <v>-9.8108599999999999</v>
      </c>
      <c r="S10" s="759">
        <f>'Capital IQ Sheet-GPC'!AO13</f>
        <v>-8.9101400000000002</v>
      </c>
      <c r="U10" s="1066" t="str">
        <f>IFERROR(IF(Q10/'Comp.1'!H12&gt;$AA$7,"NM",IF((Q10/'Comp.1'!H12)&lt;$AC$7,"NM",Q10/'Comp.1'!H12)),"n/a")</f>
        <v>NM</v>
      </c>
      <c r="V10" s="1066" t="str">
        <f>IFERROR(IF(R10/'Comp.1'!I12&gt;$AA$7,"NM",IF((R10/'Comp.1'!I12)&lt;$AC$7,"NM",R10/'Comp.1'!I12)),"n/a")</f>
        <v>NM</v>
      </c>
      <c r="W10" s="1066">
        <f>IFERROR(IF(S10/'Comp.1'!J12&gt;$AA$7,"NM",IF((S10/'Comp.1'!J12)&lt;$AC$7,"NM",S10/'Comp.1'!J12)),"n/a")</f>
        <v>-0.42272547851202974</v>
      </c>
      <c r="Z10" s="1177" t="str">
        <f>IF('MASTER PubCo Inputs'!B28="","",'MASTER PubCo Inputs'!B28)</f>
        <v>NasdaqGS:ONCE</v>
      </c>
      <c r="AA10" s="250" t="str">
        <f>'Comp.2'!AI12</f>
        <v>Spark Therapeutics, Inc. focuses on the development of gene therapy products for patients suffering from debilitating genetic diseases. Its products include voretigene neparvovec, which is in Phase III clinical trial for the treatment of genetic blinding conditions called inherited retinal diseases caused by non sex-linked, autosomal recessive, or biallelic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a form of Batten disease and Huntington's disease; RhoNova for the treatment of rhodopsin-linked autosomal dominant retinitis pigmentosa; and SPK-LHON for treating Leber hereditary optic neuropathy, as well as preclinical programs in development for the treatment of rare genetic blinding conditions, hematologic disorders,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1" spans="2:29" ht="14.85" customHeight="1">
      <c r="B11" s="250" t="str">
        <f>'Comp.1'!B13</f>
        <v>CRISPR Therapeutics AG</v>
      </c>
      <c r="D11" s="1066" t="str">
        <f>'Capital IQ Sheet-GPC'!AF14</f>
        <v>n/a</v>
      </c>
      <c r="E11" s="1066" t="str">
        <f>'Capital IQ Sheet-GPC'!AG14</f>
        <v>n/a</v>
      </c>
      <c r="F11" s="1066" t="str">
        <f>'Capital IQ Sheet-GPC'!AH14</f>
        <v>n/a</v>
      </c>
      <c r="G11" s="1066" t="str">
        <f>'Capital IQ Sheet-GPC'!AI14</f>
        <v>n/a</v>
      </c>
      <c r="I11" s="759">
        <f>'Capital IQ Sheet-GPC'!AJ14</f>
        <v>0</v>
      </c>
      <c r="J11" s="759">
        <f>'Capital IQ Sheet-GPC'!AK14</f>
        <v>-2.1230000000000002</v>
      </c>
      <c r="K11" s="759">
        <f>'Capital IQ Sheet-GPC'!AL14</f>
        <v>-75.058999999999997</v>
      </c>
      <c r="M11" s="1066" t="str">
        <f>IFERROR(IF(I11/'Comp.1'!H13&gt;$AA$7,"NM",IF((I11/'Comp.1'!H13)&lt;$AC$7,"NM",I11/'Comp.1'!H13)),"n/a")</f>
        <v>n/a</v>
      </c>
      <c r="N11" s="1066" t="str">
        <f>IFERROR(IF(J11/'Comp.1'!I13&gt;$AA$7,"NM",IF((J11/'Comp.1'!I13)&lt;$AC$7,"NM",J11/'Comp.1'!I13)),"n/a")</f>
        <v>n/a</v>
      </c>
      <c r="O11" s="1066" t="str">
        <f>IFERROR(IF(K11/'Comp.1'!J13&gt;$AA$7,"NM",IF((K11/'Comp.1'!J13)&lt;$AC$7,"NM",K11/'Comp.1'!J13)),"n/a")</f>
        <v>NM</v>
      </c>
      <c r="P11" s="331"/>
      <c r="Q11" s="759">
        <f>'Capital IQ Sheet-GPC'!AM14</f>
        <v>0</v>
      </c>
      <c r="R11" s="759">
        <f>'Capital IQ Sheet-GPC'!AN14</f>
        <v>0</v>
      </c>
      <c r="S11" s="759">
        <f>'Capital IQ Sheet-GPC'!AO14</f>
        <v>-3.2909999999999999</v>
      </c>
      <c r="U11" s="1066" t="str">
        <f>IFERROR(IF(Q11/'Comp.1'!H13&gt;$AA$7,"NM",IF((Q11/'Comp.1'!H13)&lt;$AC$7,"NM",Q11/'Comp.1'!H13)),"n/a")</f>
        <v>n/a</v>
      </c>
      <c r="V11" s="1066" t="str">
        <f>IFERROR(IF(R11/'Comp.1'!I13&gt;$AA$7,"NM",IF((R11/'Comp.1'!I13)&lt;$AC$7,"NM",R11/'Comp.1'!I13)),"n/a")</f>
        <v>n/a</v>
      </c>
      <c r="W11" s="1066" t="str">
        <f>IFERROR(IF(S11/'Comp.1'!J13&gt;$AA$7,"NM",IF((S11/'Comp.1'!J13)&lt;$AC$7,"NM",S11/'Comp.1'!J13)),"n/a")</f>
        <v>NM</v>
      </c>
      <c r="Z11" s="1177" t="str">
        <f>IF('MASTER PubCo Inputs'!B29="","",'MASTER PubCo Inputs'!B29)</f>
        <v>NasdaqGM:CRSP</v>
      </c>
      <c r="AA11" s="250" t="str">
        <f>'Comp.2'!AI13</f>
        <v>CRISPR Therapeutics AG, a gene editing company, focuses on developing transformative gene-based medicines for the treatment of serious human diseases using its proprietary clustered, regularly interspaced short palindromic repeats associated protein-9 (CRISPR/Cas9 )gene-editing platform in Switzerland. The CRISPR/Cas9 technology allows for changes to genomic DNA. It has a collaboration agreement with Vertex Pharmaceuticals, Incorporated to develop, manufacture, commercialize, sell, and use therapeutics; and license agreement with Anagenesis Biotechnologies SAS. CRISPR Therapeutics AG is headquartered in Basel, Switzerland.</v>
      </c>
    </row>
    <row r="12" spans="2:29" ht="14.85" customHeight="1">
      <c r="B12" s="250" t="str">
        <f>'Comp.1'!B14</f>
        <v>WAVE Life Sciences Ltd.</v>
      </c>
      <c r="D12" s="1066" t="str">
        <f>'Capital IQ Sheet-GPC'!AF15</f>
        <v>n/a</v>
      </c>
      <c r="E12" s="1066" t="str">
        <f>'Capital IQ Sheet-GPC'!AG15</f>
        <v>n/a</v>
      </c>
      <c r="F12" s="1066" t="str">
        <f>'Capital IQ Sheet-GPC'!AH15</f>
        <v>n/a</v>
      </c>
      <c r="G12" s="1066" t="str">
        <f>'Capital IQ Sheet-GPC'!AI15</f>
        <v>n/a</v>
      </c>
      <c r="I12" s="759">
        <f>'Capital IQ Sheet-GPC'!AJ15</f>
        <v>-0.107</v>
      </c>
      <c r="J12" s="759">
        <f>'Capital IQ Sheet-GPC'!AK15</f>
        <v>-1.4650000000000001</v>
      </c>
      <c r="K12" s="759">
        <f>'Capital IQ Sheet-GPC'!AL15</f>
        <v>-8.2379999999999995</v>
      </c>
      <c r="M12" s="1066" t="str">
        <f>IFERROR(IF(I12/'Comp.1'!H14&gt;$AA$7,"NM",IF((I12/'Comp.1'!H14)&lt;$AC$7,"NM",I12/'Comp.1'!H14)),"n/a")</f>
        <v>n/a</v>
      </c>
      <c r="N12" s="1066" t="str">
        <f>IFERROR(IF(J12/'Comp.1'!I14&gt;$AA$7,"NM",IF((J12/'Comp.1'!I14)&lt;$AC$7,"NM",J12/'Comp.1'!I14)),"n/a")</f>
        <v>NM</v>
      </c>
      <c r="O12" s="1066" t="str">
        <f>IFERROR(IF(K12/'Comp.1'!J14&gt;$AA$7,"NM",IF((K12/'Comp.1'!J14)&lt;$AC$7,"NM",K12/'Comp.1'!J14)),"n/a")</f>
        <v>NM</v>
      </c>
      <c r="P12" s="331"/>
      <c r="Q12" s="759">
        <f>'Capital IQ Sheet-GPC'!AM15</f>
        <v>-0.1128</v>
      </c>
      <c r="R12" s="759">
        <f>'Capital IQ Sheet-GPC'!AN15</f>
        <v>-0.91500000000000004</v>
      </c>
      <c r="S12" s="759">
        <f>'Capital IQ Sheet-GPC'!AO15</f>
        <v>-3.8079999999999998</v>
      </c>
      <c r="U12" s="1066" t="str">
        <f>IFERROR(IF(Q12/'Comp.1'!H14&gt;$AA$7,"NM",IF((Q12/'Comp.1'!H14)&lt;$AC$7,"NM",Q12/'Comp.1'!H14)),"n/a")</f>
        <v>n/a</v>
      </c>
      <c r="V12" s="1066" t="str">
        <f>IFERROR(IF(R12/'Comp.1'!I14&gt;$AA$7,"NM",IF((R12/'Comp.1'!I14)&lt;$AC$7,"NM",R12/'Comp.1'!I14)),"n/a")</f>
        <v>NM</v>
      </c>
      <c r="W12" s="1066" t="str">
        <f>IFERROR(IF(S12/'Comp.1'!J14&gt;$AA$7,"NM",IF((S12/'Comp.1'!J14)&lt;$AC$7,"NM",S12/'Comp.1'!J14)),"n/a")</f>
        <v>NM</v>
      </c>
      <c r="Z12" s="1177" t="str">
        <f>IF('MASTER PubCo Inputs'!B30="","",'MASTER PubCo Inputs'!B30)</f>
        <v>NasdaqGM:WVE</v>
      </c>
      <c r="AA12" s="250" t="str">
        <f>'Comp.2'!AI14</f>
        <v>WAVE Life Sciences Ltd., a genetic medicines company, designs, develops, and commercializes nucleic acid therapeutic candidates for genetically defined diseases by utilizing proprietary synthetic chemistry drug development platform. The company is primarily developing oligonucleotides that target genetic defects to either reduce the expression of disease-promoting proteins or transform the production of dysfunctional mutant proteins into the production of functional proteins. It focuses on proprietary programs in neurology in the central nervous system and neuromuscular system. The company has a research, license, and option agreement with Pfizer Inc. for the discovery, development, and commercialization of stereopure oligonucleotide therapeutics. WAVE Life Sciences Ltd. was founded in 2012 and is based in Cambridge, Massachusetts.</v>
      </c>
    </row>
    <row r="13" spans="2:29" ht="14.85" customHeight="1">
      <c r="B13" s="250" t="str">
        <f>'Comp.1'!B15</f>
        <v>Regenxbio Inc.</v>
      </c>
      <c r="D13" s="1066" t="str">
        <f>'Capital IQ Sheet-GPC'!AF16</f>
        <v>n/a</v>
      </c>
      <c r="E13" s="1066" t="str">
        <f>'Capital IQ Sheet-GPC'!AG16</f>
        <v>n/a</v>
      </c>
      <c r="F13" s="1066" t="str">
        <f>'Capital IQ Sheet-GPC'!AH16</f>
        <v>n/a</v>
      </c>
      <c r="G13" s="1066" t="str">
        <f>'Capital IQ Sheet-GPC'!AI16</f>
        <v>n/a</v>
      </c>
      <c r="I13" s="759">
        <f>'Capital IQ Sheet-GPC'!AJ16</f>
        <v>-2.91</v>
      </c>
      <c r="J13" s="759">
        <f>'Capital IQ Sheet-GPC'!AK16</f>
        <v>-3.1720000000000002</v>
      </c>
      <c r="K13" s="759">
        <f>'Capital IQ Sheet-GPC'!AL16</f>
        <v>-9.532</v>
      </c>
      <c r="M13" s="1066">
        <f>IFERROR(IF(I13/'Comp.1'!H15&gt;$AA$7,"NM",IF((I13/'Comp.1'!H15)&lt;$AC$7,"NM",I13/'Comp.1'!H15)),"n/a")</f>
        <v>-0.47806801379990149</v>
      </c>
      <c r="N13" s="1066">
        <f>IFERROR(IF(J13/'Comp.1'!I15&gt;$AA$7,"NM",IF((J13/'Comp.1'!I15)&lt;$AC$7,"NM",J13/'Comp.1'!I15)),"n/a")</f>
        <v>-0.73973880597014929</v>
      </c>
      <c r="O13" s="1066" t="str">
        <f>IFERROR(IF(K13/'Comp.1'!J15&gt;$AA$7,"NM",IF((K13/'Comp.1'!J15)&lt;$AC$7,"NM",K13/'Comp.1'!J15)),"n/a")</f>
        <v>NM</v>
      </c>
      <c r="P13" s="331"/>
      <c r="Q13" s="759">
        <f>'Capital IQ Sheet-GPC'!AM16</f>
        <v>0</v>
      </c>
      <c r="R13" s="759">
        <f>'Capital IQ Sheet-GPC'!AN16</f>
        <v>-0.39400000000000002</v>
      </c>
      <c r="S13" s="759">
        <f>'Capital IQ Sheet-GPC'!AO16</f>
        <v>-3.8420000000000001</v>
      </c>
      <c r="U13" s="1066">
        <f>IFERROR(IF(Q13/'Comp.1'!H15&gt;$AA$7,"NM",IF((Q13/'Comp.1'!H15)&lt;$AC$7,"NM",Q13/'Comp.1'!H15)),"n/a")</f>
        <v>0</v>
      </c>
      <c r="V13" s="1066">
        <f>IFERROR(IF(R13/'Comp.1'!I15&gt;$AA$7,"NM",IF((R13/'Comp.1'!I15)&lt;$AC$7,"NM",R13/'Comp.1'!I15)),"n/a")</f>
        <v>-9.188432835820895E-2</v>
      </c>
      <c r="W13" s="1066">
        <f>IFERROR(IF(S13/'Comp.1'!J15&gt;$AA$7,"NM",IF((S13/'Comp.1'!J15)&lt;$AC$7,"NM",S13/'Comp.1'!J15)),"n/a")</f>
        <v>-0.52336193979021928</v>
      </c>
      <c r="Z13" s="1177" t="str">
        <f>IF('MASTER PubCo Inputs'!B31="","",'MASTER PubCo Inputs'!B31)</f>
        <v>NasdaqGS:RGNX</v>
      </c>
      <c r="AA13" s="250" t="str">
        <f>'Comp.2'!AI15</f>
        <v>REGENXBIO Inc., a clinical-stage biotechnology company, provides gene therapy product candidates to deliver genes to cells to address genetic defects or to enable cells in the body to produce therapeutic proteins that are intended to impact disease. Its gene therapy product candidates are based on NAV Technology Platform, a proprietary adeno-associated virus (AAV) gene delivery platform. The company’s lead product candidate is RGX-314 for the treatment of wet age-related macular degeneration. It is also developing RGX-501, a product candidate for the treatment of homozygous familial hypercholesterolemia, which uses the AAV8 vector to deliver the human low-density lipoprotein receptor gene to liver cells; and RGX-111, a product candidate to treat the neurological symptoms of Mucopolysaccharidosis Type I that uses the AAV9 vector to deliver the human a-l-iduronidase gene to the central nervous system (CNS). In addition, the company engages in the development of RGX-121, a product candidate for the treatment of Mucopolysaccharidosis Type II, which uses the AAV9 vector to deliver the human iduronate-2-sulfatase gene to the CNS. Further, it licenses its NAV vectors to various other biotechnology companies. The company was formerly known as REGENX Biosciences, LLC and changed its name to REGENXBIO Inc. in September 2014. REGENXBIO Inc. was founded in 2008 and is headquartered in Rockville, Maryland.</v>
      </c>
    </row>
    <row r="14" spans="2:29" ht="14.85" customHeight="1">
      <c r="B14" s="250" t="str">
        <f>'Comp.1'!B16</f>
        <v>Inovio Pharmaceuticals, Inc.</v>
      </c>
      <c r="D14" s="1066">
        <f>'Capital IQ Sheet-GPC'!AF17</f>
        <v>-1.4520359999999999</v>
      </c>
      <c r="E14" s="1066">
        <f>'Capital IQ Sheet-GPC'!AG17</f>
        <v>-2.0314290000000002</v>
      </c>
      <c r="F14" s="1066">
        <f>'Capital IQ Sheet-GPC'!AH17</f>
        <v>-2.1164719999999999</v>
      </c>
      <c r="G14" s="1066">
        <f>'Capital IQ Sheet-GPC'!AI17</f>
        <v>-1.996308</v>
      </c>
      <c r="I14" s="759">
        <f>'Capital IQ Sheet-GPC'!AJ17</f>
        <v>-5.2192499999999997</v>
      </c>
      <c r="J14" s="759">
        <f>'Capital IQ Sheet-GPC'!AK17</f>
        <v>-4.9868100000000002</v>
      </c>
      <c r="K14" s="759">
        <f>'Capital IQ Sheet-GPC'!AL17</f>
        <v>-20.830970000000001</v>
      </c>
      <c r="M14" s="1066">
        <f>IFERROR(IF(I14/'Comp.1'!H16&gt;$AA$7,"NM",IF((I14/'Comp.1'!H16)&lt;$AC$7,"NM",I14/'Comp.1'!H16)),"n/a")</f>
        <v>-0.53589470312095711</v>
      </c>
      <c r="N14" s="1066">
        <f>IFERROR(IF(J14/'Comp.1'!I16&gt;$AA$7,"NM",IF((J14/'Comp.1'!I16)&lt;$AC$7,"NM",J14/'Comp.1'!I16)),"n/a")</f>
        <v>-0.13443833798012922</v>
      </c>
      <c r="O14" s="1066">
        <f>IFERROR(IF(K14/'Comp.1'!J16&gt;$AA$7,"NM",IF((K14/'Comp.1'!J16)&lt;$AC$7,"NM",K14/'Comp.1'!J16)),"n/a")</f>
        <v>-0.63528481422825345</v>
      </c>
      <c r="P14" s="331"/>
      <c r="Q14" s="759">
        <f>'Capital IQ Sheet-GPC'!AM17</f>
        <v>-1.1342000000000001</v>
      </c>
      <c r="R14" s="759">
        <f>'Capital IQ Sheet-GPC'!AN17</f>
        <v>-2.1277300000000001</v>
      </c>
      <c r="S14" s="759">
        <f>'Capital IQ Sheet-GPC'!AO17</f>
        <v>-3.4981599999999999</v>
      </c>
      <c r="U14" s="1066">
        <f>IFERROR(IF(Q14/'Comp.1'!H16&gt;$AA$7,"NM",IF((Q14/'Comp.1'!H16)&lt;$AC$7,"NM",Q14/'Comp.1'!H16)),"n/a")</f>
        <v>-0.11645576898592512</v>
      </c>
      <c r="V14" s="1066">
        <f>IFERROR(IF(R14/'Comp.1'!I16&gt;$AA$7,"NM",IF((R14/'Comp.1'!I16)&lt;$AC$7,"NM",R14/'Comp.1'!I16)),"n/a")</f>
        <v>-5.736101533253931E-2</v>
      </c>
      <c r="W14" s="1066">
        <f>IFERROR(IF(S14/'Comp.1'!J16&gt;$AA$7,"NM",IF((S14/'Comp.1'!J16)&lt;$AC$7,"NM",S14/'Comp.1'!J16)),"n/a")</f>
        <v>-0.10668384265066422</v>
      </c>
      <c r="Z14" s="1177" t="str">
        <f>IF('MASTER PubCo Inputs'!B32="","",'MASTER PubCo Inputs'!B32)</f>
        <v>NasdaqGS:INO</v>
      </c>
      <c r="AA14" s="250" t="str">
        <f>'Comp.2'!AI16</f>
        <v>Inovio Pharmaceuticals, Inc., a clinical stage biopharmaceutical company, develops active DNA immunotherapies and vaccines in combination with proprietary electroporation delivery devices to prevent and treat cancers and infectious diseases. Its SynCon immunotherapy design has the ability to break the immune system’s tolerance of cancerous cells; and SynCon product design is also intended to facilitate cross-strain protection against known, as well as new unmatched strains of pathogens, such as influenza. It has completed, current or planned clinical programs of its proprietary SynCon immunotherapies for HPV-caused pre-cancers and cancers, influenza, prostate cancer, breast/lung/pancreatic cancer, hepatitis C virus, hepatitis B virus, HIV, Ebola, Middle East Respiratory Syndrome, and Zika virus. The company’s partners and collaborators include MedImmune, LLC, the Wistar Institute, University of Pennsylvania, Defense Advanced Research Projects Agency, GeneOne Life Science, Plumbline Life Sciences, ApolloBio Corporation, Drexel University, the National Institutes of Health, HIV Vaccines Trial Network, National Cancer Institute, and U.S. Military HIV Research Program. Inovio Pharmaceuticals, Inc. was founded in 1979 and is headquartered in Plymouth Meeting, Pennsylvania.</v>
      </c>
    </row>
    <row r="15" spans="2:29" ht="14.85" customHeight="1">
      <c r="B15" s="250" t="str">
        <f>'Comp.1'!B17</f>
        <v>Enanta Pharmaceuticals, Inc.</v>
      </c>
      <c r="D15" s="1066">
        <f>'Capital IQ Sheet-GPC'!AF18</f>
        <v>1</v>
      </c>
      <c r="E15" s="1066">
        <f>'Capital IQ Sheet-GPC'!AG18</f>
        <v>0.43435699999999999</v>
      </c>
      <c r="F15" s="1066">
        <f>'Capital IQ Sheet-GPC'!AH18</f>
        <v>0.41866300000000001</v>
      </c>
      <c r="G15" s="1066">
        <f>'Capital IQ Sheet-GPC'!AI18</f>
        <v>0.325901</v>
      </c>
      <c r="I15" s="759">
        <f>'Capital IQ Sheet-GPC'!AJ18</f>
        <v>11.523</v>
      </c>
      <c r="J15" s="759">
        <f>'Capital IQ Sheet-GPC'!AK18</f>
        <v>11.042</v>
      </c>
      <c r="K15" s="759">
        <f>'Capital IQ Sheet-GPC'!AL18</f>
        <v>13.827</v>
      </c>
      <c r="M15" s="1066">
        <f>IFERROR(IF(I15/'Comp.1'!H17&gt;$AA$7,"NM",IF((I15/'Comp.1'!H17)&lt;$AC$7,"NM",I15/'Comp.1'!H17)),"n/a")</f>
        <v>0.24805717607043676</v>
      </c>
      <c r="N15" s="1066">
        <f>IFERROR(IF(J15/'Comp.1'!I17&gt;$AA$7,"NM",IF((J15/'Comp.1'!I17)&lt;$AC$7,"NM",J15/'Comp.1'!I17)),"n/a")</f>
        <v>7.4057182715072334E-2</v>
      </c>
      <c r="O15" s="1066">
        <f>IFERROR(IF(K15/'Comp.1'!J17&gt;$AA$7,"NM",IF((K15/'Comp.1'!J17)&lt;$AC$7,"NM",K15/'Comp.1'!J17)),"n/a")</f>
        <v>0.15390180648464544</v>
      </c>
      <c r="P15" s="331"/>
      <c r="Q15" s="759">
        <f>'Capital IQ Sheet-GPC'!AM18</f>
        <v>-0.745</v>
      </c>
      <c r="R15" s="759">
        <f>'Capital IQ Sheet-GPC'!AN18</f>
        <v>-1.2410000000000001</v>
      </c>
      <c r="S15" s="759">
        <f>'Capital IQ Sheet-GPC'!AO18</f>
        <v>-5.9029999999999996</v>
      </c>
      <c r="U15" s="1066">
        <f>IFERROR(IF(Q15/'Comp.1'!H17&gt;$AA$7,"NM",IF((Q15/'Comp.1'!H17)&lt;$AC$7,"NM",Q15/'Comp.1'!H17)),"n/a")</f>
        <v>-1.6037715540438723E-2</v>
      </c>
      <c r="V15" s="1066">
        <f>IFERROR(IF(R15/'Comp.1'!I17&gt;$AA$7,"NM",IF((R15/'Comp.1'!I17)&lt;$AC$7,"NM",R15/'Comp.1'!I17)),"n/a")</f>
        <v>-8.3232171481076589E-3</v>
      </c>
      <c r="W15" s="1066">
        <f>IFERROR(IF(S15/'Comp.1'!J17&gt;$AA$7,"NM",IF((S15/'Comp.1'!J17)&lt;$AC$7,"NM",S15/'Comp.1'!J17)),"n/a")</f>
        <v>-6.5703505003172194E-2</v>
      </c>
      <c r="Z15" s="1177" t="str">
        <f>IF('MASTER PubCo Inputs'!B33="","",'MASTER PubCo Inputs'!B33)</f>
        <v>NasdaqGS:ENTA</v>
      </c>
      <c r="AA15" s="250" t="str">
        <f>'Comp.2'!AI17</f>
        <v>Enanta Pharmaceuticals, Inc., a research and development-focused biotechnology company focuses on discovering and developing small molecule drugs for the treatment of viral infections and liver diseases. The company’s research and development focuses on four disease targets: Hepatitis C virus (HCV), Hepatitis B virus (HBV), Non-alcoholic Steatohepatitis (NASH), and Respiratory Syncytial Virus (RSV). Its lead product is paritaprevir, a protease inhibitor designed for use against HCV. The company also develops HCV protease inhibitor in phase III development with AbbVie, as well as a HCV program using a different class of molecules known as cyclophilin inhibitors. In addition, it has a program in non-alcoholic steatohepatitis; and discovers programs in other areas of viral infection and liver disease. Enanta Pharmaceuticals, Inc. has a collaborative development and license agreement with AbbVie to develop and commercialize HCV NS3 and NS3/4A protease inhibitors. The company was founded in 1995 and is headquartered in Watertown, Massachusetts.</v>
      </c>
    </row>
    <row r="16" spans="2:29" ht="14.85" customHeight="1">
      <c r="B16" s="250" t="str">
        <f>'Comp.1'!B18</f>
        <v>Editas Medicine, Inc.</v>
      </c>
      <c r="D16" s="1066" t="str">
        <f>'Capital IQ Sheet-GPC'!AF19</f>
        <v>n/a</v>
      </c>
      <c r="E16" s="1066" t="str">
        <f>'Capital IQ Sheet-GPC'!AG19</f>
        <v>n/a</v>
      </c>
      <c r="F16" s="1066" t="str">
        <f>'Capital IQ Sheet-GPC'!AH19</f>
        <v>n/a</v>
      </c>
      <c r="G16" s="1066" t="str">
        <f>'Capital IQ Sheet-GPC'!AI19</f>
        <v>n/a</v>
      </c>
      <c r="I16" s="759">
        <f>'Capital IQ Sheet-GPC'!AJ19</f>
        <v>-2.0510000000000002</v>
      </c>
      <c r="J16" s="759">
        <f>'Capital IQ Sheet-GPC'!AK19</f>
        <v>-3.3879999999999999</v>
      </c>
      <c r="K16" s="759">
        <f>'Capital IQ Sheet-GPC'!AL19</f>
        <v>-10.182</v>
      </c>
      <c r="M16" s="1066" t="str">
        <f>IFERROR(IF(I16/'Comp.1'!H18&gt;$AA$7,"NM",IF((I16/'Comp.1'!H18)&lt;$AC$7,"NM",I16/'Comp.1'!H18)),"n/a")</f>
        <v>n/a</v>
      </c>
      <c r="N16" s="1066" t="str">
        <f>IFERROR(IF(J16/'Comp.1'!I18&gt;$AA$7,"NM",IF((J16/'Comp.1'!I18)&lt;$AC$7,"NM",J16/'Comp.1'!I18)),"n/a")</f>
        <v>NM</v>
      </c>
      <c r="O16" s="1066" t="str">
        <f>IFERROR(IF(K16/'Comp.1'!J18&gt;$AA$7,"NM",IF((K16/'Comp.1'!J18)&lt;$AC$7,"NM",K16/'Comp.1'!J18)),"n/a")</f>
        <v>NM</v>
      </c>
      <c r="P16" s="331"/>
      <c r="Q16" s="759">
        <f>'Capital IQ Sheet-GPC'!AM19</f>
        <v>-0.159</v>
      </c>
      <c r="R16" s="759">
        <f>'Capital IQ Sheet-GPC'!AN19</f>
        <v>-1.2789999999999999</v>
      </c>
      <c r="S16" s="759">
        <f>'Capital IQ Sheet-GPC'!AO19</f>
        <v>-3.218</v>
      </c>
      <c r="U16" s="1066" t="str">
        <f>IFERROR(IF(Q16/'Comp.1'!H18&gt;$AA$7,"NM",IF((Q16/'Comp.1'!H18)&lt;$AC$7,"NM",Q16/'Comp.1'!H18)),"n/a")</f>
        <v>n/a</v>
      </c>
      <c r="V16" s="1066" t="str">
        <f>IFERROR(IF(R16/'Comp.1'!I18&gt;$AA$7,"NM",IF((R16/'Comp.1'!I18)&lt;$AC$7,"NM",R16/'Comp.1'!I18)),"n/a")</f>
        <v>NM</v>
      </c>
      <c r="W16" s="1066">
        <f>IFERROR(IF(S16/'Comp.1'!J18&gt;$AA$7,"NM",IF((S16/'Comp.1'!J18)&lt;$AC$7,"NM",S16/'Comp.1'!J18)),"n/a")</f>
        <v>-0.5411131663023373</v>
      </c>
      <c r="Z16" s="1177" t="str">
        <f>IF('MASTER PubCo Inputs'!B34="","",'MASTER PubCo Inputs'!B34)</f>
        <v>NasdaqGS:EDIT</v>
      </c>
      <c r="AA16" s="250" t="str">
        <f>'Comp.2'!AI18</f>
        <v>Editas Medicine, Inc. operates as a genome editing company. It focuses on treating patients with genetically defined diseases by correcting their disease causing genes. It is developing a proprietary genome editing platform based on CRISPR technology to target genetically defined diseases with an initial focus on debilitating illnesses where there are no approved treatments. Editas Medicine, Inc. has a collaboration and license agreement with Juno Therapeutics, Inc. for the research and development of engineered T cells with chimeric antigen receptors and T cell receptors; and collaboration, option, and license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based in Cambridge, Massachusetts.</v>
      </c>
    </row>
    <row r="17" spans="2:27" ht="14.85" customHeight="1">
      <c r="B17" s="250" t="str">
        <f>'Comp.1'!B19</f>
        <v>NantKwest, Inc.</v>
      </c>
      <c r="D17" s="1066">
        <f>'Capital IQ Sheet-GPC'!AF20</f>
        <v>1</v>
      </c>
      <c r="E17" s="1066" t="str">
        <f>'Capital IQ Sheet-GPC'!AG20</f>
        <v>n/a</v>
      </c>
      <c r="F17" s="1066" t="str">
        <f>'Capital IQ Sheet-GPC'!AH20</f>
        <v>n/a</v>
      </c>
      <c r="G17" s="1066" t="str">
        <f>'Capital IQ Sheet-GPC'!AI20</f>
        <v>n/a</v>
      </c>
      <c r="I17" s="759">
        <f>'Capital IQ Sheet-GPC'!AJ20</f>
        <v>-2.61</v>
      </c>
      <c r="J17" s="759">
        <f>'Capital IQ Sheet-GPC'!AK20</f>
        <v>-5.0119999999999996</v>
      </c>
      <c r="K17" s="759">
        <f>'Capital IQ Sheet-GPC'!AL20</f>
        <v>-5.0170000000000003</v>
      </c>
      <c r="M17" s="1066" t="str">
        <f>IFERROR(IF(I17/'Comp.1'!H19&gt;$AA$7,"NM",IF((I17/'Comp.1'!H19)&lt;$AC$7,"NM",I17/'Comp.1'!H19)),"n/a")</f>
        <v>NM</v>
      </c>
      <c r="N17" s="1066" t="str">
        <f>IFERROR(IF(J17/'Comp.1'!I19&gt;$AA$7,"NM",IF((J17/'Comp.1'!I19)&lt;$AC$7,"NM",J17/'Comp.1'!I19)),"n/a")</f>
        <v>NM</v>
      </c>
      <c r="O17" s="1066" t="str">
        <f>IFERROR(IF(K17/'Comp.1'!J19&gt;$AA$7,"NM",IF((K17/'Comp.1'!J19)&lt;$AC$7,"NM",K17/'Comp.1'!J19)),"n/a")</f>
        <v>NM</v>
      </c>
      <c r="P17" s="331"/>
      <c r="Q17" s="759">
        <f>'Capital IQ Sheet-GPC'!AM20</f>
        <v>-3.0000000000000001E-3</v>
      </c>
      <c r="R17" s="759">
        <f>'Capital IQ Sheet-GPC'!AN20</f>
        <v>-1.323</v>
      </c>
      <c r="S17" s="759">
        <f>'Capital IQ Sheet-GPC'!AO20</f>
        <v>-6.157</v>
      </c>
      <c r="U17" s="1066">
        <f>IFERROR(IF(Q17/'Comp.1'!H19&gt;$AA$7,"NM",IF((Q17/'Comp.1'!H19)&lt;$AC$7,"NM",Q17/'Comp.1'!H19)),"n/a")</f>
        <v>-5.0000000000000001E-3</v>
      </c>
      <c r="V17" s="1066" t="str">
        <f>IFERROR(IF(R17/'Comp.1'!I19&gt;$AA$7,"NM",IF((R17/'Comp.1'!I19)&lt;$AC$7,"NM",R17/'Comp.1'!I19)),"n/a")</f>
        <v>NM</v>
      </c>
      <c r="W17" s="1066" t="str">
        <f>IFERROR(IF(S17/'Comp.1'!J19&gt;$AA$7,"NM",IF((S17/'Comp.1'!J19)&lt;$AC$7,"NM",S17/'Comp.1'!J19)),"n/a")</f>
        <v>NM</v>
      </c>
      <c r="Z17" s="1177" t="str">
        <f>IF('MASTER PubCo Inputs'!B35="","",'MASTER PubCo Inputs'!B35)</f>
        <v>NasdaqGS:NK</v>
      </c>
      <c r="AA17" s="250" t="str">
        <f>'Comp.2'!AI19</f>
        <v>NantKwest, Inc., a clinical-stage immunotherapy biotechnology company, develops immunotherapeutic treatments for cancer, infectious diseases, and inflammatory diseases in the United States. The company develops activated natural killer product candidates for the treatment of virally-induced cancers, such as polyoma virus induced merkel cell carcinoma, human papilloma virus induced cervical, and head and neck cancers; infectious diseases, including Ebola; and other serious viral, fungal, and bacterial infections. It is also develops high-affinity natural killer product candidates primarily for the treatment of solid tumors, breast cancer, head and neck/squamous, lymphoma, and various cancer;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18" spans="2:27" ht="14.85" customHeight="1">
      <c r="B18" s="250" t="str">
        <f>'Comp.1'!B20</f>
        <v>Cocrystal Pharma, Inc.</v>
      </c>
      <c r="D18" s="1066">
        <f>'Capital IQ Sheet-GPC'!AF21</f>
        <v>0</v>
      </c>
      <c r="E18" s="1066">
        <f>'Capital IQ Sheet-GPC'!AG21</f>
        <v>0</v>
      </c>
      <c r="F18" s="1066">
        <f>'Capital IQ Sheet-GPC'!AH21</f>
        <v>0</v>
      </c>
      <c r="G18" s="1066">
        <f>'Capital IQ Sheet-GPC'!AI21</f>
        <v>0</v>
      </c>
      <c r="I18" s="759">
        <f>'Capital IQ Sheet-GPC'!AJ21</f>
        <v>-7.36</v>
      </c>
      <c r="J18" s="759">
        <f>'Capital IQ Sheet-GPC'!AK21</f>
        <v>-3.339</v>
      </c>
      <c r="K18" s="759">
        <f>'Capital IQ Sheet-GPC'!AL21</f>
        <v>-2.3010000000000002</v>
      </c>
      <c r="M18" s="1066" t="str">
        <f>IFERROR(IF(I18/'Comp.1'!H20&gt;$AA$7,"NM",IF((I18/'Comp.1'!H20)&lt;$AC$7,"NM",I18/'Comp.1'!H20)),"n/a")</f>
        <v>n/a</v>
      </c>
      <c r="N18" s="1066" t="str">
        <f>IFERROR(IF(J18/'Comp.1'!I20&gt;$AA$7,"NM",IF((J18/'Comp.1'!I20)&lt;$AC$7,"NM",J18/'Comp.1'!I20)),"n/a")</f>
        <v>NM</v>
      </c>
      <c r="O18" s="1066" t="str">
        <f>IFERROR(IF(K18/'Comp.1'!J20&gt;$AA$7,"NM",IF((K18/'Comp.1'!J20)&lt;$AC$7,"NM",K18/'Comp.1'!J20)),"n/a")</f>
        <v>n/a</v>
      </c>
      <c r="P18" s="331"/>
      <c r="Q18" s="759">
        <f>'Capital IQ Sheet-GPC'!AM21</f>
        <v>-7.0000000000000001E-3</v>
      </c>
      <c r="R18" s="759">
        <f>'Capital IQ Sheet-GPC'!AN21</f>
        <v>-0.218</v>
      </c>
      <c r="S18" s="759">
        <f>'Capital IQ Sheet-GPC'!AO21</f>
        <v>-0.17100000000000001</v>
      </c>
      <c r="U18" s="1066" t="str">
        <f>IFERROR(IF(Q18/'Comp.1'!H20&gt;$AA$7,"NM",IF((Q18/'Comp.1'!H20)&lt;$AC$7,"NM",Q18/'Comp.1'!H20)),"n/a")</f>
        <v>n/a</v>
      </c>
      <c r="V18" s="1066" t="str">
        <f>IFERROR(IF(R18/'Comp.1'!I20&gt;$AA$7,"NM",IF((R18/'Comp.1'!I20)&lt;$AC$7,"NM",R18/'Comp.1'!I20)),"n/a")</f>
        <v>NM</v>
      </c>
      <c r="W18" s="1066" t="str">
        <f>IFERROR(IF(S18/'Comp.1'!J20&gt;$AA$7,"NM",IF((S18/'Comp.1'!J20)&lt;$AC$7,"NM",S18/'Comp.1'!J20)),"n/a")</f>
        <v>n/a</v>
      </c>
      <c r="Z18" s="1177" t="str">
        <f>IF('MASTER PubCo Inputs'!B36="","",'MASTER PubCo Inputs'!B36)</f>
        <v>OTCBB:COCP</v>
      </c>
      <c r="AA18" s="250" t="str">
        <f>'Comp.2'!AI20</f>
        <v>Cocrystal Pharma, Inc., a preclinical-stage biopharmaceutical company, focuses on developing antiviral therapeutics for human diseases. The company focuses on developing inhibitors that target viral replication enzymes and viral replication protein. It is developing antiviral therapeutics for human diseases, including hepatitis C virus (HCV), influenza virus, and norovirus. The company also develops targeted in-house chemical libraries consisting of nucleosides, non-nucleoside inhibitors, metal-binding inhibitors, and fragments. Cocrystal Pharma, Inc. was founded in 2007 and is headquartered in Tucker, Georgia.</v>
      </c>
    </row>
    <row r="19" spans="2:27" ht="14.85" customHeight="1">
      <c r="B19" s="250" t="str">
        <f>'Comp.1'!B21</f>
        <v>Intellia Therapeutics Inc.</v>
      </c>
      <c r="D19" s="1066">
        <f>'Capital IQ Sheet-GPC'!AF22</f>
        <v>-0.98357899999999998</v>
      </c>
      <c r="E19" s="1066">
        <f>'Capital IQ Sheet-GPC'!AG22</f>
        <v>-2.0722989999999997</v>
      </c>
      <c r="F19" s="1066">
        <f>'Capital IQ Sheet-GPC'!AH22</f>
        <v>-2.138541</v>
      </c>
      <c r="G19" s="1066">
        <f>'Capital IQ Sheet-GPC'!AI22</f>
        <v>-2.097728</v>
      </c>
      <c r="I19" s="759">
        <f>'Capital IQ Sheet-GPC'!AJ22</f>
        <v>0</v>
      </c>
      <c r="J19" s="759">
        <f>'Capital IQ Sheet-GPC'!AK22</f>
        <v>-8.7449999999999992</v>
      </c>
      <c r="K19" s="759">
        <f>'Capital IQ Sheet-GPC'!AL22</f>
        <v>-20.548999999999999</v>
      </c>
      <c r="M19" s="1066" t="str">
        <f>IFERROR(IF(I19/'Comp.1'!H21&gt;$AA$7,"NM",IF((I19/'Comp.1'!H21)&lt;$AC$7,"NM",I19/'Comp.1'!H21)),"n/a")</f>
        <v>n/a</v>
      </c>
      <c r="N19" s="1066" t="str">
        <f>IFERROR(IF(J19/'Comp.1'!I21&gt;$AA$7,"NM",IF((J19/'Comp.1'!I21)&lt;$AC$7,"NM",J19/'Comp.1'!I21)),"n/a")</f>
        <v>NM</v>
      </c>
      <c r="O19" s="1066" t="str">
        <f>IFERROR(IF(K19/'Comp.1'!J21&gt;$AA$7,"NM",IF((K19/'Comp.1'!J21)&lt;$AC$7,"NM",K19/'Comp.1'!J21)),"n/a")</f>
        <v>NM</v>
      </c>
      <c r="P19" s="331"/>
      <c r="Q19" s="759">
        <f>'Capital IQ Sheet-GPC'!AM22</f>
        <v>0</v>
      </c>
      <c r="R19" s="759">
        <f>'Capital IQ Sheet-GPC'!AN22</f>
        <v>-2.1175000000000002</v>
      </c>
      <c r="S19" s="759">
        <f>'Capital IQ Sheet-GPC'!AO22</f>
        <v>-3.609</v>
      </c>
      <c r="U19" s="1066" t="str">
        <f>IFERROR(IF(Q19/'Comp.1'!H21&gt;$AA$7,"NM",IF((Q19/'Comp.1'!H21)&lt;$AC$7,"NM",Q19/'Comp.1'!H21)),"n/a")</f>
        <v>n/a</v>
      </c>
      <c r="V19" s="1066">
        <f>IFERROR(IF(R19/'Comp.1'!I21&gt;$AA$7,"NM",IF((R19/'Comp.1'!I21)&lt;$AC$7,"NM",R19/'Comp.1'!I21)),"n/a")</f>
        <v>-0.48666973109629974</v>
      </c>
      <c r="W19" s="1066">
        <f>IFERROR(IF(S19/'Comp.1'!J21&gt;$AA$7,"NM",IF((S19/'Comp.1'!J21)&lt;$AC$7,"NM",S19/'Comp.1'!J21)),"n/a")</f>
        <v>-0.2876843363889996</v>
      </c>
      <c r="Z19" s="1177" t="str">
        <f>IF('MASTER PubCo Inputs'!B37="","",'MASTER PubCo Inputs'!B37)</f>
        <v>NasdaqGM:NTLA</v>
      </c>
      <c r="AA19" s="250" t="str">
        <f>'Comp.2'!AI21</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and partnered programs focuses on chimeric antigen receptor T cells and hematopoietic stem cells. Intellia Therapeutics Inc. has collaboration agreement with Novartis; Regeneron Pharmaceuticals, Inc.; and Caribou Biosciences, Inc. The company was formerly known as AZRN, Inc. and changed its name to Intellia Therapeutics Inc. in July 2014. Intellia Therapeutics Inc. was founded in 2014 and is headquartered in Cambridge, Massachusetts.</v>
      </c>
    </row>
    <row r="20" spans="2:27" ht="14.85" customHeight="1">
      <c r="B20" s="250" t="str">
        <f>'Comp.1'!B22</f>
        <v>GenSight Biologics S.A.</v>
      </c>
      <c r="D20" s="1066">
        <f>'Capital IQ Sheet-GPC'!AF23</f>
        <v>1</v>
      </c>
      <c r="E20" s="1066">
        <f>'Capital IQ Sheet-GPC'!AG23</f>
        <v>-2.9558</v>
      </c>
      <c r="F20" s="1066">
        <f>'Capital IQ Sheet-GPC'!AH23</f>
        <v>-2.9947469999999998</v>
      </c>
      <c r="G20" s="1066" t="str">
        <f>'Capital IQ Sheet-GPC'!AI23</f>
        <v>n/a</v>
      </c>
      <c r="I20" s="759">
        <f>'Capital IQ Sheet-GPC'!AJ23</f>
        <v>0</v>
      </c>
      <c r="J20" s="759">
        <f>'Capital IQ Sheet-GPC'!AK23</f>
        <v>-1.65707</v>
      </c>
      <c r="K20" s="759">
        <f>'Capital IQ Sheet-GPC'!AL23</f>
        <v>-1.3468500000000001</v>
      </c>
      <c r="M20" s="1066" t="str">
        <f>IFERROR(IF(I20/'Comp.1'!H22&gt;$AA$7,"NM",IF((I20/'Comp.1'!H22)&lt;$AC$7,"NM",I20/'Comp.1'!H22)),"n/a")</f>
        <v>n/a</v>
      </c>
      <c r="N20" s="1066" t="str">
        <f>IFERROR(IF(J20/'Comp.1'!I22&gt;$AA$7,"NM",IF((J20/'Comp.1'!I22)&lt;$AC$7,"NM",J20/'Comp.1'!I22)),"n/a")</f>
        <v>NM</v>
      </c>
      <c r="O20" s="1066">
        <f>IFERROR(IF(K20/'Comp.1'!J22&gt;$AA$7,"NM",IF((K20/'Comp.1'!J22)&lt;$AC$7,"NM",K20/'Comp.1'!J22)),"n/a")</f>
        <v>-0.34834639885578611</v>
      </c>
      <c r="P20" s="331"/>
      <c r="Q20" s="759">
        <f>'Capital IQ Sheet-GPC'!AM23</f>
        <v>0</v>
      </c>
      <c r="R20" s="759">
        <f>'Capital IQ Sheet-GPC'!AN23</f>
        <v>-0.22894</v>
      </c>
      <c r="S20" s="759">
        <f>'Capital IQ Sheet-GPC'!AO23</f>
        <v>-0.75963000000000003</v>
      </c>
      <c r="U20" s="1066" t="str">
        <f>IFERROR(IF(Q20/'Comp.1'!H22&gt;$AA$7,"NM",IF((Q20/'Comp.1'!H22)&lt;$AC$7,"NM",Q20/'Comp.1'!H22)),"n/a")</f>
        <v>n/a</v>
      </c>
      <c r="V20" s="1066">
        <f>IFERROR(IF(R20/'Comp.1'!I22&gt;$AA$7,"NM",IF((R20/'Comp.1'!I22)&lt;$AC$7,"NM",R20/'Comp.1'!I22)),"n/a")</f>
        <v>-0.17152404213554701</v>
      </c>
      <c r="W20" s="1066">
        <f>IFERROR(IF(S20/'Comp.1'!J22&gt;$AA$7,"NM",IF((S20/'Comp.1'!J22)&lt;$AC$7,"NM",S20/'Comp.1'!J22)),"n/a")</f>
        <v>-0.19646907596452523</v>
      </c>
      <c r="Z20" s="1177" t="str">
        <f>IF('MASTER PubCo Inputs'!B38="","",'MASTER PubCo Inputs'!B38)</f>
        <v>ENXTPA:SIGHT</v>
      </c>
      <c r="AA20" s="250" t="str">
        <f>'Comp.2'!AI22</f>
        <v>GenSight Biologics S.A., a clinical-stage biotechnology company, engages in the discovery and development of therapies for mitochondrial and neurodegenerative diseases of the eye and central nervous system. The company develops its products through gene therapy-based approach with technology platforms of mitochondrial targeting sequence and optogenetics. Its lead product candidates include GS010, an AAV2 containing the human wild-type ND4 gene, which is in Phase III clinical trials for the treatment of Leber Hereditary Optic Neuropathy associated with mutation in the ND4 gene; and GS030 that comprises a gene encoding a photoactivatable channelrhodopsin for the treatment of reinitis pigmentosa and geographic atrophy in dry age-related macular degeneration. It is also developing products in preclinical development targeting ophthalmic and neurodegenerative diseases. GenSight Biologics S.A. was founded in 2012 and is based in Paris, France.</v>
      </c>
    </row>
    <row r="21" spans="2:27" ht="14.85" customHeight="1">
      <c r="B21" s="250" t="str">
        <f>'Comp.1'!B23</f>
        <v>Advaxis, Inc.</v>
      </c>
      <c r="D21" s="1066">
        <f>'Capital IQ Sheet-GPC'!AF24</f>
        <v>1</v>
      </c>
      <c r="E21" s="1066" t="str">
        <f>'Capital IQ Sheet-GPC'!AG24</f>
        <v>n/a</v>
      </c>
      <c r="F21" s="1066" t="str">
        <f>'Capital IQ Sheet-GPC'!AH24</f>
        <v>n/a</v>
      </c>
      <c r="G21" s="1066" t="str">
        <f>'Capital IQ Sheet-GPC'!AI24</f>
        <v>n/a</v>
      </c>
      <c r="I21" s="759">
        <f>'Capital IQ Sheet-GPC'!AJ24</f>
        <v>-1.6201099999999999</v>
      </c>
      <c r="J21" s="759">
        <f>'Capital IQ Sheet-GPC'!AK24</f>
        <v>-2.92197</v>
      </c>
      <c r="K21" s="759">
        <f>'Capital IQ Sheet-GPC'!AL24</f>
        <v>-1.58091</v>
      </c>
      <c r="M21" s="1066" t="str">
        <f>IFERROR(IF(I21/'Comp.1'!H23&gt;$AA$7,"NM",IF((I21/'Comp.1'!H23)&lt;$AC$7,"NM",I21/'Comp.1'!H23)),"n/a")</f>
        <v>NM</v>
      </c>
      <c r="N21" s="1066" t="str">
        <f>IFERROR(IF(J21/'Comp.1'!I23&gt;$AA$7,"NM",IF((J21/'Comp.1'!I23)&lt;$AC$7,"NM",J21/'Comp.1'!I23)),"n/a")</f>
        <v>n/a</v>
      </c>
      <c r="O21" s="1066" t="str">
        <f>IFERROR(IF(K21/'Comp.1'!J23&gt;$AA$7,"NM",IF((K21/'Comp.1'!J23)&lt;$AC$7,"NM",K21/'Comp.1'!J23)),"n/a")</f>
        <v>NM</v>
      </c>
      <c r="P21" s="331"/>
      <c r="Q21" s="759">
        <f>'Capital IQ Sheet-GPC'!AM24</f>
        <v>-4.9209999999999997E-2</v>
      </c>
      <c r="R21" s="759">
        <f>'Capital IQ Sheet-GPC'!AN24</f>
        <v>-0.31667000000000001</v>
      </c>
      <c r="S21" s="759">
        <f>'Capital IQ Sheet-GPC'!AO24</f>
        <v>-2.6599900000000001</v>
      </c>
      <c r="U21" s="1066">
        <f>IFERROR(IF(Q21/'Comp.1'!H23&gt;$AA$7,"NM",IF((Q21/'Comp.1'!H23)&lt;$AC$7,"NM",Q21/'Comp.1'!H23)),"n/a")</f>
        <v>-4.9209999999999997E-2</v>
      </c>
      <c r="V21" s="1066" t="str">
        <f>IFERROR(IF(R21/'Comp.1'!I23&gt;$AA$7,"NM",IF((R21/'Comp.1'!I23)&lt;$AC$7,"NM",R21/'Comp.1'!I23)),"n/a")</f>
        <v>n/a</v>
      </c>
      <c r="W21" s="1066" t="str">
        <f>IFERROR(IF(S21/'Comp.1'!J23&gt;$AA$7,"NM",IF((S21/'Comp.1'!J23)&lt;$AC$7,"NM",S21/'Comp.1'!J23)),"n/a")</f>
        <v>NM</v>
      </c>
      <c r="Z21" s="1177" t="str">
        <f>IF('MASTER PubCo Inputs'!B39="","",'MASTER PubCo Inputs'!B39)</f>
        <v>NasdaqCM:ADXS</v>
      </c>
      <c r="AA21" s="250" t="str">
        <f>'Comp.2'!AI23</f>
        <v>Advaxis, Inc., a clinical stage biotechnology company, focuses on the discovery, development, and commercialization of Lm-LLO cancer immunotherapies in the United States. Its lead product Axalimogene filolisbac, an Lm-LLO immunotherapy product candidate, which completed its Phase II study for the treatment of human papilloma virus associated cancers, including cervical, head and neck, and anal cancer. The company is also developing ADXS-PSA, an Lm-LLO immunotherapy product candidate, which is in Phase I/II clinical trials designed to target the prostate specific antigen associated with prostate cancer; and ADXS-HER2, an Lm-LLO immunotherapy product candidate that is in Phase Ib clinical trials used for the treatment of human epidermal growth factor receptor 2 expressing cancers, including human and canine osteosarcoma. It has clinical trial collaboration agreements with Merck &amp; Co., Inc. for the Phase I/II dose-escalation and safety study of ADXS31-142; and MedImmune, LLC to initiate a Phase I/II clinical study in the United States to evaluate MEDI4736, an investigational anti-PD-L1 immune checkpoint inhibitor. The company also has a licensing agreement with Global BioPharma Inc.; co-development and commercialization agreement with Especificos Stendhal SA de CV; and collaboration agreement with Amgen Inc. for the development and commercialization of ADXS-NEO, a preclinical investigational cancer immunotherapy treatment that activates patient’s immune system to respond against mutations or neoepitopes. Advaxis, Inc. was founded in 2002 and is based in Princeton, New Jersey.</v>
      </c>
    </row>
    <row r="22" spans="2:27" ht="14.85" customHeight="1">
      <c r="B22" s="250" t="str">
        <f>'Comp.1'!B24</f>
        <v>Audentes Therapeutics, Inc.</v>
      </c>
      <c r="D22" s="1066">
        <f>'Capital IQ Sheet-GPC'!AF25</f>
        <v>0</v>
      </c>
      <c r="E22" s="1066">
        <f>'Capital IQ Sheet-GPC'!AG25</f>
        <v>0</v>
      </c>
      <c r="F22" s="1066">
        <f>'Capital IQ Sheet-GPC'!AH25</f>
        <v>0</v>
      </c>
      <c r="G22" s="1066">
        <f>'Capital IQ Sheet-GPC'!AI25</f>
        <v>0</v>
      </c>
      <c r="I22" s="759">
        <f>'Capital IQ Sheet-GPC'!AJ25</f>
        <v>-0.185</v>
      </c>
      <c r="J22" s="759">
        <f>'Capital IQ Sheet-GPC'!AK25</f>
        <v>-3.0750000000000002</v>
      </c>
      <c r="K22" s="759">
        <f>'Capital IQ Sheet-GPC'!AL25</f>
        <v>-4.056</v>
      </c>
      <c r="M22" s="1066" t="str">
        <f>IFERROR(IF(I22/'Comp.1'!H24&gt;$AA$7,"NM",IF((I22/'Comp.1'!H24)&lt;$AC$7,"NM",I22/'Comp.1'!H24)),"n/a")</f>
        <v>n/a</v>
      </c>
      <c r="N22" s="1066" t="str">
        <f>IFERROR(IF(J22/'Comp.1'!I24&gt;$AA$7,"NM",IF((J22/'Comp.1'!I24)&lt;$AC$7,"NM",J22/'Comp.1'!I24)),"n/a")</f>
        <v>n/a</v>
      </c>
      <c r="O22" s="1066" t="str">
        <f>IFERROR(IF(K22/'Comp.1'!J24&gt;$AA$7,"NM",IF((K22/'Comp.1'!J24)&lt;$AC$7,"NM",K22/'Comp.1'!J24)),"n/a")</f>
        <v>n/a</v>
      </c>
      <c r="P22" s="331"/>
      <c r="Q22" s="759">
        <f>'Capital IQ Sheet-GPC'!AM25</f>
        <v>-0.106</v>
      </c>
      <c r="R22" s="759">
        <f>'Capital IQ Sheet-GPC'!AN25</f>
        <v>-0.94299999999999995</v>
      </c>
      <c r="S22" s="759">
        <f>'Capital IQ Sheet-GPC'!AO25</f>
        <v>-15.183</v>
      </c>
      <c r="U22" s="1066" t="str">
        <f>IFERROR(IF(Q22/'Comp.1'!H24&gt;$AA$7,"NM",IF((Q22/'Comp.1'!H24)&lt;$AC$7,"NM",Q22/'Comp.1'!H24)),"n/a")</f>
        <v>n/a</v>
      </c>
      <c r="V22" s="1066" t="str">
        <f>IFERROR(IF(R22/'Comp.1'!I24&gt;$AA$7,"NM",IF((R22/'Comp.1'!I24)&lt;$AC$7,"NM",R22/'Comp.1'!I24)),"n/a")</f>
        <v>n/a</v>
      </c>
      <c r="W22" s="1066" t="str">
        <f>IFERROR(IF(S22/'Comp.1'!J24&gt;$AA$7,"NM",IF((S22/'Comp.1'!J24)&lt;$AC$7,"NM",S22/'Comp.1'!J24)),"n/a")</f>
        <v>n/a</v>
      </c>
      <c r="Z22" s="1177" t="str">
        <f>IF('MASTER PubCo Inputs'!B40="","",'MASTER PubCo Inputs'!B40)</f>
        <v>NasdaqGM:BOLD</v>
      </c>
      <c r="AA22" s="250" t="str">
        <f>'Comp.2'!AI24</f>
        <v>Audentes Therapeutics, Inc., a biotechnology company, focuses on developing and commercializing gene therapy products for patients suffering from diseases caused by single gene defects in the United States. The company is developing AT132 for the treatment of X-linked myotubular myopathy; AT342 for the treatment of crigler-najjar syndrome type 1; AT982 for the treatment of pompe disease; and AT307 for the treatment of the CASQ2 subtype of catecholaminergic polymorphic ventricular tachycardia. Audentes Therapeutics, Inc. has a collaboration with the University of Pennsylvania for the treatment of Crigler-Najjar. The company was founded in 2012 and is headquartered in San Francisco, California.</v>
      </c>
    </row>
    <row r="23" spans="2:27" ht="14.85" customHeight="1">
      <c r="B23" s="250" t="str">
        <f>'Comp.1'!B25</f>
        <v>Syros Pharmaceuticals, Inc.</v>
      </c>
      <c r="D23" s="1066">
        <f>'Capital IQ Sheet-GPC'!AF26</f>
        <v>0</v>
      </c>
      <c r="E23" s="1066">
        <f>'Capital IQ Sheet-GPC'!AG26</f>
        <v>0</v>
      </c>
      <c r="F23" s="1066">
        <f>'Capital IQ Sheet-GPC'!AH26</f>
        <v>0</v>
      </c>
      <c r="G23" s="1066">
        <f>'Capital IQ Sheet-GPC'!AI26</f>
        <v>0</v>
      </c>
      <c r="I23" s="759">
        <f>'Capital IQ Sheet-GPC'!AJ26</f>
        <v>0</v>
      </c>
      <c r="J23" s="759">
        <f>'Capital IQ Sheet-GPC'!AK26</f>
        <v>-4.0529999999999999</v>
      </c>
      <c r="K23" s="759">
        <f>'Capital IQ Sheet-GPC'!AL26</f>
        <v>-6.7960000000000003</v>
      </c>
      <c r="M23" s="1066" t="str">
        <f>IFERROR(IF(I23/'Comp.1'!H25&gt;$AA$7,"NM",IF((I23/'Comp.1'!H25)&lt;$AC$7,"NM",I23/'Comp.1'!H25)),"n/a")</f>
        <v>n/a</v>
      </c>
      <c r="N23" s="1066" t="str">
        <f>IFERROR(IF(J23/'Comp.1'!I25&gt;$AA$7,"NM",IF((J23/'Comp.1'!I25)&lt;$AC$7,"NM",J23/'Comp.1'!I25)),"n/a")</f>
        <v>NM</v>
      </c>
      <c r="O23" s="1066" t="str">
        <f>IFERROR(IF(K23/'Comp.1'!J25&gt;$AA$7,"NM",IF((K23/'Comp.1'!J25)&lt;$AC$7,"NM",K23/'Comp.1'!J25)),"n/a")</f>
        <v>n/a</v>
      </c>
      <c r="P23" s="331"/>
      <c r="Q23" s="759">
        <f>'Capital IQ Sheet-GPC'!AM26</f>
        <v>0</v>
      </c>
      <c r="R23" s="759">
        <f>'Capital IQ Sheet-GPC'!AN26</f>
        <v>-0.89700000000000002</v>
      </c>
      <c r="S23" s="759">
        <f>'Capital IQ Sheet-GPC'!AO26</f>
        <v>-2.3010000000000002</v>
      </c>
      <c r="U23" s="1066" t="str">
        <f>IFERROR(IF(Q23/'Comp.1'!H25&gt;$AA$7,"NM",IF((Q23/'Comp.1'!H25)&lt;$AC$7,"NM",Q23/'Comp.1'!H25)),"n/a")</f>
        <v>n/a</v>
      </c>
      <c r="V23" s="1066" t="str">
        <f>IFERROR(IF(R23/'Comp.1'!I25&gt;$AA$7,"NM",IF((R23/'Comp.1'!I25)&lt;$AC$7,"NM",R23/'Comp.1'!I25)),"n/a")</f>
        <v>NM</v>
      </c>
      <c r="W23" s="1066" t="str">
        <f>IFERROR(IF(S23/'Comp.1'!J25&gt;$AA$7,"NM",IF((S23/'Comp.1'!J25)&lt;$AC$7,"NM",S23/'Comp.1'!J25)),"n/a")</f>
        <v>n/a</v>
      </c>
      <c r="Z23" s="1177" t="str">
        <f>IF('MASTER PubCo Inputs'!B41="","",'MASTER PubCo Inputs'!B41)</f>
        <v>NasdaqGS:SYRS</v>
      </c>
      <c r="AA23" s="250" t="str">
        <f>'Comp.2'!AI25</f>
        <v>Syros Pharmaceuticals, Inc., a biopharmaceutical company, focuses on developing treatments for cancer and immune-mediated diseases, and building a pipeline of gene control medicines. Its lead drug candidates are SY-1425, a selective RARa agonist in a Phase 2 clinical trial for genomically defined subsets of patients with acute myeloid leukemia and myelodysplastic syndrome; and SY-1365, a selective CDK7 inhibitor with potential in a range of solid tumors and blood cancers. The company was formerly known as LS22, Inc. and changed its name to Syros Pharmaceuticals, Inc. in August 2012. Syros Pharmaceuticals, Inc. was founded in 2011 and is based in Cambridge, Massachusetts.</v>
      </c>
    </row>
    <row r="24" spans="2:27" ht="14.85" customHeight="1">
      <c r="B24" s="250" t="str">
        <f>'Comp.1'!B26</f>
        <v>Abeona Therapeutics Inc.</v>
      </c>
      <c r="D24" s="1066">
        <f>'Capital IQ Sheet-GPC'!AF27</f>
        <v>1</v>
      </c>
      <c r="E24" s="1066" t="str">
        <f>'Capital IQ Sheet-GPC'!AG27</f>
        <v>n/a</v>
      </c>
      <c r="F24" s="1066" t="str">
        <f>'Capital IQ Sheet-GPC'!AH27</f>
        <v>n/a</v>
      </c>
      <c r="G24" s="1066" t="str">
        <f>'Capital IQ Sheet-GPC'!AI27</f>
        <v>n/a</v>
      </c>
      <c r="I24" s="759">
        <f>'Capital IQ Sheet-GPC'!AJ27</f>
        <v>-12.287000000000001</v>
      </c>
      <c r="J24" s="759">
        <f>'Capital IQ Sheet-GPC'!AK27</f>
        <v>-1.1619999999999999</v>
      </c>
      <c r="K24" s="759">
        <f>'Capital IQ Sheet-GPC'!AL27</f>
        <v>-5.7530000000000001</v>
      </c>
      <c r="M24" s="1066" t="str">
        <f>IFERROR(IF(I24/'Comp.1'!H26&gt;$AA$7,"NM",IF((I24/'Comp.1'!H26)&lt;$AC$7,"NM",I24/'Comp.1'!H26)),"n/a")</f>
        <v>NM</v>
      </c>
      <c r="N24" s="1066" t="str">
        <f>IFERROR(IF(J24/'Comp.1'!I26&gt;$AA$7,"NM",IF((J24/'Comp.1'!I26)&lt;$AC$7,"NM",J24/'Comp.1'!I26)),"n/a")</f>
        <v>NM</v>
      </c>
      <c r="O24" s="1066" t="str">
        <f>IFERROR(IF(K24/'Comp.1'!J26&gt;$AA$7,"NM",IF((K24/'Comp.1'!J26)&lt;$AC$7,"NM",K24/'Comp.1'!J26)),"n/a")</f>
        <v>NM</v>
      </c>
      <c r="P24" s="331"/>
      <c r="Q24" s="759">
        <f>'Capital IQ Sheet-GPC'!AM27</f>
        <v>-1E-3</v>
      </c>
      <c r="R24" s="759">
        <f>'Capital IQ Sheet-GPC'!AN27</f>
        <v>-4.1000000000000002E-2</v>
      </c>
      <c r="S24" s="759">
        <f>'Capital IQ Sheet-GPC'!AO27</f>
        <v>-0.76800000000000002</v>
      </c>
      <c r="U24" s="1066">
        <f>IFERROR(IF(Q24/'Comp.1'!H26&gt;$AA$7,"NM",IF((Q24/'Comp.1'!H26)&lt;$AC$7,"NM",Q24/'Comp.1'!H26)),"n/a")</f>
        <v>-1.1723329425556859E-3</v>
      </c>
      <c r="V24" s="1066">
        <f>IFERROR(IF(R24/'Comp.1'!I26&gt;$AA$7,"NM",IF((R24/'Comp.1'!I26)&lt;$AC$7,"NM",R24/'Comp.1'!I26)),"n/a")</f>
        <v>-3.8715769593956569E-2</v>
      </c>
      <c r="W24" s="1066">
        <f>IFERROR(IF(S24/'Comp.1'!J26&gt;$AA$7,"NM",IF((S24/'Comp.1'!J26)&lt;$AC$7,"NM",S24/'Comp.1'!J26)),"n/a")</f>
        <v>-0.90566037735849059</v>
      </c>
      <c r="Z24" s="1177" t="str">
        <f>IF('MASTER PubCo Inputs'!B42="","",'MASTER PubCo Inputs'!B42)</f>
        <v>NasdaqCM:ABEO</v>
      </c>
      <c r="AA24" s="250" t="str">
        <f>'Comp.2'!AI26</f>
        <v>Abeona Therapeutics Inc. focuses on developing and delivering gene therapy and plasma-based products for severe and life-threatening rare diseases. The company’s lead programs are ABO-101 and ABO-102, which are adeno-associated virus -based gene therapies for Sanfilippo syndrome. It is also developing EB-201 for epidermolysis bullosa (EB); ABO-201 gene therapy for juvenile Batten disease; ABO-202 gene therapy for treatment of infantile Batten disease; ABO-301 for Fanconi anemia disorder; and ABO-302 using a novel CRISPR/Cas9-based gene editing approach to gene therapy program for rare blood diseases. In addition, the company is developing plasma-based protein therapies, including SDF Alpha, an alpha-1 protease inhibitor for inherited COPD using its proprietary salt diafiltration ethanol-free process.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The company was formerly known as PlasmaTech Biopharmaceuticals, Inc. and changed its name to Abeona Therapeutics Inc. in June 2015. Abeona Therapeutics Inc. was incorporated in 1989 and is based in Dallas, Texas.</v>
      </c>
    </row>
    <row r="25" spans="2:27" ht="14.85" customHeight="1">
      <c r="B25" s="250" t="str">
        <f>'Comp.1'!B27</f>
        <v>Idera Pharmaceuticals, Inc.</v>
      </c>
      <c r="D25" s="1066" t="str">
        <f>'Capital IQ Sheet-GPC'!AF28</f>
        <v>n/a</v>
      </c>
      <c r="E25" s="1066" t="str">
        <f>'Capital IQ Sheet-GPC'!AG28</f>
        <v>n/a</v>
      </c>
      <c r="F25" s="1066" t="str">
        <f>'Capital IQ Sheet-GPC'!AH28</f>
        <v>n/a</v>
      </c>
      <c r="G25" s="1066" t="str">
        <f>'Capital IQ Sheet-GPC'!AI28</f>
        <v>n/a</v>
      </c>
      <c r="I25" s="759">
        <f>'Capital IQ Sheet-GPC'!AJ28</f>
        <v>-5.5780000000000003</v>
      </c>
      <c r="J25" s="759">
        <f>'Capital IQ Sheet-GPC'!AK28</f>
        <v>-3.0939999999999999</v>
      </c>
      <c r="K25" s="759">
        <f>'Capital IQ Sheet-GPC'!AL28</f>
        <v>-4.1180000000000003</v>
      </c>
      <c r="M25" s="1066" t="str">
        <f>IFERROR(IF(I25/'Comp.1'!H27&gt;$AA$7,"NM",IF((I25/'Comp.1'!H27)&lt;$AC$7,"NM",I25/'Comp.1'!H27)),"n/a")</f>
        <v>NM</v>
      </c>
      <c r="N25" s="1066" t="str">
        <f>IFERROR(IF(J25/'Comp.1'!I27&gt;$AA$7,"NM",IF((J25/'Comp.1'!I27)&lt;$AC$7,"NM",J25/'Comp.1'!I27)),"n/a")</f>
        <v>NM</v>
      </c>
      <c r="O25" s="1066" t="str">
        <f>IFERROR(IF(K25/'Comp.1'!J27&gt;$AA$7,"NM",IF((K25/'Comp.1'!J27)&lt;$AC$7,"NM",K25/'Comp.1'!J27)),"n/a")</f>
        <v>NM</v>
      </c>
      <c r="P25" s="331"/>
      <c r="Q25" s="759">
        <f>'Capital IQ Sheet-GPC'!AM28</f>
        <v>-0.89600000000000002</v>
      </c>
      <c r="R25" s="759">
        <f>'Capital IQ Sheet-GPC'!AN28</f>
        <v>-0.86099999999999999</v>
      </c>
      <c r="S25" s="759">
        <f>'Capital IQ Sheet-GPC'!AO28</f>
        <v>-0.437</v>
      </c>
      <c r="U25" s="1066" t="str">
        <f>IFERROR(IF(Q25/'Comp.1'!H27&gt;$AA$7,"NM",IF((Q25/'Comp.1'!H27)&lt;$AC$7,"NM",Q25/'Comp.1'!H27)),"n/a")</f>
        <v>NM</v>
      </c>
      <c r="V25" s="1066" t="str">
        <f>IFERROR(IF(R25/'Comp.1'!I27&gt;$AA$7,"NM",IF((R25/'Comp.1'!I27)&lt;$AC$7,"NM",R25/'Comp.1'!I27)),"n/a")</f>
        <v>NM</v>
      </c>
      <c r="W25" s="1066">
        <f>IFERROR(IF(S25/'Comp.1'!J27&gt;$AA$7,"NM",IF((S25/'Comp.1'!J27)&lt;$AC$7,"NM",S25/'Comp.1'!J27)),"n/a")</f>
        <v>-0.39440433212996384</v>
      </c>
      <c r="Z25" s="1177" t="str">
        <f>IF('MASTER PubCo Inputs'!B43="","",'MASTER PubCo Inputs'!B43)</f>
        <v>NasdaqCM:IDRA</v>
      </c>
      <c r="AA25" s="250" t="str">
        <f>'Comp.2'!AI27</f>
        <v>Idera Pharmaceuticals, Inc., a clinical-stage biopharmaceutical company, focuses on the discovery, development, and commercialization of oligonucleotide therapeutics for oncology and rare diseases in the United States. It uses two drug discovery technology platforms to design and develop drug candidates, including toll-like receptor targeting technology and third-generation antisense (3GA) technology. The company’s drug candidates include IMO-2125, an agonist that is in Phase I/II clinical trials in combination with ipilimumab and pembrolizumab for the treatment of anti-PD-1 refractory metastatic melanoma and refractory solid tumors; IMO-8400, an antagonist, which is in Phase II clinical trial for the treatment of dermatomyositis. It also develops IDRA-008 for undisclosed liver target for rare disorder; 3GA compound for renal target; and IMO-9200, a drug candidate for potential use in selected autoimmune disease indications. In addition, the company is developing drug candidates to turn off the messenger RNA associated with disease causing genes. Idera Pharmaceuticals, Inc. has collaboration and license agreement with GSK to research, develop, and commercialize selected molecules from its 3GA technology for the treatment of selected targets in renal disease; collaboration with Abbott Molecular Inc. for the development of an in vitro companion diagnostic; and Merck &amp; Co to research, develop, and commercialize vaccine products. The company was founded in 1989 and is based in Cambridge, Massachusetts.</v>
      </c>
    </row>
    <row r="26" spans="2:27" ht="14.85" customHeight="1">
      <c r="B26" s="250" t="str">
        <f>'Comp.1'!B28</f>
        <v>Achillion Pharmaceuticals, Inc.</v>
      </c>
      <c r="D26" s="1066">
        <f>'Capital IQ Sheet-GPC'!AF29</f>
        <v>-0.70219300000000007</v>
      </c>
      <c r="E26" s="1066">
        <f>'Capital IQ Sheet-GPC'!AG29</f>
        <v>-1.335728</v>
      </c>
      <c r="F26" s="1066">
        <f>'Capital IQ Sheet-GPC'!AH29</f>
        <v>-1.3635519999999999</v>
      </c>
      <c r="G26" s="1066">
        <f>'Capital IQ Sheet-GPC'!AI29</f>
        <v>-1.2764709999999999</v>
      </c>
      <c r="I26" s="759">
        <f>'Capital IQ Sheet-GPC'!AJ29</f>
        <v>-8.8000000000000007</v>
      </c>
      <c r="J26" s="759">
        <f>'Capital IQ Sheet-GPC'!AK29</f>
        <v>-46.713999999999999</v>
      </c>
      <c r="K26" s="759">
        <f>'Capital IQ Sheet-GPC'!AL29</f>
        <v>-10.388999999999999</v>
      </c>
      <c r="M26" s="1066" t="str">
        <f>IFERROR(IF(I26/'Comp.1'!H28&gt;$AA$7,"NM",IF((I26/'Comp.1'!H28)&lt;$AC$7,"NM",I26/'Comp.1'!H28)),"n/a")</f>
        <v>n/a</v>
      </c>
      <c r="N26" s="1066" t="str">
        <f>IFERROR(IF(J26/'Comp.1'!I28&gt;$AA$7,"NM",IF((J26/'Comp.1'!I28)&lt;$AC$7,"NM",J26/'Comp.1'!I28)),"n/a")</f>
        <v>NM</v>
      </c>
      <c r="O26" s="1066">
        <f>IFERROR(IF(K26/'Comp.1'!J28&gt;$AA$7,"NM",IF((K26/'Comp.1'!J28)&lt;$AC$7,"NM",K26/'Comp.1'!J28)),"n/a")</f>
        <v>-0.32885948529644515</v>
      </c>
      <c r="P26" s="331"/>
      <c r="Q26" s="759">
        <f>'Capital IQ Sheet-GPC'!AM29</f>
        <v>-0.48</v>
      </c>
      <c r="R26" s="759">
        <f>'Capital IQ Sheet-GPC'!AN29</f>
        <v>-1.2410000000000001</v>
      </c>
      <c r="S26" s="759">
        <f>'Capital IQ Sheet-GPC'!AO29</f>
        <v>-1.8580000000000001</v>
      </c>
      <c r="U26" s="1066" t="str">
        <f>IFERROR(IF(Q26/'Comp.1'!H28&gt;$AA$7,"NM",IF((Q26/'Comp.1'!H28)&lt;$AC$7,"NM",Q26/'Comp.1'!H28)),"n/a")</f>
        <v>n/a</v>
      </c>
      <c r="V26" s="1066">
        <f>IFERROR(IF(R26/'Comp.1'!I28&gt;$AA$7,"NM",IF((R26/'Comp.1'!I28)&lt;$AC$7,"NM",R26/'Comp.1'!I28)),"n/a")</f>
        <v>-3.5938721728302113E-2</v>
      </c>
      <c r="W26" s="1066">
        <f>IFERROR(IF(S26/'Comp.1'!J28&gt;$AA$7,"NM",IF((S26/'Comp.1'!J28)&lt;$AC$7,"NM",S26/'Comp.1'!J28)),"n/a")</f>
        <v>-5.8814219239656865E-2</v>
      </c>
      <c r="Z26" s="1177" t="str">
        <f>IF('MASTER PubCo Inputs'!B44="","",'MASTER PubCo Inputs'!B44)</f>
        <v>NasdaqGS:ACHN</v>
      </c>
      <c r="AA26" s="250" t="str">
        <f>'Comp.2'!AI28</f>
        <v>Achillion Pharmaceuticals, Inc., a biopharmaceutical company, discovers, develops, and commercializes small molecule drug therapies for infectious diseases and immune system disorders in the United States and internationally. Its drug candidates for treating chronic hepatitis C virus (HCV) infection comprise Odalasvir, a NS5A inhibitor, which has completed Phase IIa clinical trials; ACH-3422, a NS5B nucleotide polymerase inhibitor; and Sovaprevir, a NS3 protease inhibitor that has completed Phase II clinical trial. The company is also developing ACH-4471, a complement factor D inhibitor, which is in Phase I clinical trial to treat patients with paroxysmal nocturnal hemoglobinuria and C3G, a disease resulting from alternative pathway over-activation; and other factor D inhibitors. It has a license and development agreement with Ora, Inc. for the development and commercialization of ACH-702, a drug candidate that is delivered topically or locally; and collaboration arrangement with Janssen Pharmaceuticals Inc. to develop and commercialize antiviral drug candidates for treating HCV infection. The company was founded in 1998 and is headquartered in New Haven, Connecticut.</v>
      </c>
    </row>
    <row r="27" spans="2:27" ht="14.85" customHeight="1">
      <c r="B27" s="250" t="str">
        <f>'Comp.1'!B29</f>
        <v>ContraVir Pharmaceuticals, Inc.</v>
      </c>
      <c r="D27" s="1066">
        <f>'Capital IQ Sheet-GPC'!AF30</f>
        <v>0</v>
      </c>
      <c r="E27" s="1066">
        <f>'Capital IQ Sheet-GPC'!AG30</f>
        <v>0</v>
      </c>
      <c r="F27" s="1066">
        <f>'Capital IQ Sheet-GPC'!AH30</f>
        <v>0</v>
      </c>
      <c r="G27" s="1066">
        <f>'Capital IQ Sheet-GPC'!AI30</f>
        <v>0</v>
      </c>
      <c r="I27" s="759">
        <f>'Capital IQ Sheet-GPC'!AJ30</f>
        <v>-0.30668000000000001</v>
      </c>
      <c r="J27" s="759">
        <f>'Capital IQ Sheet-GPC'!AK30</f>
        <v>-3.28626</v>
      </c>
      <c r="K27" s="759">
        <f>'Capital IQ Sheet-GPC'!AL30</f>
        <v>-4.5768500000000003</v>
      </c>
      <c r="M27" s="1066" t="str">
        <f>IFERROR(IF(I27/'Comp.1'!H29&gt;$AA$7,"NM",IF((I27/'Comp.1'!H29)&lt;$AC$7,"NM",I27/'Comp.1'!H29)),"n/a")</f>
        <v>n/a</v>
      </c>
      <c r="N27" s="1066" t="str">
        <f>IFERROR(IF(J27/'Comp.1'!I29&gt;$AA$7,"NM",IF((J27/'Comp.1'!I29)&lt;$AC$7,"NM",J27/'Comp.1'!I29)),"n/a")</f>
        <v>n/a</v>
      </c>
      <c r="O27" s="1066" t="str">
        <f>IFERROR(IF(K27/'Comp.1'!J29&gt;$AA$7,"NM",IF((K27/'Comp.1'!J29)&lt;$AC$7,"NM",K27/'Comp.1'!J29)),"n/a")</f>
        <v>n/a</v>
      </c>
      <c r="P27" s="331"/>
      <c r="Q27" s="759">
        <f>'Capital IQ Sheet-GPC'!AM30</f>
        <v>-5.9639999999999999E-2</v>
      </c>
      <c r="R27" s="759">
        <f>'Capital IQ Sheet-GPC'!AN30</f>
        <v>-4.6080000000000003E-2</v>
      </c>
      <c r="S27" s="759">
        <f>'Capital IQ Sheet-GPC'!AO30</f>
        <v>0</v>
      </c>
      <c r="U27" s="1066" t="str">
        <f>IFERROR(IF(Q27/'Comp.1'!H29&gt;$AA$7,"NM",IF((Q27/'Comp.1'!H29)&lt;$AC$7,"NM",Q27/'Comp.1'!H29)),"n/a")</f>
        <v>n/a</v>
      </c>
      <c r="V27" s="1066" t="str">
        <f>IFERROR(IF(R27/'Comp.1'!I29&gt;$AA$7,"NM",IF((R27/'Comp.1'!I29)&lt;$AC$7,"NM",R27/'Comp.1'!I29)),"n/a")</f>
        <v>n/a</v>
      </c>
      <c r="W27" s="1066" t="str">
        <f>IFERROR(IF(S27/'Comp.1'!J29&gt;$AA$7,"NM",IF((S27/'Comp.1'!J29)&lt;$AC$7,"NM",S27/'Comp.1'!J29)),"n/a")</f>
        <v>n/a</v>
      </c>
      <c r="Z27" s="1177" t="str">
        <f>IF('MASTER PubCo Inputs'!B45="","",'MASTER PubCo Inputs'!B45)</f>
        <v>NasdaqCM:CTRV</v>
      </c>
      <c r="AA27" s="250" t="str">
        <f>'Comp.2'!AI29</f>
        <v>ContraVir Pharmaceuticals, Inc. operates as a biopharmaceutical company focused on the development of antiviral drugs with a primary emphasis on the treatment of Hepatitis B virus (HBV) infections. The company is developing CMX157 and CRV431 to treat HBV infection; and FV-100, an orally available, small molecule compound for the prevention of post-herpetic neuralgia, and treatment of herpes zoster infection and acute zoster-associated pain. ContraVir Pharmaceuticals, Inc. was founded in 2013 and is headquartered in Edison, New Jersey.</v>
      </c>
    </row>
    <row r="28" spans="2:27" ht="14.85" customHeight="1">
      <c r="B28" s="250" t="str">
        <f>'Comp.1'!B30</f>
        <v>Sangamo Therapeutics, Inc.</v>
      </c>
      <c r="D28" s="1066">
        <f>'Capital IQ Sheet-GPC'!AF31</f>
        <v>-2.6534609999999996</v>
      </c>
      <c r="E28" s="1066" t="str">
        <f>'Capital IQ Sheet-GPC'!AG31</f>
        <v>n/a</v>
      </c>
      <c r="F28" s="1066" t="str">
        <f>'Capital IQ Sheet-GPC'!AH31</f>
        <v>n/a</v>
      </c>
      <c r="G28" s="1066" t="str">
        <f>'Capital IQ Sheet-GPC'!AI31</f>
        <v>n/a</v>
      </c>
      <c r="I28" s="759">
        <f>'Capital IQ Sheet-GPC'!AJ31</f>
        <v>-8.7490000000000006</v>
      </c>
      <c r="J28" s="759">
        <f>'Capital IQ Sheet-GPC'!AK31</f>
        <v>-13.773999999999999</v>
      </c>
      <c r="K28" s="759">
        <f>'Capital IQ Sheet-GPC'!AL31</f>
        <v>-10.603999999999999</v>
      </c>
      <c r="M28" s="1066">
        <f>IFERROR(IF(I28/'Comp.1'!H30&gt;$AA$7,"NM",IF((I28/'Comp.1'!H30)&lt;$AC$7,"NM",I28/'Comp.1'!H30)),"n/a")</f>
        <v>-0.2315346547754519</v>
      </c>
      <c r="N28" s="1066">
        <f>IFERROR(IF(J28/'Comp.1'!I30&gt;$AA$7,"NM",IF((J28/'Comp.1'!I30)&lt;$AC$7,"NM",J28/'Comp.1'!I30)),"n/a")</f>
        <v>-0.30359268238924397</v>
      </c>
      <c r="O28" s="1066">
        <f>IFERROR(IF(K28/'Comp.1'!J30&gt;$AA$7,"NM",IF((K28/'Comp.1'!J30)&lt;$AC$7,"NM",K28/'Comp.1'!J30)),"n/a")</f>
        <v>-0.54135184807024705</v>
      </c>
      <c r="P28" s="331"/>
      <c r="Q28" s="759">
        <f>'Capital IQ Sheet-GPC'!AM31</f>
        <v>-0.59599999999999997</v>
      </c>
      <c r="R28" s="759">
        <f>'Capital IQ Sheet-GPC'!AN31</f>
        <v>-2.3889999999999998</v>
      </c>
      <c r="S28" s="759">
        <f>'Capital IQ Sheet-GPC'!AO31</f>
        <v>-0.59299999999999997</v>
      </c>
      <c r="U28" s="1066">
        <f>IFERROR(IF(Q28/'Comp.1'!H30&gt;$AA$7,"NM",IF((Q28/'Comp.1'!H30)&lt;$AC$7,"NM",Q28/'Comp.1'!H30)),"n/a")</f>
        <v>-1.5772620213300871E-2</v>
      </c>
      <c r="V28" s="1066">
        <f>IFERROR(IF(R28/'Comp.1'!I30&gt;$AA$7,"NM",IF((R28/'Comp.1'!I30)&lt;$AC$7,"NM",R28/'Comp.1'!I30)),"n/a")</f>
        <v>-5.2655940048490189E-2</v>
      </c>
      <c r="W28" s="1066">
        <f>IFERROR(IF(S28/'Comp.1'!J30&gt;$AA$7,"NM",IF((S28/'Comp.1'!J30)&lt;$AC$7,"NM",S28/'Comp.1'!J30)),"n/a")</f>
        <v>-3.0273636920563608E-2</v>
      </c>
      <c r="Z28" s="1177" t="str">
        <f>IF('MASTER PubCo Inputs'!B46="","",'MASTER PubCo Inputs'!B46)</f>
        <v>NasdaqGS:SGMO</v>
      </c>
      <c r="AA28" s="250" t="str">
        <f>'Comp.2'!AI30</f>
        <v>Sangamo Therapeutics, Inc., a clinical stage biopharmaceutical company, focuses on translating ground-breaking science into genomic therapies that transform patients' lives using platform technologies in genome editing, gene therapy, gene regulation, and cell therapy. The company’s proprietary zinc finger DNA-binding protein (ZFP) technology enables specific genome editing and gene regulation. The ZFPs could be engineered to make ZFP nucleases (ZFNs), proteins that could be used to specifically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Phase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proprietary preclinical programs in other LSDs; and research stage programs in certain central nervous system disorders and cancer immunotherapies. It has collaborative partnerships with Biogen Inc. to develop therapeutic genome editing products in hemoglobinopathies; and with Shire International GmbH to develop the preclinical development program in Huntington’s disease, as well as license agreement with Sigma-Aldrich Corporation to develop ZFP-based laboratory research reagents and Dow AgroSciences, LLC to modify the genomes or alter protein expression of plant cells, plants, or plant cell cultures. The company was formerly known as Sangamo BioSciences, Inc. and changed its name to Sangamo Therapeutics, Inc. in January 2017. Sangamo Therapeutics, Inc. was founded in 1995 and is headquartered in Richmond, California.</v>
      </c>
    </row>
    <row r="29" spans="2:27" ht="14.85" customHeight="1">
      <c r="B29" s="250" t="str">
        <f>'Comp.1'!B31</f>
        <v>Immune Design Corp.</v>
      </c>
      <c r="D29" s="1066">
        <f>'Capital IQ Sheet-GPC'!AF32</f>
        <v>-2.4605779999999999</v>
      </c>
      <c r="E29" s="1066" t="str">
        <f>'Capital IQ Sheet-GPC'!AG32</f>
        <v>n/a</v>
      </c>
      <c r="F29" s="1066" t="str">
        <f>'Capital IQ Sheet-GPC'!AH32</f>
        <v>n/a</v>
      </c>
      <c r="G29" s="1066" t="str">
        <f>'Capital IQ Sheet-GPC'!AI32</f>
        <v>n/a</v>
      </c>
      <c r="I29" s="759">
        <f>'Capital IQ Sheet-GPC'!AJ32</f>
        <v>-4.6360000000000001</v>
      </c>
      <c r="J29" s="759">
        <f>'Capital IQ Sheet-GPC'!AK32</f>
        <v>-1.804</v>
      </c>
      <c r="K29" s="759">
        <f>'Capital IQ Sheet-GPC'!AL32</f>
        <v>-4.335</v>
      </c>
      <c r="M29" s="1066">
        <f>IFERROR(IF(I29/'Comp.1'!H31&gt;$AA$7,"NM",IF((I29/'Comp.1'!H31)&lt;$AC$7,"NM",I29/'Comp.1'!H31)),"n/a")</f>
        <v>-0.99549065922267554</v>
      </c>
      <c r="N29" s="1066">
        <f>IFERROR(IF(J29/'Comp.1'!I31&gt;$AA$7,"NM",IF((J29/'Comp.1'!I31)&lt;$AC$7,"NM",J29/'Comp.1'!I31)),"n/a")</f>
        <v>-0.17736702389145612</v>
      </c>
      <c r="O29" s="1066">
        <f>IFERROR(IF(K29/'Comp.1'!J31&gt;$AA$7,"NM",IF((K29/'Comp.1'!J31)&lt;$AC$7,"NM",K29/'Comp.1'!J31)),"n/a")</f>
        <v>-0.35126813062150558</v>
      </c>
      <c r="P29" s="331"/>
      <c r="Q29" s="759">
        <f>'Capital IQ Sheet-GPC'!AM32</f>
        <v>-0.22800000000000001</v>
      </c>
      <c r="R29" s="759">
        <f>'Capital IQ Sheet-GPC'!AN32</f>
        <v>-0.46100000000000002</v>
      </c>
      <c r="S29" s="759">
        <f>'Capital IQ Sheet-GPC'!AO32</f>
        <v>-0.19500000000000001</v>
      </c>
      <c r="U29" s="1066">
        <f>IFERROR(IF(Q29/'Comp.1'!H31&gt;$AA$7,"NM",IF((Q29/'Comp.1'!H31)&lt;$AC$7,"NM",Q29/'Comp.1'!H31)),"n/a")</f>
        <v>-4.8958557010951261E-2</v>
      </c>
      <c r="V29" s="1066">
        <f>IFERROR(IF(R29/'Comp.1'!I31&gt;$AA$7,"NM",IF((R29/'Comp.1'!I31)&lt;$AC$7,"NM",R29/'Comp.1'!I31)),"n/a")</f>
        <v>-4.5324943466719107E-2</v>
      </c>
      <c r="W29" s="1066">
        <f>IFERROR(IF(S29/'Comp.1'!J31&gt;$AA$7,"NM",IF((S29/'Comp.1'!J31)&lt;$AC$7,"NM",S29/'Comp.1'!J31)),"n/a")</f>
        <v>-1.58009885746698E-2</v>
      </c>
      <c r="Z29" s="1177" t="str">
        <f>IF('MASTER PubCo Inputs'!B47="","",'MASTER PubCo Inputs'!B47)</f>
        <v>NasdaqGM:IMDZ</v>
      </c>
      <c r="AA29" s="250" t="str">
        <f>'Comp.2'!AI31</f>
        <v>Immune Design Corp., a clinical-stage immunotherapy company, engages in the research and development of in vivo treatments for cancer. It primarily develops oncology product candidates based on its ZVex and GLAAS product discovery platforms. The company’s products include CMB305, which is in Phase 2 trial for the treatment of NY-ESO-1 tumor antigen; LV305 that is in Phase 1 trial for the treatment of patients with relapsed or metastatic melanoma, sarcoma, ovarian cancer, or non-small cell lung cancer that express NY-ESO-1; and G100, an intratumoral immune activation product candidate for the treatment of patients with Merkel cell carcinoma and non-Hodgkin Lymphoma. In addition, its technologies are also used in the fields of infectious diseases and allergies. The company has license agreements with California Institute of Technology, University of North Carolina at Chapel Hill, TheraVectys SA, Infectious Disease Research Institute, MedImmune LLC, and Sanofi; and a collaboration agreement with Sanofi Pasteur. Immune Design Corp. was founded in 2008 and is headquartered in Seattle, Washington.</v>
      </c>
    </row>
    <row r="30" spans="2:27" ht="14.85" customHeight="1">
      <c r="B30" s="250" t="str">
        <f>'Comp.1'!B32</f>
        <v>Fate Therapeutics, Inc.</v>
      </c>
      <c r="D30" s="1066" t="str">
        <f>'Capital IQ Sheet-GPC'!AF33</f>
        <v>n/a</v>
      </c>
      <c r="E30" s="1066" t="str">
        <f>'Capital IQ Sheet-GPC'!AG33</f>
        <v>n/a</v>
      </c>
      <c r="F30" s="1066" t="str">
        <f>'Capital IQ Sheet-GPC'!AH33</f>
        <v>n/a</v>
      </c>
      <c r="G30" s="1066" t="str">
        <f>'Capital IQ Sheet-GPC'!AI33</f>
        <v>n/a</v>
      </c>
      <c r="I30" s="759">
        <f>'Capital IQ Sheet-GPC'!AJ33</f>
        <v>-3.2069999999999999</v>
      </c>
      <c r="J30" s="759">
        <f>'Capital IQ Sheet-GPC'!AK33</f>
        <v>-4.774</v>
      </c>
      <c r="K30" s="759">
        <f>'Capital IQ Sheet-GPC'!AL33</f>
        <v>-5.8730000000000002</v>
      </c>
      <c r="M30" s="1066" t="str">
        <f>IFERROR(IF(I30/'Comp.1'!H32&gt;$AA$7,"NM",IF((I30/'Comp.1'!H32)&lt;$AC$7,"NM",I30/'Comp.1'!H32)),"n/a")</f>
        <v>n/a</v>
      </c>
      <c r="N30" s="1066" t="str">
        <f>IFERROR(IF(J30/'Comp.1'!I32&gt;$AA$7,"NM",IF((J30/'Comp.1'!I32)&lt;$AC$7,"NM",J30/'Comp.1'!I32)),"n/a")</f>
        <v>NM</v>
      </c>
      <c r="O30" s="1066" t="str">
        <f>IFERROR(IF(K30/'Comp.1'!J32&gt;$AA$7,"NM",IF((K30/'Comp.1'!J32)&lt;$AC$7,"NM",K30/'Comp.1'!J32)),"n/a")</f>
        <v>NM</v>
      </c>
      <c r="P30" s="331"/>
      <c r="Q30" s="759">
        <f>'Capital IQ Sheet-GPC'!AM33</f>
        <v>-0.76100000000000001</v>
      </c>
      <c r="R30" s="759">
        <f>'Capital IQ Sheet-GPC'!AN33</f>
        <v>-1.591</v>
      </c>
      <c r="S30" s="759">
        <f>'Capital IQ Sheet-GPC'!AO33</f>
        <v>-0.59499999999999997</v>
      </c>
      <c r="U30" s="1066" t="str">
        <f>IFERROR(IF(Q30/'Comp.1'!H32&gt;$AA$7,"NM",IF((Q30/'Comp.1'!H32)&lt;$AC$7,"NM",Q30/'Comp.1'!H32)),"n/a")</f>
        <v>n/a</v>
      </c>
      <c r="V30" s="1066" t="str">
        <f>IFERROR(IF(R30/'Comp.1'!I32&gt;$AA$7,"NM",IF((R30/'Comp.1'!I32)&lt;$AC$7,"NM",R30/'Comp.1'!I32)),"n/a")</f>
        <v>NM</v>
      </c>
      <c r="W30" s="1066">
        <f>IFERROR(IF(S30/'Comp.1'!J32&gt;$AA$7,"NM",IF((S30/'Comp.1'!J32)&lt;$AC$7,"NM",S30/'Comp.1'!J32)),"n/a")</f>
        <v>-0.13367782520781848</v>
      </c>
      <c r="Z30" s="1177" t="str">
        <f>IF('MASTER PubCo Inputs'!B48="","",'MASTER PubCo Inputs'!B48)</f>
        <v>NasdaqGM:FATE</v>
      </c>
      <c r="AA30" s="250" t="str">
        <f>'Comp.2'!AI32</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engineered hnCD16 induced pluripotent stem cells (iPSC)-derived natural killer cell therapy candidates for hematologic/solid tumors; and engineered chimeric antigen receptor iPSC-derived T cell therapy product candidates for hematologic/solid tumors. The company’s immuno-regulation product candidates comprise ProTmune, an investigational programmed cellular immunotherapy for use as a next-generation allogeneic hematopoietic cell transplantation cell graft; and ToleraCyte for the treatment of autoimmune and inflammatory diseases; engineered iPSC-derived CD34+ cell therapy for immune disorders. Fate Therapeutics, Inc. has a research collaboration and license agreement with Memorial Sloan Kettering Cancer Center to develop off-the-shelf T-cell immunotherapies; and strategic research collaboration and license agreement with Juno Therapeutics, Inc. to identify small molecule modulators that enhance the function of T cells. Fate Therapeutics, Inc. was founded in 2007 and is headquartered in San Diego, California.</v>
      </c>
    </row>
    <row r="31" spans="2:27" ht="14.85" customHeight="1">
      <c r="B31" s="250" t="str">
        <f>'Comp.1'!B33</f>
        <v>Arrowhead Pharmaceuticals, Inc.</v>
      </c>
      <c r="D31" s="1066">
        <f>'Capital IQ Sheet-GPC'!AF34</f>
        <v>1</v>
      </c>
      <c r="E31" s="1066" t="str">
        <f>'Capital IQ Sheet-GPC'!AG34</f>
        <v>n/a</v>
      </c>
      <c r="F31" s="1066" t="str">
        <f>'Capital IQ Sheet-GPC'!AH34</f>
        <v>n/a</v>
      </c>
      <c r="G31" s="1066" t="str">
        <f>'Capital IQ Sheet-GPC'!AI34</f>
        <v>n/a</v>
      </c>
      <c r="I31" s="759">
        <f>'Capital IQ Sheet-GPC'!AJ34</f>
        <v>-6.7481799999999996</v>
      </c>
      <c r="J31" s="759">
        <f>'Capital IQ Sheet-GPC'!AK34</f>
        <v>-5.1615900000000003</v>
      </c>
      <c r="K31" s="759">
        <f>'Capital IQ Sheet-GPC'!AL34</f>
        <v>-9.5248500000000007</v>
      </c>
      <c r="M31" s="1066" t="str">
        <f>IFERROR(IF(I31/'Comp.1'!H33&gt;$AA$7,"NM",IF((I31/'Comp.1'!H33)&lt;$AC$7,"NM",I31/'Comp.1'!H33)),"n/a")</f>
        <v>NM</v>
      </c>
      <c r="N31" s="1066" t="str">
        <f>IFERROR(IF(J31/'Comp.1'!I33&gt;$AA$7,"NM",IF((J31/'Comp.1'!I33)&lt;$AC$7,"NM",J31/'Comp.1'!I33)),"n/a")</f>
        <v>NM</v>
      </c>
      <c r="O31" s="1066" t="str">
        <f>IFERROR(IF(K31/'Comp.1'!J33&gt;$AA$7,"NM",IF((K31/'Comp.1'!J33)&lt;$AC$7,"NM",K31/'Comp.1'!J33)),"n/a")</f>
        <v>NM</v>
      </c>
      <c r="P31" s="331"/>
      <c r="Q31" s="759">
        <f>'Capital IQ Sheet-GPC'!AM34</f>
        <v>-1.35721</v>
      </c>
      <c r="R31" s="759">
        <f>'Capital IQ Sheet-GPC'!AN34</f>
        <v>-1.60103</v>
      </c>
      <c r="S31" s="759">
        <f>'Capital IQ Sheet-GPC'!AO34</f>
        <v>-1.98271</v>
      </c>
      <c r="U31" s="1066" t="str">
        <f>IFERROR(IF(Q31/'Comp.1'!H33&gt;$AA$7,"NM",IF((Q31/'Comp.1'!H33)&lt;$AC$7,"NM",Q31/'Comp.1'!H33)),"n/a")</f>
        <v>NM</v>
      </c>
      <c r="V31" s="1066" t="str">
        <f>IFERROR(IF(R31/'Comp.1'!I33&gt;$AA$7,"NM",IF((R31/'Comp.1'!I33)&lt;$AC$7,"NM",R31/'Comp.1'!I33)),"n/a")</f>
        <v>NM</v>
      </c>
      <c r="W31" s="1066" t="str">
        <f>IFERROR(IF(S31/'Comp.1'!J33&gt;$AA$7,"NM",IF((S31/'Comp.1'!J33)&lt;$AC$7,"NM",S31/'Comp.1'!J33)),"n/a")</f>
        <v>NM</v>
      </c>
      <c r="Z31" s="1177" t="str">
        <f>IF('MASTER PubCo Inputs'!B49="","",'MASTER PubCo Inputs'!B49)</f>
        <v>NasdaqGS:ARWR</v>
      </c>
      <c r="AA31" s="250" t="str">
        <f>'Comp.2'!AI33</f>
        <v>Arrowhead Pharmaceuticals, Inc. develops novel drugs to treat intractable diseases in the United States. Its pre-clinical stage drug candidates include ARO-HBV to treat chronic hepatitis B virus infection; ARO-AAT to treat liver disease associated with alpha-1 antitrypsin deficiency; ARO-LPA to reduce production of apolipoprotein A; ARO-AMG1, which is developed against an undisclosed genetically validated cardiovascular target; and ARO-F12, a potential treatment for factor 12 mediated diseases, such as hereditary angioedema and thromboembolic disorders. The company also develops ARO-HIF2, a drug candidate for the treatment of clear cell renal cell carcinoma. Arrowhead Pharmaceuticals, Inc. has collaboration and license agreements with Amgen, Inc. The company was formerly known as Arrowhead Research Corporation and changed its name to Arrowhead Pharmaceuticals, Inc. in April 2016. Arrowhead Pharmaceuticals, Inc. was incorporated in 1989 and is headquartered in Pasadena, California.</v>
      </c>
    </row>
    <row r="32" spans="2:27" ht="14.85" customHeight="1">
      <c r="B32" s="250" t="str">
        <f>'Comp.1'!B34</f>
        <v>Regulus Therapeutics Inc.</v>
      </c>
      <c r="D32" s="1066" t="str">
        <f>'Capital IQ Sheet-GPC'!AF35</f>
        <v>n/a</v>
      </c>
      <c r="E32" s="1066" t="str">
        <f>'Capital IQ Sheet-GPC'!AG35</f>
        <v>n/a</v>
      </c>
      <c r="F32" s="1066" t="str">
        <f>'Capital IQ Sheet-GPC'!AH35</f>
        <v>n/a</v>
      </c>
      <c r="G32" s="1066" t="str">
        <f>'Capital IQ Sheet-GPC'!AI35</f>
        <v>n/a</v>
      </c>
      <c r="I32" s="759">
        <f>'Capital IQ Sheet-GPC'!AJ35</f>
        <v>-7.9349999999999996</v>
      </c>
      <c r="J32" s="759">
        <f>'Capital IQ Sheet-GPC'!AK35</f>
        <v>-8.3249999999999993</v>
      </c>
      <c r="K32" s="759">
        <f>'Capital IQ Sheet-GPC'!AL35</f>
        <v>-1.905</v>
      </c>
      <c r="M32" s="1066">
        <f>IFERROR(IF(I32/'Comp.1'!H34&gt;$AA$7,"NM",IF((I32/'Comp.1'!H34)&lt;$AC$7,"NM",I32/'Comp.1'!H34)),"n/a")</f>
        <v>-0.89117250673854442</v>
      </c>
      <c r="N32" s="1066">
        <f>IFERROR(IF(J32/'Comp.1'!I34&gt;$AA$7,"NM",IF((J32/'Comp.1'!I34)&lt;$AC$7,"NM",J32/'Comp.1'!I34)),"n/a")</f>
        <v>-0.58967275818104536</v>
      </c>
      <c r="O32" s="1066">
        <f>IFERROR(IF(K32/'Comp.1'!J34&gt;$AA$7,"NM",IF((K32/'Comp.1'!J34)&lt;$AC$7,"NM",K32/'Comp.1'!J34)),"n/a")</f>
        <v>-0.1582751744765703</v>
      </c>
      <c r="P32" s="331"/>
      <c r="Q32" s="759">
        <f>'Capital IQ Sheet-GPC'!AM35</f>
        <v>-1.3120000000000001</v>
      </c>
      <c r="R32" s="759">
        <f>'Capital IQ Sheet-GPC'!AN35</f>
        <v>-0.89900000000000002</v>
      </c>
      <c r="S32" s="759">
        <f>'Capital IQ Sheet-GPC'!AO35</f>
        <v>-1.236</v>
      </c>
      <c r="U32" s="1066">
        <f>IFERROR(IF(Q32/'Comp.1'!H34&gt;$AA$7,"NM",IF((Q32/'Comp.1'!H34)&lt;$AC$7,"NM",Q32/'Comp.1'!H34)),"n/a")</f>
        <v>-0.14734950584007189</v>
      </c>
      <c r="V32" s="1066">
        <f>IFERROR(IF(R32/'Comp.1'!I34&gt;$AA$7,"NM",IF((R32/'Comp.1'!I34)&lt;$AC$7,"NM",R32/'Comp.1'!I34)),"n/a")</f>
        <v>-6.3677574727298486E-2</v>
      </c>
      <c r="W32" s="1066">
        <f>IFERROR(IF(S32/'Comp.1'!J34&gt;$AA$7,"NM",IF((S32/'Comp.1'!J34)&lt;$AC$7,"NM",S32/'Comp.1'!J34)),"n/a")</f>
        <v>-0.10269192422731804</v>
      </c>
      <c r="Z32" s="1177" t="str">
        <f>IF('MASTER PubCo Inputs'!B50="","",'MASTER PubCo Inputs'!B50)</f>
        <v>NasdaqGM:RGLS</v>
      </c>
      <c r="AA32" s="250" t="str">
        <f>'Comp.2'!AI34</f>
        <v>Regulus Therapeutics Inc., a biopharmaceutical company, focuses on the discovery and development of drugs that target microRNAs to treat a range of diseases in the United States. The company uses its microRNA product platform to develop anti-miRs, which are chemically modified and single-stranded oligonucleotides. Its clinical development products include RG-101, a GalNAc-conjugated anti-miR targeting miR-122 to treat patients with hepatitis C virus infection; RG-012, an anti-miR targeting microRNA-21 for the treatment of Alport syndrome; RG-125, a GalNAc-conjugated anti-miR targeting microRNA-103/107 for the treatment of non-alcoholic fatty liver disease; RGLS5040, an anti-miR targeting microRNA-27 for the treatment of cholestatic disease; and RGLS4326, an anti-miR targeting microRNA-17 for the treatment of autosomal dominant polycystic kidney disease. The company has strategic alliance with AstraZeneca AB and Sanofi to discover, develop, and commercialize microRNA therapeutics; and Biogen Inc. on microRNA biomarkers for multiple sclerosis, as well as a clinical trial collaboration agreement with GSK LLC. Regulus Therapeutics Inc. was founded in 2007 and is headquartered in San Diego, California.</v>
      </c>
    </row>
    <row r="33" spans="2:27" ht="14.85" customHeight="1">
      <c r="B33" s="250" t="str">
        <f>'Comp.1'!B35</f>
        <v>CEL-SCI Corporation</v>
      </c>
      <c r="D33" s="1066" t="str">
        <f>'Capital IQ Sheet-GPC'!AF36</f>
        <v>n/a</v>
      </c>
      <c r="E33" s="1066" t="str">
        <f>'Capital IQ Sheet-GPC'!AG36</f>
        <v>n/a</v>
      </c>
      <c r="F33" s="1066" t="str">
        <f>'Capital IQ Sheet-GPC'!AH36</f>
        <v>n/a</v>
      </c>
      <c r="G33" s="1066" t="str">
        <f>'Capital IQ Sheet-GPC'!AI36</f>
        <v>n/a</v>
      </c>
      <c r="I33" s="759">
        <f>'Capital IQ Sheet-GPC'!AJ36</f>
        <v>0.84887000000000001</v>
      </c>
      <c r="J33" s="759">
        <f>'Capital IQ Sheet-GPC'!AK36</f>
        <v>-0.55613000000000001</v>
      </c>
      <c r="K33" s="759">
        <f>'Capital IQ Sheet-GPC'!AL36</f>
        <v>-1.92119</v>
      </c>
      <c r="M33" s="1066" t="str">
        <f>IFERROR(IF(I33/'Comp.1'!H35&gt;$AA$7,"NM",IF((I33/'Comp.1'!H35)&lt;$AC$7,"NM",I33/'Comp.1'!H35)),"n/a")</f>
        <v>NM</v>
      </c>
      <c r="N33" s="1066">
        <f>IFERROR(IF(J33/'Comp.1'!I35&gt;$AA$7,"NM",IF((J33/'Comp.1'!I35)&lt;$AC$7,"NM",J33/'Comp.1'!I35)),"n/a")</f>
        <v>-0.70262792166771959</v>
      </c>
      <c r="O33" s="1066" t="str">
        <f>IFERROR(IF(K33/'Comp.1'!J35&gt;$AA$7,"NM",IF((K33/'Comp.1'!J35)&lt;$AC$7,"NM",K33/'Comp.1'!J35)),"n/a")</f>
        <v>NM</v>
      </c>
      <c r="P33" s="331"/>
      <c r="Q33" s="759">
        <f>'Capital IQ Sheet-GPC'!AM36</f>
        <v>-7.553E-2</v>
      </c>
      <c r="R33" s="759">
        <f>'Capital IQ Sheet-GPC'!AN36</f>
        <v>-9.3679999999999999E-2</v>
      </c>
      <c r="S33" s="759">
        <f>'Capital IQ Sheet-GPC'!AO36</f>
        <v>-4.8189999999999997E-2</v>
      </c>
      <c r="U33" s="1066">
        <f>IFERROR(IF(Q33/'Comp.1'!H35&gt;$AA$7,"NM",IF((Q33/'Comp.1'!H35)&lt;$AC$7,"NM",Q33/'Comp.1'!H35)),"n/a")</f>
        <v>-0.35682902631454622</v>
      </c>
      <c r="V33" s="1066">
        <f>IFERROR(IF(R33/'Comp.1'!I35&gt;$AA$7,"NM",IF((R33/'Comp.1'!I35)&lt;$AC$7,"NM",R33/'Comp.1'!I35)),"n/a")</f>
        <v>-0.11835754895767531</v>
      </c>
      <c r="W33" s="1066">
        <f>IFERROR(IF(S33/'Comp.1'!J35&gt;$AA$7,"NM",IF((S33/'Comp.1'!J35)&lt;$AC$7,"NM",S33/'Comp.1'!J35)),"n/a")</f>
        <v>-0.41040708567535339</v>
      </c>
      <c r="Z33" s="1177" t="str">
        <f>IF('MASTER PubCo Inputs'!B51="","",'MASTER PubCo Inputs'!B51)</f>
        <v>AMEX:CVM</v>
      </c>
      <c r="AA33" s="250" t="str">
        <f>'Comp.2'!AI35</f>
        <v>CEL-SCI Corporation engages in the research and development of drugs and vaccines. Its lead investigational immunotherapy is Multikine, which is under pivotal phase III clinical trial for the treatment of primary head and neck cancer. The company’s Multikine is also used in a Phase I study with the Naval Medical Center, San Diego under a cooperative research and development agreement in HIV/HPV co-infected men and women with peri-anal warts. Its Ligand Epitope Antigen Presentation System, a pre-clinical patented T-cell modulation process that stimulates the human immune system to fight bacterial, viral, and parasitic infections, as well as autoimmune diseases, allergies, transplantation rejections, and cancer. The company also develops LEAPS-H1N1-DC, a product candidate for the treatment of pandemic influenza in hospitalized patients; and CEL-2000 and CEL-4000 vaccine product candidates for the treatment of rheumatoid arthritis. CEL-SCI Corporation was founded in 1983 and is headquartered in Vienna, Virginia.</v>
      </c>
    </row>
    <row r="34" spans="2:27" ht="14.85" customHeight="1">
      <c r="B34" s="250" t="str">
        <f>'Comp.1'!B36</f>
        <v>PhaseRx, Inc.</v>
      </c>
      <c r="D34" s="1066">
        <f>'Capital IQ Sheet-GPC'!AF37</f>
        <v>0</v>
      </c>
      <c r="E34" s="1066">
        <f>'Capital IQ Sheet-GPC'!AG37</f>
        <v>0</v>
      </c>
      <c r="F34" s="1066">
        <f>'Capital IQ Sheet-GPC'!AH37</f>
        <v>0</v>
      </c>
      <c r="G34" s="1066">
        <f>'Capital IQ Sheet-GPC'!AI37</f>
        <v>0</v>
      </c>
      <c r="I34" s="759">
        <f>'Capital IQ Sheet-GPC'!AJ37</f>
        <v>0</v>
      </c>
      <c r="J34" s="759">
        <f>'Capital IQ Sheet-GPC'!AK37</f>
        <v>-3.08</v>
      </c>
      <c r="K34" s="759">
        <f>'Capital IQ Sheet-GPC'!AL37</f>
        <v>-0.82499999999999996</v>
      </c>
      <c r="M34" s="1066" t="str">
        <f>IFERROR(IF(I34/'Comp.1'!H36&gt;$AA$7,"NM",IF((I34/'Comp.1'!H36)&lt;$AC$7,"NM",I34/'Comp.1'!H36)),"n/a")</f>
        <v>n/a</v>
      </c>
      <c r="N34" s="1066" t="str">
        <f>IFERROR(IF(J34/'Comp.1'!I36&gt;$AA$7,"NM",IF((J34/'Comp.1'!I36)&lt;$AC$7,"NM",J34/'Comp.1'!I36)),"n/a")</f>
        <v>NM</v>
      </c>
      <c r="O34" s="1066" t="str">
        <f>IFERROR(IF(K34/'Comp.1'!J36&gt;$AA$7,"NM",IF((K34/'Comp.1'!J36)&lt;$AC$7,"NM",K34/'Comp.1'!J36)),"n/a")</f>
        <v>n/a</v>
      </c>
      <c r="P34" s="331"/>
      <c r="Q34" s="759">
        <f>'Capital IQ Sheet-GPC'!AM37</f>
        <v>0</v>
      </c>
      <c r="R34" s="759">
        <f>'Capital IQ Sheet-GPC'!AN37</f>
        <v>-5.2999999999999999E-2</v>
      </c>
      <c r="S34" s="759">
        <f>'Capital IQ Sheet-GPC'!AO37</f>
        <v>-0.26100000000000001</v>
      </c>
      <c r="U34" s="1066" t="str">
        <f>IFERROR(IF(Q34/'Comp.1'!H36&gt;$AA$7,"NM",IF((Q34/'Comp.1'!H36)&lt;$AC$7,"NM",Q34/'Comp.1'!H36)),"n/a")</f>
        <v>n/a</v>
      </c>
      <c r="V34" s="1066">
        <f>IFERROR(IF(R34/'Comp.1'!I36&gt;$AA$7,"NM",IF((R34/'Comp.1'!I36)&lt;$AC$7,"NM",R34/'Comp.1'!I36)),"n/a")</f>
        <v>-4.4166666666666667E-2</v>
      </c>
      <c r="W34" s="1066" t="str">
        <f>IFERROR(IF(S34/'Comp.1'!J36&gt;$AA$7,"NM",IF((S34/'Comp.1'!J36)&lt;$AC$7,"NM",S34/'Comp.1'!J36)),"n/a")</f>
        <v>n/a</v>
      </c>
      <c r="Z34" s="1177" t="str">
        <f>IF('MASTER PubCo Inputs'!B52="","",'MASTER PubCo Inputs'!B52)</f>
        <v>NasdaqCM:PZRX</v>
      </c>
      <c r="AA34" s="250" t="str">
        <f>'Comp.2'!AI36</f>
        <v>PhaseRx, Inc., a biopharmaceutical company, engages in developing a portfolio of products for the treatment of inherited enzyme deficiencies in the liver using intracellular enzyme replacement therapy. The company develops its products based on its proprietary Hybrid mRNA technology platform, which allows the synthesis of missing enzyme inside the cell. Its therapeutic urea cycle disorder programs under development include PRX-OTC to treat ornithine transcarbamylase deficiency; PRX-ASL to treat argininosuccinate lyase deficiency; and PRX-ASS1 to treat argininosuccinate synthetase deficiency. The company was incorporated in 2006 and is headquartered in Seattle, Washington.</v>
      </c>
    </row>
    <row r="35" spans="2:27" ht="14.85" customHeight="1">
      <c r="B35" s="250" t="str">
        <f>'Comp.1'!B37</f>
        <v>Marina Biotech, Inc.</v>
      </c>
      <c r="D35" s="1066">
        <f>'Capital IQ Sheet-GPC'!AF38</f>
        <v>0</v>
      </c>
      <c r="E35" s="1066">
        <f>'Capital IQ Sheet-GPC'!AG38</f>
        <v>0</v>
      </c>
      <c r="F35" s="1066">
        <f>'Capital IQ Sheet-GPC'!AH38</f>
        <v>0</v>
      </c>
      <c r="G35" s="1066">
        <f>'Capital IQ Sheet-GPC'!AI38</f>
        <v>0</v>
      </c>
      <c r="I35" s="759">
        <f>'Capital IQ Sheet-GPC'!AJ38</f>
        <v>0</v>
      </c>
      <c r="J35" s="759">
        <f>'Capital IQ Sheet-GPC'!AK38</f>
        <v>0</v>
      </c>
      <c r="K35" s="759">
        <f>'Capital IQ Sheet-GPC'!AL38</f>
        <v>0</v>
      </c>
      <c r="M35" s="1066" t="str">
        <f>IFERROR(IF(I35/'Comp.1'!H37&gt;$AA$7,"NM",IF((I35/'Comp.1'!H37)&lt;$AC$7,"NM",I35/'Comp.1'!H37)),"n/a")</f>
        <v>n/a</v>
      </c>
      <c r="N35" s="1066" t="str">
        <f>IFERROR(IF(J35/'Comp.1'!I37&gt;$AA$7,"NM",IF((J35/'Comp.1'!I37)&lt;$AC$7,"NM",J35/'Comp.1'!I37)),"n/a")</f>
        <v>n/a</v>
      </c>
      <c r="O35" s="1066" t="str">
        <f>IFERROR(IF(K35/'Comp.1'!J37&gt;$AA$7,"NM",IF((K35/'Comp.1'!J37)&lt;$AC$7,"NM",K35/'Comp.1'!J37)),"n/a")</f>
        <v>n/a</v>
      </c>
      <c r="P35" s="331"/>
      <c r="Q35" s="759">
        <f>'Capital IQ Sheet-GPC'!AM38</f>
        <v>0</v>
      </c>
      <c r="R35" s="759">
        <f>'Capital IQ Sheet-GPC'!AN38</f>
        <v>0</v>
      </c>
      <c r="S35" s="759">
        <f>'Capital IQ Sheet-GPC'!AO38</f>
        <v>0</v>
      </c>
      <c r="U35" s="1066" t="str">
        <f>IFERROR(IF(Q35/'Comp.1'!H37&gt;$AA$7,"NM",IF((Q35/'Comp.1'!H37)&lt;$AC$7,"NM",Q35/'Comp.1'!H37)),"n/a")</f>
        <v>n/a</v>
      </c>
      <c r="V35" s="1066" t="str">
        <f>IFERROR(IF(R35/'Comp.1'!I37&gt;$AA$7,"NM",IF((R35/'Comp.1'!I37)&lt;$AC$7,"NM",R35/'Comp.1'!I37)),"n/a")</f>
        <v>n/a</v>
      </c>
      <c r="W35" s="1066" t="str">
        <f>IFERROR(IF(S35/'Comp.1'!J37&gt;$AA$7,"NM",IF((S35/'Comp.1'!J37)&lt;$AC$7,"NM",S35/'Comp.1'!J37)),"n/a")</f>
        <v>n/a</v>
      </c>
      <c r="Z35" s="1177" t="str">
        <f>IF('MASTER PubCo Inputs'!B53="","",'MASTER PubCo Inputs'!B53)</f>
        <v>OTCPK:MRNA</v>
      </c>
      <c r="AA35" s="250" t="str">
        <f>'Comp.2'!AI37</f>
        <v>Marina Biotech, Inc., a biopharmaceutical company, engages in the discovery, acquisition, development, and commercialization of proprietary drug therapeutics for addressing unmet medical needs in the United States, Europe, and internationally. The company has three clinical development programs, such as IT-102 and IT-103, a celecoxib program drug candidates for the treatment of combined arthritis pain/hypertension and the treatment of pain requiring a high dose of celecoxib; CEQ508, an oral delivery of small interfering RNA against beta-catenin, combined with IT-102 to suppress polyps in the precancerous syndrome and orphan indication of familial adenomatous polyposis; and CEQ508 combined with IT-103 to treat colorectal cancer. Its preclinical pipeline includes oligotherapeutics for the treatment of bladder cancer, inflammatory bowel, and duchenne muscular dystrophy diseases. The company is based in City of Industry, California.</v>
      </c>
    </row>
    <row r="36" spans="2:27" ht="14.85" customHeight="1">
      <c r="B36" s="250" t="str">
        <f>'Comp.1'!B38</f>
        <v>RXi Pharmaceuticals Corporation</v>
      </c>
      <c r="D36" s="1066" t="str">
        <f>'Capital IQ Sheet-GPC'!AF39</f>
        <v>n/a</v>
      </c>
      <c r="E36" s="1066" t="str">
        <f>'Capital IQ Sheet-GPC'!AG39</f>
        <v>n/a</v>
      </c>
      <c r="F36" s="1066" t="str">
        <f>'Capital IQ Sheet-GPC'!AH39</f>
        <v>n/a</v>
      </c>
      <c r="G36" s="1066" t="str">
        <f>'Capital IQ Sheet-GPC'!AI39</f>
        <v>n/a</v>
      </c>
      <c r="I36" s="759">
        <f>'Capital IQ Sheet-GPC'!AJ39</f>
        <v>-0.59599999999999997</v>
      </c>
      <c r="J36" s="759">
        <f>'Capital IQ Sheet-GPC'!AK39</f>
        <v>-1.1830000000000001</v>
      </c>
      <c r="K36" s="759">
        <f>'Capital IQ Sheet-GPC'!AL39</f>
        <v>-1.494</v>
      </c>
      <c r="M36" s="1066" t="str">
        <f>IFERROR(IF(I36/'Comp.1'!H38&gt;$AA$7,"NM",IF((I36/'Comp.1'!H38)&lt;$AC$7,"NM",I36/'Comp.1'!H38)),"n/a")</f>
        <v>NM</v>
      </c>
      <c r="N36" s="1066" t="str">
        <f>IFERROR(IF(J36/'Comp.1'!I38&gt;$AA$7,"NM",IF((J36/'Comp.1'!I38)&lt;$AC$7,"NM",J36/'Comp.1'!I38)),"n/a")</f>
        <v>NM</v>
      </c>
      <c r="O36" s="1066" t="str">
        <f>IFERROR(IF(K36/'Comp.1'!J38&gt;$AA$7,"NM",IF((K36/'Comp.1'!J38)&lt;$AC$7,"NM",K36/'Comp.1'!J38)),"n/a")</f>
        <v>NM</v>
      </c>
      <c r="P36" s="331"/>
      <c r="Q36" s="759">
        <f>'Capital IQ Sheet-GPC'!AM39</f>
        <v>-0.154</v>
      </c>
      <c r="R36" s="759">
        <f>'Capital IQ Sheet-GPC'!AN39</f>
        <v>-4.8000000000000001E-2</v>
      </c>
      <c r="S36" s="759">
        <f>'Capital IQ Sheet-GPC'!AO39</f>
        <v>-0.02</v>
      </c>
      <c r="U36" s="1066" t="str">
        <f>IFERROR(IF(Q36/'Comp.1'!H38&gt;$AA$7,"NM",IF((Q36/'Comp.1'!H38)&lt;$AC$7,"NM",Q36/'Comp.1'!H38)),"n/a")</f>
        <v>NM</v>
      </c>
      <c r="V36" s="1066">
        <f>IFERROR(IF(R36/'Comp.1'!I38&gt;$AA$7,"NM",IF((R36/'Comp.1'!I38)&lt;$AC$7,"NM",R36/'Comp.1'!I38)),"n/a")</f>
        <v>-1</v>
      </c>
      <c r="W36" s="1066" t="str">
        <f>IFERROR(IF(S36/'Comp.1'!J38&gt;$AA$7,"NM",IF((S36/'Comp.1'!J38)&lt;$AC$7,"NM",S36/'Comp.1'!J38)),"n/a")</f>
        <v>NM</v>
      </c>
      <c r="Z36" s="1177" t="str">
        <f>IF('MASTER PubCo Inputs'!B54="","",'MASTER PubCo Inputs'!B54)</f>
        <v>NasdaqCM:RXII</v>
      </c>
      <c r="AA36" s="250" t="str">
        <f>'Comp.2'!AI38</f>
        <v>RXi Pharmaceuticals Corporation, a clinical-stage company, focuses on developing therapeutics for unmet medical needs. It develops therapies based on its self-delivering RNAi (sd-rxRNA) platform; and Samcyprone topical immunomodulatory. The company’s clinical development programs include RXI-109, an sd-rxRNA compound, which is in Phase II clinical trial for preventing or reducing dermal scarring following scar revision surgery of an existing hypertrophic scar; and in Phase I/II clinical trial for treating retinal scarring, as well as in discovery stage for the treatment of corneal scarring. Its clinical development programs also comprise RXI-231, an sd-rxRNA compound targeting tyrosinase, which is in development stage as a cosmetic ingredient for treating uneven skin tone and pigmentation; and RXI-185, an sd-rxRNA compound targeting collagenase that is in development stage as a cosmetic ingredient for treating wrinkles and skin laxity. The company is also developing Samcyprone, a formulation of the small molecule diphenylcyclopropenone, which is in Phase IIa clinical trial for the clearance of common warts. In addition, it is developing cell-based cancer immunotherapies. RXi Pharmaceuticals Corporation was incorporated in 2011 and is headquartered in Marlborough, Massachusetts.</v>
      </c>
    </row>
    <row r="37" spans="2:27" ht="14.85" customHeight="1">
      <c r="B37" s="250" t="str">
        <f>'Comp.1'!B39</f>
        <v>Benitec Biopharma Limited</v>
      </c>
      <c r="D37" s="1066">
        <f>'Capital IQ Sheet-GPC'!AF40</f>
        <v>0.98323700000000003</v>
      </c>
      <c r="E37" s="1066">
        <f>'Capital IQ Sheet-GPC'!AG40</f>
        <v>-1.1961470000000001</v>
      </c>
      <c r="F37" s="1066">
        <f>'Capital IQ Sheet-GPC'!AH40</f>
        <v>-1.231546</v>
      </c>
      <c r="G37" s="1066">
        <f>'Capital IQ Sheet-GPC'!AI40</f>
        <v>-1.5975010000000001</v>
      </c>
      <c r="I37" s="759">
        <f>'Capital IQ Sheet-GPC'!AJ40</f>
        <v>2.0745800000000001</v>
      </c>
      <c r="J37" s="759">
        <f>'Capital IQ Sheet-GPC'!AK40</f>
        <v>0</v>
      </c>
      <c r="K37" s="759">
        <f>'Capital IQ Sheet-GPC'!AL40</f>
        <v>4.5115600000000002</v>
      </c>
      <c r="M37" s="1066" t="str">
        <f>IFERROR(IF(I37/'Comp.1'!H39&gt;$AA$7,"NM",IF((I37/'Comp.1'!H39)&lt;$AC$7,"NM",I37/'Comp.1'!H39)),"n/a")</f>
        <v>NM</v>
      </c>
      <c r="N37" s="1066">
        <f>IFERROR(IF(J37/'Comp.1'!I39&gt;$AA$7,"NM",IF((J37/'Comp.1'!I39)&lt;$AC$7,"NM",J37/'Comp.1'!I39)),"n/a")</f>
        <v>0</v>
      </c>
      <c r="O37" s="1066">
        <f>IFERROR(IF(K37/'Comp.1'!J39&gt;$AA$7,"NM",IF((K37/'Comp.1'!J39)&lt;$AC$7,"NM",K37/'Comp.1'!J39)),"n/a")</f>
        <v>0.61280634816282797</v>
      </c>
      <c r="P37" s="331"/>
      <c r="Q37" s="759">
        <f>'Capital IQ Sheet-GPC'!AM40</f>
        <v>-0.20032</v>
      </c>
      <c r="R37" s="759">
        <f>'Capital IQ Sheet-GPC'!AN40</f>
        <v>-0.25659999999999999</v>
      </c>
      <c r="S37" s="759">
        <f>'Capital IQ Sheet-GPC'!AO40</f>
        <v>-0.22534999999999999</v>
      </c>
      <c r="U37" s="1066">
        <f>IFERROR(IF(Q37/'Comp.1'!H39&gt;$AA$7,"NM",IF((Q37/'Comp.1'!H39)&lt;$AC$7,"NM",Q37/'Comp.1'!H39)),"n/a")</f>
        <v>-0.14479324028363053</v>
      </c>
      <c r="V37" s="1066">
        <f>IFERROR(IF(R37/'Comp.1'!I39&gt;$AA$7,"NM",IF((R37/'Comp.1'!I39)&lt;$AC$7,"NM",R37/'Comp.1'!I39)),"n/a")</f>
        <v>-0.11042210852005974</v>
      </c>
      <c r="W37" s="1066">
        <f>IFERROR(IF(S37/'Comp.1'!J39&gt;$AA$7,"NM",IF((S37/'Comp.1'!J39)&lt;$AC$7,"NM",S37/'Comp.1'!J39)),"n/a")</f>
        <v>-3.0609348109854079E-2</v>
      </c>
      <c r="Z37" s="1177" t="str">
        <f>IF('MASTER PubCo Inputs'!B55="","",'MASTER PubCo Inputs'!B55)</f>
        <v>ASX:BLT</v>
      </c>
      <c r="AA37" s="250" t="str">
        <f>'Comp.2'!AI39</f>
        <v>Benitec Biopharma Limited, a biotechnology company, develops treatments for chronic and life-threatening human diseases based on its gene silencing therapy, DNA-directed RNA interference (ddRNAi) in Australia, the United Kingdom, and the United States. Its in-house development programs include TT-034, which is in Phase I/IIa clinical trials for the treatment of hepatitis C; BB-HB-331 for the treatment of the hepatitis B virus; and ddRNAi-based therapies, such as BB-AMD-211 and BB-AMD-233 for the treatment of wet age-related macular degeneration (AMD), as well as BB-AMD-231 for the treatment of wet and dry AMD. The company also engages in developing a ddRNAi-based gene therapy for the treatment of oculopharyngeal muscular dystrophy, an autosomal-dominant inherited, slow-progressing, and late-onset degenerative muscle disorder that occurs at the age of 40 or 50 years in patients. In addition, it licenses its ddRNAi technology to other biopharmaceutical companies for the progress of HIV/AIDS, retinitis pigmentosa, cancer immunotherapy, Huntington’s disease, and neuropathic pain programs. The company has a strategic partnership with Nant Capital, LLC for a scientific collaboration in clinical programs; and a research collaboration agreement with Nant Capital LLC for the clinical development of BB-401, a recombinant DNA construct that produces an antisense RNA with specificity against epidermal growth factor receptor. Benitec Biopharma Limited was founded in 1995 and is headquartered in North Sydney, Australia.</v>
      </c>
    </row>
    <row r="38" spans="2:27" ht="14.85" customHeight="1">
      <c r="B38" s="250" t="str">
        <f>'Comp.1'!B40</f>
        <v>GenVec, Inc.</v>
      </c>
      <c r="D38" s="1066">
        <f>'Capital IQ Sheet-GPC'!AF41</f>
        <v>-2.6209550000000004</v>
      </c>
      <c r="E38" s="1066" t="str">
        <f>'Capital IQ Sheet-GPC'!AG41</f>
        <v>n/a</v>
      </c>
      <c r="F38" s="1066" t="str">
        <f>'Capital IQ Sheet-GPC'!AH41</f>
        <v>n/a</v>
      </c>
      <c r="G38" s="1066" t="str">
        <f>'Capital IQ Sheet-GPC'!AI41</f>
        <v>n/a</v>
      </c>
      <c r="I38" s="759">
        <f>'Capital IQ Sheet-GPC'!AJ41</f>
        <v>-1.6259999999999999</v>
      </c>
      <c r="J38" s="759">
        <f>'Capital IQ Sheet-GPC'!AK41</f>
        <v>-1.091</v>
      </c>
      <c r="K38" s="759">
        <f>'Capital IQ Sheet-GPC'!AL41</f>
        <v>-0.94599999999999995</v>
      </c>
      <c r="M38" s="1066">
        <f>IFERROR(IF(I38/'Comp.1'!H40&gt;$AA$7,"NM",IF((I38/'Comp.1'!H40)&lt;$AC$7,"NM",I38/'Comp.1'!H40)),"n/a")</f>
        <v>-0.61196838539706433</v>
      </c>
      <c r="N38" s="1066">
        <f>IFERROR(IF(J38/'Comp.1'!I40&gt;$AA$7,"NM",IF((J38/'Comp.1'!I40)&lt;$AC$7,"NM",J38/'Comp.1'!I40)),"n/a")</f>
        <v>-0.25646450399623888</v>
      </c>
      <c r="O38" s="1066" t="str">
        <f>IFERROR(IF(K38/'Comp.1'!J40&gt;$AA$7,"NM",IF((K38/'Comp.1'!J40)&lt;$AC$7,"NM",K38/'Comp.1'!J40)),"n/a")</f>
        <v>NM</v>
      </c>
      <c r="P38" s="331"/>
      <c r="Q38" s="759">
        <f>'Capital IQ Sheet-GPC'!AM41</f>
        <v>-5.1999999999999998E-2</v>
      </c>
      <c r="R38" s="759">
        <f>'Capital IQ Sheet-GPC'!AN41</f>
        <v>-4.9000000000000002E-2</v>
      </c>
      <c r="S38" s="759">
        <f>'Capital IQ Sheet-GPC'!AO41</f>
        <v>-7.6999999999999999E-2</v>
      </c>
      <c r="U38" s="1066">
        <f>IFERROR(IF(Q38/'Comp.1'!H40&gt;$AA$7,"NM",IF((Q38/'Comp.1'!H40)&lt;$AC$7,"NM",Q38/'Comp.1'!H40)),"n/a")</f>
        <v>-1.9570944674444861E-2</v>
      </c>
      <c r="V38" s="1066">
        <f>IFERROR(IF(R38/'Comp.1'!I40&gt;$AA$7,"NM",IF((R38/'Comp.1'!I40)&lt;$AC$7,"NM",R38/'Comp.1'!I40)),"n/a")</f>
        <v>-1.1518570756934651E-2</v>
      </c>
      <c r="W38" s="1066">
        <f>IFERROR(IF(S38/'Comp.1'!J40&gt;$AA$7,"NM",IF((S38/'Comp.1'!J40)&lt;$AC$7,"NM",S38/'Comp.1'!J40)),"n/a")</f>
        <v>-0.11864406779661016</v>
      </c>
      <c r="Z38" s="1177" t="str">
        <f>IF('MASTER PubCo Inputs'!B56="","",'MASTER PubCo Inputs'!B56)</f>
        <v>NasdaqCM:GNVC</v>
      </c>
      <c r="AA38" s="250" t="str">
        <f>'Comp.2'!AI40</f>
        <v>GenVec, Inc., a clinical-stage biopharmaceutical company, focuses on developing a pipeline of therapeutics and vaccines through its proprietary AdenoVerse gene delivery platform in the United States. It designs, tests, and manufactures adenoviral-based product candidates. The company’s lead product candidate is CGF166, which is in Phase I/II clinical trial for the treatment of hearing loss and balance disorders. It is also developing GV2311 vaccine for respiratory syncytial virus; and GV2207 vaccine for the treatment of herpes simplex virus. The company has a collaboration agreement with Novartis AG to develop CGF166. It also has collaboration agreement with TheraBiologics, Inc. to develop cancer therapeutics; National Institute of Allergy and Infectious Diseases to generate vaccine candidates for the prevention of malaria; Laboratory of Malaria Immunology and Vaccinology to create and test various malaria vaccine candidates; and Merial to develop and commercialize vaccine and anti-viral candidates for the prevention and containment of foot-and-mouth diseases in livestock and other animals. The company was founded in 1992 and is based in Gaithersburg, Maryland.</v>
      </c>
    </row>
    <row r="39" spans="2:27" ht="14.85" customHeight="1">
      <c r="B39" s="250" t="str">
        <f>'Comp.1'!B41</f>
        <v>Arbutus Biopharma Corporation</v>
      </c>
      <c r="D39" s="1066">
        <f>'Capital IQ Sheet-GPC'!AF42</f>
        <v>-2.6877949999999999</v>
      </c>
      <c r="E39" s="1066" t="str">
        <f>'Capital IQ Sheet-GPC'!AG42</f>
        <v>n/a</v>
      </c>
      <c r="F39" s="1066" t="str">
        <f>'Capital IQ Sheet-GPC'!AH42</f>
        <v>n/a</v>
      </c>
      <c r="G39" s="1066" t="str">
        <f>'Capital IQ Sheet-GPC'!AI42</f>
        <v>n/a</v>
      </c>
      <c r="I39" s="759">
        <f>'Capital IQ Sheet-GPC'!AJ42</f>
        <v>-16.507999999999999</v>
      </c>
      <c r="J39" s="759">
        <f>'Capital IQ Sheet-GPC'!AK42</f>
        <v>-9.8989999999999991</v>
      </c>
      <c r="K39" s="759">
        <f>'Capital IQ Sheet-GPC'!AL42</f>
        <v>-6.2619999999999996</v>
      </c>
      <c r="M39" s="1066">
        <f>IFERROR(IF(I39/'Comp.1'!H41&gt;$AA$7,"NM",IF((I39/'Comp.1'!H41)&lt;$AC$7,"NM",I39/'Comp.1'!H41)),"n/a")</f>
        <v>-0.91053502482073911</v>
      </c>
      <c r="N39" s="1066">
        <f>IFERROR(IF(J39/'Comp.1'!I41&gt;$AA$7,"NM",IF((J39/'Comp.1'!I41)&lt;$AC$7,"NM",J39/'Comp.1'!I41)),"n/a")</f>
        <v>-0.59859708532381928</v>
      </c>
      <c r="O39" s="1066">
        <f>IFERROR(IF(K39/'Comp.1'!J41&gt;$AA$7,"NM",IF((K39/'Comp.1'!J41)&lt;$AC$7,"NM",K39/'Comp.1'!J41)),"n/a")</f>
        <v>-0.43570832173671026</v>
      </c>
      <c r="P39" s="331"/>
      <c r="Q39" s="759">
        <f>'Capital IQ Sheet-GPC'!AM42</f>
        <v>-0.92700000000000005</v>
      </c>
      <c r="R39" s="759">
        <f>'Capital IQ Sheet-GPC'!AN42</f>
        <v>-1.4359999999999999</v>
      </c>
      <c r="S39" s="759">
        <f>'Capital IQ Sheet-GPC'!AO42</f>
        <v>-2.5710000000000002</v>
      </c>
      <c r="U39" s="1066">
        <f>IFERROR(IF(Q39/'Comp.1'!H41&gt;$AA$7,"NM",IF((Q39/'Comp.1'!H41)&lt;$AC$7,"NM",Q39/'Comp.1'!H41)),"n/a")</f>
        <v>-5.1130722559293997E-2</v>
      </c>
      <c r="V39" s="1066">
        <f>IFERROR(IF(R39/'Comp.1'!I41&gt;$AA$7,"NM",IF((R39/'Comp.1'!I41)&lt;$AC$7,"NM",R39/'Comp.1'!I41)),"n/a")</f>
        <v>-8.6835580818770033E-2</v>
      </c>
      <c r="W39" s="1066">
        <f>IFERROR(IF(S39/'Comp.1'!J41&gt;$AA$7,"NM",IF((S39/'Comp.1'!J41)&lt;$AC$7,"NM",S39/'Comp.1'!J41)),"n/a")</f>
        <v>-0.17888950737545228</v>
      </c>
      <c r="Z39" s="1177" t="str">
        <f>IF('MASTER PubCo Inputs'!B57="","",'MASTER PubCo Inputs'!B57)</f>
        <v>NasdaqGS:ABUS</v>
      </c>
      <c r="AA39" s="250" t="str">
        <f>'Comp.2'!AI41</f>
        <v>Arbutus Biopharma Corporation, a biopharmaceutical company, engages in discovering, developing, and commercializing a cure for patients suffering from chronic Hepatitis B virus (HBV) infection in Canada and the United States. It also develops a pipeline of products based on RNA interference therapeutics (RNAi). The company’s lead candidate is ARB-1467, which is in a Phase II trial to eliminate HBV surface antigen expression in patients chronically infected with HBV. Its product candidates also comprise ARB-1740, a pan-genotypic second-generation siRNA therapeutic in Phase II multi-dose study in Hepatitis B e antigen-chronic HBV patients; and AB-423, a core protein/capsid assembly inhibitor in Phase I clinical trial as an oral therapeutic for the treatment of chronic HBV infection. In addition, the company has various research programs for the discovery and development of proprietary HBV candidates, including oral surface antigen inhibitors, cccDNA targeting agents, and immunomodulators. Further, its partnered programs consist of Patisiran (ALN-TTR02), an RNAi therapeutic targeting transthyretin (TTR) in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DCR-PH1 for the treatment of primary hyperoxaluria type 1. The company was formerly known as Tekmira Pharmaceuticals Corporation and changed its name to Arbutus Biopharma Corporation in July 2015. Arbutus Biopharma Corporation is headquartered in Burnaby, Canada.</v>
      </c>
    </row>
    <row r="40" spans="2:27" ht="14.85" customHeight="1">
      <c r="I40" s="331"/>
      <c r="J40" s="331"/>
      <c r="K40" s="331"/>
      <c r="M40" s="331"/>
      <c r="N40" s="331"/>
      <c r="O40" s="331"/>
      <c r="P40" s="331"/>
    </row>
    <row r="41" spans="2:27" ht="14.85" customHeight="1">
      <c r="B41" s="1181" t="s">
        <v>111</v>
      </c>
      <c r="C41" s="1182"/>
      <c r="D41" s="1326">
        <f>MAX(D10:D40)</f>
        <v>1</v>
      </c>
      <c r="E41" s="1326">
        <f>MAX(E10:E40)</f>
        <v>0.43435699999999999</v>
      </c>
      <c r="F41" s="1326">
        <f>MAX(F10:F40)</f>
        <v>0.41866300000000001</v>
      </c>
      <c r="G41" s="1326">
        <f>MAX(G10:G40)</f>
        <v>0.325901</v>
      </c>
      <c r="H41" s="1182"/>
      <c r="I41" s="1184">
        <f>MAX(I10:I40)</f>
        <v>11.523</v>
      </c>
      <c r="J41" s="1184">
        <f>MAX(J10:J40)</f>
        <v>11.042</v>
      </c>
      <c r="K41" s="1185">
        <f>MAX(K10:K40)</f>
        <v>13.827</v>
      </c>
      <c r="L41" s="1182"/>
      <c r="M41" s="1326">
        <f>MAX(M10:M40)</f>
        <v>0.24805717607043676</v>
      </c>
      <c r="N41" s="1326">
        <f>MAX(N10:N40)</f>
        <v>7.4057182715072334E-2</v>
      </c>
      <c r="O41" s="1326">
        <f>MAX(O10:O40)</f>
        <v>0.61280634816282797</v>
      </c>
      <c r="P41" s="1184"/>
      <c r="Q41" s="1184">
        <f>MAX(Q10:Q40)</f>
        <v>0</v>
      </c>
      <c r="R41" s="1184">
        <f>MAX(R10:R40)</f>
        <v>0</v>
      </c>
      <c r="S41" s="1184">
        <f>MAX(S10:S40)</f>
        <v>0</v>
      </c>
      <c r="T41" s="1182"/>
      <c r="U41" s="1326">
        <f>MAX(U10:U40)</f>
        <v>0</v>
      </c>
      <c r="V41" s="1326">
        <f>MAX(V10:V40)</f>
        <v>-8.3232171481076589E-3</v>
      </c>
      <c r="W41" s="1327">
        <f>MAX(W10:W40)</f>
        <v>-1.58009885746698E-2</v>
      </c>
    </row>
    <row r="42" spans="2:27" ht="14.85" customHeight="1">
      <c r="B42" s="1187" t="s">
        <v>115</v>
      </c>
      <c r="C42" s="1188"/>
      <c r="D42" s="1328">
        <f>QUARTILE(D10:D40,3)</f>
        <v>1</v>
      </c>
      <c r="E42" s="1328">
        <f>QUARTILE(E10:E40,3)</f>
        <v>0</v>
      </c>
      <c r="F42" s="1328">
        <f>QUARTILE(F10:F40,3)</f>
        <v>0</v>
      </c>
      <c r="G42" s="1328">
        <f>QUARTILE(G10:G40,3)</f>
        <v>0</v>
      </c>
      <c r="H42" s="1188"/>
      <c r="I42" s="1190">
        <f>QUARTILE(I10:I40,3)</f>
        <v>0</v>
      </c>
      <c r="J42" s="1190">
        <f>QUARTILE(J10:J40,3)</f>
        <v>-1.5130175000000001</v>
      </c>
      <c r="K42" s="1191">
        <f>QUARTILE(K10:K40,3)</f>
        <v>-1.6619325</v>
      </c>
      <c r="L42" s="1188"/>
      <c r="M42" s="1328">
        <f>QUARTILE(M10:M40,3)</f>
        <v>-0.41643467404378909</v>
      </c>
      <c r="N42" s="1328">
        <f>QUARTILE(N10:N40,3)</f>
        <v>-0.14517050945796095</v>
      </c>
      <c r="O42" s="1328">
        <f>QUARTILE(O10:O40,3)</f>
        <v>-0.1582751744765703</v>
      </c>
      <c r="P42" s="1190"/>
      <c r="Q42" s="1190">
        <f>QUARTILE(Q10:Q40,3)</f>
        <v>-1.5E-3</v>
      </c>
      <c r="R42" s="1190">
        <f>QUARTILE(R10:R40,3)</f>
        <v>-0.12476</v>
      </c>
      <c r="S42" s="1190">
        <f>QUARTILE(S10:S40,3)</f>
        <v>-0.23426249999999998</v>
      </c>
      <c r="T42" s="1188"/>
      <c r="U42" s="1328">
        <f>QUARTILE(U10:U40,3)</f>
        <v>-1.5772620213300871E-2</v>
      </c>
      <c r="V42" s="1328">
        <f>QUARTILE(V10:V40,3)</f>
        <v>-4.2803942398489142E-2</v>
      </c>
      <c r="W42" s="1329">
        <f>QUARTILE(W10:W40,3)</f>
        <v>-7.495060980920866E-2</v>
      </c>
    </row>
    <row r="43" spans="2:27" ht="14.85" customHeight="1">
      <c r="B43" s="1187" t="s">
        <v>113</v>
      </c>
      <c r="C43" s="1188"/>
      <c r="D43" s="1328">
        <f>AVERAGE(D10:D40)</f>
        <v>-0.2655885714285714</v>
      </c>
      <c r="E43" s="1328">
        <f>AVERAGE(E10:E40)</f>
        <v>-0.76308716666666665</v>
      </c>
      <c r="F43" s="1328">
        <f>AVERAGE(F10:F40)</f>
        <v>-0.78551625000000003</v>
      </c>
      <c r="G43" s="1328">
        <f>AVERAGE(G10:G40)</f>
        <v>-0.60382790909090911</v>
      </c>
      <c r="H43" s="1188"/>
      <c r="I43" s="1190">
        <f>AVERAGE(I10:I40)</f>
        <v>-2.9861520000000001</v>
      </c>
      <c r="J43" s="1190">
        <f>AVERAGE(J10:J40)</f>
        <v>-5.1092216666666666</v>
      </c>
      <c r="K43" s="1191">
        <f>AVERAGE(K10:K40)</f>
        <v>-7.8976326666666647</v>
      </c>
      <c r="L43" s="1188"/>
      <c r="M43" s="1328">
        <f>AVERAGE(M10:M40)</f>
        <v>-0.55082584647561217</v>
      </c>
      <c r="N43" s="1328">
        <f>AVERAGE(N10:N40)</f>
        <v>-0.34284419366847296</v>
      </c>
      <c r="O43" s="1328">
        <f>AVERAGE(O10:O40)</f>
        <v>-0.22582066873756051</v>
      </c>
      <c r="P43" s="1190"/>
      <c r="Q43" s="1190">
        <f>AVERAGE(Q10:Q40)</f>
        <v>-0.479325</v>
      </c>
      <c r="R43" s="1190">
        <f>AVERAGE(R10:R40)</f>
        <v>-1.0959363333333334</v>
      </c>
      <c r="S43" s="1190">
        <f>AVERAGE(S10:S40)</f>
        <v>-2.4726056666666665</v>
      </c>
      <c r="T43" s="1188"/>
      <c r="U43" s="1328">
        <f>AVERAGE(U10:U40)</f>
        <v>-7.4790802643473778E-2</v>
      </c>
      <c r="V43" s="1328">
        <f>AVERAGE(V10:V40)</f>
        <v>-0.15146098495972349</v>
      </c>
      <c r="W43" s="1329">
        <f>AVERAGE(W10:W40)</f>
        <v>-0.25131192540153879</v>
      </c>
    </row>
    <row r="44" spans="2:27" ht="14.85" customHeight="1">
      <c r="B44" s="1187" t="s">
        <v>44</v>
      </c>
      <c r="C44" s="1188"/>
      <c r="D44" s="1328">
        <f>MEDIAN(D10:D40)</f>
        <v>0</v>
      </c>
      <c r="E44" s="1328">
        <f>MEDIAN(E10:E40)</f>
        <v>0</v>
      </c>
      <c r="F44" s="1328">
        <f>MEDIAN(F10:F40)</f>
        <v>0</v>
      </c>
      <c r="G44" s="1328">
        <f>MEDIAN(G10:G40)</f>
        <v>0</v>
      </c>
      <c r="H44" s="1188"/>
      <c r="I44" s="1190">
        <f>MEDIAN(I10:I40)</f>
        <v>-1.8385</v>
      </c>
      <c r="J44" s="1190">
        <f>MEDIAN(J10:J40)</f>
        <v>-3.133</v>
      </c>
      <c r="K44" s="1191">
        <f>MEDIAN(K10:K40)</f>
        <v>-4.7969249999999999</v>
      </c>
      <c r="L44" s="1188"/>
      <c r="M44" s="1328">
        <f>MEDIAN(M10:M40)</f>
        <v>-0.57393154425901072</v>
      </c>
      <c r="N44" s="1328">
        <f>MEDIAN(N10:N40)</f>
        <v>-0.28002859319274143</v>
      </c>
      <c r="O44" s="1328">
        <f>MEDIAN(O10:O40)</f>
        <v>-0.34834639885578611</v>
      </c>
      <c r="P44" s="1190"/>
      <c r="Q44" s="1190">
        <f>MEDIAN(Q10:Q40)</f>
        <v>-0.1094</v>
      </c>
      <c r="R44" s="1190">
        <f>MEDIAN(R10:R40)</f>
        <v>-0.879</v>
      </c>
      <c r="S44" s="1190">
        <f>MEDIAN(S10:S40)</f>
        <v>-1.5470000000000002</v>
      </c>
      <c r="T44" s="1188"/>
      <c r="U44" s="1328">
        <f>MEDIAN(U10:U40)</f>
        <v>-4.8958557010951261E-2</v>
      </c>
      <c r="V44" s="1328">
        <f>MEDIAN(V10:V40)</f>
        <v>-6.0519295029918901E-2</v>
      </c>
      <c r="W44" s="1329">
        <f>MEDIAN(W10:W40)</f>
        <v>-0.15628366629163537</v>
      </c>
    </row>
    <row r="45" spans="2:27" ht="14.85" customHeight="1">
      <c r="B45" s="1187" t="s">
        <v>114</v>
      </c>
      <c r="C45" s="1188"/>
      <c r="D45" s="1328">
        <f>QUARTILE(D10:D40,1)</f>
        <v>-0.98357899999999998</v>
      </c>
      <c r="E45" s="1328">
        <f>QUARTILE(E10:E40,1)</f>
        <v>-1.5096532499999999</v>
      </c>
      <c r="F45" s="1328">
        <f>QUARTILE(F10:F40,1)</f>
        <v>-1.5517819999999998</v>
      </c>
      <c r="G45" s="1328">
        <f>QUARTILE(G10:G40,1)</f>
        <v>-1.4369860000000001</v>
      </c>
      <c r="H45" s="1188"/>
      <c r="I45" s="1190">
        <f>QUARTILE(I10:I40,1)</f>
        <v>-5.4883125000000001</v>
      </c>
      <c r="J45" s="1190">
        <f>QUARTILE(J10:J40,1)</f>
        <v>-5.0057024999999999</v>
      </c>
      <c r="K45" s="1191">
        <f>QUARTILE(K10:K40,1)</f>
        <v>-9.5302125000000011</v>
      </c>
      <c r="L45" s="1188"/>
      <c r="M45" s="1328">
        <f>QUARTILE(M10:M40,1)</f>
        <v>-0.89601313625909307</v>
      </c>
      <c r="N45" s="1328">
        <f>QUARTILE(N10:N40,1)</f>
        <v>-0.59636600353812574</v>
      </c>
      <c r="O45" s="1328">
        <f>QUARTILE(O10:O40,1)</f>
        <v>-0.43570832173671026</v>
      </c>
      <c r="P45" s="1190"/>
      <c r="Q45" s="1190">
        <f>QUARTILE(Q10:Q40,1)</f>
        <v>-0.70774999999999999</v>
      </c>
      <c r="R45" s="1190">
        <f>QUARTILE(R10:R40,1)</f>
        <v>-1.3119999999999998</v>
      </c>
      <c r="S45" s="1190">
        <f>QUARTILE(S10:S40,1)</f>
        <v>-3.4463699999999999</v>
      </c>
      <c r="T45" s="1188"/>
      <c r="U45" s="1328">
        <f>QUARTILE(U10:U40,1)</f>
        <v>-0.11645576898592512</v>
      </c>
      <c r="V45" s="1328">
        <f>QUARTILE(V10:V40,1)</f>
        <v>-0.11240596862946363</v>
      </c>
      <c r="W45" s="1329">
        <f>QUARTILE(W10:W40,1)</f>
        <v>-0.40640639728900602</v>
      </c>
    </row>
    <row r="46" spans="2:27" ht="14.85" customHeight="1">
      <c r="B46" s="1192" t="s">
        <v>112</v>
      </c>
      <c r="C46" s="858"/>
      <c r="D46" s="1330">
        <f>MIN(D10:D40)</f>
        <v>-2.6877949999999999</v>
      </c>
      <c r="E46" s="1330">
        <f>MIN(E10:E40)</f>
        <v>-2.9558</v>
      </c>
      <c r="F46" s="1330">
        <f>MIN(F10:F40)</f>
        <v>-2.9947469999999998</v>
      </c>
      <c r="G46" s="1330">
        <f>MIN(G10:G40)</f>
        <v>-2.097728</v>
      </c>
      <c r="H46" s="858"/>
      <c r="I46" s="867">
        <f>MIN(I10:I40)</f>
        <v>-16.507999999999999</v>
      </c>
      <c r="J46" s="867">
        <f>MIN(J10:J40)</f>
        <v>-46.713999999999999</v>
      </c>
      <c r="K46" s="1194">
        <f>MIN(K10:K40)</f>
        <v>-75.058999999999997</v>
      </c>
      <c r="L46" s="858"/>
      <c r="M46" s="1330">
        <f>MIN(M10:M40)</f>
        <v>-0.99549065922267554</v>
      </c>
      <c r="N46" s="1330">
        <f>MIN(N10:N40)</f>
        <v>-0.73973880597014929</v>
      </c>
      <c r="O46" s="1330">
        <f>MIN(O10:O40)</f>
        <v>-0.63528481422825345</v>
      </c>
      <c r="P46" s="867"/>
      <c r="Q46" s="867">
        <f>MIN(Q10:Q40)</f>
        <v>-4.9638400000000003</v>
      </c>
      <c r="R46" s="867">
        <f>MIN(R10:R40)</f>
        <v>-9.8108599999999999</v>
      </c>
      <c r="S46" s="867">
        <f>MIN(S10:S40)</f>
        <v>-15.183</v>
      </c>
      <c r="T46" s="858"/>
      <c r="U46" s="1330">
        <f>MIN(U10:U40)</f>
        <v>-0.35682902631454622</v>
      </c>
      <c r="V46" s="1330">
        <f>MIN(V10:V40)</f>
        <v>-1</v>
      </c>
      <c r="W46" s="1331">
        <f>MIN(W10:W40)</f>
        <v>-0.90566037735849059</v>
      </c>
    </row>
    <row r="47" spans="2:27" ht="14.85" customHeight="1"/>
    <row r="48" spans="2:27" ht="14.85" customHeight="1">
      <c r="B48" s="356" t="s">
        <v>116</v>
      </c>
    </row>
    <row r="49" spans="2:24" ht="14.85" customHeight="1">
      <c r="B49" s="356"/>
    </row>
    <row r="50" spans="2:24" ht="14.85" customHeight="1"/>
    <row r="51" spans="2:24" ht="14.85" customHeight="1"/>
    <row r="52" spans="2:24" ht="14.85" customHeight="1"/>
    <row r="53" spans="2:24" ht="14.85" customHeight="1"/>
    <row r="54" spans="2:24" ht="14.85" customHeight="1"/>
    <row r="55" spans="2:24" s="272" customFormat="1" ht="14.85" customHeight="1">
      <c r="B55" s="1332" t="s">
        <v>365</v>
      </c>
      <c r="C55" s="1333"/>
      <c r="D55" s="1334" t="s">
        <v>361</v>
      </c>
      <c r="E55" s="1334" t="s">
        <v>362</v>
      </c>
      <c r="F55" s="1334" t="s">
        <v>363</v>
      </c>
      <c r="G55" s="1335" t="s">
        <v>364</v>
      </c>
      <c r="X55" s="250"/>
    </row>
    <row r="56" spans="2:24" ht="14.85" customHeight="1"/>
    <row r="57" spans="2:24" ht="14.85" customHeight="1"/>
    <row r="58" spans="2:24" ht="14.85" customHeight="1"/>
    <row r="59" spans="2:24" ht="14.85" customHeight="1"/>
    <row r="60" spans="2:24" ht="14.85" customHeight="1"/>
    <row r="61" spans="2:24" ht="14.85" customHeight="1"/>
    <row r="62" spans="2:24" ht="14.85" customHeight="1"/>
    <row r="63" spans="2:24" ht="14.85" customHeight="1"/>
    <row r="64" spans="2:2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M7:O7"/>
  </mergeCells>
  <conditionalFormatting sqref="B10:B39">
    <cfRule type="cellIs" dxfId="227" priority="21" operator="equal">
      <formula>"(Invalid Identifier)"</formula>
    </cfRule>
  </conditionalFormatting>
  <conditionalFormatting sqref="C4:I4 M4:W4">
    <cfRule type="cellIs" dxfId="226" priority="20" stopIfTrue="1" operator="equal">
      <formula>"input"</formula>
    </cfRule>
  </conditionalFormatting>
  <conditionalFormatting sqref="J4">
    <cfRule type="cellIs" dxfId="225" priority="18" stopIfTrue="1" operator="equal">
      <formula>"input"</formula>
    </cfRule>
  </conditionalFormatting>
  <conditionalFormatting sqref="J4">
    <cfRule type="cellIs" dxfId="224" priority="19" stopIfTrue="1" operator="equal">
      <formula>"input"</formula>
    </cfRule>
  </conditionalFormatting>
  <conditionalFormatting sqref="L4">
    <cfRule type="cellIs" dxfId="223" priority="9" stopIfTrue="1" operator="equal">
      <formula>"input"</formula>
    </cfRule>
  </conditionalFormatting>
  <conditionalFormatting sqref="B4">
    <cfRule type="cellIs" dxfId="222" priority="2" stopIfTrue="1" operator="equal">
      <formula>"input"</formula>
    </cfRule>
  </conditionalFormatting>
  <conditionalFormatting sqref="K4">
    <cfRule type="cellIs" dxfId="221" priority="1" stopIfTrue="1" operator="equal">
      <formula>"input"</formula>
    </cfRule>
  </conditionalFormatting>
  <pageMargins left="0.5" right="0.5" top="0.5" bottom="0.5" header="0.5" footer="0.5"/>
  <pageSetup scale="75" fitToWidth="0" fitToHeight="0" orientation="landscape" r:id="rId1"/>
  <colBreaks count="1" manualBreakCount="1">
    <brk id="11" max="47" man="1"/>
  </colBreaks>
  <legacyDrawingHF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B1:T764"/>
  <sheetViews>
    <sheetView showGridLines="0" view="pageBreakPreview" zoomScale="80" zoomScaleNormal="100" zoomScaleSheetLayoutView="80" workbookViewId="0">
      <selection activeCell="B1" sqref="B1"/>
    </sheetView>
  </sheetViews>
  <sheetFormatPr defaultRowHeight="12.75"/>
  <cols>
    <col min="1" max="1" width="4.5" style="250" customWidth="1"/>
    <col min="2" max="2" width="36.1640625" style="250" customWidth="1"/>
    <col min="3" max="3" width="2.83203125" style="250" customWidth="1"/>
    <col min="4" max="4" width="104.83203125" style="250" customWidth="1"/>
    <col min="5" max="5" width="4.5" style="250" customWidth="1"/>
    <col min="6" max="16384" width="9.33203125" style="250"/>
  </cols>
  <sheetData>
    <row r="1" spans="2:20" ht="10.7" customHeight="1" thickBot="1"/>
    <row r="2" spans="2:20" ht="16.5" customHeight="1" thickTop="1">
      <c r="B2" s="258" t="str">
        <f>'MASTER PubCo Inputs'!$C$5</f>
        <v>ABC, Inc.</v>
      </c>
      <c r="C2" s="258"/>
      <c r="D2" s="258"/>
    </row>
    <row r="3" spans="2:20" ht="15.75" customHeight="1">
      <c r="B3" s="259" t="str">
        <f>VLOOKUP(B4,Outline!$E$8:$G$79,COLUMNS(Outline!$E$8:$G$8),FALSE)</f>
        <v>Exhibit E.5</v>
      </c>
      <c r="C3" s="259"/>
      <c r="D3" s="259"/>
    </row>
    <row r="4" spans="2:20" ht="16.5" customHeight="1" thickBot="1">
      <c r="B4" s="924" t="s">
        <v>824</v>
      </c>
      <c r="C4" s="924"/>
      <c r="D4" s="924"/>
    </row>
    <row r="5" spans="2:20" s="467" customFormat="1" ht="14.85" customHeight="1" thickTop="1">
      <c r="D5" s="250"/>
      <c r="E5" s="250"/>
      <c r="F5" s="250"/>
      <c r="G5" s="250"/>
      <c r="H5" s="250"/>
      <c r="I5" s="250"/>
      <c r="J5" s="250"/>
      <c r="K5" s="250"/>
      <c r="L5" s="250"/>
      <c r="M5" s="250"/>
      <c r="N5" s="250"/>
      <c r="O5" s="250"/>
      <c r="P5" s="250"/>
      <c r="Q5" s="250"/>
      <c r="R5" s="250"/>
      <c r="S5" s="250"/>
      <c r="T5" s="250"/>
    </row>
    <row r="6" spans="2:20" ht="14.85" customHeight="1"/>
    <row r="7" spans="2:20" ht="14.85" customHeight="1">
      <c r="B7" s="1336" t="s">
        <v>488</v>
      </c>
      <c r="D7" s="1337" t="s">
        <v>127</v>
      </c>
    </row>
    <row r="8" spans="2:20" ht="14.85" customHeight="1"/>
    <row r="9" spans="2:20" ht="12" customHeight="1">
      <c r="B9" s="1338" t="str">
        <f>'Comp.1'!$B12</f>
        <v>Spark Therapeutics, Inc.</v>
      </c>
      <c r="C9" s="1339"/>
      <c r="D9" s="1338" t="str">
        <f>'Capital IQ Sheet-GPC'!AP13</f>
        <v>Spark Therapeutics, Inc. focuses on the development of gene therapy products for patients suffering from debilitating genetic diseases. Its products include voretigene neparvovec, which is in Phase III clinical trial for the treatment of genetic blinding conditions called inherited retinal diseases caused by non sex-linked, autosomal recessive, or biallelic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a form of Batten disease and Huntington's disease; RhoNova for the treatment of rhodopsin-linked autosomal dominant retinitis pigmentosa; and SPK-LHON for treating Leber hereditary optic neuropathy, as well as preclinical programs in development for the treatment of rare genetic blinding conditions, hematologic disorders,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0" spans="2:20" ht="12" customHeight="1">
      <c r="B10" s="1338" t="str">
        <f>'Comp.1'!$B13</f>
        <v>CRISPR Therapeutics AG</v>
      </c>
      <c r="C10" s="1339"/>
      <c r="D10" s="1338" t="str">
        <f>'Capital IQ Sheet-GPC'!AP14</f>
        <v>CRISPR Therapeutics AG, a gene editing company, focuses on developing transformative gene-based medicines for the treatment of serious human diseases using its proprietary clustered, regularly interspaced short palindromic repeats associated protein-9 (CRISPR/Cas9 )gene-editing platform in Switzerland. The CRISPR/Cas9 technology allows for changes to genomic DNA. It has a collaboration agreement with Vertex Pharmaceuticals, Incorporated to develop, manufacture, commercialize, sell, and use therapeutics; and license agreement with Anagenesis Biotechnologies SAS. CRISPR Therapeutics AG is headquartered in Basel, Switzerland.</v>
      </c>
    </row>
    <row r="11" spans="2:20" ht="12" customHeight="1">
      <c r="B11" s="1338" t="str">
        <f>'Comp.1'!$B14</f>
        <v>WAVE Life Sciences Ltd.</v>
      </c>
      <c r="C11" s="1339"/>
      <c r="D11" s="1338" t="str">
        <f>'Capital IQ Sheet-GPC'!AP15</f>
        <v>WAVE Life Sciences Ltd., a genetic medicines company, designs, develops, and commercializes nucleic acid therapeutic candidates for genetically defined diseases by utilizing proprietary synthetic chemistry drug development platform. The company is primarily developing oligonucleotides that target genetic defects to either reduce the expression of disease-promoting proteins or transform the production of dysfunctional mutant proteins into the production of functional proteins. It focuses on proprietary programs in neurology in the central nervous system and neuromuscular system. The company has a research, license, and option agreement with Pfizer Inc. for the discovery, development, and commercialization of stereopure oligonucleotide therapeutics. WAVE Life Sciences Ltd. was founded in 2012 and is based in Cambridge, Massachusetts.</v>
      </c>
    </row>
    <row r="12" spans="2:20" ht="12" customHeight="1">
      <c r="B12" s="1338" t="str">
        <f>'Comp.1'!$B15</f>
        <v>Regenxbio Inc.</v>
      </c>
      <c r="C12" s="1340"/>
      <c r="D12" s="1338" t="str">
        <f>'Capital IQ Sheet-GPC'!AP16</f>
        <v>REGENXBIO Inc., a clinical-stage biotechnology company, provides gene therapy product candidates to deliver genes to cells to address genetic defects or to enable cells in the body to produce therapeutic proteins that are intended to impact disease. Its gene therapy product candidates are based on NAV Technology Platform, a proprietary adeno-associated virus (AAV) gene delivery platform. The company’s lead product candidate is RGX-314 for the treatment of wet age-related macular degeneration. It is also developing RGX-501, a product candidate for the treatment of homozygous familial hypercholesterolemia, which uses the AAV8 vector to deliver the human low-density lipoprotein receptor gene to liver cells; and RGX-111, a product candidate to treat the neurological symptoms of Mucopolysaccharidosis Type I that uses the AAV9 vector to deliver the human a-l-iduronidase gene to the central nervous system (CNS). In addition, the company engages in the development of RGX-121, a product candidate for the treatment of Mucopolysaccharidosis Type II, which uses the AAV9 vector to deliver the human iduronate-2-sulfatase gene to the CNS. Further, it licenses its NAV vectors to various other biotechnology companies. The company was formerly known as REGENX Biosciences, LLC and changed its name to REGENXBIO Inc. in September 2014. REGENXBIO Inc. was founded in 2008 and is headquartered in Rockville, Maryland.</v>
      </c>
    </row>
    <row r="13" spans="2:20" ht="12" customHeight="1">
      <c r="B13" s="1338" t="str">
        <f>'Comp.1'!$B16</f>
        <v>Inovio Pharmaceuticals, Inc.</v>
      </c>
      <c r="C13" s="1340"/>
      <c r="D13" s="1338" t="str">
        <f>'Capital IQ Sheet-GPC'!AP17</f>
        <v>Inovio Pharmaceuticals, Inc., a clinical stage biopharmaceutical company, develops active DNA immunotherapies and vaccines in combination with proprietary electroporation delivery devices to prevent and treat cancers and infectious diseases. Its SynCon immunotherapy design has the ability to break the immune system’s tolerance of cancerous cells; and SynCon product design is also intended to facilitate cross-strain protection against known, as well as new unmatched strains of pathogens, such as influenza. It has completed, current or planned clinical programs of its proprietary SynCon immunotherapies for HPV-caused pre-cancers and cancers, influenza, prostate cancer, breast/lung/pancreatic cancer, hepatitis C virus, hepatitis B virus, HIV, Ebola, Middle East Respiratory Syndrome, and Zika virus. The company’s partners and collaborators include MedImmune, LLC, the Wistar Institute, University of Pennsylvania, Defense Advanced Research Projects Agency, GeneOne Life Science, Plumbline Life Sciences, ApolloBio Corporation, Drexel University, the National Institutes of Health, HIV Vaccines Trial Network, National Cancer Institute, and U.S. Military HIV Research Program. Inovio Pharmaceuticals, Inc. was founded in 1979 and is headquartered in Plymouth Meeting, Pennsylvania.</v>
      </c>
    </row>
    <row r="14" spans="2:20" ht="12" customHeight="1">
      <c r="B14" s="1338" t="str">
        <f>'Comp.1'!$B17</f>
        <v>Enanta Pharmaceuticals, Inc.</v>
      </c>
      <c r="C14" s="1340"/>
      <c r="D14" s="1338" t="str">
        <f>'Capital IQ Sheet-GPC'!AP18</f>
        <v>Enanta Pharmaceuticals, Inc., a research and development-focused biotechnology company focuses on discovering and developing small molecule drugs for the treatment of viral infections and liver diseases. The company’s research and development focuses on four disease targets: Hepatitis C virus (HCV), Hepatitis B virus (HBV), Non-alcoholic Steatohepatitis (NASH), and Respiratory Syncytial Virus (RSV). Its lead product is paritaprevir, a protease inhibitor designed for use against HCV. The company also develops HCV protease inhibitor in phase III development with AbbVie, as well as a HCV program using a different class of molecules known as cyclophilin inhibitors. In addition, it has a program in non-alcoholic steatohepatitis; and discovers programs in other areas of viral infection and liver disease. Enanta Pharmaceuticals, Inc. has a collaborative development and license agreement with AbbVie to develop and commercialize HCV NS3 and NS3/4A protease inhibitors. The company was founded in 1995 and is headquartered in Watertown, Massachusetts.</v>
      </c>
    </row>
    <row r="15" spans="2:20" ht="12" customHeight="1">
      <c r="B15" s="1338" t="str">
        <f>'Comp.1'!$B18</f>
        <v>Editas Medicine, Inc.</v>
      </c>
      <c r="C15" s="1340"/>
      <c r="D15" s="1338" t="str">
        <f>'Capital IQ Sheet-GPC'!AP19</f>
        <v>Editas Medicine, Inc. operates as a genome editing company. It focuses on treating patients with genetically defined diseases by correcting their disease causing genes. It is developing a proprietary genome editing platform based on CRISPR technology to target genetically defined diseases with an initial focus on debilitating illnesses where there are no approved treatments. Editas Medicine, Inc. has a collaboration and license agreement with Juno Therapeutics, Inc. for the research and development of engineered T cells with chimeric antigen receptors and T cell receptors; and collaboration, option, and license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based in Cambridge, Massachusetts.</v>
      </c>
    </row>
    <row r="16" spans="2:20" ht="12" customHeight="1">
      <c r="B16" s="1338" t="str">
        <f>'Comp.1'!$B19</f>
        <v>NantKwest, Inc.</v>
      </c>
      <c r="C16" s="1340"/>
      <c r="D16" s="1338" t="str">
        <f>'Capital IQ Sheet-GPC'!AP20</f>
        <v>NantKwest, Inc., a clinical-stage immunotherapy biotechnology company, develops immunotherapeutic treatments for cancer, infectious diseases, and inflammatory diseases in the United States. The company develops activated natural killer product candidates for the treatment of virally-induced cancers, such as polyoma virus induced merkel cell carcinoma, human papilloma virus induced cervical, and head and neck cancers; infectious diseases, including Ebola; and other serious viral, fungal, and bacterial infections. It is also develops high-affinity natural killer product candidates primarily for the treatment of solid tumors, breast cancer, head and neck/squamous, lymphoma, and various cancer;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17" spans="2:4" ht="12" customHeight="1">
      <c r="B17" s="1338" t="str">
        <f>'Comp.1'!$B20</f>
        <v>Cocrystal Pharma, Inc.</v>
      </c>
      <c r="C17" s="1340"/>
      <c r="D17" s="1338" t="str">
        <f>'Capital IQ Sheet-GPC'!AP21</f>
        <v>Cocrystal Pharma, Inc., a preclinical-stage biopharmaceutical company, focuses on developing antiviral therapeutics for human diseases. The company focuses on developing inhibitors that target viral replication enzymes and viral replication protein. It is developing antiviral therapeutics for human diseases, including hepatitis C virus (HCV), influenza virus, and norovirus. The company also develops targeted in-house chemical libraries consisting of nucleosides, non-nucleoside inhibitors, metal-binding inhibitors, and fragments. Cocrystal Pharma, Inc. was founded in 2007 and is headquartered in Tucker, Georgia.</v>
      </c>
    </row>
    <row r="18" spans="2:4" ht="12" customHeight="1">
      <c r="B18" s="1338" t="str">
        <f>'Comp.1'!$B21</f>
        <v>Intellia Therapeutics Inc.</v>
      </c>
      <c r="C18" s="1340"/>
      <c r="D18" s="1338" t="str">
        <f>'Capital IQ Sheet-GPC'!AP22</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and partnered programs focuses on chimeric antigen receptor T cells and hematopoietic stem cells. Intellia Therapeutics Inc. has collaboration agreement with Novartis; Regeneron Pharmaceuticals, Inc.; and Caribou Biosciences, Inc. The company was formerly known as AZRN, Inc. and changed its name to Intellia Therapeutics Inc. in July 2014. Intellia Therapeutics Inc. was founded in 2014 and is headquartered in Cambridge, Massachusetts.</v>
      </c>
    </row>
    <row r="19" spans="2:4" ht="12" customHeight="1">
      <c r="B19" s="1338" t="str">
        <f>'Comp.1'!$B22</f>
        <v>GenSight Biologics S.A.</v>
      </c>
      <c r="C19" s="1340"/>
      <c r="D19" s="1338" t="str">
        <f>'Capital IQ Sheet-GPC'!AP23</f>
        <v>GenSight Biologics S.A., a clinical-stage biotechnology company, engages in the discovery and development of therapies for mitochondrial and neurodegenerative diseases of the eye and central nervous system. The company develops its products through gene therapy-based approach with technology platforms of mitochondrial targeting sequence and optogenetics. Its lead product candidates include GS010, an AAV2 containing the human wild-type ND4 gene, which is in Phase III clinical trials for the treatment of Leber Hereditary Optic Neuropathy associated with mutation in the ND4 gene; and GS030 that comprises a gene encoding a photoactivatable channelrhodopsin for the treatment of reinitis pigmentosa and geographic atrophy in dry age-related macular degeneration. It is also developing products in preclinical development targeting ophthalmic and neurodegenerative diseases. GenSight Biologics S.A. was founded in 2012 and is based in Paris, France.</v>
      </c>
    </row>
    <row r="20" spans="2:4" ht="12" customHeight="1">
      <c r="B20" s="1338" t="str">
        <f>'Comp.1'!$B23</f>
        <v>Advaxis, Inc.</v>
      </c>
      <c r="C20" s="1340"/>
      <c r="D20" s="1338" t="str">
        <f>'Capital IQ Sheet-GPC'!AP24</f>
        <v>Advaxis, Inc., a clinical stage biotechnology company, focuses on the discovery, development, and commercialization of Lm-LLO cancer immunotherapies in the United States. Its lead product Axalimogene filolisbac, an Lm-LLO immunotherapy product candidate, which completed its Phase II study for the treatment of human papilloma virus associated cancers, including cervical, head and neck, and anal cancer. The company is also developing ADXS-PSA, an Lm-LLO immunotherapy product candidate, which is in Phase I/II clinical trials designed to target the prostate specific antigen associated with prostate cancer; and ADXS-HER2, an Lm-LLO immunotherapy product candidate that is in Phase Ib clinical trials used for the treatment of human epidermal growth factor receptor 2 expressing cancers, including human and canine osteosarcoma. It has clinical trial collaboration agreements with Merck &amp; Co., Inc. for the Phase I/II dose-escalation and safety study of ADXS31-142; and MedImmune, LLC to initiate a Phase I/II clinical study in the United States to evaluate MEDI4736, an investigational anti-PD-L1 immune checkpoint inhibitor. The company also has a licensing agreement with Global BioPharma Inc.; co-development and commercialization agreement with Especificos Stendhal SA de CV; and collaboration agreement with Amgen Inc. for the development and commercialization of ADXS-NEO, a preclinical investigational cancer immunotherapy treatment that activates patient’s immune system to respond against mutations or neoepitopes. Advaxis, Inc. was founded in 2002 and is based in Princeton, New Jersey.</v>
      </c>
    </row>
    <row r="21" spans="2:4" ht="12" customHeight="1">
      <c r="B21" s="1338" t="str">
        <f>'Comp.1'!$B24</f>
        <v>Audentes Therapeutics, Inc.</v>
      </c>
      <c r="C21" s="1340"/>
      <c r="D21" s="1338" t="str">
        <f>'Capital IQ Sheet-GPC'!AP25</f>
        <v>Audentes Therapeutics, Inc., a biotechnology company, focuses on developing and commercializing gene therapy products for patients suffering from diseases caused by single gene defects in the United States. The company is developing AT132 for the treatment of X-linked myotubular myopathy; AT342 for the treatment of crigler-najjar syndrome type 1; AT982 for the treatment of pompe disease; and AT307 for the treatment of the CASQ2 subtype of catecholaminergic polymorphic ventricular tachycardia. Audentes Therapeutics, Inc. has a collaboration with the University of Pennsylvania for the treatment of Crigler-Najjar. The company was founded in 2012 and is headquartered in San Francisco, California.</v>
      </c>
    </row>
    <row r="22" spans="2:4" ht="12" customHeight="1">
      <c r="B22" s="1338" t="str">
        <f>'Comp.1'!$B25</f>
        <v>Syros Pharmaceuticals, Inc.</v>
      </c>
      <c r="C22" s="1339"/>
      <c r="D22" s="1338" t="str">
        <f>'Capital IQ Sheet-GPC'!AP26</f>
        <v>Syros Pharmaceuticals, Inc., a biopharmaceutical company, focuses on developing treatments for cancer and immune-mediated diseases, and building a pipeline of gene control medicines. Its lead drug candidates are SY-1425, a selective RARa agonist in a Phase 2 clinical trial for genomically defined subsets of patients with acute myeloid leukemia and myelodysplastic syndrome; and SY-1365, a selective CDK7 inhibitor with potential in a range of solid tumors and blood cancers. The company was formerly known as LS22, Inc. and changed its name to Syros Pharmaceuticals, Inc. in August 2012. Syros Pharmaceuticals, Inc. was founded in 2011 and is based in Cambridge, Massachusetts.</v>
      </c>
    </row>
    <row r="23" spans="2:4" ht="12" customHeight="1">
      <c r="B23" s="1338" t="str">
        <f>'Comp.1'!$B26</f>
        <v>Abeona Therapeutics Inc.</v>
      </c>
      <c r="C23" s="1339"/>
      <c r="D23" s="1338" t="str">
        <f>'Capital IQ Sheet-GPC'!AP27</f>
        <v>Abeona Therapeutics Inc. focuses on developing and delivering gene therapy and plasma-based products for severe and life-threatening rare diseases. The company’s lead programs are ABO-101 and ABO-102, which are adeno-associated virus -based gene therapies for Sanfilippo syndrome. It is also developing EB-201 for epidermolysis bullosa (EB); ABO-201 gene therapy for juvenile Batten disease; ABO-202 gene therapy for treatment of infantile Batten disease; ABO-301 for Fanconi anemia disorder; and ABO-302 using a novel CRISPR/Cas9-based gene editing approach to gene therapy program for rare blood diseases. In addition, the company is developing plasma-based protein therapies, including SDF Alpha, an alpha-1 protease inhibitor for inherited COPD using its proprietary salt diafiltration ethanol-free process.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The company was formerly known as PlasmaTech Biopharmaceuticals, Inc. and changed its name to Abeona Therapeutics Inc. in June 2015. Abeona Therapeutics Inc. was incorporated in 1989 and is based in Dallas, Texas.</v>
      </c>
    </row>
    <row r="24" spans="2:4" ht="12" customHeight="1">
      <c r="B24" s="1338" t="str">
        <f>'Comp.1'!$B27</f>
        <v>Idera Pharmaceuticals, Inc.</v>
      </c>
      <c r="C24" s="1339"/>
      <c r="D24" s="1338" t="str">
        <f>'Capital IQ Sheet-GPC'!AP28</f>
        <v>Idera Pharmaceuticals, Inc., a clinical-stage biopharmaceutical company, focuses on the discovery, development, and commercialization of oligonucleotide therapeutics for oncology and rare diseases in the United States. It uses two drug discovery technology platforms to design and develop drug candidates, including toll-like receptor targeting technology and third-generation antisense (3GA) technology. The company’s drug candidates include IMO-2125, an agonist that is in Phase I/II clinical trials in combination with ipilimumab and pembrolizumab for the treatment of anti-PD-1 refractory metastatic melanoma and refractory solid tumors; IMO-8400, an antagonist, which is in Phase II clinical trial for the treatment of dermatomyositis. It also develops IDRA-008 for undisclosed liver target for rare disorder; 3GA compound for renal target; and IMO-9200, a drug candidate for potential use in selected autoimmune disease indications. In addition, the company is developing drug candidates to turn off the messenger RNA associated with disease causing genes. Idera Pharmaceuticals, Inc. has collaboration and license agreement with GSK to research, develop, and commercialize selected molecules from its 3GA technology for the treatment of selected targets in renal disease; collaboration with Abbott Molecular Inc. for the development of an in vitro companion diagnostic; and Merck &amp; Co to research, develop, and commercialize vaccine products. The company was founded in 1989 and is based in Cambridge, Massachusetts.</v>
      </c>
    </row>
    <row r="25" spans="2:4" ht="12" customHeight="1">
      <c r="B25" s="1338" t="str">
        <f>'Comp.1'!$B28</f>
        <v>Achillion Pharmaceuticals, Inc.</v>
      </c>
      <c r="C25" s="1339"/>
      <c r="D25" s="1338" t="str">
        <f>'Capital IQ Sheet-GPC'!AP29</f>
        <v>Achillion Pharmaceuticals, Inc., a biopharmaceutical company, discovers, develops, and commercializes small molecule drug therapies for infectious diseases and immune system disorders in the United States and internationally. Its drug candidates for treating chronic hepatitis C virus (HCV) infection comprise Odalasvir, a NS5A inhibitor, which has completed Phase IIa clinical trials; ACH-3422, a NS5B nucleotide polymerase inhibitor; and Sovaprevir, a NS3 protease inhibitor that has completed Phase II clinical trial. The company is also developing ACH-4471, a complement factor D inhibitor, which is in Phase I clinical trial to treat patients with paroxysmal nocturnal hemoglobinuria and C3G, a disease resulting from alternative pathway over-activation; and other factor D inhibitors. It has a license and development agreement with Ora, Inc. for the development and commercialization of ACH-702, a drug candidate that is delivered topically or locally; and collaboration arrangement with Janssen Pharmaceuticals Inc. to develop and commercialize antiviral drug candidates for treating HCV infection. The company was founded in 1998 and is headquartered in New Haven, Connecticut.</v>
      </c>
    </row>
    <row r="26" spans="2:4" ht="12" customHeight="1">
      <c r="B26" s="1338" t="str">
        <f>'Comp.1'!$B29</f>
        <v>ContraVir Pharmaceuticals, Inc.</v>
      </c>
      <c r="C26" s="1339"/>
      <c r="D26" s="1338" t="str">
        <f>'Capital IQ Sheet-GPC'!AP30</f>
        <v>ContraVir Pharmaceuticals, Inc. operates as a biopharmaceutical company focused on the development of antiviral drugs with a primary emphasis on the treatment of Hepatitis B virus (HBV) infections. The company is developing CMX157 and CRV431 to treat HBV infection; and FV-100, an orally available, small molecule compound for the prevention of post-herpetic neuralgia, and treatment of herpes zoster infection and acute zoster-associated pain. ContraVir Pharmaceuticals, Inc. was founded in 2013 and is headquartered in Edison, New Jersey.</v>
      </c>
    </row>
    <row r="27" spans="2:4" ht="12" customHeight="1">
      <c r="B27" s="1338" t="str">
        <f>'Comp.1'!$B30</f>
        <v>Sangamo Therapeutics, Inc.</v>
      </c>
      <c r="C27" s="1339"/>
      <c r="D27" s="1338" t="str">
        <f>'Capital IQ Sheet-GPC'!AP31</f>
        <v>Sangamo Therapeutics, Inc., a clinical stage biopharmaceutical company, focuses on translating ground-breaking science into genomic therapies that transform patients' lives using platform technologies in genome editing, gene therapy, gene regulation, and cell therapy. The company’s proprietary zinc finger DNA-binding protein (ZFP) technology enables specific genome editing and gene regulation. The ZFPs could be engineered to make ZFP nucleases (ZFNs), proteins that could be used to specifically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Phase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proprietary preclinical programs in other LSDs; and research stage programs in certain central nervous system disorders and cancer immunotherapies. It has collaborative partnerships with Biogen Inc. to develop therapeutic genome editing products in hemoglobinopathies; and with Shire International GmbH to develop the preclinical development program in Huntington’s disease, as well as license agreement with Sigma-Aldrich Corporation to develop ZFP-based laboratory research reagents and Dow AgroSciences, LLC to modify the genomes or alter protein expression of plant cells, plants, or plant cell cultures. The company was formerly known as Sangamo BioSciences, Inc. and changed its name to Sangamo Therapeutics, Inc. in January 2017. Sangamo Therapeutics, Inc. was founded in 1995 and is headquartered in Richmond, California.</v>
      </c>
    </row>
    <row r="28" spans="2:4" ht="12" customHeight="1">
      <c r="B28" s="1338" t="str">
        <f>'Comp.1'!$B31</f>
        <v>Immune Design Corp.</v>
      </c>
      <c r="C28" s="1339"/>
      <c r="D28" s="1338" t="str">
        <f>'Capital IQ Sheet-GPC'!AP32</f>
        <v>Immune Design Corp., a clinical-stage immunotherapy company, engages in the research and development of in vivo treatments for cancer. It primarily develops oncology product candidates based on its ZVex and GLAAS product discovery platforms. The company’s products include CMB305, which is in Phase 2 trial for the treatment of NY-ESO-1 tumor antigen; LV305 that is in Phase 1 trial for the treatment of patients with relapsed or metastatic melanoma, sarcoma, ovarian cancer, or non-small cell lung cancer that express NY-ESO-1; and G100, an intratumoral immune activation product candidate for the treatment of patients with Merkel cell carcinoma and non-Hodgkin Lymphoma. In addition, its technologies are also used in the fields of infectious diseases and allergies. The company has license agreements with California Institute of Technology, University of North Carolina at Chapel Hill, TheraVectys SA, Infectious Disease Research Institute, MedImmune LLC, and Sanofi; and a collaboration agreement with Sanofi Pasteur. Immune Design Corp. was founded in 2008 and is headquartered in Seattle, Washington.</v>
      </c>
    </row>
    <row r="29" spans="2:4" ht="12" customHeight="1">
      <c r="B29" s="1338" t="str">
        <f>'Comp.1'!$B32</f>
        <v>Fate Therapeutics, Inc.</v>
      </c>
      <c r="C29" s="1339"/>
      <c r="D29" s="1338" t="str">
        <f>'Capital IQ Sheet-GPC'!AP33</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engineered hnCD16 induced pluripotent stem cells (iPSC)-derived natural killer cell therapy candidates for hematologic/solid tumors; and engineered chimeric antigen receptor iPSC-derived T cell therapy product candidates for hematologic/solid tumors. The company’s immuno-regulation product candidates comprise ProTmune, an investigational programmed cellular immunotherapy for use as a next-generation allogeneic hematopoietic cell transplantation cell graft; and ToleraCyte for the treatment of autoimmune and inflammatory diseases; engineered iPSC-derived CD34+ cell therapy for immune disorders. Fate Therapeutics, Inc. has a research collaboration and license agreement with Memorial Sloan Kettering Cancer Center to develop off-the-shelf T-cell immunotherapies; and strategic research collaboration and license agreement with Juno Therapeutics, Inc. to identify small molecule modulators that enhance the function of T cells. Fate Therapeutics, Inc. was founded in 2007 and is headquartered in San Diego, California.</v>
      </c>
    </row>
    <row r="30" spans="2:4" ht="12" customHeight="1">
      <c r="B30" s="1338" t="str">
        <f>'Comp.1'!$B33</f>
        <v>Arrowhead Pharmaceuticals, Inc.</v>
      </c>
      <c r="C30" s="1339"/>
      <c r="D30" s="1338" t="str">
        <f>'Capital IQ Sheet-GPC'!AP34</f>
        <v>Arrowhead Pharmaceuticals, Inc. develops novel drugs to treat intractable diseases in the United States. Its pre-clinical stage drug candidates include ARO-HBV to treat chronic hepatitis B virus infection; ARO-AAT to treat liver disease associated with alpha-1 antitrypsin deficiency; ARO-LPA to reduce production of apolipoprotein A; ARO-AMG1, which is developed against an undisclosed genetically validated cardiovascular target; and ARO-F12, a potential treatment for factor 12 mediated diseases, such as hereditary angioedema and thromboembolic disorders. The company also develops ARO-HIF2, a drug candidate for the treatment of clear cell renal cell carcinoma. Arrowhead Pharmaceuticals, Inc. has collaboration and license agreements with Amgen, Inc. The company was formerly known as Arrowhead Research Corporation and changed its name to Arrowhead Pharmaceuticals, Inc. in April 2016. Arrowhead Pharmaceuticals, Inc. was incorporated in 1989 and is headquartered in Pasadena, California.</v>
      </c>
    </row>
    <row r="31" spans="2:4" ht="12" customHeight="1">
      <c r="B31" s="1338" t="str">
        <f>'Comp.1'!$B34</f>
        <v>Regulus Therapeutics Inc.</v>
      </c>
      <c r="C31" s="1339"/>
      <c r="D31" s="1338" t="str">
        <f>'Capital IQ Sheet-GPC'!AP35</f>
        <v>Regulus Therapeutics Inc., a biopharmaceutical company, focuses on the discovery and development of drugs that target microRNAs to treat a range of diseases in the United States. The company uses its microRNA product platform to develop anti-miRs, which are chemically modified and single-stranded oligonucleotides. Its clinical development products include RG-101, a GalNAc-conjugated anti-miR targeting miR-122 to treat patients with hepatitis C virus infection; RG-012, an anti-miR targeting microRNA-21 for the treatment of Alport syndrome; RG-125, a GalNAc-conjugated anti-miR targeting microRNA-103/107 for the treatment of non-alcoholic fatty liver disease; RGLS5040, an anti-miR targeting microRNA-27 for the treatment of cholestatic disease; and RGLS4326, an anti-miR targeting microRNA-17 for the treatment of autosomal dominant polycystic kidney disease. The company has strategic alliance with AstraZeneca AB and Sanofi to discover, develop, and commercialize microRNA therapeutics; and Biogen Inc. on microRNA biomarkers for multiple sclerosis, as well as a clinical trial collaboration agreement with GSK LLC. Regulus Therapeutics Inc. was founded in 2007 and is headquartered in San Diego, California.</v>
      </c>
    </row>
    <row r="32" spans="2:4" ht="12" customHeight="1">
      <c r="B32" s="1338" t="str">
        <f>'Comp.1'!$B35</f>
        <v>CEL-SCI Corporation</v>
      </c>
      <c r="C32" s="1339"/>
      <c r="D32" s="1338" t="str">
        <f>'Capital IQ Sheet-GPC'!AP36</f>
        <v>CEL-SCI Corporation engages in the research and development of drugs and vaccines. Its lead investigational immunotherapy is Multikine, which is under pivotal phase III clinical trial for the treatment of primary head and neck cancer. The company’s Multikine is also used in a Phase I study with the Naval Medical Center, San Diego under a cooperative research and development agreement in HIV/HPV co-infected men and women with peri-anal warts. Its Ligand Epitope Antigen Presentation System, a pre-clinical patented T-cell modulation process that stimulates the human immune system to fight bacterial, viral, and parasitic infections, as well as autoimmune diseases, allergies, transplantation rejections, and cancer. The company also develops LEAPS-H1N1-DC, a product candidate for the treatment of pandemic influenza in hospitalized patients; and CEL-2000 and CEL-4000 vaccine product candidates for the treatment of rheumatoid arthritis. CEL-SCI Corporation was founded in 1983 and is headquartered in Vienna, Virginia.</v>
      </c>
    </row>
    <row r="33" spans="2:4" ht="12" customHeight="1">
      <c r="B33" s="1338" t="str">
        <f>'Comp.1'!$B36</f>
        <v>PhaseRx, Inc.</v>
      </c>
      <c r="C33" s="1339"/>
      <c r="D33" s="1338" t="str">
        <f>'Capital IQ Sheet-GPC'!AP37</f>
        <v>PhaseRx, Inc., a biopharmaceutical company, engages in developing a portfolio of products for the treatment of inherited enzyme deficiencies in the liver using intracellular enzyme replacement therapy. The company develops its products based on its proprietary Hybrid mRNA technology platform, which allows the synthesis of missing enzyme inside the cell. Its therapeutic urea cycle disorder programs under development include PRX-OTC to treat ornithine transcarbamylase deficiency; PRX-ASL to treat argininosuccinate lyase deficiency; and PRX-ASS1 to treat argininosuccinate synthetase deficiency. The company was incorporated in 2006 and is headquartered in Seattle, Washington.</v>
      </c>
    </row>
    <row r="34" spans="2:4" ht="12" customHeight="1">
      <c r="B34" s="1338" t="str">
        <f>'Comp.1'!$B37</f>
        <v>Marina Biotech, Inc.</v>
      </c>
      <c r="C34" s="1339"/>
      <c r="D34" s="1338" t="str">
        <f>'Capital IQ Sheet-GPC'!AP38</f>
        <v>Marina Biotech, Inc., a biopharmaceutical company, engages in the discovery, acquisition, development, and commercialization of proprietary drug therapeutics for addressing unmet medical needs in the United States, Europe, and internationally. The company has three clinical development programs, such as IT-102 and IT-103, a celecoxib program drug candidates for the treatment of combined arthritis pain/hypertension and the treatment of pain requiring a high dose of celecoxib; CEQ508, an oral delivery of small interfering RNA against beta-catenin, combined with IT-102 to suppress polyps in the precancerous syndrome and orphan indication of familial adenomatous polyposis; and CEQ508 combined with IT-103 to treat colorectal cancer. Its preclinical pipeline includes oligotherapeutics for the treatment of bladder cancer, inflammatory bowel, and duchenne muscular dystrophy diseases. The company is based in City of Industry, California.</v>
      </c>
    </row>
    <row r="35" spans="2:4" ht="12" customHeight="1">
      <c r="B35" s="1338" t="str">
        <f>'Comp.1'!$B38</f>
        <v>RXi Pharmaceuticals Corporation</v>
      </c>
      <c r="C35" s="1339"/>
      <c r="D35" s="1338" t="str">
        <f>'Capital IQ Sheet-GPC'!AP39</f>
        <v>RXi Pharmaceuticals Corporation, a clinical-stage company, focuses on developing therapeutics for unmet medical needs. It develops therapies based on its self-delivering RNAi (sd-rxRNA) platform; and Samcyprone topical immunomodulatory. The company’s clinical development programs include RXI-109, an sd-rxRNA compound, which is in Phase II clinical trial for preventing or reducing dermal scarring following scar revision surgery of an existing hypertrophic scar; and in Phase I/II clinical trial for treating retinal scarring, as well as in discovery stage for the treatment of corneal scarring. Its clinical development programs also comprise RXI-231, an sd-rxRNA compound targeting tyrosinase, which is in development stage as a cosmetic ingredient for treating uneven skin tone and pigmentation; and RXI-185, an sd-rxRNA compound targeting collagenase that is in development stage as a cosmetic ingredient for treating wrinkles and skin laxity. The company is also developing Samcyprone, a formulation of the small molecule diphenylcyclopropenone, which is in Phase IIa clinical trial for the clearance of common warts. In addition, it is developing cell-based cancer immunotherapies. RXi Pharmaceuticals Corporation was incorporated in 2011 and is headquartered in Marlborough, Massachusetts.</v>
      </c>
    </row>
    <row r="36" spans="2:4" ht="12" customHeight="1">
      <c r="B36" s="1338" t="str">
        <f>'Comp.1'!$B39</f>
        <v>Benitec Biopharma Limited</v>
      </c>
      <c r="C36" s="1339"/>
      <c r="D36" s="1338" t="str">
        <f>'Capital IQ Sheet-GPC'!AP40</f>
        <v>Benitec Biopharma Limited, a biotechnology company, develops treatments for chronic and life-threatening human diseases based on its gene silencing therapy, DNA-directed RNA interference (ddRNAi) in Australia, the United Kingdom, and the United States. Its in-house development programs include TT-034, which is in Phase I/IIa clinical trials for the treatment of hepatitis C; BB-HB-331 for the treatment of the hepatitis B virus; and ddRNAi-based therapies, such as BB-AMD-211 and BB-AMD-233 for the treatment of wet age-related macular degeneration (AMD), as well as BB-AMD-231 for the treatment of wet and dry AMD. The company also engages in developing a ddRNAi-based gene therapy for the treatment of oculopharyngeal muscular dystrophy, an autosomal-dominant inherited, slow-progressing, and late-onset degenerative muscle disorder that occurs at the age of 40 or 50 years in patients. In addition, it licenses its ddRNAi technology to other biopharmaceutical companies for the progress of HIV/AIDS, retinitis pigmentosa, cancer immunotherapy, Huntington’s disease, and neuropathic pain programs. The company has a strategic partnership with Nant Capital, LLC for a scientific collaboration in clinical programs; and a research collaboration agreement with Nant Capital LLC for the clinical development of BB-401, a recombinant DNA construct that produces an antisense RNA with specificity against epidermal growth factor receptor. Benitec Biopharma Limited was founded in 1995 and is headquartered in North Sydney, Australia.</v>
      </c>
    </row>
    <row r="37" spans="2:4" ht="12" customHeight="1">
      <c r="B37" s="1338" t="str">
        <f>'Comp.1'!$B40</f>
        <v>GenVec, Inc.</v>
      </c>
      <c r="C37" s="1339"/>
      <c r="D37" s="1338" t="str">
        <f>'Capital IQ Sheet-GPC'!AP41</f>
        <v>GenVec, Inc., a clinical-stage biopharmaceutical company, focuses on developing a pipeline of therapeutics and vaccines through its proprietary AdenoVerse gene delivery platform in the United States. It designs, tests, and manufactures adenoviral-based product candidates. The company’s lead product candidate is CGF166, which is in Phase I/II clinical trial for the treatment of hearing loss and balance disorders. It is also developing GV2311 vaccine for respiratory syncytial virus; and GV2207 vaccine for the treatment of herpes simplex virus. The company has a collaboration agreement with Novartis AG to develop CGF166. It also has collaboration agreement with TheraBiologics, Inc. to develop cancer therapeutics; National Institute of Allergy and Infectious Diseases to generate vaccine candidates for the prevention of malaria; Laboratory of Malaria Immunology and Vaccinology to create and test various malaria vaccine candidates; and Merial to develop and commercialize vaccine and anti-viral candidates for the prevention and containment of foot-and-mouth diseases in livestock and other animals. The company was founded in 1992 and is based in Gaithersburg, Maryland.</v>
      </c>
    </row>
    <row r="38" spans="2:4" ht="12" customHeight="1">
      <c r="B38" s="1338" t="str">
        <f>'Comp.1'!$B41</f>
        <v>Arbutus Biopharma Corporation</v>
      </c>
      <c r="C38" s="1339"/>
      <c r="D38" s="1338" t="str">
        <f>'Capital IQ Sheet-GPC'!AP42</f>
        <v>Arbutus Biopharma Corporation, a biopharmaceutical company, engages in discovering, developing, and commercializing a cure for patients suffering from chronic Hepatitis B virus (HBV) infection in Canada and the United States. It also develops a pipeline of products based on RNA interference therapeutics (RNAi). The company’s lead candidate is ARB-1467, which is in a Phase II trial to eliminate HBV surface antigen expression in patients chronically infected with HBV. Its product candidates also comprise ARB-1740, a pan-genotypic second-generation siRNA therapeutic in Phase II multi-dose study in Hepatitis B e antigen-chronic HBV patients; and AB-423, a core protein/capsid assembly inhibitor in Phase I clinical trial as an oral therapeutic for the treatment of chronic HBV infection. In addition, the company has various research programs for the discovery and development of proprietary HBV candidates, including oral surface antigen inhibitors, cccDNA targeting agents, and immunomodulators. Further, its partnered programs consist of Patisiran (ALN-TTR02), an RNAi therapeutic targeting transthyretin (TTR) in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DCR-PH1 for the treatment of primary hyperoxaluria type 1. The company was formerly known as Tekmira Pharmaceuticals Corporation and changed its name to Arbutus Biopharma Corporation in July 2015. Arbutus Biopharma Corporation is headquartered in Burnaby, Canada.</v>
      </c>
    </row>
    <row r="39" spans="2:4" ht="14.85" customHeight="1">
      <c r="D39" s="1341"/>
    </row>
    <row r="40" spans="2:4" ht="14.85" customHeight="1">
      <c r="B40" s="356" t="s">
        <v>116</v>
      </c>
      <c r="D40" s="1341"/>
    </row>
    <row r="41" spans="2:4" ht="14.85" customHeight="1">
      <c r="D41" s="1341"/>
    </row>
    <row r="42" spans="2:4" ht="14.85" customHeight="1"/>
    <row r="43" spans="2:4" ht="14.85" customHeight="1"/>
    <row r="44" spans="2:4" ht="14.85" customHeight="1"/>
    <row r="45" spans="2:4" ht="14.85" customHeight="1"/>
    <row r="46" spans="2:4" ht="14.85" customHeight="1"/>
    <row r="47" spans="2:4" ht="14.85" customHeight="1"/>
    <row r="48" spans="2:4"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C4:D4">
    <cfRule type="cellIs" dxfId="220" priority="2" stopIfTrue="1" operator="equal">
      <formula>"input"</formula>
    </cfRule>
  </conditionalFormatting>
  <conditionalFormatting sqref="B4">
    <cfRule type="cellIs" dxfId="219" priority="1" stopIfTrue="1" operator="equal">
      <formula>"input"</formula>
    </cfRule>
  </conditionalFormatting>
  <pageMargins left="0.5" right="0.5" top="0.5" bottom="0.5" header="0.5" footer="0.5"/>
  <pageSetup fitToWidth="0" fitToHeight="0" orientation="landscape" r:id="rId1"/>
  <legacyDrawingHF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tabColor theme="3" tint="-0.499984740745262"/>
    <pageSetUpPr fitToPage="1"/>
  </sheetPr>
  <dimension ref="A6:G30"/>
  <sheetViews>
    <sheetView showGridLines="0" view="pageBreakPreview" zoomScale="60" zoomScaleNormal="100" workbookViewId="0"/>
  </sheetViews>
  <sheetFormatPr defaultColWidth="9.33203125" defaultRowHeight="12.75"/>
  <cols>
    <col min="1" max="1" width="4.5" style="303" customWidth="1"/>
    <col min="2" max="2" width="3.83203125" style="303" customWidth="1"/>
    <col min="3" max="3" width="15.83203125" style="303" customWidth="1"/>
    <col min="4" max="4" width="106" style="363" customWidth="1"/>
    <col min="5" max="5" width="15.83203125" style="303" customWidth="1"/>
    <col min="6" max="6" width="3.83203125" style="303" customWidth="1"/>
    <col min="7" max="7" width="4.5" style="303" customWidth="1"/>
    <col min="8" max="8" width="9.33203125" style="303"/>
    <col min="9" max="9" width="16.33203125" style="303" bestFit="1" customWidth="1"/>
    <col min="10" max="10" width="19" style="303" bestFit="1" customWidth="1"/>
    <col min="11" max="16384" width="9.33203125" style="303"/>
  </cols>
  <sheetData>
    <row r="6" spans="1:7">
      <c r="B6" s="364"/>
      <c r="C6" s="922"/>
      <c r="D6" s="2081"/>
      <c r="E6" s="922"/>
      <c r="F6" s="922"/>
    </row>
    <row r="7" spans="1:7" ht="13.5" thickBot="1">
      <c r="B7" s="364"/>
      <c r="C7" s="922"/>
      <c r="D7" s="2081"/>
      <c r="E7" s="922"/>
      <c r="F7" s="922"/>
    </row>
    <row r="8" spans="1:7" s="227" customFormat="1" ht="15" thickTop="1">
      <c r="A8" s="303"/>
      <c r="B8" s="1233"/>
      <c r="C8" s="1234"/>
      <c r="D8" s="2080"/>
      <c r="E8" s="1234"/>
      <c r="F8" s="1234"/>
      <c r="G8" s="303"/>
    </row>
    <row r="9" spans="1:7" s="234" customFormat="1" ht="39.75">
      <c r="A9" s="303"/>
      <c r="B9" s="1235"/>
      <c r="C9" s="1236"/>
      <c r="D9" s="260" t="s">
        <v>148</v>
      </c>
      <c r="E9" s="1236"/>
      <c r="F9" s="1236"/>
      <c r="G9" s="303"/>
    </row>
    <row r="10" spans="1:7" s="227" customFormat="1" ht="15" thickBot="1">
      <c r="A10" s="303"/>
      <c r="B10" s="1237"/>
      <c r="C10" s="1238"/>
      <c r="D10" s="2079"/>
      <c r="E10" s="1238"/>
      <c r="F10" s="1238"/>
      <c r="G10" s="303"/>
    </row>
    <row r="11" spans="1:7" s="227" customFormat="1" ht="15" thickTop="1">
      <c r="A11" s="303"/>
      <c r="B11" s="303"/>
      <c r="C11" s="303"/>
      <c r="D11" s="363"/>
      <c r="E11" s="303"/>
      <c r="F11" s="303"/>
      <c r="G11" s="303"/>
    </row>
    <row r="12" spans="1:7" s="227" customFormat="1" ht="14.25">
      <c r="A12" s="303"/>
      <c r="B12" s="303"/>
      <c r="C12" s="303"/>
      <c r="D12" s="363"/>
      <c r="E12" s="303"/>
      <c r="F12" s="303"/>
      <c r="G12" s="303"/>
    </row>
    <row r="13" spans="1:7" s="227" customFormat="1" ht="18">
      <c r="A13" s="303"/>
      <c r="B13" s="303"/>
      <c r="C13" s="303"/>
      <c r="D13" s="245"/>
      <c r="E13" s="303"/>
      <c r="F13" s="303"/>
      <c r="G13" s="303"/>
    </row>
    <row r="14" spans="1:7" s="227" customFormat="1" ht="18">
      <c r="A14" s="303"/>
      <c r="B14" s="303"/>
      <c r="C14" s="303"/>
      <c r="D14" s="246"/>
      <c r="E14" s="303"/>
      <c r="F14" s="303"/>
      <c r="G14" s="303"/>
    </row>
    <row r="15" spans="1:7" s="227" customFormat="1" ht="14.25">
      <c r="A15" s="303"/>
      <c r="B15" s="303"/>
      <c r="C15" s="303"/>
      <c r="D15" s="363"/>
      <c r="E15" s="303"/>
      <c r="F15" s="303"/>
      <c r="G15" s="303"/>
    </row>
    <row r="16" spans="1:7" s="227" customFormat="1" ht="14.25">
      <c r="A16" s="303"/>
      <c r="B16" s="303"/>
      <c r="C16" s="303"/>
      <c r="D16" s="363"/>
      <c r="E16" s="303"/>
      <c r="F16" s="303"/>
      <c r="G16" s="303"/>
    </row>
    <row r="17" spans="1:7" s="227" customFormat="1" ht="14.25">
      <c r="A17" s="303"/>
      <c r="B17" s="303"/>
      <c r="C17" s="303"/>
      <c r="D17" s="363"/>
      <c r="E17" s="303"/>
      <c r="F17" s="303"/>
      <c r="G17" s="303"/>
    </row>
    <row r="18" spans="1:7" s="227" customFormat="1" ht="14.25">
      <c r="A18" s="303"/>
      <c r="B18" s="303"/>
      <c r="C18" s="303"/>
      <c r="D18" s="363"/>
      <c r="E18" s="303"/>
      <c r="F18" s="303"/>
      <c r="G18" s="303"/>
    </row>
    <row r="19" spans="1:7" s="227" customFormat="1" ht="14.25">
      <c r="A19" s="303"/>
      <c r="B19" s="303"/>
      <c r="C19" s="303"/>
      <c r="D19" s="363"/>
      <c r="E19" s="303"/>
      <c r="F19" s="303"/>
      <c r="G19" s="303"/>
    </row>
    <row r="20" spans="1:7" s="227" customFormat="1" ht="14.25">
      <c r="A20" s="303"/>
      <c r="B20" s="303"/>
      <c r="C20" s="303"/>
      <c r="D20" s="363"/>
      <c r="E20" s="303"/>
      <c r="F20" s="303"/>
      <c r="G20" s="303"/>
    </row>
    <row r="21" spans="1:7" s="227" customFormat="1" ht="14.25">
      <c r="A21" s="303"/>
      <c r="B21" s="303"/>
      <c r="C21" s="303"/>
      <c r="D21" s="363"/>
      <c r="E21" s="303"/>
      <c r="F21" s="303"/>
      <c r="G21" s="303"/>
    </row>
    <row r="22" spans="1:7" s="227" customFormat="1" ht="14.25">
      <c r="A22" s="303"/>
      <c r="B22" s="303"/>
      <c r="C22" s="303"/>
      <c r="D22" s="363"/>
      <c r="E22" s="303"/>
      <c r="F22" s="303"/>
      <c r="G22" s="303"/>
    </row>
    <row r="23" spans="1:7" s="227" customFormat="1" ht="14.25">
      <c r="A23" s="303"/>
      <c r="B23" s="303"/>
      <c r="C23" s="303"/>
      <c r="D23" s="363"/>
      <c r="E23" s="303"/>
      <c r="F23" s="303"/>
      <c r="G23" s="303"/>
    </row>
    <row r="24" spans="1:7" s="227" customFormat="1" ht="14.25">
      <c r="A24" s="303"/>
      <c r="B24" s="303"/>
      <c r="C24" s="303"/>
      <c r="D24" s="363"/>
      <c r="E24" s="303"/>
      <c r="F24" s="303"/>
      <c r="G24" s="303"/>
    </row>
    <row r="25" spans="1:7" s="227" customFormat="1" ht="14.25">
      <c r="A25" s="303"/>
      <c r="B25" s="303"/>
      <c r="C25" s="303"/>
      <c r="D25" s="363"/>
      <c r="E25" s="303"/>
      <c r="F25" s="303"/>
      <c r="G25" s="303"/>
    </row>
    <row r="26" spans="1:7" s="227" customFormat="1" ht="14.25">
      <c r="A26" s="303"/>
      <c r="B26" s="303"/>
      <c r="C26" s="303"/>
      <c r="D26" s="363"/>
      <c r="E26" s="303"/>
      <c r="F26" s="303"/>
      <c r="G26" s="303"/>
    </row>
    <row r="27" spans="1:7" s="227" customFormat="1" ht="23.25">
      <c r="A27" s="303"/>
      <c r="B27" s="303"/>
      <c r="C27" s="303"/>
      <c r="D27" s="247"/>
      <c r="E27" s="303"/>
      <c r="F27" s="303"/>
      <c r="G27" s="303"/>
    </row>
    <row r="28" spans="1:7" s="227" customFormat="1" ht="14.25">
      <c r="A28" s="303"/>
      <c r="B28" s="303"/>
      <c r="C28" s="303"/>
      <c r="D28" s="363"/>
      <c r="E28" s="303"/>
      <c r="F28" s="303"/>
      <c r="G28" s="303"/>
    </row>
    <row r="29" spans="1:7" s="227" customFormat="1" ht="18">
      <c r="A29" s="303"/>
      <c r="B29" s="303"/>
      <c r="C29" s="303"/>
      <c r="D29" s="248"/>
      <c r="E29" s="303"/>
      <c r="F29" s="303"/>
      <c r="G29" s="303"/>
    </row>
    <row r="30" spans="1:7" s="227" customFormat="1" ht="36">
      <c r="A30" s="303"/>
      <c r="B30" s="303"/>
      <c r="C30" s="303"/>
      <c r="D30" s="249" t="s">
        <v>485</v>
      </c>
      <c r="E30" s="303"/>
      <c r="F30" s="303"/>
      <c r="G30" s="303"/>
    </row>
  </sheetData>
  <pageMargins left="0.5" right="0.5" top="0.5" bottom="0.5" header="0.5" footer="0.5"/>
  <pageSetup scale="99" orientation="landscape"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dimension ref="A1:U764"/>
  <sheetViews>
    <sheetView showGridLines="0" view="pageBreakPreview" zoomScale="80" zoomScaleNormal="100" zoomScaleSheetLayoutView="80" workbookViewId="0">
      <selection activeCell="A2" sqref="A2"/>
    </sheetView>
  </sheetViews>
  <sheetFormatPr defaultRowHeight="12.75"/>
  <cols>
    <col min="1" max="1" width="4.5" style="250" customWidth="1"/>
    <col min="2" max="2" width="36.5" style="250" customWidth="1"/>
    <col min="3" max="3" width="2.83203125" style="250" customWidth="1"/>
    <col min="4" max="4" width="15.1640625" style="250" customWidth="1"/>
    <col min="5" max="5" width="2.83203125" style="250" customWidth="1"/>
    <col min="6" max="6" width="15.1640625" style="250" customWidth="1"/>
    <col min="7" max="7" width="2.83203125" style="250" customWidth="1"/>
    <col min="8" max="8" width="15.1640625" style="250" customWidth="1"/>
    <col min="9" max="9" width="2.83203125" style="250" customWidth="1"/>
    <col min="10" max="10" width="15.1640625" style="250" customWidth="1"/>
    <col min="11" max="11" width="2.83203125" style="250" customWidth="1"/>
    <col min="12" max="12" width="15.1640625" style="250" customWidth="1"/>
    <col min="13" max="13" width="2.83203125" style="250" customWidth="1"/>
    <col min="14" max="14" width="15.1640625" style="250" customWidth="1"/>
    <col min="15" max="15" width="2.83203125" style="250" customWidth="1"/>
    <col min="16" max="16" width="15.1640625" style="250" customWidth="1"/>
    <col min="17" max="17" width="2.83203125" style="250" customWidth="1"/>
    <col min="18" max="18" width="15.83203125" style="250" customWidth="1"/>
    <col min="19" max="19" width="4.5" style="250" customWidth="1"/>
    <col min="20" max="16384" width="9.33203125" style="250"/>
  </cols>
  <sheetData>
    <row r="1" spans="2:20" ht="10.7" customHeight="1" thickBot="1"/>
    <row r="2" spans="2:20" ht="16.5" customHeight="1" thickTop="1">
      <c r="B2" s="258" t="str">
        <f>'MASTER PubCo Inputs'!$C$5</f>
        <v>ABC, Inc.</v>
      </c>
      <c r="C2" s="258"/>
      <c r="D2" s="258"/>
      <c r="E2" s="258"/>
      <c r="F2" s="258"/>
      <c r="G2" s="258"/>
      <c r="H2" s="258"/>
      <c r="I2" s="258"/>
      <c r="J2" s="258"/>
      <c r="K2" s="258"/>
      <c r="L2" s="258"/>
      <c r="M2" s="258"/>
      <c r="N2" s="258"/>
      <c r="O2" s="258"/>
      <c r="P2" s="258"/>
      <c r="Q2" s="258"/>
      <c r="R2" s="258"/>
    </row>
    <row r="3" spans="2:20" ht="15.75" customHeight="1">
      <c r="B3" s="259" t="str">
        <f>VLOOKUP(B4,Outline!$E$8:$G$79,COLUMNS(Outline!$E$8:$G$8),FALSE)</f>
        <v>Exhibit F.1</v>
      </c>
      <c r="C3" s="259"/>
      <c r="D3" s="259"/>
      <c r="E3" s="259"/>
      <c r="F3" s="259"/>
      <c r="G3" s="259"/>
      <c r="H3" s="259"/>
      <c r="I3" s="259"/>
      <c r="J3" s="259"/>
      <c r="K3" s="259"/>
      <c r="L3" s="259"/>
      <c r="M3" s="259"/>
      <c r="N3" s="259"/>
      <c r="O3" s="259"/>
      <c r="P3" s="259"/>
      <c r="Q3" s="259"/>
      <c r="R3" s="259"/>
    </row>
    <row r="4" spans="2:20" ht="16.5" customHeight="1" thickBot="1">
      <c r="B4" s="924" t="s">
        <v>380</v>
      </c>
      <c r="C4" s="924"/>
      <c r="D4" s="924"/>
      <c r="E4" s="924"/>
      <c r="F4" s="924"/>
      <c r="G4" s="924"/>
      <c r="H4" s="924"/>
      <c r="I4" s="924"/>
      <c r="J4" s="924"/>
      <c r="K4" s="924"/>
      <c r="L4" s="925"/>
      <c r="M4" s="924"/>
      <c r="N4" s="925"/>
      <c r="O4" s="925"/>
      <c r="P4" s="925"/>
      <c r="Q4" s="924"/>
      <c r="R4" s="925" t="str">
        <f>+'MASTER PubCo Inputs'!$C$21</f>
        <v>(in thousands of USD)</v>
      </c>
    </row>
    <row r="5" spans="2:20" s="467" customFormat="1" ht="14.85" customHeight="1" thickTop="1">
      <c r="B5" s="250"/>
      <c r="C5" s="250"/>
      <c r="D5" s="250"/>
      <c r="E5" s="250"/>
      <c r="F5" s="250"/>
      <c r="G5" s="250"/>
      <c r="H5" s="250"/>
      <c r="I5" s="250"/>
      <c r="J5" s="250"/>
      <c r="K5" s="250"/>
      <c r="L5" s="250"/>
      <c r="M5" s="250"/>
      <c r="N5" s="250"/>
      <c r="O5" s="250"/>
      <c r="P5" s="250"/>
      <c r="Q5" s="250"/>
      <c r="R5" s="250"/>
      <c r="S5" s="250"/>
    </row>
    <row r="6" spans="2:20" ht="14.85" customHeight="1"/>
    <row r="7" spans="2:20" s="467" customFormat="1" ht="14.85" customHeight="1">
      <c r="B7" s="1239" t="s">
        <v>791</v>
      </c>
      <c r="C7" s="1240"/>
      <c r="D7" s="1240"/>
      <c r="E7" s="1240"/>
      <c r="F7" s="1240"/>
      <c r="G7" s="1240"/>
      <c r="H7" s="1240"/>
      <c r="I7" s="1240"/>
      <c r="J7" s="1240"/>
      <c r="K7" s="1240"/>
      <c r="L7" s="1241"/>
      <c r="N7" s="1239" t="s">
        <v>3507</v>
      </c>
      <c r="O7" s="1240"/>
      <c r="P7" s="1240"/>
      <c r="Q7" s="1240"/>
      <c r="R7" s="1241"/>
    </row>
    <row r="8" spans="2:20" s="467" customFormat="1" ht="14.85" customHeight="1">
      <c r="B8" s="250"/>
      <c r="C8" s="250"/>
      <c r="D8" s="250"/>
      <c r="E8" s="250"/>
      <c r="F8" s="250"/>
      <c r="G8" s="250"/>
      <c r="H8" s="250"/>
      <c r="I8" s="250"/>
      <c r="J8" s="250"/>
      <c r="K8" s="250"/>
      <c r="L8" s="250"/>
      <c r="M8" s="250"/>
      <c r="N8" s="250"/>
      <c r="O8" s="250"/>
      <c r="P8" s="250"/>
      <c r="Q8" s="250"/>
      <c r="R8" s="250"/>
      <c r="S8" s="250"/>
    </row>
    <row r="9" spans="2:20" s="467" customFormat="1" ht="14.85" customHeight="1">
      <c r="B9" s="271" t="s">
        <v>660</v>
      </c>
      <c r="C9" s="250"/>
      <c r="D9" s="1243" t="s">
        <v>819</v>
      </c>
      <c r="E9" s="1243"/>
      <c r="F9" s="1243"/>
      <c r="G9" s="1243"/>
      <c r="H9" s="1245"/>
      <c r="I9" s="1243"/>
      <c r="J9" s="1245"/>
      <c r="K9" s="1243"/>
      <c r="L9" s="1245"/>
    </row>
    <row r="10" spans="2:20" s="467" customFormat="1" ht="14.85" customHeight="1">
      <c r="C10" s="250"/>
      <c r="D10" s="1342" t="str">
        <f>+Trans.1!U7</f>
        <v>Revenue</v>
      </c>
      <c r="E10" s="1342"/>
      <c r="F10" s="1342" t="str">
        <f>+Trans.1!V7</f>
        <v>EBITDA</v>
      </c>
      <c r="G10" s="1342"/>
      <c r="H10" s="1342" t="str">
        <f>+Trans.1!W7</f>
        <v>EBIT</v>
      </c>
      <c r="I10" s="1342"/>
      <c r="J10" s="1342" t="str">
        <f>+Trans.1!X7</f>
        <v>Price/Book Value</v>
      </c>
      <c r="K10" s="1342"/>
      <c r="L10" s="1342" t="str">
        <f>+Trans.1!Y7</f>
        <v>Price/Net Income</v>
      </c>
      <c r="M10" s="1343"/>
      <c r="N10" s="1344" t="str">
        <f>'Control Premium Summary'!B14</f>
        <v>Business Services</v>
      </c>
      <c r="O10" s="1343"/>
      <c r="P10" s="1342" t="str">
        <f>Trans.1!AI7</f>
        <v>1 Week</v>
      </c>
      <c r="Q10" s="1343"/>
      <c r="R10" s="1342" t="str">
        <f>Trans.1!AJ7</f>
        <v>1 Month</v>
      </c>
      <c r="S10" s="347"/>
      <c r="T10" s="1343"/>
    </row>
    <row r="11" spans="2:20" s="467" customFormat="1" ht="14.85" customHeight="1">
      <c r="C11" s="250"/>
      <c r="D11" s="251"/>
      <c r="E11" s="251"/>
      <c r="F11" s="251"/>
      <c r="G11" s="251"/>
      <c r="H11" s="251"/>
      <c r="I11" s="251"/>
      <c r="J11" s="251"/>
      <c r="K11" s="251"/>
      <c r="L11" s="251"/>
      <c r="P11" s="251"/>
      <c r="Q11" s="251"/>
      <c r="R11" s="251"/>
      <c r="S11" s="250"/>
    </row>
    <row r="12" spans="2:20" s="467" customFormat="1" ht="14.85" customHeight="1">
      <c r="B12" s="1095" t="str">
        <f>+'Comp.1'!$B43</f>
        <v>High</v>
      </c>
      <c r="C12" s="250"/>
      <c r="D12" s="1174">
        <f>+Trans.1!U43</f>
        <v>36.80718386016779</v>
      </c>
      <c r="E12" s="1174"/>
      <c r="F12" s="1174">
        <f>+Trans.1!V43</f>
        <v>0</v>
      </c>
      <c r="G12" s="1174"/>
      <c r="H12" s="1174">
        <f>+Trans.1!W43</f>
        <v>0</v>
      </c>
      <c r="I12" s="1174"/>
      <c r="J12" s="1174">
        <f>+Trans.1!X43</f>
        <v>11.42728</v>
      </c>
      <c r="K12" s="1174"/>
      <c r="L12" s="1174">
        <f>+Trans.1!Y43</f>
        <v>0</v>
      </c>
      <c r="M12" s="718"/>
      <c r="N12" s="718"/>
      <c r="O12" s="718"/>
      <c r="P12" s="1345">
        <f>Trans.1!AI43</f>
        <v>1.2368589999999999</v>
      </c>
      <c r="Q12" s="1345"/>
      <c r="R12" s="1345">
        <f>Trans.1!AJ43</f>
        <v>1.4347749999999999</v>
      </c>
      <c r="S12" s="250"/>
    </row>
    <row r="13" spans="2:20" s="467" customFormat="1" ht="14.85" customHeight="1">
      <c r="B13" s="1095" t="str">
        <f>+'Comp.1'!$B44</f>
        <v>3rd Quartile</v>
      </c>
      <c r="C13" s="250"/>
      <c r="D13" s="1174">
        <f>+Trans.1!U44</f>
        <v>28.745577348486528</v>
      </c>
      <c r="E13" s="1174"/>
      <c r="F13" s="1174" t="e">
        <f>+Trans.1!V44</f>
        <v>#NUM!</v>
      </c>
      <c r="G13" s="1174"/>
      <c r="H13" s="1174" t="e">
        <f>+Trans.1!W44</f>
        <v>#NUM!</v>
      </c>
      <c r="I13" s="1174"/>
      <c r="J13" s="1174">
        <f>+Trans.1!X44</f>
        <v>0</v>
      </c>
      <c r="K13" s="1174"/>
      <c r="L13" s="1174">
        <f>+Trans.1!Y44</f>
        <v>0</v>
      </c>
      <c r="M13" s="718"/>
      <c r="N13" s="718"/>
      <c r="O13" s="718"/>
      <c r="P13" s="1345">
        <f>Trans.1!AI44</f>
        <v>0</v>
      </c>
      <c r="Q13" s="1345"/>
      <c r="R13" s="1345">
        <f>Trans.1!AJ44</f>
        <v>0</v>
      </c>
      <c r="S13" s="250"/>
    </row>
    <row r="14" spans="2:20" s="467" customFormat="1" ht="14.85" customHeight="1">
      <c r="B14" s="1095" t="str">
        <f>+'Comp.1'!$B45</f>
        <v xml:space="preserve">Mean </v>
      </c>
      <c r="C14" s="250"/>
      <c r="D14" s="1174">
        <f>+Trans.1!U45</f>
        <v>20.683970836805265</v>
      </c>
      <c r="E14" s="1174"/>
      <c r="F14" s="1174" t="e">
        <f>+Trans.1!V45</f>
        <v>#DIV/0!</v>
      </c>
      <c r="G14" s="1174"/>
      <c r="H14" s="1174" t="e">
        <f>+Trans.1!W45</f>
        <v>#DIV/0!</v>
      </c>
      <c r="I14" s="1174"/>
      <c r="J14" s="1174">
        <f>+Trans.1!X45</f>
        <v>1.6495582352941176</v>
      </c>
      <c r="K14" s="1174"/>
      <c r="L14" s="1174">
        <f>+Trans.1!Y45</f>
        <v>0</v>
      </c>
      <c r="M14" s="718"/>
      <c r="N14" s="1345">
        <f>'Control Premium Summary'!E15</f>
        <v>0.43099999999999999</v>
      </c>
      <c r="O14" s="718"/>
      <c r="P14" s="1345">
        <f>Trans.1!AI45</f>
        <v>0.11615813333333333</v>
      </c>
      <c r="Q14" s="1345"/>
      <c r="R14" s="1345">
        <f>Trans.1!AJ45</f>
        <v>0.12751399999999999</v>
      </c>
      <c r="S14" s="250"/>
    </row>
    <row r="15" spans="2:20" s="467" customFormat="1" ht="14.85" customHeight="1">
      <c r="B15" s="1095" t="str">
        <f>+'Comp.1'!$B46</f>
        <v>Median</v>
      </c>
      <c r="C15" s="250"/>
      <c r="D15" s="1174">
        <f>+Trans.1!U46</f>
        <v>20.683970836805265</v>
      </c>
      <c r="E15" s="1174"/>
      <c r="F15" s="1174" t="e">
        <f>+Trans.1!V46</f>
        <v>#NUM!</v>
      </c>
      <c r="G15" s="1174"/>
      <c r="H15" s="1174" t="e">
        <f>+Trans.1!W46</f>
        <v>#NUM!</v>
      </c>
      <c r="I15" s="1174"/>
      <c r="J15" s="1174">
        <f>+Trans.1!X46</f>
        <v>0</v>
      </c>
      <c r="K15" s="1174"/>
      <c r="L15" s="1174">
        <f>+Trans.1!Y46</f>
        <v>0</v>
      </c>
      <c r="M15" s="718"/>
      <c r="N15" s="1345">
        <f>'Control Premium Summary'!E16</f>
        <v>0.28899999999999998</v>
      </c>
      <c r="O15" s="718"/>
      <c r="P15" s="1345">
        <f>Trans.1!AI46</f>
        <v>0</v>
      </c>
      <c r="Q15" s="1345"/>
      <c r="R15" s="1345">
        <f>Trans.1!AJ46</f>
        <v>0</v>
      </c>
      <c r="S15" s="250"/>
    </row>
    <row r="16" spans="2:20" s="467" customFormat="1" ht="14.85" customHeight="1">
      <c r="B16" s="1095" t="str">
        <f>+'Comp.1'!$B47</f>
        <v>1st Quartile</v>
      </c>
      <c r="C16" s="250"/>
      <c r="D16" s="1174">
        <f>+Trans.1!U47</f>
        <v>12.622364325124003</v>
      </c>
      <c r="E16" s="1174"/>
      <c r="F16" s="1174" t="e">
        <f>+Trans.1!V47</f>
        <v>#NUM!</v>
      </c>
      <c r="G16" s="1174"/>
      <c r="H16" s="1174" t="e">
        <f>+Trans.1!W47</f>
        <v>#NUM!</v>
      </c>
      <c r="I16" s="1174"/>
      <c r="J16" s="1174">
        <f>+Trans.1!X47</f>
        <v>0</v>
      </c>
      <c r="K16" s="1174"/>
      <c r="L16" s="1174">
        <f>+Trans.1!Y47</f>
        <v>0</v>
      </c>
      <c r="M16" s="718"/>
      <c r="N16" s="718"/>
      <c r="O16" s="718"/>
      <c r="P16" s="1345">
        <f>Trans.1!AI47</f>
        <v>0</v>
      </c>
      <c r="Q16" s="1345"/>
      <c r="R16" s="1345">
        <f>Trans.1!AJ47</f>
        <v>0</v>
      </c>
      <c r="S16" s="250"/>
    </row>
    <row r="17" spans="2:21" s="467" customFormat="1" ht="14.85" customHeight="1">
      <c r="B17" s="1095" t="str">
        <f>+'Comp.1'!$B48</f>
        <v>Low</v>
      </c>
      <c r="C17" s="250"/>
      <c r="D17" s="1174">
        <f>+Trans.1!U48</f>
        <v>4.5607578134427422</v>
      </c>
      <c r="E17" s="1174"/>
      <c r="F17" s="1174">
        <f>+Trans.1!V48</f>
        <v>0</v>
      </c>
      <c r="G17" s="1174"/>
      <c r="H17" s="1174">
        <f>+Trans.1!W48</f>
        <v>0</v>
      </c>
      <c r="I17" s="1174"/>
      <c r="J17" s="1174">
        <f>+Trans.1!X48</f>
        <v>0</v>
      </c>
      <c r="K17" s="1174"/>
      <c r="L17" s="1174">
        <f>+Trans.1!Y48</f>
        <v>0</v>
      </c>
      <c r="M17" s="718"/>
      <c r="N17" s="718"/>
      <c r="O17" s="718"/>
      <c r="P17" s="1345">
        <f>Trans.1!AI48</f>
        <v>0</v>
      </c>
      <c r="Q17" s="1345"/>
      <c r="R17" s="1345">
        <f>Trans.1!AJ48</f>
        <v>0</v>
      </c>
      <c r="S17" s="250"/>
    </row>
    <row r="18" spans="2:21" s="467" customFormat="1" ht="14.85" customHeight="1">
      <c r="B18" s="250"/>
      <c r="C18" s="250"/>
      <c r="D18" s="275"/>
      <c r="E18" s="275"/>
      <c r="F18" s="275"/>
      <c r="G18" s="275"/>
      <c r="H18" s="275"/>
      <c r="I18" s="275"/>
      <c r="J18" s="275"/>
      <c r="K18" s="275"/>
      <c r="L18" s="275"/>
      <c r="M18" s="275"/>
      <c r="N18" s="275"/>
      <c r="O18" s="275"/>
      <c r="P18" s="275"/>
      <c r="Q18" s="275"/>
      <c r="R18" s="275"/>
      <c r="S18" s="250"/>
    </row>
    <row r="19" spans="2:21" ht="14.85" customHeight="1">
      <c r="F19" s="1248" t="s">
        <v>3508</v>
      </c>
      <c r="G19" s="1346"/>
      <c r="H19" s="1241"/>
      <c r="J19" s="1249" t="s">
        <v>1979</v>
      </c>
      <c r="L19" s="1248" t="s">
        <v>818</v>
      </c>
      <c r="M19" s="1346"/>
      <c r="N19" s="1241"/>
      <c r="O19" s="275"/>
      <c r="P19" s="1248" t="s">
        <v>3509</v>
      </c>
    </row>
    <row r="20" spans="2:21" s="272" customFormat="1" ht="14.85" customHeight="1">
      <c r="D20" s="1347" t="s">
        <v>350</v>
      </c>
      <c r="E20" s="347"/>
      <c r="F20" s="1251" t="s">
        <v>112</v>
      </c>
      <c r="G20" s="1348"/>
      <c r="H20" s="1251" t="s">
        <v>111</v>
      </c>
      <c r="I20" s="1348"/>
      <c r="J20" s="1349">
        <f>'GCM SUMM'!J28</f>
        <v>0.25</v>
      </c>
      <c r="K20" s="1348"/>
      <c r="L20" s="1250" t="s">
        <v>112</v>
      </c>
      <c r="M20" s="1348"/>
      <c r="N20" s="1250" t="s">
        <v>111</v>
      </c>
      <c r="O20" s="347"/>
      <c r="P20" s="1252"/>
      <c r="Q20" s="1350"/>
      <c r="R20" s="1253" t="s">
        <v>70</v>
      </c>
    </row>
    <row r="21" spans="2:21" ht="14.85" customHeight="1">
      <c r="O21" s="275"/>
    </row>
    <row r="22" spans="2:21" ht="14.85" customHeight="1">
      <c r="B22" s="253" t="s">
        <v>343</v>
      </c>
      <c r="O22" s="275"/>
      <c r="T22" s="1351" t="s">
        <v>738</v>
      </c>
      <c r="U22" s="891"/>
    </row>
    <row r="23" spans="2:21" ht="14.85" customHeight="1">
      <c r="B23" s="328" t="s">
        <v>168</v>
      </c>
      <c r="D23" s="337">
        <f ca="1">'Hist IS'!$J$13</f>
        <v>4443</v>
      </c>
      <c r="E23" s="345"/>
      <c r="F23" s="1255">
        <v>0.67581966101694912</v>
      </c>
      <c r="G23" s="345"/>
      <c r="H23" s="1255">
        <v>0.78</v>
      </c>
      <c r="I23" s="345"/>
      <c r="J23" s="1256">
        <f>IF($T$23&lt;&gt;"Discount",1,1/((1+DCF!$F$62)^(0/12)))</f>
        <v>1</v>
      </c>
      <c r="K23" s="345"/>
      <c r="L23" s="1257">
        <f ca="1">IFERROR($D23*F23*$J23,"n/a")</f>
        <v>3002.6667538983052</v>
      </c>
      <c r="N23" s="1257">
        <f ca="1">IFERROR($D23*H23*$J23,"n/a")</f>
        <v>3465.54</v>
      </c>
      <c r="O23" s="275"/>
      <c r="P23" s="1258">
        <v>0</v>
      </c>
      <c r="R23" s="251" t="str">
        <f>'Hist IS'!$B$3</f>
        <v>Exhibit C.3</v>
      </c>
      <c r="T23" s="518" t="s">
        <v>50</v>
      </c>
      <c r="U23" s="897"/>
    </row>
    <row r="24" spans="2:21" ht="14.85" customHeight="1">
      <c r="B24" s="328" t="s">
        <v>181</v>
      </c>
      <c r="D24" s="337">
        <f ca="1">'Hist IS'!$J$43</f>
        <v>580</v>
      </c>
      <c r="E24" s="345"/>
      <c r="F24" s="1255">
        <v>0.67581966101694912</v>
      </c>
      <c r="G24" s="345"/>
      <c r="H24" s="1255">
        <v>0.78</v>
      </c>
      <c r="I24" s="345"/>
      <c r="J24" s="1256">
        <f>IF($T$23&lt;&gt;"Discount",1,$J$23)</f>
        <v>1</v>
      </c>
      <c r="K24" s="345"/>
      <c r="L24" s="1257">
        <f ca="1">IFERROR($D24*F24*$J24,"n/a")</f>
        <v>391.97540338983049</v>
      </c>
      <c r="N24" s="1257">
        <f ca="1">IFERROR($D24*H24*$J24,"n/a")</f>
        <v>452.40000000000003</v>
      </c>
      <c r="O24" s="275"/>
      <c r="P24" s="1258">
        <v>0</v>
      </c>
      <c r="R24" s="251" t="str">
        <f>'Hist IS'!$B$3</f>
        <v>Exhibit C.3</v>
      </c>
    </row>
    <row r="25" spans="2:21" ht="14.85" customHeight="1">
      <c r="D25" s="337"/>
      <c r="J25" s="1256"/>
      <c r="O25" s="275"/>
      <c r="P25" s="1258"/>
    </row>
    <row r="26" spans="2:21" ht="14.85" customHeight="1">
      <c r="B26" s="253" t="s">
        <v>346</v>
      </c>
      <c r="D26" s="337"/>
      <c r="J26" s="1256"/>
      <c r="O26" s="275"/>
      <c r="P26" s="1258"/>
    </row>
    <row r="27" spans="2:21" ht="14.85" customHeight="1">
      <c r="B27" s="328" t="s">
        <v>168</v>
      </c>
      <c r="D27" s="337">
        <f>DCF!$F$14</f>
        <v>3722</v>
      </c>
      <c r="E27" s="345"/>
      <c r="F27" s="1255">
        <v>0.67581966101694912</v>
      </c>
      <c r="G27" s="345"/>
      <c r="H27" s="1255">
        <v>0.78</v>
      </c>
      <c r="I27" s="345"/>
      <c r="J27" s="1256">
        <f>IF($T$23&lt;&gt;"Discount",1,1/(1+DCF!$D$62)^(DCF!F$57))</f>
        <v>0.8</v>
      </c>
      <c r="K27" s="345"/>
      <c r="L27" s="1257">
        <f>IFERROR($D27*F27*$J27,"n/a")</f>
        <v>2012.320622644068</v>
      </c>
      <c r="N27" s="1257">
        <f>IFERROR($D27*H27*$J27,"n/a")</f>
        <v>2322.5280000000002</v>
      </c>
      <c r="O27" s="275"/>
      <c r="P27" s="1258">
        <v>0.5</v>
      </c>
      <c r="R27" s="251" t="str">
        <f>DCF!$B$3</f>
        <v>Exhibit C.1</v>
      </c>
    </row>
    <row r="28" spans="2:21" ht="14.85" customHeight="1">
      <c r="B28" s="328" t="s">
        <v>181</v>
      </c>
      <c r="D28" s="337">
        <f>DCF!$F$30</f>
        <v>-6328.3000000000011</v>
      </c>
      <c r="E28" s="345"/>
      <c r="F28" s="1255" t="s">
        <v>13</v>
      </c>
      <c r="G28" s="345"/>
      <c r="H28" s="1255" t="s">
        <v>13</v>
      </c>
      <c r="I28" s="345"/>
      <c r="J28" s="1256">
        <f>IF($T$23&lt;&gt;"Discount",1,$J$27)</f>
        <v>0.8</v>
      </c>
      <c r="K28" s="345"/>
      <c r="L28" s="1257" t="str">
        <f>IFERROR($D28*F28*$J28,"n/a")</f>
        <v>n/a</v>
      </c>
      <c r="N28" s="1257" t="str">
        <f>IFERROR($D28*H28*$J28,"n/a")</f>
        <v>n/a</v>
      </c>
      <c r="O28" s="275"/>
      <c r="P28" s="1258">
        <v>0</v>
      </c>
      <c r="R28" s="251" t="str">
        <f>DCF!$B$3</f>
        <v>Exhibit C.1</v>
      </c>
    </row>
    <row r="29" spans="2:21" ht="14.85" customHeight="1">
      <c r="D29" s="337"/>
      <c r="J29" s="1256"/>
      <c r="O29" s="275"/>
      <c r="P29" s="1258"/>
    </row>
    <row r="30" spans="2:21" ht="14.85" customHeight="1">
      <c r="B30" s="253" t="s">
        <v>347</v>
      </c>
      <c r="D30" s="337"/>
      <c r="J30" s="1256"/>
      <c r="O30" s="275"/>
      <c r="P30" s="1258"/>
    </row>
    <row r="31" spans="2:21" ht="14.85" customHeight="1">
      <c r="B31" s="328" t="s">
        <v>168</v>
      </c>
      <c r="D31" s="337">
        <f>DCF!$G$14</f>
        <v>8657.4</v>
      </c>
      <c r="E31" s="345"/>
      <c r="F31" s="1255">
        <v>0.67581966101694912</v>
      </c>
      <c r="G31" s="345"/>
      <c r="H31" s="1255">
        <v>0.78</v>
      </c>
      <c r="I31" s="345"/>
      <c r="J31" s="1256">
        <f>IF($T$23&lt;&gt;"Discount",1,1/(1+DCF!$D$62)^(DCF!F$57+1))</f>
        <v>0.64</v>
      </c>
      <c r="K31" s="345"/>
      <c r="L31" s="1257">
        <f>IFERROR($D31*F31*$J31,"n/a")</f>
        <v>3744.5383253044065</v>
      </c>
      <c r="N31" s="1257">
        <f>IFERROR($D31*H31*$J31,"n/a")</f>
        <v>4321.7740800000001</v>
      </c>
      <c r="O31" s="275"/>
      <c r="P31" s="1258">
        <v>0.5</v>
      </c>
      <c r="R31" s="251" t="str">
        <f>DCF!$B$3</f>
        <v>Exhibit C.1</v>
      </c>
    </row>
    <row r="32" spans="2:21" ht="14.85" customHeight="1">
      <c r="B32" s="328" t="s">
        <v>181</v>
      </c>
      <c r="D32" s="337">
        <f>DCF!$G$30</f>
        <v>-4843.8</v>
      </c>
      <c r="E32" s="345"/>
      <c r="F32" s="1255">
        <v>0.67581966101694912</v>
      </c>
      <c r="G32" s="345"/>
      <c r="H32" s="1255">
        <v>0.78</v>
      </c>
      <c r="I32" s="345"/>
      <c r="J32" s="1256">
        <f>IF($T$23&lt;&gt;"Discount",1,$J$31)</f>
        <v>0.64</v>
      </c>
      <c r="K32" s="345"/>
      <c r="L32" s="1257">
        <f>IFERROR($D32*F32*$J32,"n/a")</f>
        <v>-2095.0625753816948</v>
      </c>
      <c r="N32" s="1257">
        <f>IFERROR($D32*H32*$J32,"n/a")</f>
        <v>-2418.0249600000002</v>
      </c>
      <c r="O32" s="275"/>
      <c r="P32" s="1258"/>
      <c r="R32" s="251" t="str">
        <f>DCF!$B$3</f>
        <v>Exhibit C.1</v>
      </c>
    </row>
    <row r="33" spans="2:18" ht="14.85" customHeight="1">
      <c r="D33" s="337"/>
      <c r="J33" s="1256"/>
      <c r="O33" s="275"/>
      <c r="P33" s="1258"/>
    </row>
    <row r="34" spans="2:18" ht="14.85" customHeight="1">
      <c r="B34" s="253" t="s">
        <v>348</v>
      </c>
      <c r="D34" s="337"/>
      <c r="J34" s="1256"/>
      <c r="O34" s="275"/>
      <c r="P34" s="1258"/>
    </row>
    <row r="35" spans="2:18" ht="14.85" customHeight="1">
      <c r="B35" s="328" t="s">
        <v>168</v>
      </c>
      <c r="D35" s="337">
        <f>DCF!$H$14</f>
        <v>19751.599999999999</v>
      </c>
      <c r="E35" s="345"/>
      <c r="F35" s="1255">
        <v>0.67581966101694912</v>
      </c>
      <c r="G35" s="345"/>
      <c r="H35" s="1255">
        <v>0.78</v>
      </c>
      <c r="I35" s="345"/>
      <c r="J35" s="1256">
        <f>IF($T$23&lt;&gt;"Discount",1,1/(1+DCF!$D$62)^(DCF!F$57+2))</f>
        <v>0.51200000000000001</v>
      </c>
      <c r="K35" s="345"/>
      <c r="L35" s="1257">
        <f>IFERROR($D35*F35*$J35,"n/a")</f>
        <v>6834.4420436696946</v>
      </c>
      <c r="N35" s="1257">
        <f>IFERROR($D35*H35*$J35,"n/a")</f>
        <v>7887.9989759999999</v>
      </c>
      <c r="O35" s="275"/>
      <c r="P35" s="1258">
        <v>0</v>
      </c>
      <c r="R35" s="251" t="str">
        <f>DCF!$B$3</f>
        <v>Exhibit C.1</v>
      </c>
    </row>
    <row r="36" spans="2:18" ht="14.85" customHeight="1">
      <c r="B36" s="328" t="s">
        <v>181</v>
      </c>
      <c r="D36" s="337">
        <f>DCF!$H$30</f>
        <v>-753.20000000000255</v>
      </c>
      <c r="E36" s="345"/>
      <c r="F36" s="1255">
        <v>0.67581966101694912</v>
      </c>
      <c r="G36" s="345"/>
      <c r="H36" s="1255">
        <v>0.78</v>
      </c>
      <c r="I36" s="345"/>
      <c r="J36" s="1256">
        <f>IF($T$23&lt;&gt;"Discount",1,$J$35)</f>
        <v>0.51200000000000001</v>
      </c>
      <c r="K36" s="345"/>
      <c r="L36" s="1257">
        <f>IFERROR($D36*F36*$J36,"n/a")</f>
        <v>-260.62201276311953</v>
      </c>
      <c r="N36" s="1257">
        <f>IFERROR($D36*H36*$J36,"n/a")</f>
        <v>-300.79795200000103</v>
      </c>
      <c r="O36" s="275"/>
      <c r="P36" s="1258">
        <v>0</v>
      </c>
      <c r="R36" s="251" t="str">
        <f>DCF!$B$3</f>
        <v>Exhibit C.1</v>
      </c>
    </row>
    <row r="37" spans="2:18" ht="14.85" customHeight="1">
      <c r="O37" s="275"/>
    </row>
    <row r="38" spans="2:18" ht="14.85" customHeight="1">
      <c r="B38" s="1352" t="s">
        <v>381</v>
      </c>
      <c r="C38" s="1353"/>
      <c r="D38" s="1353"/>
      <c r="E38" s="1353"/>
      <c r="F38" s="1353"/>
      <c r="G38" s="1353"/>
      <c r="H38" s="1353"/>
      <c r="I38" s="1353"/>
      <c r="J38" s="1353"/>
      <c r="K38" s="1353"/>
      <c r="L38" s="1354">
        <f ca="1">SUMPRODUCT(L23:L36,$P$23:$P$36)</f>
        <v>2878.4294739742372</v>
      </c>
      <c r="M38" s="1353"/>
      <c r="N38" s="1354">
        <f ca="1">SUMPRODUCT(N23:N36,$P$23:$P$36)</f>
        <v>3322.1510400000002</v>
      </c>
      <c r="O38" s="275"/>
    </row>
    <row r="39" spans="2:18" ht="14.85" customHeight="1">
      <c r="O39" s="275"/>
    </row>
    <row r="40" spans="2:18" ht="14.85" customHeight="1">
      <c r="B40" s="328" t="str">
        <f>'GCM SUMM'!B50</f>
        <v>Less: Total Debt</v>
      </c>
      <c r="L40" s="337">
        <f ca="1">-'Hist BS'!$I$65</f>
        <v>-2038</v>
      </c>
      <c r="M40" s="345"/>
      <c r="N40" s="331">
        <f ca="1">L40</f>
        <v>-2038</v>
      </c>
      <c r="O40" s="275"/>
      <c r="R40" s="256" t="str">
        <f>'Hist BS'!$B$3</f>
        <v>Exhibit C.4</v>
      </c>
    </row>
    <row r="41" spans="2:18" ht="14.85" customHeight="1">
      <c r="B41" s="346"/>
      <c r="C41" s="346"/>
      <c r="D41" s="346"/>
      <c r="E41" s="346"/>
      <c r="F41" s="346"/>
      <c r="G41" s="346"/>
      <c r="H41" s="346"/>
      <c r="I41" s="346"/>
      <c r="J41" s="346"/>
      <c r="K41" s="346"/>
      <c r="L41" s="346"/>
      <c r="M41" s="346"/>
      <c r="N41" s="346"/>
      <c r="O41" s="275"/>
    </row>
    <row r="42" spans="2:18" ht="14.85" customHeight="1">
      <c r="B42" s="253" t="s">
        <v>662</v>
      </c>
      <c r="L42" s="412">
        <f ca="1">SUM(L38:L40)</f>
        <v>840.42947397423723</v>
      </c>
      <c r="N42" s="412">
        <f ca="1">SUM(N38:N40)</f>
        <v>1284.1510400000002</v>
      </c>
      <c r="O42" s="275"/>
    </row>
    <row r="43" spans="2:18" ht="14.85" customHeight="1">
      <c r="O43" s="275"/>
    </row>
    <row r="44" spans="2:18" ht="14.85" customHeight="1">
      <c r="B44" s="328" t="s">
        <v>663</v>
      </c>
      <c r="D44" s="1124">
        <f>'Control Premium Summary'!H39</f>
        <v>0.25</v>
      </c>
      <c r="O44" s="275"/>
    </row>
    <row r="45" spans="2:18" ht="14.85" customHeight="1">
      <c r="B45" s="328" t="s">
        <v>664</v>
      </c>
      <c r="D45" s="333">
        <f>1-(1/(1+D44))</f>
        <v>0.19999999999999996</v>
      </c>
      <c r="L45" s="1257">
        <f ca="1">+L42*(1-$D$45)</f>
        <v>672.34357917938985</v>
      </c>
      <c r="N45" s="1257">
        <f ca="1">+N42*(1-$D$45)</f>
        <v>1027.3208320000001</v>
      </c>
      <c r="O45" s="275"/>
    </row>
    <row r="46" spans="2:18" ht="14.85" customHeight="1">
      <c r="B46" s="346"/>
      <c r="C46" s="346"/>
      <c r="D46" s="346"/>
      <c r="E46" s="346"/>
      <c r="F46" s="346"/>
      <c r="G46" s="346"/>
      <c r="H46" s="346"/>
      <c r="I46" s="346"/>
      <c r="J46" s="346"/>
      <c r="K46" s="346"/>
      <c r="L46" s="346"/>
      <c r="M46" s="346"/>
      <c r="N46" s="346"/>
      <c r="O46" s="275"/>
    </row>
    <row r="47" spans="2:18" ht="14.85" customHeight="1">
      <c r="B47" s="253" t="s">
        <v>665</v>
      </c>
      <c r="L47" s="412">
        <f ca="1">L45</f>
        <v>672.34357917938985</v>
      </c>
      <c r="N47" s="412">
        <f ca="1">N45</f>
        <v>1027.3208320000001</v>
      </c>
      <c r="O47" s="275"/>
    </row>
    <row r="48" spans="2:18" ht="14.85" customHeight="1">
      <c r="O48" s="275"/>
    </row>
    <row r="49" spans="1:18" ht="14.85" customHeight="1">
      <c r="B49" s="328" t="s">
        <v>353</v>
      </c>
      <c r="D49" s="1122"/>
      <c r="E49" s="1122"/>
      <c r="G49" s="1122"/>
      <c r="I49" s="1122"/>
      <c r="K49" s="1122"/>
      <c r="L49" s="331">
        <f ca="1">-L40</f>
        <v>2038</v>
      </c>
      <c r="M49" s="345"/>
      <c r="N49" s="331">
        <f ca="1">-N40</f>
        <v>2038</v>
      </c>
      <c r="O49" s="275"/>
      <c r="R49" s="256" t="str">
        <f>'Hist BS'!$B$3</f>
        <v>Exhibit C.4</v>
      </c>
    </row>
    <row r="50" spans="1:18" ht="14.85" customHeight="1">
      <c r="B50" s="346"/>
      <c r="C50" s="346"/>
      <c r="D50" s="346"/>
      <c r="E50" s="346"/>
      <c r="F50" s="346"/>
      <c r="G50" s="346"/>
      <c r="H50" s="346"/>
      <c r="I50" s="346"/>
      <c r="J50" s="346"/>
      <c r="K50" s="346"/>
      <c r="L50" s="346"/>
      <c r="M50" s="346"/>
      <c r="N50" s="346"/>
      <c r="O50" s="275"/>
    </row>
    <row r="51" spans="1:18" ht="14.85" customHeight="1">
      <c r="B51" s="253" t="s">
        <v>354</v>
      </c>
      <c r="L51" s="412">
        <f ca="1">SUM(L47:L49)</f>
        <v>2710.34357917939</v>
      </c>
      <c r="N51" s="412">
        <f ca="1">SUM(N47:N49)</f>
        <v>3065.3208320000003</v>
      </c>
      <c r="O51" s="275"/>
    </row>
    <row r="52" spans="1:18" ht="14.85" customHeight="1">
      <c r="O52" s="275"/>
    </row>
    <row r="53" spans="1:18" ht="14.85" customHeight="1">
      <c r="B53" s="351" t="s">
        <v>356</v>
      </c>
      <c r="C53" s="1260"/>
      <c r="D53" s="1260"/>
      <c r="E53" s="1261"/>
      <c r="F53" s="1260"/>
      <c r="G53" s="1261"/>
      <c r="H53" s="1260"/>
      <c r="I53" s="1261"/>
      <c r="J53" s="1261"/>
      <c r="K53" s="1261"/>
      <c r="L53" s="1262">
        <f ca="1">MROUND(L51,1)</f>
        <v>2710</v>
      </c>
      <c r="M53" s="1261"/>
      <c r="N53" s="1263">
        <f ca="1">MROUND(N51,1)</f>
        <v>3065</v>
      </c>
      <c r="O53" s="275"/>
    </row>
    <row r="54" spans="1:18" ht="14.85" customHeight="1">
      <c r="O54" s="275"/>
    </row>
    <row r="55" spans="1:18" ht="14.85" customHeight="1">
      <c r="B55" s="1355" t="s">
        <v>86</v>
      </c>
      <c r="O55" s="275"/>
    </row>
    <row r="56" spans="1:18" ht="14.85" customHeight="1">
      <c r="A56" s="357" t="s">
        <v>270</v>
      </c>
      <c r="B56" s="1356" t="str">
        <f>"Refer to "&amp;'Control Premium Summary'!B3&amp;"."</f>
        <v>Refer to Exhibit H.12.</v>
      </c>
      <c r="O56" s="275"/>
    </row>
    <row r="57" spans="1:18" ht="14.85" customHeight="1">
      <c r="A57" s="357" t="s">
        <v>269</v>
      </c>
      <c r="B57" s="1132" t="s">
        <v>1139</v>
      </c>
      <c r="C57" s="359"/>
      <c r="D57" s="359"/>
      <c r="E57" s="359"/>
      <c r="F57" s="359"/>
      <c r="G57" s="359"/>
      <c r="H57" s="359"/>
      <c r="I57" s="359"/>
      <c r="J57" s="359"/>
      <c r="K57" s="359"/>
      <c r="L57" s="359"/>
      <c r="M57" s="359"/>
      <c r="O57" s="275"/>
    </row>
    <row r="58" spans="1:18" ht="14.85" customHeight="1">
      <c r="A58" s="357" t="s">
        <v>308</v>
      </c>
      <c r="B58" s="1132" t="s">
        <v>1978</v>
      </c>
      <c r="C58" s="359"/>
      <c r="D58" s="359"/>
      <c r="E58" s="359"/>
      <c r="F58" s="359"/>
      <c r="G58" s="359"/>
      <c r="H58" s="359"/>
      <c r="I58" s="359"/>
      <c r="J58" s="359"/>
      <c r="K58" s="359"/>
      <c r="L58" s="359"/>
      <c r="M58" s="359"/>
      <c r="O58" s="275"/>
    </row>
    <row r="59" spans="1:18" ht="14.85" customHeight="1">
      <c r="A59" s="357" t="s">
        <v>309</v>
      </c>
      <c r="B59" s="1132" t="s">
        <v>1136</v>
      </c>
      <c r="O59" s="275"/>
    </row>
    <row r="60" spans="1:18" ht="14.85" customHeight="1">
      <c r="O60" s="275"/>
    </row>
    <row r="61" spans="1:18" ht="14.85" customHeight="1">
      <c r="O61" s="275"/>
    </row>
    <row r="62" spans="1:18" ht="14.85" customHeight="1">
      <c r="O62" s="275"/>
    </row>
    <row r="63" spans="1:18" ht="14.85" customHeight="1">
      <c r="O63" s="275"/>
    </row>
    <row r="64" spans="1:18" ht="14.85" customHeight="1">
      <c r="O64" s="275"/>
    </row>
    <row r="65" spans="15:15" ht="14.85" customHeight="1">
      <c r="O65" s="275"/>
    </row>
    <row r="66" spans="15:15" ht="14.85" customHeight="1"/>
    <row r="67" spans="15:15" ht="14.85" customHeight="1"/>
    <row r="68" spans="15:15" ht="14.85" customHeight="1"/>
    <row r="69" spans="15:15" ht="14.85" customHeight="1"/>
    <row r="70" spans="15:15" ht="14.85" customHeight="1"/>
    <row r="71" spans="15:15" ht="14.85" customHeight="1"/>
    <row r="72" spans="15:15" ht="14.85" customHeight="1"/>
    <row r="73" spans="15:15" ht="14.85" customHeight="1"/>
    <row r="74" spans="15:15" ht="14.85" customHeight="1"/>
    <row r="75" spans="15:15" ht="14.85" customHeight="1"/>
    <row r="76" spans="15:15" ht="14.85" customHeight="1"/>
    <row r="77" spans="15:15" ht="14.85" customHeight="1"/>
    <row r="78" spans="15:15" ht="14.85" customHeight="1"/>
    <row r="79" spans="15:15" ht="14.85" customHeight="1"/>
    <row r="80" spans="15:15"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C4:F4 N4:P4 H4 J4">
    <cfRule type="cellIs" dxfId="218" priority="14" stopIfTrue="1" operator="equal">
      <formula>"input"</formula>
    </cfRule>
  </conditionalFormatting>
  <conditionalFormatting sqref="L4">
    <cfRule type="cellIs" dxfId="217" priority="18" stopIfTrue="1" operator="equal">
      <formula>"input"</formula>
    </cfRule>
  </conditionalFormatting>
  <conditionalFormatting sqref="L4">
    <cfRule type="cellIs" dxfId="216" priority="19" stopIfTrue="1" operator="equal">
      <formula>"input"</formula>
    </cfRule>
  </conditionalFormatting>
  <conditionalFormatting sqref="G4">
    <cfRule type="cellIs" dxfId="215" priority="11" stopIfTrue="1" operator="equal">
      <formula>"input"</formula>
    </cfRule>
  </conditionalFormatting>
  <conditionalFormatting sqref="K4">
    <cfRule type="cellIs" dxfId="214" priority="10" stopIfTrue="1" operator="equal">
      <formula>"input"</formula>
    </cfRule>
  </conditionalFormatting>
  <conditionalFormatting sqref="M4">
    <cfRule type="cellIs" dxfId="213" priority="9" stopIfTrue="1" operator="equal">
      <formula>"input"</formula>
    </cfRule>
  </conditionalFormatting>
  <conditionalFormatting sqref="Q4">
    <cfRule type="cellIs" dxfId="212" priority="8" stopIfTrue="1" operator="equal">
      <formula>"input"</formula>
    </cfRule>
  </conditionalFormatting>
  <conditionalFormatting sqref="I4">
    <cfRule type="cellIs" dxfId="211" priority="5" stopIfTrue="1" operator="equal">
      <formula>"input"</formula>
    </cfRule>
  </conditionalFormatting>
  <conditionalFormatting sqref="P23:P36">
    <cfRule type="expression" dxfId="210" priority="4">
      <formula>SUM($P$23:$P$36)&lt;&gt;1</formula>
    </cfRule>
  </conditionalFormatting>
  <conditionalFormatting sqref="R4">
    <cfRule type="cellIs" dxfId="209" priority="2" stopIfTrue="1" operator="equal">
      <formula>"input"</formula>
    </cfRule>
  </conditionalFormatting>
  <conditionalFormatting sqref="R4">
    <cfRule type="cellIs" dxfId="208" priority="3" stopIfTrue="1" operator="equal">
      <formula>"input"</formula>
    </cfRule>
  </conditionalFormatting>
  <conditionalFormatting sqref="B4">
    <cfRule type="cellIs" dxfId="207" priority="1" stopIfTrue="1" operator="equal">
      <formula>"input"</formula>
    </cfRule>
  </conditionalFormatting>
  <dataValidations disablePrompts="1" count="1">
    <dataValidation type="list" allowBlank="1" showInputMessage="1" showErrorMessage="1" sqref="T23" xr:uid="{00000000-0002-0000-2000-000000000000}">
      <formula1>"Discount,No Discount"</formula1>
    </dataValidation>
  </dataValidations>
  <pageMargins left="0.5" right="0.5" top="0.5" bottom="0.5" header="0.5" footer="0.5"/>
  <pageSetup scale="80" fitToWidth="0" fitToHeight="0" orientation="landscape" r:id="rId1"/>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B1:AR764"/>
  <sheetViews>
    <sheetView showGridLines="0" view="pageBreakPreview" zoomScale="80" zoomScaleNormal="100" zoomScaleSheetLayoutView="80" workbookViewId="0"/>
  </sheetViews>
  <sheetFormatPr defaultRowHeight="12.75" outlineLevelCol="1"/>
  <cols>
    <col min="1" max="1" width="4.5" style="250" customWidth="1"/>
    <col min="2" max="2" width="11.83203125" style="250" customWidth="1"/>
    <col min="3" max="4" width="26.33203125" style="250" customWidth="1"/>
    <col min="5" max="5" width="26.33203125" style="250" hidden="1" customWidth="1" outlineLevel="1"/>
    <col min="6" max="6" width="10.6640625" style="250" bestFit="1" customWidth="1" collapsed="1"/>
    <col min="7" max="7" width="10" style="250" hidden="1" customWidth="1" outlineLevel="1"/>
    <col min="8" max="8" width="2.83203125" style="250" customWidth="1" collapsed="1"/>
    <col min="9" max="10" width="15.83203125" style="250" customWidth="1"/>
    <col min="11" max="11" width="2.83203125" style="250" customWidth="1"/>
    <col min="12" max="13" width="10.83203125" style="250" customWidth="1"/>
    <col min="14" max="14" width="12" style="250" customWidth="1"/>
    <col min="15" max="15" width="12.1640625" style="250" customWidth="1"/>
    <col min="16" max="16" width="2.83203125" style="250" customWidth="1"/>
    <col min="17" max="17" width="10.5" style="250" customWidth="1"/>
    <col min="18" max="19" width="8.83203125" style="250" customWidth="1"/>
    <col min="20" max="20" width="2.83203125" style="250" customWidth="1"/>
    <col min="21" max="23" width="8.83203125" style="250" customWidth="1"/>
    <col min="24" max="25" width="11.33203125" style="250" hidden="1" customWidth="1" outlineLevel="1"/>
    <col min="26" max="26" width="2.83203125" style="250" customWidth="1" collapsed="1"/>
    <col min="27" max="29" width="11.33203125" style="250" hidden="1" customWidth="1" outlineLevel="1"/>
    <col min="30" max="30" width="2.83203125" style="250" hidden="1" customWidth="1" outlineLevel="1"/>
    <col min="31" max="33" width="11.33203125" style="250" hidden="1" customWidth="1" outlineLevel="1"/>
    <col min="34" max="34" width="2.83203125" style="414" hidden="1" customWidth="1" outlineLevel="1"/>
    <col min="35" max="35" width="10.83203125" style="250" customWidth="1" collapsed="1"/>
    <col min="36" max="36" width="10.83203125" style="250" customWidth="1"/>
    <col min="37" max="37" width="4.5" style="250" customWidth="1"/>
    <col min="38" max="38" width="14.33203125" style="250" bestFit="1" customWidth="1"/>
    <col min="39" max="39" width="10.33203125" style="250" customWidth="1"/>
    <col min="40" max="40" width="9.33203125" style="250"/>
    <col min="41" max="41" width="9.83203125" style="250" bestFit="1" customWidth="1"/>
    <col min="42" max="42" width="12" style="250" bestFit="1" customWidth="1"/>
    <col min="43" max="43" width="11.6640625" style="250" bestFit="1" customWidth="1"/>
    <col min="44" max="44" width="12" style="250" bestFit="1" customWidth="1"/>
    <col min="45" max="16384" width="9.33203125" style="250"/>
  </cols>
  <sheetData>
    <row r="1" spans="2:44" ht="10.7" customHeight="1" thickBot="1"/>
    <row r="2" spans="2:44" ht="16.5" customHeight="1" thickTop="1">
      <c r="B2" s="258" t="str">
        <f>'MASTER PubCo Inputs'!$C$5</f>
        <v>ABC, Inc.</v>
      </c>
      <c r="C2" s="258"/>
      <c r="D2" s="258"/>
      <c r="E2" s="258"/>
      <c r="F2" s="258"/>
      <c r="G2" s="258"/>
      <c r="H2" s="258"/>
      <c r="I2" s="258"/>
      <c r="J2" s="258"/>
      <c r="K2" s="258"/>
      <c r="L2" s="258"/>
      <c r="M2" s="258"/>
      <c r="N2" s="258"/>
      <c r="O2" s="258"/>
      <c r="P2" s="258"/>
      <c r="Q2" s="258"/>
      <c r="R2" s="258"/>
      <c r="S2" s="258"/>
      <c r="T2" s="258"/>
      <c r="U2" s="258"/>
      <c r="V2" s="258"/>
      <c r="W2" s="258"/>
      <c r="X2" s="258"/>
      <c r="Y2" s="258"/>
      <c r="Z2" s="258"/>
      <c r="AA2" s="258"/>
      <c r="AB2" s="258"/>
      <c r="AC2" s="258"/>
      <c r="AD2" s="258"/>
      <c r="AE2" s="258"/>
      <c r="AF2" s="258"/>
      <c r="AG2" s="258"/>
      <c r="AH2" s="2069"/>
      <c r="AI2" s="258"/>
      <c r="AJ2" s="258"/>
      <c r="AL2" s="1151" t="s">
        <v>87</v>
      </c>
      <c r="AM2" s="1152">
        <f>+'Comp.1'!$AL$2</f>
        <v>42735</v>
      </c>
      <c r="AO2" s="1264"/>
      <c r="AP2" s="1265" t="s">
        <v>984</v>
      </c>
      <c r="AQ2" s="1265" t="s">
        <v>985</v>
      </c>
      <c r="AR2" s="1266" t="s">
        <v>110</v>
      </c>
    </row>
    <row r="3" spans="2:44" ht="15.75" customHeight="1">
      <c r="B3" s="259" t="str">
        <f>VLOOKUP(B4,Outline!$E$8:$G$79,COLUMNS(Outline!$E$8:$G$8),FALSE)</f>
        <v>Exhibit F.2</v>
      </c>
      <c r="C3" s="259"/>
      <c r="D3" s="259"/>
      <c r="E3" s="259"/>
      <c r="F3" s="259"/>
      <c r="G3" s="259"/>
      <c r="H3" s="259"/>
      <c r="I3" s="259"/>
      <c r="J3" s="259"/>
      <c r="K3" s="259"/>
      <c r="L3" s="259"/>
      <c r="M3" s="259"/>
      <c r="N3" s="259"/>
      <c r="O3" s="259"/>
      <c r="P3" s="259"/>
      <c r="Q3" s="259"/>
      <c r="R3" s="259"/>
      <c r="S3" s="259"/>
      <c r="T3" s="259"/>
      <c r="U3" s="259"/>
      <c r="V3" s="259"/>
      <c r="W3" s="259"/>
      <c r="X3" s="259"/>
      <c r="Y3" s="259"/>
      <c r="Z3" s="259"/>
      <c r="AA3" s="259"/>
      <c r="AB3" s="259"/>
      <c r="AC3" s="259"/>
      <c r="AD3" s="259"/>
      <c r="AE3" s="259"/>
      <c r="AF3" s="259"/>
      <c r="AG3" s="259"/>
      <c r="AH3" s="261"/>
      <c r="AI3" s="259"/>
      <c r="AJ3" s="259"/>
      <c r="AL3" s="1153" t="s">
        <v>489</v>
      </c>
      <c r="AM3" s="1154" t="str">
        <f>+'Comp.1'!$AL$3</f>
        <v>F</v>
      </c>
      <c r="AO3" s="1267" t="str">
        <f>+L7</f>
        <v>Enterprise Value</v>
      </c>
      <c r="AP3" s="1268" t="e">
        <f ca="1">SUM('STM Linked'!I10:I29)</f>
        <v>#NAME?</v>
      </c>
      <c r="AQ3" s="1268">
        <f>+SUM('Capital IQ Sheet-STM'!I10:I29)</f>
        <v>9675.002480000001</v>
      </c>
      <c r="AR3" s="468" t="e">
        <f ca="1">AP3=AQ3</f>
        <v>#NAME?</v>
      </c>
    </row>
    <row r="4" spans="2:44" ht="16.5" customHeight="1" thickBot="1">
      <c r="B4" s="924" t="s">
        <v>825</v>
      </c>
      <c r="C4" s="924"/>
      <c r="D4" s="924"/>
      <c r="E4" s="924"/>
      <c r="F4" s="924"/>
      <c r="G4" s="924"/>
      <c r="H4" s="924"/>
      <c r="I4" s="924"/>
      <c r="J4" s="924"/>
      <c r="K4" s="924"/>
      <c r="L4" s="924"/>
      <c r="M4" s="924"/>
      <c r="N4" s="924"/>
      <c r="O4" s="924"/>
      <c r="P4" s="924"/>
      <c r="Q4" s="925"/>
      <c r="R4" s="925"/>
      <c r="S4" s="925"/>
      <c r="T4" s="925"/>
      <c r="U4" s="925"/>
      <c r="V4" s="925"/>
      <c r="W4" s="925"/>
      <c r="X4" s="925"/>
      <c r="Y4" s="925"/>
      <c r="Z4" s="925"/>
      <c r="AA4" s="925"/>
      <c r="AB4" s="925"/>
      <c r="AC4" s="925"/>
      <c r="AD4" s="925"/>
      <c r="AE4" s="925"/>
      <c r="AF4" s="925"/>
      <c r="AG4" s="925"/>
      <c r="AH4" s="2070"/>
      <c r="AI4" s="925"/>
      <c r="AJ4" s="925" t="str">
        <f>+'MASTER PubCo Inputs'!$C$24</f>
        <v>(in millions of USD)</v>
      </c>
      <c r="AL4" s="1153" t="s">
        <v>490</v>
      </c>
      <c r="AM4" s="1154" t="str">
        <f>+'Comp.1'!$AL$4</f>
        <v>USD</v>
      </c>
      <c r="AO4" s="1267" t="str">
        <f>+Q7</f>
        <v>Revenue</v>
      </c>
      <c r="AP4" s="1268" t="e">
        <f ca="1">+SUM('STM Linked'!N10:N29)</f>
        <v>#NAME?</v>
      </c>
      <c r="AQ4" s="1268">
        <f>+SUM('Capital IQ Sheet-STM'!N10:N29)</f>
        <v>29.656009999999998</v>
      </c>
      <c r="AR4" s="468" t="e">
        <f t="shared" ref="AR4:AR5" ca="1" si="0">AP4=AQ4</f>
        <v>#NAME?</v>
      </c>
    </row>
    <row r="5" spans="2:44" s="467" customFormat="1" ht="14.85" customHeight="1" thickTop="1">
      <c r="B5" s="250"/>
      <c r="C5" s="250"/>
      <c r="D5" s="250"/>
      <c r="E5" s="250"/>
      <c r="F5" s="250"/>
      <c r="G5" s="250"/>
      <c r="H5" s="250"/>
      <c r="I5" s="250"/>
      <c r="J5" s="250"/>
      <c r="K5" s="250"/>
      <c r="L5" s="250"/>
      <c r="M5" s="250"/>
      <c r="N5" s="250"/>
      <c r="O5" s="250"/>
      <c r="P5" s="250"/>
      <c r="Q5" s="250"/>
      <c r="R5" s="250"/>
      <c r="S5" s="250"/>
      <c r="T5" s="250"/>
      <c r="U5" s="250"/>
      <c r="V5" s="250"/>
      <c r="W5" s="250"/>
      <c r="X5" s="250"/>
      <c r="Y5" s="250"/>
      <c r="Z5" s="250"/>
      <c r="AA5" s="250"/>
      <c r="AB5" s="250"/>
      <c r="AC5" s="250"/>
      <c r="AD5" s="250"/>
      <c r="AE5" s="250"/>
      <c r="AF5" s="250"/>
      <c r="AG5" s="250"/>
      <c r="AH5" s="414"/>
      <c r="AI5" s="250"/>
      <c r="AJ5" s="250"/>
      <c r="AK5" s="250"/>
      <c r="AL5" s="518" t="s">
        <v>89</v>
      </c>
      <c r="AM5" s="1155" t="str">
        <f>+'Comp.1'!$AL$5</f>
        <v>H</v>
      </c>
      <c r="AO5" s="1270" t="str">
        <f>+R7</f>
        <v>EBITDA</v>
      </c>
      <c r="AP5" s="1271" t="e">
        <f ca="1">+SUM('STM Linked'!O10:O29)</f>
        <v>#NAME?</v>
      </c>
      <c r="AQ5" s="1271">
        <f>+SUM('Capital IQ Sheet-STM'!O10:O29)</f>
        <v>-232.78059000000002</v>
      </c>
      <c r="AR5" s="897" t="e">
        <f t="shared" ca="1" si="0"/>
        <v>#NAME?</v>
      </c>
    </row>
    <row r="6" spans="2:44" ht="14.85" customHeight="1">
      <c r="L6" s="799" t="s">
        <v>505</v>
      </c>
      <c r="M6" s="1357"/>
      <c r="N6" s="1357"/>
      <c r="O6" s="801"/>
      <c r="Q6" s="799" t="s">
        <v>374</v>
      </c>
      <c r="R6" s="800"/>
      <c r="S6" s="801"/>
      <c r="U6" s="1239" t="s">
        <v>373</v>
      </c>
      <c r="V6" s="1240"/>
      <c r="W6" s="1051"/>
      <c r="X6" s="1240"/>
      <c r="Y6" s="1241"/>
      <c r="AA6" s="799" t="s">
        <v>375</v>
      </c>
      <c r="AB6" s="800"/>
      <c r="AC6" s="801"/>
      <c r="AE6" s="799" t="s">
        <v>376</v>
      </c>
      <c r="AF6" s="800"/>
      <c r="AG6" s="801"/>
      <c r="AI6" s="1358" t="s">
        <v>379</v>
      </c>
      <c r="AJ6" s="1359"/>
    </row>
    <row r="7" spans="2:44" s="272" customFormat="1" ht="14.85" customHeight="1">
      <c r="B7" s="1360" t="s">
        <v>368</v>
      </c>
      <c r="C7" s="1361" t="s">
        <v>975</v>
      </c>
      <c r="D7" s="1361" t="s">
        <v>369</v>
      </c>
      <c r="E7" s="1361" t="s">
        <v>509</v>
      </c>
      <c r="F7" s="1362" t="s">
        <v>370</v>
      </c>
      <c r="G7" s="1363" t="s">
        <v>372</v>
      </c>
      <c r="I7" s="1287" t="s">
        <v>2531</v>
      </c>
      <c r="J7" s="1288" t="s">
        <v>2532</v>
      </c>
      <c r="L7" s="1163" t="str">
        <f>'Capital IQ Sheet-STM'!I8</f>
        <v>Enterprise Value</v>
      </c>
      <c r="M7" s="1364" t="str">
        <f>'Capital IQ Sheet-STM'!J8</f>
        <v>Upfront Value</v>
      </c>
      <c r="N7" s="1364" t="str">
        <f>'Capital IQ Sheet-STM'!K8</f>
        <v>Contingent Payments</v>
      </c>
      <c r="O7" s="1166" t="str">
        <f>'Capital IQ Sheet-STM'!L8</f>
        <v>Total Trans. Value</v>
      </c>
      <c r="P7" s="1292"/>
      <c r="Q7" s="1163" t="s">
        <v>168</v>
      </c>
      <c r="R7" s="1164" t="s">
        <v>181</v>
      </c>
      <c r="S7" s="1166" t="s">
        <v>182</v>
      </c>
      <c r="T7" s="347"/>
      <c r="U7" s="1163" t="s">
        <v>168</v>
      </c>
      <c r="V7" s="1164" t="s">
        <v>181</v>
      </c>
      <c r="W7" s="1365" t="s">
        <v>182</v>
      </c>
      <c r="X7" s="1164" t="s">
        <v>507</v>
      </c>
      <c r="Y7" s="1166" t="s">
        <v>508</v>
      </c>
      <c r="Z7" s="347"/>
      <c r="AA7" s="1163" t="s">
        <v>168</v>
      </c>
      <c r="AB7" s="1164" t="s">
        <v>181</v>
      </c>
      <c r="AC7" s="1166" t="s">
        <v>182</v>
      </c>
      <c r="AD7" s="347"/>
      <c r="AE7" s="1163" t="s">
        <v>168</v>
      </c>
      <c r="AF7" s="1164" t="s">
        <v>181</v>
      </c>
      <c r="AG7" s="1166" t="s">
        <v>182</v>
      </c>
      <c r="AH7" s="1366"/>
      <c r="AI7" s="1367" t="s">
        <v>377</v>
      </c>
      <c r="AJ7" s="1368" t="s">
        <v>378</v>
      </c>
      <c r="AL7" s="778" t="s">
        <v>1137</v>
      </c>
      <c r="AM7" s="1369">
        <v>50</v>
      </c>
      <c r="AN7" s="778" t="s">
        <v>1138</v>
      </c>
      <c r="AO7" s="1369">
        <v>0</v>
      </c>
    </row>
    <row r="8" spans="2:44" ht="14.85" customHeight="1">
      <c r="L8" s="347"/>
      <c r="M8" s="347"/>
      <c r="N8" s="347"/>
      <c r="O8" s="347"/>
      <c r="P8" s="347"/>
      <c r="Q8" s="347"/>
      <c r="R8" s="347"/>
      <c r="S8" s="347"/>
      <c r="T8" s="347"/>
      <c r="U8" s="347"/>
      <c r="V8" s="347"/>
      <c r="W8" s="347"/>
      <c r="X8" s="347"/>
      <c r="Y8" s="347"/>
      <c r="Z8" s="347"/>
      <c r="AA8" s="347"/>
      <c r="AB8" s="347"/>
      <c r="AC8" s="347"/>
      <c r="AD8" s="347"/>
      <c r="AE8" s="347"/>
      <c r="AF8" s="347"/>
      <c r="AG8" s="347"/>
      <c r="AH8" s="1366"/>
      <c r="AI8" s="347"/>
      <c r="AJ8" s="347"/>
    </row>
    <row r="9" spans="2:44" s="1372" customFormat="1" ht="14.85" customHeight="1">
      <c r="B9" s="1370">
        <f>IFERROR('Capital IQ Sheet-STM'!B10,"n/a")</f>
        <v>42174</v>
      </c>
      <c r="C9" s="1370" t="str">
        <f>'Capital IQ Sheet-STM'!C10</f>
        <v>Alexion Pharmaceuticals, Inc.</v>
      </c>
      <c r="D9" s="1370" t="str">
        <f>'Capital IQ Sheet-STM'!D10</f>
        <v>Synageva BioPharma Corp.</v>
      </c>
      <c r="E9" s="1370" t="str">
        <f>'Capital IQ Sheet-STM'!E10</f>
        <v>Biotechnology</v>
      </c>
      <c r="F9" s="1371">
        <f>IFERROR('Capital IQ Sheet-STM'!F10,"n/a")</f>
        <v>1</v>
      </c>
      <c r="G9" s="1370" t="str">
        <f>'Capital IQ Sheet-STM'!G10</f>
        <v>Majority</v>
      </c>
      <c r="L9" s="1373">
        <f>'Capital IQ Sheet-STM'!I10</f>
        <v>8623.2993399999996</v>
      </c>
      <c r="M9" s="1373">
        <f>'Capital IQ Sheet-STM'!J10</f>
        <v>0</v>
      </c>
      <c r="N9" s="1373">
        <f>'Capital IQ Sheet-STM'!K10</f>
        <v>0</v>
      </c>
      <c r="O9" s="1373">
        <f>'Capital IQ Sheet-STM'!L10</f>
        <v>8955.5517299999992</v>
      </c>
      <c r="P9" s="1374"/>
      <c r="Q9" s="1373">
        <f>'Capital IQ Sheet-STM'!N10</f>
        <v>5.8330000000000002</v>
      </c>
      <c r="R9" s="1373">
        <f>'Capital IQ Sheet-STM'!O10</f>
        <v>-209.39500000000001</v>
      </c>
      <c r="S9" s="1373">
        <f>'Capital IQ Sheet-STM'!P10</f>
        <v>-215.7</v>
      </c>
      <c r="T9" s="1374"/>
      <c r="U9" s="1375" t="str">
        <f>IFERROR(IF(($L9/Q9)&gt;$AM$7, "NM", IF(($L9/Q9)&lt;$AO$7, "NM", $L9/Q9)),"n/a")</f>
        <v>NM</v>
      </c>
      <c r="V9" s="1375" t="str">
        <f>IFERROR(IF(($L9/R9)&gt;$AM$7, "NM", IF(($L9/R9)&lt;$AO$7, "NM", $L9/R9)),"n/a")</f>
        <v>NM</v>
      </c>
      <c r="W9" s="1375" t="str">
        <f>IFERROR(IF(($L9/S9)&gt;$AM$7, "NM", IF(($L9/S9)&lt;$AO$7, "NM", $L9/S9)),"n/a")</f>
        <v>NM</v>
      </c>
      <c r="X9" s="1375">
        <f>'Capital IQ Sheet-STM'!U10</f>
        <v>11.42728</v>
      </c>
      <c r="Y9" s="1375" t="str">
        <f>'Capital IQ Sheet-STM'!V10</f>
        <v>NM</v>
      </c>
      <c r="Z9" s="1374"/>
      <c r="AA9" s="759">
        <f>'Capital IQ Sheet-STM'!X10</f>
        <v>16.040900000000001</v>
      </c>
      <c r="AB9" s="759">
        <f>'Capital IQ Sheet-STM'!Y10</f>
        <v>-271.76409999999998</v>
      </c>
      <c r="AC9" s="759" t="str">
        <f>'Capital IQ Sheet-STM'!Z10</f>
        <v>NM</v>
      </c>
      <c r="AD9" s="1374"/>
      <c r="AE9" s="1375">
        <f>IF(ISERROR($L9/AA9), "n/a", $L9/AA9)</f>
        <v>537.5820147248595</v>
      </c>
      <c r="AF9" s="1375">
        <f>IF(ISERROR($L9/AB9), "n/a", $L9/AB9)</f>
        <v>-31.730825889070704</v>
      </c>
      <c r="AG9" s="1370" t="str">
        <f>'Capital IQ Sheet-STM'!AD10</f>
        <v>n/a</v>
      </c>
      <c r="AI9" s="1371">
        <f>IFERROR('Capital IQ Sheet-STM'!AH10,"n/a")</f>
        <v>1.2368589999999999</v>
      </c>
      <c r="AJ9" s="1371">
        <f>IFERROR('Capital IQ Sheet-STM'!AI10,"n/a")</f>
        <v>1.4347749999999999</v>
      </c>
      <c r="AL9" s="1376"/>
    </row>
    <row r="10" spans="2:44" s="1372" customFormat="1" ht="14.85" customHeight="1">
      <c r="B10" s="1370">
        <f>IFERROR('Capital IQ Sheet-STM'!B11,"n/a")</f>
        <v>42139</v>
      </c>
      <c r="C10" s="1370" t="str">
        <f>'Capital IQ Sheet-STM'!C11</f>
        <v>PlasmaTech Biopharmaceuticals, Inc. (nka:Abeona Therapeutics Inc.)</v>
      </c>
      <c r="D10" s="1370" t="str">
        <f>'Capital IQ Sheet-STM'!D11</f>
        <v>Abeona Therapeutics LLC</v>
      </c>
      <c r="E10" s="1370" t="str">
        <f>'Capital IQ Sheet-STM'!E11</f>
        <v>Biotechnology</v>
      </c>
      <c r="F10" s="1371">
        <f>IFERROR('Capital IQ Sheet-STM'!F11,"n/a")</f>
        <v>1</v>
      </c>
      <c r="G10" s="1370" t="str">
        <f>'Capital IQ Sheet-STM'!G11</f>
        <v>Majority</v>
      </c>
      <c r="L10" s="1373">
        <f>'Capital IQ Sheet-STM'!I11</f>
        <v>42.191209999999998</v>
      </c>
      <c r="M10" s="1373">
        <f>'Capital IQ Sheet-STM'!J11</f>
        <v>0</v>
      </c>
      <c r="N10" s="1373">
        <f>'Capital IQ Sheet-STM'!K11</f>
        <v>0</v>
      </c>
      <c r="O10" s="1373">
        <f>'Capital IQ Sheet-STM'!L11</f>
        <v>32.759169999999997</v>
      </c>
      <c r="P10" s="1374"/>
      <c r="Q10" s="1373">
        <f>'Capital IQ Sheet-STM'!N11</f>
        <v>0</v>
      </c>
      <c r="R10" s="1373">
        <f>'Capital IQ Sheet-STM'!O11</f>
        <v>0</v>
      </c>
      <c r="S10" s="1373">
        <f>'Capital IQ Sheet-STM'!P11</f>
        <v>0</v>
      </c>
      <c r="T10" s="1374"/>
      <c r="U10" s="1375" t="str">
        <f t="shared" ref="U10:U41" si="1">IFERROR(IF(($L10/Q10)&gt;$AM$7, "NM", IF(($L10/Q10)&lt;$AO$7, "NM", $L10/Q10)),"n/a")</f>
        <v>n/a</v>
      </c>
      <c r="V10" s="1375" t="str">
        <f t="shared" ref="V10:V41" si="2">IFERROR(IF(($L10/R10)&gt;$AM$7, "NM", IF(($L10/R10)&lt;$AO$7, "NM", $L10/R10)),"n/a")</f>
        <v>n/a</v>
      </c>
      <c r="W10" s="1375" t="str">
        <f t="shared" ref="W10:W41" si="3">IFERROR(IF(($L10/S10)&gt;$AM$7, "NM", IF(($L10/S10)&lt;$AO$7, "NM", $L10/S10)),"n/a")</f>
        <v>n/a</v>
      </c>
      <c r="X10" s="1375">
        <f>'Capital IQ Sheet-STM'!U11</f>
        <v>5.1156100000000002</v>
      </c>
      <c r="Y10" s="1375" t="str">
        <f>'Capital IQ Sheet-STM'!V11</f>
        <v>NM</v>
      </c>
      <c r="Z10" s="1374"/>
      <c r="AA10" s="759">
        <f>'Capital IQ Sheet-STM'!X11</f>
        <v>0</v>
      </c>
      <c r="AB10" s="759">
        <f>'Capital IQ Sheet-STM'!Y11</f>
        <v>0</v>
      </c>
      <c r="AC10" s="759">
        <f>'Capital IQ Sheet-STM'!Z11</f>
        <v>0</v>
      </c>
      <c r="AD10" s="1374"/>
      <c r="AE10" s="1375" t="str">
        <f t="shared" ref="AE10:AE28" si="4">IF(ISERROR($L10/AA10), "n/a", $L10/AA10)</f>
        <v>n/a</v>
      </c>
      <c r="AF10" s="1375" t="str">
        <f t="shared" ref="AF10:AF28" si="5">IF(ISERROR($L10/AB10), "n/a", $L10/AB10)</f>
        <v>n/a</v>
      </c>
      <c r="AG10" s="1370" t="str">
        <f>'Capital IQ Sheet-STM'!AD11</f>
        <v>n/a</v>
      </c>
      <c r="AI10" s="1371" t="str">
        <f>IFERROR('Capital IQ Sheet-STM'!AH11,"n/a")</f>
        <v>NM</v>
      </c>
      <c r="AJ10" s="1371" t="str">
        <f>IFERROR('Capital IQ Sheet-STM'!AI11,"n/a")</f>
        <v>NM</v>
      </c>
      <c r="AL10" s="1376"/>
    </row>
    <row r="11" spans="2:44" s="1372" customFormat="1" ht="14.85" customHeight="1">
      <c r="B11" s="1370">
        <f>IFERROR('Capital IQ Sheet-STM'!B12,"n/a")</f>
        <v>42033</v>
      </c>
      <c r="C11" s="1370" t="str">
        <f>'Capital IQ Sheet-STM'!C12</f>
        <v>BioMarin Pharmaceutical Inc.</v>
      </c>
      <c r="D11" s="1370" t="str">
        <f>'Capital IQ Sheet-STM'!D12</f>
        <v>Prosensa Holding N.V. (nka:BioMarin Nederland B.V.)</v>
      </c>
      <c r="E11" s="1370" t="str">
        <f>'Capital IQ Sheet-STM'!E12</f>
        <v>Biotechnology</v>
      </c>
      <c r="F11" s="1371">
        <f>IFERROR('Capital IQ Sheet-STM'!F12,"n/a")</f>
        <v>1</v>
      </c>
      <c r="G11" s="1370" t="str">
        <f>'Capital IQ Sheet-STM'!G12</f>
        <v>Majority</v>
      </c>
      <c r="L11" s="1373">
        <f>'Capital IQ Sheet-STM'!I12</f>
        <v>775.39449000000002</v>
      </c>
      <c r="M11" s="1373">
        <f>'Capital IQ Sheet-STM'!J12</f>
        <v>0</v>
      </c>
      <c r="N11" s="1373">
        <f>'Capital IQ Sheet-STM'!K12</f>
        <v>0</v>
      </c>
      <c r="O11" s="1373">
        <f>'Capital IQ Sheet-STM'!L12</f>
        <v>846.49251000000004</v>
      </c>
      <c r="P11" s="1374"/>
      <c r="Q11" s="1373">
        <f>'Capital IQ Sheet-STM'!N12</f>
        <v>21.066389999999998</v>
      </c>
      <c r="R11" s="1373">
        <f>'Capital IQ Sheet-STM'!O12</f>
        <v>-18.281590000000001</v>
      </c>
      <c r="S11" s="1373">
        <f>'Capital IQ Sheet-STM'!P12</f>
        <v>-19.488579999999999</v>
      </c>
      <c r="T11" s="1374"/>
      <c r="U11" s="1375">
        <f t="shared" si="1"/>
        <v>36.80718386016779</v>
      </c>
      <c r="V11" s="1375" t="str">
        <f t="shared" si="2"/>
        <v>NM</v>
      </c>
      <c r="W11" s="1375" t="str">
        <f t="shared" si="3"/>
        <v>NM</v>
      </c>
      <c r="X11" s="1375">
        <f>'Capital IQ Sheet-STM'!U12</f>
        <v>9.6306100000000008</v>
      </c>
      <c r="Y11" s="1375" t="str">
        <f>'Capital IQ Sheet-STM'!V12</f>
        <v>NM</v>
      </c>
      <c r="Z11" s="1374"/>
      <c r="AA11" s="759">
        <f>'Capital IQ Sheet-STM'!X12</f>
        <v>0</v>
      </c>
      <c r="AB11" s="759">
        <f>'Capital IQ Sheet-STM'!Y12</f>
        <v>-47.567399999999999</v>
      </c>
      <c r="AC11" s="759" t="str">
        <f>'Capital IQ Sheet-STM'!Z12</f>
        <v>NM</v>
      </c>
      <c r="AD11" s="1374"/>
      <c r="AE11" s="1375" t="str">
        <f t="shared" si="4"/>
        <v>n/a</v>
      </c>
      <c r="AF11" s="1375">
        <f t="shared" si="5"/>
        <v>-16.300964315897023</v>
      </c>
      <c r="AG11" s="1370" t="str">
        <f>'Capital IQ Sheet-STM'!AD12</f>
        <v>n/a</v>
      </c>
      <c r="AI11" s="1371">
        <f>IFERROR('Capital IQ Sheet-STM'!AH12,"n/a")</f>
        <v>0.50551299999999999</v>
      </c>
      <c r="AJ11" s="1371">
        <f>IFERROR('Capital IQ Sheet-STM'!AI12,"n/a")</f>
        <v>0.477935</v>
      </c>
      <c r="AL11" s="1376"/>
    </row>
    <row r="12" spans="2:44" s="1372" customFormat="1" ht="14.85" customHeight="1">
      <c r="B12" s="1370">
        <f>IFERROR('Capital IQ Sheet-STM'!B13,"n/a")</f>
        <v>41820</v>
      </c>
      <c r="C12" s="1370" t="str">
        <f>'Capital IQ Sheet-STM'!C13</f>
        <v>bluebird bio, Inc.</v>
      </c>
      <c r="D12" s="1370" t="str">
        <f>'Capital IQ Sheet-STM'!D13</f>
        <v>Precision Genome Engineering, Inc.</v>
      </c>
      <c r="E12" s="1370" t="str">
        <f>'Capital IQ Sheet-STM'!E13</f>
        <v>Biotechnology</v>
      </c>
      <c r="F12" s="1371">
        <f>IFERROR('Capital IQ Sheet-STM'!F13,"n/a")</f>
        <v>1</v>
      </c>
      <c r="G12" s="1370" t="str">
        <f>'Capital IQ Sheet-STM'!G13</f>
        <v>Majority</v>
      </c>
      <c r="L12" s="1373">
        <f>'Capital IQ Sheet-STM'!I13</f>
        <v>154.91475</v>
      </c>
      <c r="M12" s="1373">
        <f>'Capital IQ Sheet-STM'!J13</f>
        <v>0</v>
      </c>
      <c r="N12" s="1373">
        <f>'Capital IQ Sheet-STM'!K13</f>
        <v>0</v>
      </c>
      <c r="O12" s="1373">
        <f>'Capital IQ Sheet-STM'!L13</f>
        <v>154.91475</v>
      </c>
      <c r="P12" s="1374"/>
      <c r="Q12" s="1373">
        <f>'Capital IQ Sheet-STM'!N13</f>
        <v>0</v>
      </c>
      <c r="R12" s="1373">
        <f>'Capital IQ Sheet-STM'!O13</f>
        <v>0</v>
      </c>
      <c r="S12" s="1373">
        <f>'Capital IQ Sheet-STM'!P13</f>
        <v>0</v>
      </c>
      <c r="T12" s="1374"/>
      <c r="U12" s="1375" t="str">
        <f t="shared" si="1"/>
        <v>n/a</v>
      </c>
      <c r="V12" s="1375" t="str">
        <f t="shared" si="2"/>
        <v>n/a</v>
      </c>
      <c r="W12" s="1375" t="str">
        <f t="shared" si="3"/>
        <v>n/a</v>
      </c>
      <c r="X12" s="1375" t="str">
        <f>'Capital IQ Sheet-STM'!U13</f>
        <v>NA</v>
      </c>
      <c r="Y12" s="1375" t="str">
        <f>'Capital IQ Sheet-STM'!V13</f>
        <v>NA</v>
      </c>
      <c r="Z12" s="1374"/>
      <c r="AA12" s="759">
        <f>'Capital IQ Sheet-STM'!X13</f>
        <v>0</v>
      </c>
      <c r="AB12" s="759">
        <f>'Capital IQ Sheet-STM'!Y13</f>
        <v>0</v>
      </c>
      <c r="AC12" s="759">
        <f>'Capital IQ Sheet-STM'!Z13</f>
        <v>0</v>
      </c>
      <c r="AD12" s="1374"/>
      <c r="AE12" s="1375" t="str">
        <f t="shared" si="4"/>
        <v>n/a</v>
      </c>
      <c r="AF12" s="1375" t="str">
        <f t="shared" si="5"/>
        <v>n/a</v>
      </c>
      <c r="AG12" s="1370" t="str">
        <f>'Capital IQ Sheet-STM'!AD13</f>
        <v>n/a</v>
      </c>
      <c r="AI12" s="1371" t="str">
        <f>IFERROR('Capital IQ Sheet-STM'!AH13,"n/a")</f>
        <v>NM</v>
      </c>
      <c r="AJ12" s="1371" t="str">
        <f>IFERROR('Capital IQ Sheet-STM'!AI13,"n/a")</f>
        <v>NM</v>
      </c>
      <c r="AL12" s="1377"/>
    </row>
    <row r="13" spans="2:44" s="1372" customFormat="1" ht="14.85" customHeight="1">
      <c r="B13" s="1370">
        <f>IFERROR('Capital IQ Sheet-STM'!B14,"n/a")</f>
        <v>41792</v>
      </c>
      <c r="C13" s="1370" t="str">
        <f>'Capital IQ Sheet-STM'!C14</f>
        <v>Voyager Therapeutics, Inc.</v>
      </c>
      <c r="D13" s="1370" t="str">
        <f>'Capital IQ Sheet-STM'!D14</f>
        <v>REGENX Biosciences, LLC, Worldwide License to Proprietary NAV® Vectors</v>
      </c>
      <c r="E13" s="1370" t="str">
        <f>'Capital IQ Sheet-STM'!E14</f>
        <v>Biotechnology</v>
      </c>
      <c r="F13" s="1371">
        <f>IFERROR('Capital IQ Sheet-STM'!F14,"n/a")</f>
        <v>1</v>
      </c>
      <c r="G13" s="1370" t="str">
        <f>'Capital IQ Sheet-STM'!G14</f>
        <v>Majority</v>
      </c>
      <c r="L13" s="1373">
        <f>'Capital IQ Sheet-STM'!I14</f>
        <v>0</v>
      </c>
      <c r="M13" s="1373">
        <f>'Capital IQ Sheet-STM'!J14</f>
        <v>0</v>
      </c>
      <c r="N13" s="1373">
        <f>'Capital IQ Sheet-STM'!K14</f>
        <v>0</v>
      </c>
      <c r="O13" s="1373">
        <f>'Capital IQ Sheet-STM'!L14</f>
        <v>0</v>
      </c>
      <c r="P13" s="1374"/>
      <c r="Q13" s="1373">
        <f>'Capital IQ Sheet-STM'!N14</f>
        <v>0</v>
      </c>
      <c r="R13" s="1373">
        <f>'Capital IQ Sheet-STM'!O14</f>
        <v>0</v>
      </c>
      <c r="S13" s="1373">
        <f>'Capital IQ Sheet-STM'!P14</f>
        <v>0</v>
      </c>
      <c r="T13" s="1374"/>
      <c r="U13" s="1375" t="str">
        <f t="shared" si="1"/>
        <v>n/a</v>
      </c>
      <c r="V13" s="1375" t="str">
        <f t="shared" si="2"/>
        <v>n/a</v>
      </c>
      <c r="W13" s="1375" t="str">
        <f t="shared" si="3"/>
        <v>n/a</v>
      </c>
      <c r="X13" s="1375" t="str">
        <f>'Capital IQ Sheet-STM'!U14</f>
        <v>NA</v>
      </c>
      <c r="Y13" s="1375" t="str">
        <f>'Capital IQ Sheet-STM'!V14</f>
        <v>NA</v>
      </c>
      <c r="Z13" s="1374"/>
      <c r="AA13" s="759">
        <f>'Capital IQ Sheet-STM'!X14</f>
        <v>0</v>
      </c>
      <c r="AB13" s="759">
        <f>'Capital IQ Sheet-STM'!Y14</f>
        <v>0</v>
      </c>
      <c r="AC13" s="759">
        <f>'Capital IQ Sheet-STM'!Z14</f>
        <v>0</v>
      </c>
      <c r="AD13" s="1374"/>
      <c r="AE13" s="1375" t="str">
        <f t="shared" si="4"/>
        <v>n/a</v>
      </c>
      <c r="AF13" s="1375" t="str">
        <f t="shared" si="5"/>
        <v>n/a</v>
      </c>
      <c r="AG13" s="1370" t="str">
        <f>'Capital IQ Sheet-STM'!AD14</f>
        <v>n/a</v>
      </c>
      <c r="AI13" s="1371" t="str">
        <f>IFERROR('Capital IQ Sheet-STM'!AH14,"n/a")</f>
        <v>NM</v>
      </c>
      <c r="AJ13" s="1371" t="str">
        <f>IFERROR('Capital IQ Sheet-STM'!AI14,"n/a")</f>
        <v>NM</v>
      </c>
      <c r="AL13" s="1377"/>
    </row>
    <row r="14" spans="2:44" s="1372" customFormat="1" ht="14.85" customHeight="1">
      <c r="B14" s="1370">
        <f>IFERROR('Capital IQ Sheet-STM'!B15,"n/a")</f>
        <v>41670</v>
      </c>
      <c r="C14" s="1370" t="str">
        <f>'Capital IQ Sheet-STM'!C15</f>
        <v>I'rom Holdings Co., Ltd. (nka:I'rom Group Co., Ltd.)</v>
      </c>
      <c r="D14" s="1370" t="str">
        <f>'Capital IQ Sheet-STM'!D15</f>
        <v>DNAVEC Corporation</v>
      </c>
      <c r="E14" s="1370" t="str">
        <f>'Capital IQ Sheet-STM'!E15</f>
        <v>Biotechnology</v>
      </c>
      <c r="F14" s="1371">
        <f>IFERROR('Capital IQ Sheet-STM'!F15,"n/a")</f>
        <v>0.90760000000000007</v>
      </c>
      <c r="G14" s="1370" t="str">
        <f>'Capital IQ Sheet-STM'!G15</f>
        <v>Majority</v>
      </c>
      <c r="L14" s="1373">
        <f>'Capital IQ Sheet-STM'!I15</f>
        <v>9.8267000000000007</v>
      </c>
      <c r="M14" s="1373">
        <f>'Capital IQ Sheet-STM'!J15</f>
        <v>0</v>
      </c>
      <c r="N14" s="1373">
        <f>'Capital IQ Sheet-STM'!K15</f>
        <v>0</v>
      </c>
      <c r="O14" s="1373">
        <f>'Capital IQ Sheet-STM'!L15</f>
        <v>9.1719600000000003</v>
      </c>
      <c r="P14" s="1374"/>
      <c r="Q14" s="1373">
        <f>'Capital IQ Sheet-STM'!N15</f>
        <v>2.15462</v>
      </c>
      <c r="R14" s="1373">
        <f>'Capital IQ Sheet-STM'!O15</f>
        <v>0</v>
      </c>
      <c r="S14" s="1373">
        <f>'Capital IQ Sheet-STM'!P15</f>
        <v>-2.2469600000000001</v>
      </c>
      <c r="T14" s="1374"/>
      <c r="U14" s="1375">
        <f t="shared" si="1"/>
        <v>4.5607578134427422</v>
      </c>
      <c r="V14" s="1375" t="str">
        <f t="shared" si="2"/>
        <v>n/a</v>
      </c>
      <c r="W14" s="1375" t="str">
        <f t="shared" si="3"/>
        <v>NM</v>
      </c>
      <c r="X14" s="1375">
        <f>'Capital IQ Sheet-STM'!U15</f>
        <v>1.8689899999999999</v>
      </c>
      <c r="Y14" s="1375" t="str">
        <f>'Capital IQ Sheet-STM'!V15</f>
        <v>NM</v>
      </c>
      <c r="Z14" s="1374"/>
      <c r="AA14" s="759">
        <f>'Capital IQ Sheet-STM'!X15</f>
        <v>0</v>
      </c>
      <c r="AB14" s="759">
        <f>'Capital IQ Sheet-STM'!Y15</f>
        <v>0</v>
      </c>
      <c r="AC14" s="759">
        <f>'Capital IQ Sheet-STM'!Z15</f>
        <v>0</v>
      </c>
      <c r="AD14" s="1374"/>
      <c r="AE14" s="1375" t="str">
        <f t="shared" si="4"/>
        <v>n/a</v>
      </c>
      <c r="AF14" s="1375" t="str">
        <f t="shared" si="5"/>
        <v>n/a</v>
      </c>
      <c r="AG14" s="1370" t="str">
        <f>'Capital IQ Sheet-STM'!AD15</f>
        <v>n/a</v>
      </c>
      <c r="AI14" s="1371" t="str">
        <f>IFERROR('Capital IQ Sheet-STM'!AH15,"n/a")</f>
        <v>NM</v>
      </c>
      <c r="AJ14" s="1371" t="str">
        <f>IFERROR('Capital IQ Sheet-STM'!AI15,"n/a")</f>
        <v>NM</v>
      </c>
      <c r="AL14" s="1377"/>
    </row>
    <row r="15" spans="2:44" s="1372" customFormat="1" ht="14.85" customHeight="1">
      <c r="B15" s="1370">
        <f>IFERROR('Capital IQ Sheet-STM'!B16,"n/a")</f>
        <v>41548</v>
      </c>
      <c r="C15" s="1370" t="str">
        <f>'Capital IQ Sheet-STM'!C16</f>
        <v>Sangamo BioSciences, Inc.</v>
      </c>
      <c r="D15" s="1370" t="str">
        <f>'Capital IQ Sheet-STM'!D16</f>
        <v>Ceregene, Inc.</v>
      </c>
      <c r="E15" s="1370" t="str">
        <f>'Capital IQ Sheet-STM'!E16</f>
        <v>Biotechnology</v>
      </c>
      <c r="F15" s="1371">
        <f>IFERROR('Capital IQ Sheet-STM'!F16,"n/a")</f>
        <v>1</v>
      </c>
      <c r="G15" s="1370" t="str">
        <f>'Capital IQ Sheet-STM'!G16</f>
        <v>Majority</v>
      </c>
      <c r="L15" s="1373">
        <f>'Capital IQ Sheet-STM'!I16</f>
        <v>69.375990000000002</v>
      </c>
      <c r="M15" s="1373">
        <f>'Capital IQ Sheet-STM'!J16</f>
        <v>0</v>
      </c>
      <c r="N15" s="1373">
        <f>'Capital IQ Sheet-STM'!K16</f>
        <v>0</v>
      </c>
      <c r="O15" s="1373">
        <f>'Capital IQ Sheet-STM'!L16</f>
        <v>72.898989999999998</v>
      </c>
      <c r="P15" s="1374"/>
      <c r="Q15" s="1373">
        <f>'Capital IQ Sheet-STM'!N16</f>
        <v>0.60199999999999998</v>
      </c>
      <c r="R15" s="1373">
        <f>'Capital IQ Sheet-STM'!O16</f>
        <v>-5.1040000000000001</v>
      </c>
      <c r="S15" s="1373">
        <f>'Capital IQ Sheet-STM'!P16</f>
        <v>-5.14</v>
      </c>
      <c r="T15" s="1374"/>
      <c r="U15" s="1375" t="str">
        <f t="shared" si="1"/>
        <v>NM</v>
      </c>
      <c r="V15" s="1375" t="str">
        <f t="shared" si="2"/>
        <v>NM</v>
      </c>
      <c r="W15" s="1375" t="str">
        <f t="shared" si="3"/>
        <v>NM</v>
      </c>
      <c r="X15" s="1375" t="str">
        <f>'Capital IQ Sheet-STM'!U16</f>
        <v>NM</v>
      </c>
      <c r="Y15" s="1375" t="str">
        <f>'Capital IQ Sheet-STM'!V16</f>
        <v>NM</v>
      </c>
      <c r="Z15" s="1374"/>
      <c r="AA15" s="759">
        <f>'Capital IQ Sheet-STM'!X16</f>
        <v>0</v>
      </c>
      <c r="AB15" s="759">
        <f>'Capital IQ Sheet-STM'!Y16</f>
        <v>0</v>
      </c>
      <c r="AC15" s="759">
        <f>'Capital IQ Sheet-STM'!Z16</f>
        <v>0</v>
      </c>
      <c r="AD15" s="1374"/>
      <c r="AE15" s="1375" t="str">
        <f t="shared" si="4"/>
        <v>n/a</v>
      </c>
      <c r="AF15" s="1375" t="str">
        <f t="shared" si="5"/>
        <v>n/a</v>
      </c>
      <c r="AG15" s="1370" t="str">
        <f>'Capital IQ Sheet-STM'!AD16</f>
        <v>n/a</v>
      </c>
      <c r="AI15" s="1371" t="str">
        <f>IFERROR('Capital IQ Sheet-STM'!AH16,"n/a")</f>
        <v>NM</v>
      </c>
      <c r="AJ15" s="1371" t="str">
        <f>IFERROR('Capital IQ Sheet-STM'!AI16,"n/a")</f>
        <v>NM</v>
      </c>
      <c r="AL15" s="1377"/>
    </row>
    <row r="16" spans="2:44" s="1372" customFormat="1" ht="14.85" customHeight="1">
      <c r="B16" s="1370" t="str">
        <f>IFERROR('Capital IQ Sheet-STM'!B17,"n/a")</f>
        <v>(Invalid Transaction Id)</v>
      </c>
      <c r="C16" s="1370" t="str">
        <f>'Capital IQ Sheet-STM'!C17</f>
        <v>(Invalid Transaction Id)</v>
      </c>
      <c r="D16" s="1370" t="str">
        <f>'Capital IQ Sheet-STM'!D17</f>
        <v>(Invalid Transaction Id)</v>
      </c>
      <c r="E16" s="1370" t="str">
        <f>'Capital IQ Sheet-STM'!E17</f>
        <v>(Invalid Identifier)</v>
      </c>
      <c r="F16" s="1371" t="str">
        <f>IFERROR('Capital IQ Sheet-STM'!F17,"n/a")</f>
        <v>n/a</v>
      </c>
      <c r="G16" s="1370" t="str">
        <f>'Capital IQ Sheet-STM'!G17</f>
        <v>(Invalid Transaction Id)</v>
      </c>
      <c r="L16" s="1373" t="str">
        <f>'Capital IQ Sheet-STM'!I17</f>
        <v>(Invalid Transaction Id)</v>
      </c>
      <c r="M16" s="1373">
        <f>'Capital IQ Sheet-STM'!J17</f>
        <v>0</v>
      </c>
      <c r="N16" s="1373">
        <f>'Capital IQ Sheet-STM'!K17</f>
        <v>0</v>
      </c>
      <c r="O16" s="1373" t="str">
        <f>'Capital IQ Sheet-STM'!L17</f>
        <v>(Invalid Transaction Id)</v>
      </c>
      <c r="P16" s="1374"/>
      <c r="Q16" s="1373" t="str">
        <f>'Capital IQ Sheet-STM'!N17</f>
        <v>(Invalid Transaction Id)</v>
      </c>
      <c r="R16" s="1373" t="str">
        <f>'Capital IQ Sheet-STM'!O17</f>
        <v>(Invalid Transaction Id)</v>
      </c>
      <c r="S16" s="1373" t="str">
        <f>'Capital IQ Sheet-STM'!P17</f>
        <v>(Invalid Transaction Id)</v>
      </c>
      <c r="T16" s="1374"/>
      <c r="U16" s="1375" t="str">
        <f t="shared" si="1"/>
        <v>n/a</v>
      </c>
      <c r="V16" s="1375" t="str">
        <f t="shared" si="2"/>
        <v>n/a</v>
      </c>
      <c r="W16" s="1375" t="str">
        <f t="shared" si="3"/>
        <v>n/a</v>
      </c>
      <c r="X16" s="1375" t="str">
        <f>'Capital IQ Sheet-STM'!U17</f>
        <v>(Invalid Transaction Id)</v>
      </c>
      <c r="Y16" s="1375" t="str">
        <f>'Capital IQ Sheet-STM'!V17</f>
        <v>(Invalid Transaction Id)</v>
      </c>
      <c r="Z16" s="1374"/>
      <c r="AA16" s="759" t="str">
        <f>'Capital IQ Sheet-STM'!X17</f>
        <v>(Invalid Transaction Id)</v>
      </c>
      <c r="AB16" s="759" t="str">
        <f>'Capital IQ Sheet-STM'!Y17</f>
        <v>(Invalid Transaction Id)</v>
      </c>
      <c r="AC16" s="759" t="str">
        <f>'Capital IQ Sheet-STM'!Z17</f>
        <v>(Invalid Transaction Id)</v>
      </c>
      <c r="AD16" s="1374"/>
      <c r="AE16" s="1375" t="str">
        <f t="shared" si="4"/>
        <v>n/a</v>
      </c>
      <c r="AF16" s="1375" t="str">
        <f t="shared" si="5"/>
        <v>n/a</v>
      </c>
      <c r="AG16" s="1370" t="str">
        <f>'Capital IQ Sheet-STM'!AD17</f>
        <v>n/a</v>
      </c>
      <c r="AI16" s="1371" t="str">
        <f>IFERROR('Capital IQ Sheet-STM'!AH17,"n/a")</f>
        <v>n/a</v>
      </c>
      <c r="AJ16" s="1371" t="str">
        <f>IFERROR('Capital IQ Sheet-STM'!AI17,"n/a")</f>
        <v>n/a</v>
      </c>
      <c r="AL16" s="1377"/>
    </row>
    <row r="17" spans="2:38" s="1372" customFormat="1" ht="14.85" customHeight="1">
      <c r="B17" s="1370" t="str">
        <f>IFERROR('Capital IQ Sheet-STM'!B18,"n/a")</f>
        <v>(Invalid Transaction Id)</v>
      </c>
      <c r="C17" s="1370" t="str">
        <f>'Capital IQ Sheet-STM'!C18</f>
        <v>(Invalid Transaction Id)</v>
      </c>
      <c r="D17" s="1370" t="str">
        <f>'Capital IQ Sheet-STM'!D18</f>
        <v>(Invalid Transaction Id)</v>
      </c>
      <c r="E17" s="1370" t="str">
        <f>'Capital IQ Sheet-STM'!E18</f>
        <v>(Invalid Identifier)</v>
      </c>
      <c r="F17" s="1371" t="str">
        <f>IFERROR('Capital IQ Sheet-STM'!F18,"n/a")</f>
        <v>n/a</v>
      </c>
      <c r="G17" s="1370" t="str">
        <f>'Capital IQ Sheet-STM'!G18</f>
        <v>(Invalid Transaction Id)</v>
      </c>
      <c r="L17" s="1373" t="str">
        <f>'Capital IQ Sheet-STM'!I18</f>
        <v>(Invalid Transaction Id)</v>
      </c>
      <c r="M17" s="1373">
        <f>'Capital IQ Sheet-STM'!J18</f>
        <v>0</v>
      </c>
      <c r="N17" s="1373">
        <f>'Capital IQ Sheet-STM'!K18</f>
        <v>0</v>
      </c>
      <c r="O17" s="1373" t="str">
        <f>'Capital IQ Sheet-STM'!L18</f>
        <v>(Invalid Transaction Id)</v>
      </c>
      <c r="P17" s="1374"/>
      <c r="Q17" s="1373" t="str">
        <f>'Capital IQ Sheet-STM'!N18</f>
        <v>(Invalid Transaction Id)</v>
      </c>
      <c r="R17" s="1373" t="str">
        <f>'Capital IQ Sheet-STM'!O18</f>
        <v>(Invalid Transaction Id)</v>
      </c>
      <c r="S17" s="1373" t="str">
        <f>'Capital IQ Sheet-STM'!P18</f>
        <v>(Invalid Transaction Id)</v>
      </c>
      <c r="T17" s="1374"/>
      <c r="U17" s="1375" t="str">
        <f t="shared" si="1"/>
        <v>n/a</v>
      </c>
      <c r="V17" s="1375" t="str">
        <f t="shared" si="2"/>
        <v>n/a</v>
      </c>
      <c r="W17" s="1375" t="str">
        <f t="shared" si="3"/>
        <v>n/a</v>
      </c>
      <c r="X17" s="1375" t="str">
        <f>'Capital IQ Sheet-STM'!U18</f>
        <v>(Invalid Transaction Id)</v>
      </c>
      <c r="Y17" s="1375" t="str">
        <f>'Capital IQ Sheet-STM'!V18</f>
        <v>(Invalid Transaction Id)</v>
      </c>
      <c r="Z17" s="1374"/>
      <c r="AA17" s="759" t="str">
        <f>'Capital IQ Sheet-STM'!X18</f>
        <v>(Invalid Transaction Id)</v>
      </c>
      <c r="AB17" s="759" t="str">
        <f>'Capital IQ Sheet-STM'!Y18</f>
        <v>(Invalid Transaction Id)</v>
      </c>
      <c r="AC17" s="759" t="str">
        <f>'Capital IQ Sheet-STM'!Z18</f>
        <v>(Invalid Transaction Id)</v>
      </c>
      <c r="AD17" s="1374"/>
      <c r="AE17" s="1375" t="str">
        <f t="shared" si="4"/>
        <v>n/a</v>
      </c>
      <c r="AF17" s="1375" t="str">
        <f t="shared" si="5"/>
        <v>n/a</v>
      </c>
      <c r="AG17" s="1370" t="str">
        <f>'Capital IQ Sheet-STM'!AD18</f>
        <v>n/a</v>
      </c>
      <c r="AI17" s="1371" t="str">
        <f>IFERROR('Capital IQ Sheet-STM'!AH18,"n/a")</f>
        <v>n/a</v>
      </c>
      <c r="AJ17" s="1371" t="str">
        <f>IFERROR('Capital IQ Sheet-STM'!AI18,"n/a")</f>
        <v>n/a</v>
      </c>
      <c r="AL17" s="1377"/>
    </row>
    <row r="18" spans="2:38" s="1372" customFormat="1" ht="14.85" customHeight="1">
      <c r="B18" s="1370" t="str">
        <f>IFERROR('Capital IQ Sheet-STM'!B19,"n/a")</f>
        <v>(Invalid Transaction Id)</v>
      </c>
      <c r="C18" s="1370" t="str">
        <f>'Capital IQ Sheet-STM'!C19</f>
        <v>(Invalid Transaction Id)</v>
      </c>
      <c r="D18" s="1370" t="str">
        <f>'Capital IQ Sheet-STM'!D19</f>
        <v>(Invalid Transaction Id)</v>
      </c>
      <c r="E18" s="1370" t="str">
        <f>'Capital IQ Sheet-STM'!E19</f>
        <v>(Invalid Identifier)</v>
      </c>
      <c r="F18" s="1371" t="str">
        <f>IFERROR('Capital IQ Sheet-STM'!F19,"n/a")</f>
        <v>n/a</v>
      </c>
      <c r="G18" s="1370" t="str">
        <f>'Capital IQ Sheet-STM'!G19</f>
        <v>(Invalid Transaction Id)</v>
      </c>
      <c r="L18" s="1373" t="str">
        <f>'Capital IQ Sheet-STM'!I19</f>
        <v>(Invalid Transaction Id)</v>
      </c>
      <c r="M18" s="1373">
        <f>'Capital IQ Sheet-STM'!J19</f>
        <v>0</v>
      </c>
      <c r="N18" s="1373">
        <f>'Capital IQ Sheet-STM'!K19</f>
        <v>0</v>
      </c>
      <c r="O18" s="1373" t="str">
        <f>'Capital IQ Sheet-STM'!L19</f>
        <v>(Invalid Transaction Id)</v>
      </c>
      <c r="P18" s="1374"/>
      <c r="Q18" s="1373" t="str">
        <f>'Capital IQ Sheet-STM'!N19</f>
        <v>(Invalid Transaction Id)</v>
      </c>
      <c r="R18" s="1373" t="str">
        <f>'Capital IQ Sheet-STM'!O19</f>
        <v>(Invalid Transaction Id)</v>
      </c>
      <c r="S18" s="1373" t="str">
        <f>'Capital IQ Sheet-STM'!P19</f>
        <v>(Invalid Transaction Id)</v>
      </c>
      <c r="T18" s="1374"/>
      <c r="U18" s="1375" t="str">
        <f t="shared" si="1"/>
        <v>n/a</v>
      </c>
      <c r="V18" s="1375" t="str">
        <f t="shared" si="2"/>
        <v>n/a</v>
      </c>
      <c r="W18" s="1375" t="str">
        <f t="shared" si="3"/>
        <v>n/a</v>
      </c>
      <c r="X18" s="1375" t="str">
        <f>'Capital IQ Sheet-STM'!U19</f>
        <v>(Invalid Transaction Id)</v>
      </c>
      <c r="Y18" s="1375" t="str">
        <f>'Capital IQ Sheet-STM'!V19</f>
        <v>(Invalid Transaction Id)</v>
      </c>
      <c r="Z18" s="1374"/>
      <c r="AA18" s="759" t="str">
        <f>'Capital IQ Sheet-STM'!X19</f>
        <v>(Invalid Transaction Id)</v>
      </c>
      <c r="AB18" s="759" t="str">
        <f>'Capital IQ Sheet-STM'!Y19</f>
        <v>(Invalid Transaction Id)</v>
      </c>
      <c r="AC18" s="759" t="str">
        <f>'Capital IQ Sheet-STM'!Z19</f>
        <v>(Invalid Transaction Id)</v>
      </c>
      <c r="AD18" s="1374"/>
      <c r="AE18" s="1375" t="str">
        <f t="shared" si="4"/>
        <v>n/a</v>
      </c>
      <c r="AF18" s="1375" t="str">
        <f t="shared" si="5"/>
        <v>n/a</v>
      </c>
      <c r="AG18" s="1370" t="str">
        <f>'Capital IQ Sheet-STM'!AD19</f>
        <v>n/a</v>
      </c>
      <c r="AI18" s="1371" t="str">
        <f>IFERROR('Capital IQ Sheet-STM'!AH19,"n/a")</f>
        <v>n/a</v>
      </c>
      <c r="AJ18" s="1371" t="str">
        <f>IFERROR('Capital IQ Sheet-STM'!AI19,"n/a")</f>
        <v>n/a</v>
      </c>
      <c r="AL18" s="1377"/>
    </row>
    <row r="19" spans="2:38" s="1372" customFormat="1" ht="14.85" customHeight="1">
      <c r="B19" s="1370" t="str">
        <f>IFERROR('Capital IQ Sheet-STM'!B20,"n/a")</f>
        <v>(Invalid Transaction Id)</v>
      </c>
      <c r="C19" s="1370" t="str">
        <f>'Capital IQ Sheet-STM'!C20</f>
        <v>(Invalid Transaction Id)</v>
      </c>
      <c r="D19" s="1370" t="str">
        <f>'Capital IQ Sheet-STM'!D20</f>
        <v>(Invalid Transaction Id)</v>
      </c>
      <c r="E19" s="1370" t="str">
        <f>'Capital IQ Sheet-STM'!E20</f>
        <v>(Invalid Identifier)</v>
      </c>
      <c r="F19" s="1371" t="str">
        <f>IFERROR('Capital IQ Sheet-STM'!F20,"n/a")</f>
        <v>n/a</v>
      </c>
      <c r="G19" s="1370" t="str">
        <f>'Capital IQ Sheet-STM'!G20</f>
        <v>(Invalid Transaction Id)</v>
      </c>
      <c r="L19" s="1373" t="str">
        <f>'Capital IQ Sheet-STM'!I20</f>
        <v>(Invalid Transaction Id)</v>
      </c>
      <c r="M19" s="1373">
        <f>'Capital IQ Sheet-STM'!J20</f>
        <v>0</v>
      </c>
      <c r="N19" s="1373">
        <f>'Capital IQ Sheet-STM'!K20</f>
        <v>0</v>
      </c>
      <c r="O19" s="1373" t="str">
        <f>'Capital IQ Sheet-STM'!L20</f>
        <v>(Invalid Transaction Id)</v>
      </c>
      <c r="P19" s="1374"/>
      <c r="Q19" s="1373" t="str">
        <f>'Capital IQ Sheet-STM'!N20</f>
        <v>(Invalid Transaction Id)</v>
      </c>
      <c r="R19" s="1373" t="str">
        <f>'Capital IQ Sheet-STM'!O20</f>
        <v>(Invalid Transaction Id)</v>
      </c>
      <c r="S19" s="1373" t="str">
        <f>'Capital IQ Sheet-STM'!P20</f>
        <v>(Invalid Transaction Id)</v>
      </c>
      <c r="T19" s="1374"/>
      <c r="U19" s="1375" t="str">
        <f t="shared" si="1"/>
        <v>n/a</v>
      </c>
      <c r="V19" s="1375" t="str">
        <f t="shared" si="2"/>
        <v>n/a</v>
      </c>
      <c r="W19" s="1375" t="str">
        <f t="shared" si="3"/>
        <v>n/a</v>
      </c>
      <c r="X19" s="1375" t="str">
        <f>'Capital IQ Sheet-STM'!U20</f>
        <v>(Invalid Transaction Id)</v>
      </c>
      <c r="Y19" s="1375" t="str">
        <f>'Capital IQ Sheet-STM'!V20</f>
        <v>(Invalid Transaction Id)</v>
      </c>
      <c r="Z19" s="1374"/>
      <c r="AA19" s="759" t="str">
        <f>'Capital IQ Sheet-STM'!X20</f>
        <v>(Invalid Transaction Id)</v>
      </c>
      <c r="AB19" s="759" t="str">
        <f>'Capital IQ Sheet-STM'!Y20</f>
        <v>(Invalid Transaction Id)</v>
      </c>
      <c r="AC19" s="759" t="str">
        <f>'Capital IQ Sheet-STM'!Z20</f>
        <v>(Invalid Transaction Id)</v>
      </c>
      <c r="AD19" s="1374"/>
      <c r="AE19" s="1375" t="str">
        <f t="shared" si="4"/>
        <v>n/a</v>
      </c>
      <c r="AF19" s="1375" t="str">
        <f t="shared" si="5"/>
        <v>n/a</v>
      </c>
      <c r="AG19" s="1370" t="str">
        <f>'Capital IQ Sheet-STM'!AD20</f>
        <v>n/a</v>
      </c>
      <c r="AI19" s="1371" t="str">
        <f>IFERROR('Capital IQ Sheet-STM'!AH20,"n/a")</f>
        <v>n/a</v>
      </c>
      <c r="AJ19" s="1371" t="str">
        <f>IFERROR('Capital IQ Sheet-STM'!AI20,"n/a")</f>
        <v>n/a</v>
      </c>
      <c r="AL19" s="1377"/>
    </row>
    <row r="20" spans="2:38" s="1372" customFormat="1" ht="14.85" customHeight="1">
      <c r="B20" s="1370" t="str">
        <f>IFERROR('Capital IQ Sheet-STM'!B21,"n/a")</f>
        <v>(Invalid Transaction Id)</v>
      </c>
      <c r="C20" s="1370" t="str">
        <f>'Capital IQ Sheet-STM'!C21</f>
        <v>(Invalid Transaction Id)</v>
      </c>
      <c r="D20" s="1370" t="str">
        <f>'Capital IQ Sheet-STM'!D21</f>
        <v>(Invalid Transaction Id)</v>
      </c>
      <c r="E20" s="1370" t="str">
        <f>'Capital IQ Sheet-STM'!E21</f>
        <v>(Invalid Identifier)</v>
      </c>
      <c r="F20" s="1371" t="str">
        <f>IFERROR('Capital IQ Sheet-STM'!F21,"n/a")</f>
        <v>n/a</v>
      </c>
      <c r="G20" s="1370" t="str">
        <f>'Capital IQ Sheet-STM'!G21</f>
        <v>(Invalid Transaction Id)</v>
      </c>
      <c r="L20" s="1373" t="str">
        <f>'Capital IQ Sheet-STM'!I21</f>
        <v>(Invalid Transaction Id)</v>
      </c>
      <c r="M20" s="1373">
        <f>'Capital IQ Sheet-STM'!J21</f>
        <v>0</v>
      </c>
      <c r="N20" s="1373">
        <f>'Capital IQ Sheet-STM'!K21</f>
        <v>0</v>
      </c>
      <c r="O20" s="1373" t="str">
        <f>'Capital IQ Sheet-STM'!L21</f>
        <v>(Invalid Transaction Id)</v>
      </c>
      <c r="P20" s="1374"/>
      <c r="Q20" s="1373" t="str">
        <f>'Capital IQ Sheet-STM'!N21</f>
        <v>(Invalid Transaction Id)</v>
      </c>
      <c r="R20" s="1373" t="str">
        <f>'Capital IQ Sheet-STM'!O21</f>
        <v>(Invalid Transaction Id)</v>
      </c>
      <c r="S20" s="1373" t="str">
        <f>'Capital IQ Sheet-STM'!P21</f>
        <v>(Invalid Transaction Id)</v>
      </c>
      <c r="T20" s="1374"/>
      <c r="U20" s="1375" t="str">
        <f t="shared" si="1"/>
        <v>n/a</v>
      </c>
      <c r="V20" s="1375" t="str">
        <f t="shared" si="2"/>
        <v>n/a</v>
      </c>
      <c r="W20" s="1375" t="str">
        <f t="shared" si="3"/>
        <v>n/a</v>
      </c>
      <c r="X20" s="1375" t="str">
        <f>'Capital IQ Sheet-STM'!U21</f>
        <v>(Invalid Transaction Id)</v>
      </c>
      <c r="Y20" s="1375" t="str">
        <f>'Capital IQ Sheet-STM'!V21</f>
        <v>(Invalid Transaction Id)</v>
      </c>
      <c r="Z20" s="1374"/>
      <c r="AA20" s="759" t="str">
        <f>'Capital IQ Sheet-STM'!X21</f>
        <v>(Invalid Transaction Id)</v>
      </c>
      <c r="AB20" s="759" t="str">
        <f>'Capital IQ Sheet-STM'!Y21</f>
        <v>(Invalid Transaction Id)</v>
      </c>
      <c r="AC20" s="759" t="str">
        <f>'Capital IQ Sheet-STM'!Z21</f>
        <v>(Invalid Transaction Id)</v>
      </c>
      <c r="AD20" s="1374"/>
      <c r="AE20" s="1375" t="str">
        <f t="shared" si="4"/>
        <v>n/a</v>
      </c>
      <c r="AF20" s="1375" t="str">
        <f t="shared" si="5"/>
        <v>n/a</v>
      </c>
      <c r="AG20" s="1370" t="str">
        <f>'Capital IQ Sheet-STM'!AD21</f>
        <v>n/a</v>
      </c>
      <c r="AI20" s="1371" t="str">
        <f>IFERROR('Capital IQ Sheet-STM'!AH21,"n/a")</f>
        <v>n/a</v>
      </c>
      <c r="AJ20" s="1371" t="str">
        <f>IFERROR('Capital IQ Sheet-STM'!AI21,"n/a")</f>
        <v>n/a</v>
      </c>
      <c r="AL20" s="1377"/>
    </row>
    <row r="21" spans="2:38" s="1372" customFormat="1" ht="14.85" customHeight="1">
      <c r="B21" s="1370" t="str">
        <f>IFERROR('Capital IQ Sheet-STM'!B22,"n/a")</f>
        <v>(Invalid Transaction Id)</v>
      </c>
      <c r="C21" s="1370" t="str">
        <f>'Capital IQ Sheet-STM'!C22</f>
        <v>(Invalid Transaction Id)</v>
      </c>
      <c r="D21" s="1370" t="str">
        <f>'Capital IQ Sheet-STM'!D22</f>
        <v>(Invalid Transaction Id)</v>
      </c>
      <c r="E21" s="1370" t="str">
        <f>'Capital IQ Sheet-STM'!E22</f>
        <v>(Invalid Identifier)</v>
      </c>
      <c r="F21" s="1371" t="str">
        <f>IFERROR('Capital IQ Sheet-STM'!F22,"n/a")</f>
        <v>n/a</v>
      </c>
      <c r="G21" s="1370" t="str">
        <f>'Capital IQ Sheet-STM'!G22</f>
        <v>(Invalid Transaction Id)</v>
      </c>
      <c r="L21" s="1373" t="str">
        <f>'Capital IQ Sheet-STM'!I22</f>
        <v>(Invalid Transaction Id)</v>
      </c>
      <c r="M21" s="1373">
        <f>'Capital IQ Sheet-STM'!J22</f>
        <v>0</v>
      </c>
      <c r="N21" s="1373">
        <f>'Capital IQ Sheet-STM'!K22</f>
        <v>0</v>
      </c>
      <c r="O21" s="1373" t="str">
        <f>'Capital IQ Sheet-STM'!L22</f>
        <v>(Invalid Transaction Id)</v>
      </c>
      <c r="P21" s="1374"/>
      <c r="Q21" s="1373" t="str">
        <f>'Capital IQ Sheet-STM'!N22</f>
        <v>(Invalid Transaction Id)</v>
      </c>
      <c r="R21" s="1373" t="str">
        <f>'Capital IQ Sheet-STM'!O22</f>
        <v>(Invalid Transaction Id)</v>
      </c>
      <c r="S21" s="1373" t="str">
        <f>'Capital IQ Sheet-STM'!P22</f>
        <v>(Invalid Transaction Id)</v>
      </c>
      <c r="T21" s="1374"/>
      <c r="U21" s="1375" t="str">
        <f t="shared" si="1"/>
        <v>n/a</v>
      </c>
      <c r="V21" s="1375" t="str">
        <f t="shared" si="2"/>
        <v>n/a</v>
      </c>
      <c r="W21" s="1375" t="str">
        <f t="shared" si="3"/>
        <v>n/a</v>
      </c>
      <c r="X21" s="1375" t="str">
        <f>'Capital IQ Sheet-STM'!U22</f>
        <v>(Invalid Transaction Id)</v>
      </c>
      <c r="Y21" s="1375" t="str">
        <f>'Capital IQ Sheet-STM'!V22</f>
        <v>(Invalid Transaction Id)</v>
      </c>
      <c r="Z21" s="1374"/>
      <c r="AA21" s="759" t="str">
        <f>'Capital IQ Sheet-STM'!X22</f>
        <v>(Invalid Transaction Id)</v>
      </c>
      <c r="AB21" s="759" t="str">
        <f>'Capital IQ Sheet-STM'!Y22</f>
        <v>(Invalid Transaction Id)</v>
      </c>
      <c r="AC21" s="759" t="str">
        <f>'Capital IQ Sheet-STM'!Z22</f>
        <v>(Invalid Transaction Id)</v>
      </c>
      <c r="AD21" s="1374"/>
      <c r="AE21" s="1375" t="str">
        <f t="shared" si="4"/>
        <v>n/a</v>
      </c>
      <c r="AF21" s="1375" t="str">
        <f t="shared" si="5"/>
        <v>n/a</v>
      </c>
      <c r="AG21" s="1370" t="str">
        <f>'Capital IQ Sheet-STM'!AD22</f>
        <v>n/a</v>
      </c>
      <c r="AI21" s="1371" t="str">
        <f>IFERROR('Capital IQ Sheet-STM'!AH22,"n/a")</f>
        <v>n/a</v>
      </c>
      <c r="AJ21" s="1371" t="str">
        <f>IFERROR('Capital IQ Sheet-STM'!AI22,"n/a")</f>
        <v>n/a</v>
      </c>
      <c r="AL21" s="1377"/>
    </row>
    <row r="22" spans="2:38" s="1372" customFormat="1" ht="14.85" customHeight="1">
      <c r="B22" s="1370" t="str">
        <f>IFERROR('Capital IQ Sheet-STM'!B23,"n/a")</f>
        <v>(Invalid Transaction Id)</v>
      </c>
      <c r="C22" s="1370" t="str">
        <f>'Capital IQ Sheet-STM'!C23</f>
        <v>(Invalid Transaction Id)</v>
      </c>
      <c r="D22" s="1370" t="str">
        <f>'Capital IQ Sheet-STM'!D23</f>
        <v>(Invalid Transaction Id)</v>
      </c>
      <c r="E22" s="1370" t="str">
        <f>'Capital IQ Sheet-STM'!E23</f>
        <v>(Invalid Identifier)</v>
      </c>
      <c r="F22" s="1371" t="str">
        <f>IFERROR('Capital IQ Sheet-STM'!F23,"n/a")</f>
        <v>n/a</v>
      </c>
      <c r="G22" s="1370" t="str">
        <f>'Capital IQ Sheet-STM'!G23</f>
        <v>(Invalid Transaction Id)</v>
      </c>
      <c r="L22" s="1373" t="str">
        <f>'Capital IQ Sheet-STM'!I23</f>
        <v>(Invalid Transaction Id)</v>
      </c>
      <c r="M22" s="1373">
        <f>'Capital IQ Sheet-STM'!J23</f>
        <v>0</v>
      </c>
      <c r="N22" s="1373">
        <f>'Capital IQ Sheet-STM'!K23</f>
        <v>0</v>
      </c>
      <c r="O22" s="1373" t="str">
        <f>'Capital IQ Sheet-STM'!L23</f>
        <v>(Invalid Transaction Id)</v>
      </c>
      <c r="P22" s="1374"/>
      <c r="Q22" s="1373" t="str">
        <f>'Capital IQ Sheet-STM'!N23</f>
        <v>(Invalid Transaction Id)</v>
      </c>
      <c r="R22" s="1373" t="str">
        <f>'Capital IQ Sheet-STM'!O23</f>
        <v>(Invalid Transaction Id)</v>
      </c>
      <c r="S22" s="1373" t="str">
        <f>'Capital IQ Sheet-STM'!P23</f>
        <v>(Invalid Transaction Id)</v>
      </c>
      <c r="T22" s="1374"/>
      <c r="U22" s="1375" t="str">
        <f t="shared" si="1"/>
        <v>n/a</v>
      </c>
      <c r="V22" s="1375" t="str">
        <f t="shared" si="2"/>
        <v>n/a</v>
      </c>
      <c r="W22" s="1375" t="str">
        <f t="shared" si="3"/>
        <v>n/a</v>
      </c>
      <c r="X22" s="1375" t="str">
        <f>'Capital IQ Sheet-STM'!U23</f>
        <v>(Invalid Transaction Id)</v>
      </c>
      <c r="Y22" s="1375" t="str">
        <f>'Capital IQ Sheet-STM'!V23</f>
        <v>(Invalid Transaction Id)</v>
      </c>
      <c r="Z22" s="1374"/>
      <c r="AA22" s="759" t="str">
        <f>'Capital IQ Sheet-STM'!X23</f>
        <v>(Invalid Transaction Id)</v>
      </c>
      <c r="AB22" s="759" t="str">
        <f>'Capital IQ Sheet-STM'!Y23</f>
        <v>(Invalid Transaction Id)</v>
      </c>
      <c r="AC22" s="759" t="str">
        <f>'Capital IQ Sheet-STM'!Z23</f>
        <v>(Invalid Transaction Id)</v>
      </c>
      <c r="AD22" s="1374"/>
      <c r="AE22" s="1375" t="str">
        <f t="shared" si="4"/>
        <v>n/a</v>
      </c>
      <c r="AF22" s="1375" t="str">
        <f t="shared" si="5"/>
        <v>n/a</v>
      </c>
      <c r="AG22" s="1370" t="str">
        <f>'Capital IQ Sheet-STM'!AD23</f>
        <v>n/a</v>
      </c>
      <c r="AI22" s="1371" t="str">
        <f>IFERROR('Capital IQ Sheet-STM'!AH23,"n/a")</f>
        <v>n/a</v>
      </c>
      <c r="AJ22" s="1371" t="str">
        <f>IFERROR('Capital IQ Sheet-STM'!AI23,"n/a")</f>
        <v>n/a</v>
      </c>
      <c r="AL22" s="1377"/>
    </row>
    <row r="23" spans="2:38" s="1372" customFormat="1" ht="14.85" customHeight="1">
      <c r="B23" s="1370" t="str">
        <f>IFERROR('Capital IQ Sheet-STM'!B24,"n/a")</f>
        <v>(Invalid Transaction Id)</v>
      </c>
      <c r="C23" s="1370" t="str">
        <f>'Capital IQ Sheet-STM'!C24</f>
        <v>(Invalid Transaction Id)</v>
      </c>
      <c r="D23" s="1370" t="str">
        <f>'Capital IQ Sheet-STM'!D24</f>
        <v>(Invalid Transaction Id)</v>
      </c>
      <c r="E23" s="1370" t="str">
        <f>'Capital IQ Sheet-STM'!E24</f>
        <v>(Invalid Identifier)</v>
      </c>
      <c r="F23" s="1371" t="str">
        <f>IFERROR('Capital IQ Sheet-STM'!F24,"n/a")</f>
        <v>n/a</v>
      </c>
      <c r="G23" s="1370" t="str">
        <f>'Capital IQ Sheet-STM'!G24</f>
        <v>(Invalid Transaction Id)</v>
      </c>
      <c r="L23" s="1373" t="str">
        <f>'Capital IQ Sheet-STM'!I24</f>
        <v>(Invalid Transaction Id)</v>
      </c>
      <c r="M23" s="1373">
        <f>'Capital IQ Sheet-STM'!J24</f>
        <v>0</v>
      </c>
      <c r="N23" s="1373">
        <f>'Capital IQ Sheet-STM'!K24</f>
        <v>0</v>
      </c>
      <c r="O23" s="1373" t="str">
        <f>'Capital IQ Sheet-STM'!L24</f>
        <v>(Invalid Transaction Id)</v>
      </c>
      <c r="P23" s="1374"/>
      <c r="Q23" s="1373" t="str">
        <f>'Capital IQ Sheet-STM'!N24</f>
        <v>(Invalid Transaction Id)</v>
      </c>
      <c r="R23" s="1373" t="str">
        <f>'Capital IQ Sheet-STM'!O24</f>
        <v>(Invalid Transaction Id)</v>
      </c>
      <c r="S23" s="1373" t="str">
        <f>'Capital IQ Sheet-STM'!P24</f>
        <v>(Invalid Transaction Id)</v>
      </c>
      <c r="T23" s="1374"/>
      <c r="U23" s="1375" t="str">
        <f t="shared" si="1"/>
        <v>n/a</v>
      </c>
      <c r="V23" s="1375" t="str">
        <f t="shared" si="2"/>
        <v>n/a</v>
      </c>
      <c r="W23" s="1375" t="str">
        <f t="shared" si="3"/>
        <v>n/a</v>
      </c>
      <c r="X23" s="1375" t="str">
        <f>'Capital IQ Sheet-STM'!U24</f>
        <v>(Invalid Transaction Id)</v>
      </c>
      <c r="Y23" s="1375" t="str">
        <f>'Capital IQ Sheet-STM'!V24</f>
        <v>(Invalid Transaction Id)</v>
      </c>
      <c r="Z23" s="1374"/>
      <c r="AA23" s="759" t="str">
        <f>'Capital IQ Sheet-STM'!X24</f>
        <v>(Invalid Transaction Id)</v>
      </c>
      <c r="AB23" s="759" t="str">
        <f>'Capital IQ Sheet-STM'!Y24</f>
        <v>(Invalid Transaction Id)</v>
      </c>
      <c r="AC23" s="759" t="str">
        <f>'Capital IQ Sheet-STM'!Z24</f>
        <v>(Invalid Transaction Id)</v>
      </c>
      <c r="AD23" s="1374"/>
      <c r="AE23" s="1375" t="str">
        <f t="shared" si="4"/>
        <v>n/a</v>
      </c>
      <c r="AF23" s="1375" t="str">
        <f t="shared" si="5"/>
        <v>n/a</v>
      </c>
      <c r="AG23" s="1370" t="str">
        <f>'Capital IQ Sheet-STM'!AD24</f>
        <v>n/a</v>
      </c>
      <c r="AI23" s="1371" t="str">
        <f>IFERROR('Capital IQ Sheet-STM'!AH24,"n/a")</f>
        <v>n/a</v>
      </c>
      <c r="AJ23" s="1371" t="str">
        <f>IFERROR('Capital IQ Sheet-STM'!AI24,"n/a")</f>
        <v>n/a</v>
      </c>
      <c r="AL23" s="1377"/>
    </row>
    <row r="24" spans="2:38" s="1372" customFormat="1" ht="14.85" customHeight="1">
      <c r="B24" s="1370" t="str">
        <f>IFERROR('Capital IQ Sheet-STM'!B25,"n/a")</f>
        <v>(Invalid Transaction Id)</v>
      </c>
      <c r="C24" s="1370" t="str">
        <f>'Capital IQ Sheet-STM'!C25</f>
        <v>(Invalid Transaction Id)</v>
      </c>
      <c r="D24" s="1370" t="str">
        <f>'Capital IQ Sheet-STM'!D25</f>
        <v>(Invalid Transaction Id)</v>
      </c>
      <c r="E24" s="1370" t="str">
        <f>'Capital IQ Sheet-STM'!E25</f>
        <v>(Invalid Identifier)</v>
      </c>
      <c r="F24" s="1371" t="str">
        <f>IFERROR('Capital IQ Sheet-STM'!F25,"n/a")</f>
        <v>n/a</v>
      </c>
      <c r="G24" s="1370" t="str">
        <f>'Capital IQ Sheet-STM'!G25</f>
        <v>(Invalid Transaction Id)</v>
      </c>
      <c r="L24" s="1373" t="str">
        <f>'Capital IQ Sheet-STM'!I25</f>
        <v>(Invalid Transaction Id)</v>
      </c>
      <c r="M24" s="1373">
        <f>'Capital IQ Sheet-STM'!J25</f>
        <v>0</v>
      </c>
      <c r="N24" s="1373">
        <f>'Capital IQ Sheet-STM'!K25</f>
        <v>0</v>
      </c>
      <c r="O24" s="1373" t="str">
        <f>'Capital IQ Sheet-STM'!L25</f>
        <v>(Invalid Transaction Id)</v>
      </c>
      <c r="P24" s="1374"/>
      <c r="Q24" s="1373" t="str">
        <f>'Capital IQ Sheet-STM'!N25</f>
        <v>(Invalid Transaction Id)</v>
      </c>
      <c r="R24" s="1373" t="str">
        <f>'Capital IQ Sheet-STM'!O25</f>
        <v>(Invalid Transaction Id)</v>
      </c>
      <c r="S24" s="1373" t="str">
        <f>'Capital IQ Sheet-STM'!P25</f>
        <v>(Invalid Transaction Id)</v>
      </c>
      <c r="T24" s="1374"/>
      <c r="U24" s="1375" t="str">
        <f t="shared" si="1"/>
        <v>n/a</v>
      </c>
      <c r="V24" s="1375" t="str">
        <f t="shared" si="2"/>
        <v>n/a</v>
      </c>
      <c r="W24" s="1375" t="str">
        <f t="shared" si="3"/>
        <v>n/a</v>
      </c>
      <c r="X24" s="1375" t="str">
        <f>'Capital IQ Sheet-STM'!U25</f>
        <v>(Invalid Transaction Id)</v>
      </c>
      <c r="Y24" s="1375" t="str">
        <f>'Capital IQ Sheet-STM'!V25</f>
        <v>(Invalid Transaction Id)</v>
      </c>
      <c r="Z24" s="1374"/>
      <c r="AA24" s="759" t="str">
        <f>'Capital IQ Sheet-STM'!X25</f>
        <v>(Invalid Transaction Id)</v>
      </c>
      <c r="AB24" s="759" t="str">
        <f>'Capital IQ Sheet-STM'!Y25</f>
        <v>(Invalid Transaction Id)</v>
      </c>
      <c r="AC24" s="759" t="str">
        <f>'Capital IQ Sheet-STM'!Z25</f>
        <v>(Invalid Transaction Id)</v>
      </c>
      <c r="AD24" s="1374"/>
      <c r="AE24" s="1375" t="str">
        <f t="shared" si="4"/>
        <v>n/a</v>
      </c>
      <c r="AF24" s="1375" t="str">
        <f t="shared" si="5"/>
        <v>n/a</v>
      </c>
      <c r="AG24" s="1370" t="str">
        <f>'Capital IQ Sheet-STM'!AD25</f>
        <v>n/a</v>
      </c>
      <c r="AI24" s="1371" t="str">
        <f>IFERROR('Capital IQ Sheet-STM'!AH25,"n/a")</f>
        <v>n/a</v>
      </c>
      <c r="AJ24" s="1371" t="str">
        <f>IFERROR('Capital IQ Sheet-STM'!AI25,"n/a")</f>
        <v>n/a</v>
      </c>
      <c r="AL24" s="1377"/>
    </row>
    <row r="25" spans="2:38" s="1372" customFormat="1" ht="14.85" customHeight="1">
      <c r="B25" s="1370" t="str">
        <f>IFERROR('Capital IQ Sheet-STM'!B26,"n/a")</f>
        <v>(Invalid Transaction Id)</v>
      </c>
      <c r="C25" s="1370" t="str">
        <f>'Capital IQ Sheet-STM'!C26</f>
        <v>(Invalid Transaction Id)</v>
      </c>
      <c r="D25" s="1370" t="str">
        <f>'Capital IQ Sheet-STM'!D26</f>
        <v>(Invalid Transaction Id)</v>
      </c>
      <c r="E25" s="1370" t="str">
        <f>'Capital IQ Sheet-STM'!E26</f>
        <v>(Invalid Identifier)</v>
      </c>
      <c r="F25" s="1371" t="str">
        <f>IFERROR('Capital IQ Sheet-STM'!F26,"n/a")</f>
        <v>n/a</v>
      </c>
      <c r="G25" s="1370" t="str">
        <f>'Capital IQ Sheet-STM'!G26</f>
        <v>(Invalid Transaction Id)</v>
      </c>
      <c r="L25" s="1373" t="str">
        <f>'Capital IQ Sheet-STM'!I26</f>
        <v>(Invalid Transaction Id)</v>
      </c>
      <c r="M25" s="1373">
        <f>'Capital IQ Sheet-STM'!J26</f>
        <v>0</v>
      </c>
      <c r="N25" s="1373">
        <f>'Capital IQ Sheet-STM'!K26</f>
        <v>0</v>
      </c>
      <c r="O25" s="1373" t="str">
        <f>'Capital IQ Sheet-STM'!L26</f>
        <v>(Invalid Transaction Id)</v>
      </c>
      <c r="P25" s="1374"/>
      <c r="Q25" s="1373" t="str">
        <f>'Capital IQ Sheet-STM'!N26</f>
        <v>(Invalid Transaction Id)</v>
      </c>
      <c r="R25" s="1373" t="str">
        <f>'Capital IQ Sheet-STM'!O26</f>
        <v>(Invalid Transaction Id)</v>
      </c>
      <c r="S25" s="1373" t="str">
        <f>'Capital IQ Sheet-STM'!P26</f>
        <v>(Invalid Transaction Id)</v>
      </c>
      <c r="T25" s="1374"/>
      <c r="U25" s="1375" t="str">
        <f t="shared" si="1"/>
        <v>n/a</v>
      </c>
      <c r="V25" s="1375" t="str">
        <f t="shared" si="2"/>
        <v>n/a</v>
      </c>
      <c r="W25" s="1375" t="str">
        <f t="shared" si="3"/>
        <v>n/a</v>
      </c>
      <c r="X25" s="1375" t="str">
        <f>'Capital IQ Sheet-STM'!U26</f>
        <v>(Invalid Transaction Id)</v>
      </c>
      <c r="Y25" s="1375" t="str">
        <f>'Capital IQ Sheet-STM'!V26</f>
        <v>(Invalid Transaction Id)</v>
      </c>
      <c r="Z25" s="1374"/>
      <c r="AA25" s="759" t="str">
        <f>'Capital IQ Sheet-STM'!X26</f>
        <v>(Invalid Transaction Id)</v>
      </c>
      <c r="AB25" s="759" t="str">
        <f>'Capital IQ Sheet-STM'!Y26</f>
        <v>(Invalid Transaction Id)</v>
      </c>
      <c r="AC25" s="759" t="str">
        <f>'Capital IQ Sheet-STM'!Z26</f>
        <v>(Invalid Transaction Id)</v>
      </c>
      <c r="AD25" s="1374"/>
      <c r="AE25" s="1375" t="str">
        <f t="shared" si="4"/>
        <v>n/a</v>
      </c>
      <c r="AF25" s="1375" t="str">
        <f t="shared" si="5"/>
        <v>n/a</v>
      </c>
      <c r="AG25" s="1370" t="str">
        <f>'Capital IQ Sheet-STM'!AD26</f>
        <v>n/a</v>
      </c>
      <c r="AI25" s="1371" t="str">
        <f>IFERROR('Capital IQ Sheet-STM'!AH26,"n/a")</f>
        <v>n/a</v>
      </c>
      <c r="AJ25" s="1371" t="str">
        <f>IFERROR('Capital IQ Sheet-STM'!AI26,"n/a")</f>
        <v>n/a</v>
      </c>
      <c r="AL25" s="1377"/>
    </row>
    <row r="26" spans="2:38" s="1372" customFormat="1" ht="14.85" customHeight="1">
      <c r="B26" s="1370" t="str">
        <f>IFERROR('Capital IQ Sheet-STM'!B27,"n/a")</f>
        <v>(Invalid Transaction Id)</v>
      </c>
      <c r="C26" s="1370" t="str">
        <f>'Capital IQ Sheet-STM'!C27</f>
        <v>(Invalid Transaction Id)</v>
      </c>
      <c r="D26" s="1370" t="str">
        <f>'Capital IQ Sheet-STM'!D27</f>
        <v>(Invalid Transaction Id)</v>
      </c>
      <c r="E26" s="1370" t="str">
        <f>'Capital IQ Sheet-STM'!E27</f>
        <v>(Invalid Identifier)</v>
      </c>
      <c r="F26" s="1371" t="str">
        <f>IFERROR('Capital IQ Sheet-STM'!F27,"n/a")</f>
        <v>n/a</v>
      </c>
      <c r="G26" s="1370" t="str">
        <f>'Capital IQ Sheet-STM'!G27</f>
        <v>(Invalid Transaction Id)</v>
      </c>
      <c r="L26" s="1373" t="str">
        <f>'Capital IQ Sheet-STM'!I27</f>
        <v>(Invalid Transaction Id)</v>
      </c>
      <c r="M26" s="1373">
        <f>'Capital IQ Sheet-STM'!J27</f>
        <v>0</v>
      </c>
      <c r="N26" s="1373">
        <f>'Capital IQ Sheet-STM'!K27</f>
        <v>0</v>
      </c>
      <c r="O26" s="1373" t="str">
        <f>'Capital IQ Sheet-STM'!L27</f>
        <v>(Invalid Transaction Id)</v>
      </c>
      <c r="P26" s="1374"/>
      <c r="Q26" s="1373" t="str">
        <f>'Capital IQ Sheet-STM'!N27</f>
        <v>(Invalid Transaction Id)</v>
      </c>
      <c r="R26" s="1373" t="str">
        <f>'Capital IQ Sheet-STM'!O27</f>
        <v>(Invalid Transaction Id)</v>
      </c>
      <c r="S26" s="1373" t="str">
        <f>'Capital IQ Sheet-STM'!P27</f>
        <v>(Invalid Transaction Id)</v>
      </c>
      <c r="T26" s="1374"/>
      <c r="U26" s="1375" t="str">
        <f t="shared" si="1"/>
        <v>n/a</v>
      </c>
      <c r="V26" s="1375" t="str">
        <f t="shared" si="2"/>
        <v>n/a</v>
      </c>
      <c r="W26" s="1375" t="str">
        <f t="shared" si="3"/>
        <v>n/a</v>
      </c>
      <c r="X26" s="1375" t="str">
        <f>'Capital IQ Sheet-STM'!U27</f>
        <v>(Invalid Transaction Id)</v>
      </c>
      <c r="Y26" s="1375" t="str">
        <f>'Capital IQ Sheet-STM'!V27</f>
        <v>(Invalid Transaction Id)</v>
      </c>
      <c r="Z26" s="1374"/>
      <c r="AA26" s="759" t="str">
        <f>'Capital IQ Sheet-STM'!X27</f>
        <v>(Invalid Transaction Id)</v>
      </c>
      <c r="AB26" s="759" t="str">
        <f>'Capital IQ Sheet-STM'!Y27</f>
        <v>(Invalid Transaction Id)</v>
      </c>
      <c r="AC26" s="759" t="str">
        <f>'Capital IQ Sheet-STM'!Z27</f>
        <v>(Invalid Transaction Id)</v>
      </c>
      <c r="AD26" s="1374"/>
      <c r="AE26" s="1375" t="str">
        <f t="shared" si="4"/>
        <v>n/a</v>
      </c>
      <c r="AF26" s="1375" t="str">
        <f t="shared" si="5"/>
        <v>n/a</v>
      </c>
      <c r="AG26" s="1370" t="str">
        <f>'Capital IQ Sheet-STM'!AD27</f>
        <v>n/a</v>
      </c>
      <c r="AI26" s="1371" t="str">
        <f>IFERROR('Capital IQ Sheet-STM'!AH27,"n/a")</f>
        <v>n/a</v>
      </c>
      <c r="AJ26" s="1371" t="str">
        <f>IFERROR('Capital IQ Sheet-STM'!AI27,"n/a")</f>
        <v>n/a</v>
      </c>
      <c r="AL26" s="1377"/>
    </row>
    <row r="27" spans="2:38" s="1372" customFormat="1" ht="14.85" customHeight="1">
      <c r="B27" s="1370" t="str">
        <f>IFERROR('Capital IQ Sheet-STM'!B28,"n/a")</f>
        <v>(Invalid Transaction Id)</v>
      </c>
      <c r="C27" s="1370" t="str">
        <f>'Capital IQ Sheet-STM'!C28</f>
        <v>(Invalid Transaction Id)</v>
      </c>
      <c r="D27" s="1370" t="str">
        <f>'Capital IQ Sheet-STM'!D28</f>
        <v>(Invalid Transaction Id)</v>
      </c>
      <c r="E27" s="1370" t="str">
        <f>'Capital IQ Sheet-STM'!E28</f>
        <v>(Invalid Identifier)</v>
      </c>
      <c r="F27" s="1371" t="str">
        <f>IFERROR('Capital IQ Sheet-STM'!F28,"n/a")</f>
        <v>n/a</v>
      </c>
      <c r="G27" s="1370" t="str">
        <f>'Capital IQ Sheet-STM'!G28</f>
        <v>(Invalid Transaction Id)</v>
      </c>
      <c r="L27" s="1373" t="str">
        <f>'Capital IQ Sheet-STM'!I28</f>
        <v>(Invalid Transaction Id)</v>
      </c>
      <c r="M27" s="1373">
        <f>'Capital IQ Sheet-STM'!J28</f>
        <v>0</v>
      </c>
      <c r="N27" s="1373">
        <f>'Capital IQ Sheet-STM'!K28</f>
        <v>0</v>
      </c>
      <c r="O27" s="1373" t="str">
        <f>'Capital IQ Sheet-STM'!L28</f>
        <v>(Invalid Transaction Id)</v>
      </c>
      <c r="P27" s="1374"/>
      <c r="Q27" s="1373" t="str">
        <f>'Capital IQ Sheet-STM'!N28</f>
        <v>(Invalid Transaction Id)</v>
      </c>
      <c r="R27" s="1373" t="str">
        <f>'Capital IQ Sheet-STM'!O28</f>
        <v>(Invalid Transaction Id)</v>
      </c>
      <c r="S27" s="1373" t="str">
        <f>'Capital IQ Sheet-STM'!P28</f>
        <v>(Invalid Transaction Id)</v>
      </c>
      <c r="T27" s="1374"/>
      <c r="U27" s="1375" t="str">
        <f t="shared" si="1"/>
        <v>n/a</v>
      </c>
      <c r="V27" s="1375" t="str">
        <f t="shared" si="2"/>
        <v>n/a</v>
      </c>
      <c r="W27" s="1375" t="str">
        <f t="shared" si="3"/>
        <v>n/a</v>
      </c>
      <c r="X27" s="1375" t="str">
        <f>'Capital IQ Sheet-STM'!U28</f>
        <v>(Invalid Transaction Id)</v>
      </c>
      <c r="Y27" s="1375" t="str">
        <f>'Capital IQ Sheet-STM'!V28</f>
        <v>(Invalid Transaction Id)</v>
      </c>
      <c r="Z27" s="1374"/>
      <c r="AA27" s="759" t="str">
        <f>'Capital IQ Sheet-STM'!X28</f>
        <v>(Invalid Transaction Id)</v>
      </c>
      <c r="AB27" s="759" t="str">
        <f>'Capital IQ Sheet-STM'!Y28</f>
        <v>(Invalid Transaction Id)</v>
      </c>
      <c r="AC27" s="759" t="str">
        <f>'Capital IQ Sheet-STM'!Z28</f>
        <v>(Invalid Transaction Id)</v>
      </c>
      <c r="AD27" s="1374"/>
      <c r="AE27" s="1375" t="str">
        <f t="shared" si="4"/>
        <v>n/a</v>
      </c>
      <c r="AF27" s="1375" t="str">
        <f t="shared" si="5"/>
        <v>n/a</v>
      </c>
      <c r="AG27" s="1370" t="str">
        <f>'Capital IQ Sheet-STM'!AD28</f>
        <v>n/a</v>
      </c>
      <c r="AI27" s="1371" t="str">
        <f>IFERROR('Capital IQ Sheet-STM'!AH28,"n/a")</f>
        <v>n/a</v>
      </c>
      <c r="AJ27" s="1371" t="str">
        <f>IFERROR('Capital IQ Sheet-STM'!AI28,"n/a")</f>
        <v>n/a</v>
      </c>
      <c r="AL27" s="1377"/>
    </row>
    <row r="28" spans="2:38" s="1372" customFormat="1" ht="14.85" customHeight="1">
      <c r="B28" s="1370" t="str">
        <f>IFERROR('Capital IQ Sheet-STM'!B29,"n/a")</f>
        <v>(Invalid Transaction Id)</v>
      </c>
      <c r="C28" s="1370" t="str">
        <f>'Capital IQ Sheet-STM'!C29</f>
        <v>(Invalid Transaction Id)</v>
      </c>
      <c r="D28" s="1370" t="str">
        <f>'Capital IQ Sheet-STM'!D29</f>
        <v>(Invalid Transaction Id)</v>
      </c>
      <c r="E28" s="1370" t="str">
        <f>'Capital IQ Sheet-STM'!E29</f>
        <v>(Invalid Identifier)</v>
      </c>
      <c r="F28" s="1371" t="str">
        <f>IFERROR('Capital IQ Sheet-STM'!F29,"n/a")</f>
        <v>n/a</v>
      </c>
      <c r="G28" s="1370" t="str">
        <f>'Capital IQ Sheet-STM'!G29</f>
        <v>(Invalid Transaction Id)</v>
      </c>
      <c r="L28" s="1373" t="str">
        <f>'Capital IQ Sheet-STM'!I29</f>
        <v>(Invalid Transaction Id)</v>
      </c>
      <c r="M28" s="1373">
        <f>'Capital IQ Sheet-STM'!J29</f>
        <v>0</v>
      </c>
      <c r="N28" s="1373">
        <f>'Capital IQ Sheet-STM'!K29</f>
        <v>0</v>
      </c>
      <c r="O28" s="1373" t="str">
        <f>'Capital IQ Sheet-STM'!L29</f>
        <v>(Invalid Transaction Id)</v>
      </c>
      <c r="P28" s="1374"/>
      <c r="Q28" s="1373" t="str">
        <f>'Capital IQ Sheet-STM'!N29</f>
        <v>(Invalid Transaction Id)</v>
      </c>
      <c r="R28" s="1373" t="str">
        <f>'Capital IQ Sheet-STM'!O29</f>
        <v>(Invalid Transaction Id)</v>
      </c>
      <c r="S28" s="1373" t="str">
        <f>'Capital IQ Sheet-STM'!P29</f>
        <v>(Invalid Transaction Id)</v>
      </c>
      <c r="T28" s="1374"/>
      <c r="U28" s="1375" t="str">
        <f t="shared" si="1"/>
        <v>n/a</v>
      </c>
      <c r="V28" s="1375" t="str">
        <f t="shared" si="2"/>
        <v>n/a</v>
      </c>
      <c r="W28" s="1375" t="str">
        <f t="shared" si="3"/>
        <v>n/a</v>
      </c>
      <c r="X28" s="1375" t="str">
        <f>'Capital IQ Sheet-STM'!U29</f>
        <v>(Invalid Transaction Id)</v>
      </c>
      <c r="Y28" s="1375" t="str">
        <f>'Capital IQ Sheet-STM'!V29</f>
        <v>(Invalid Transaction Id)</v>
      </c>
      <c r="Z28" s="1374"/>
      <c r="AA28" s="759" t="str">
        <f>'Capital IQ Sheet-STM'!X29</f>
        <v>(Invalid Transaction Id)</v>
      </c>
      <c r="AB28" s="759" t="str">
        <f>'Capital IQ Sheet-STM'!Y29</f>
        <v>(Invalid Transaction Id)</v>
      </c>
      <c r="AC28" s="759" t="str">
        <f>'Capital IQ Sheet-STM'!Z29</f>
        <v>(Invalid Transaction Id)</v>
      </c>
      <c r="AD28" s="1374"/>
      <c r="AE28" s="1375" t="str">
        <f t="shared" si="4"/>
        <v>n/a</v>
      </c>
      <c r="AF28" s="1375" t="str">
        <f t="shared" si="5"/>
        <v>n/a</v>
      </c>
      <c r="AG28" s="1370" t="str">
        <f>'Capital IQ Sheet-STM'!AD29</f>
        <v>n/a</v>
      </c>
      <c r="AI28" s="1371" t="str">
        <f>IFERROR('Capital IQ Sheet-STM'!AH29,"n/a")</f>
        <v>n/a</v>
      </c>
      <c r="AJ28" s="1371" t="str">
        <f>IFERROR('Capital IQ Sheet-STM'!AI29,"n/a")</f>
        <v>n/a</v>
      </c>
      <c r="AL28" s="1377"/>
    </row>
    <row r="29" spans="2:38" s="1372" customFormat="1" ht="14.85" customHeight="1">
      <c r="B29" s="1370">
        <f>IFERROR('Capital IQ Sheet-STM'!B30,"n/a")</f>
        <v>0</v>
      </c>
      <c r="C29" s="1370">
        <f>'Capital IQ Sheet-STM'!C30</f>
        <v>0</v>
      </c>
      <c r="D29" s="1370">
        <f>'Capital IQ Sheet-STM'!D30</f>
        <v>0</v>
      </c>
      <c r="E29" s="1370">
        <f>'Capital IQ Sheet-STM'!E30</f>
        <v>0</v>
      </c>
      <c r="F29" s="1371">
        <f>IFERROR('Capital IQ Sheet-STM'!F30,"n/a")</f>
        <v>0</v>
      </c>
      <c r="G29" s="1370">
        <f>'Capital IQ Sheet-STM'!G30</f>
        <v>0</v>
      </c>
      <c r="L29" s="1373">
        <f>'Capital IQ Sheet-STM'!I30</f>
        <v>0</v>
      </c>
      <c r="M29" s="1373">
        <f>'Capital IQ Sheet-STM'!J30</f>
        <v>0</v>
      </c>
      <c r="N29" s="1373">
        <f>'Capital IQ Sheet-STM'!K30</f>
        <v>0</v>
      </c>
      <c r="O29" s="1373">
        <f>'Capital IQ Sheet-STM'!L30</f>
        <v>0</v>
      </c>
      <c r="P29" s="1374"/>
      <c r="Q29" s="1373">
        <f>'Capital IQ Sheet-STM'!N30</f>
        <v>0</v>
      </c>
      <c r="R29" s="1373">
        <f>'Capital IQ Sheet-STM'!O30</f>
        <v>0</v>
      </c>
      <c r="S29" s="1373">
        <f>'Capital IQ Sheet-STM'!P30</f>
        <v>0</v>
      </c>
      <c r="T29" s="1374"/>
      <c r="U29" s="1375" t="str">
        <f t="shared" si="1"/>
        <v>n/a</v>
      </c>
      <c r="V29" s="1375" t="str">
        <f t="shared" si="2"/>
        <v>n/a</v>
      </c>
      <c r="W29" s="1375" t="str">
        <f t="shared" si="3"/>
        <v>n/a</v>
      </c>
      <c r="X29" s="1375">
        <f>'Capital IQ Sheet-STM'!U30</f>
        <v>0</v>
      </c>
      <c r="Y29" s="1375">
        <f>'Capital IQ Sheet-STM'!V30</f>
        <v>0</v>
      </c>
      <c r="Z29" s="1374"/>
      <c r="AA29" s="759">
        <f>'Capital IQ Sheet-STM'!X30</f>
        <v>0</v>
      </c>
      <c r="AB29" s="759">
        <f>'Capital IQ Sheet-STM'!Y30</f>
        <v>0</v>
      </c>
      <c r="AC29" s="759">
        <f>'Capital IQ Sheet-STM'!Z30</f>
        <v>0</v>
      </c>
      <c r="AD29" s="1374"/>
      <c r="AE29" s="1375" t="str">
        <f t="shared" ref="AE29:AE41" si="6">IF(ISERROR($L29/AA29), "n/a", $L29/AA29)</f>
        <v>n/a</v>
      </c>
      <c r="AF29" s="1375" t="str">
        <f t="shared" ref="AF29:AF41" si="7">IF(ISERROR($L29/AB29), "n/a", $L29/AB29)</f>
        <v>n/a</v>
      </c>
      <c r="AG29" s="1370">
        <f>'Capital IQ Sheet-STM'!AD30</f>
        <v>0</v>
      </c>
      <c r="AI29" s="1371">
        <f>IFERROR('Capital IQ Sheet-STM'!AH30,"n/a")</f>
        <v>0</v>
      </c>
      <c r="AJ29" s="1371">
        <f>IFERROR('Capital IQ Sheet-STM'!AI30,"n/a")</f>
        <v>0</v>
      </c>
      <c r="AL29" s="1377"/>
    </row>
    <row r="30" spans="2:38" s="1372" customFormat="1" ht="14.85" customHeight="1">
      <c r="B30" s="1370">
        <f>IFERROR('Capital IQ Sheet-STM'!B31,"n/a")</f>
        <v>0</v>
      </c>
      <c r="C30" s="1370">
        <f>'Capital IQ Sheet-STM'!C31</f>
        <v>0</v>
      </c>
      <c r="D30" s="1370">
        <f>'Capital IQ Sheet-STM'!D31</f>
        <v>0</v>
      </c>
      <c r="E30" s="1370">
        <f>'Capital IQ Sheet-STM'!E31</f>
        <v>0</v>
      </c>
      <c r="F30" s="1371">
        <f>IFERROR('Capital IQ Sheet-STM'!F31,"n/a")</f>
        <v>0</v>
      </c>
      <c r="G30" s="1370">
        <f>'Capital IQ Sheet-STM'!G31</f>
        <v>0</v>
      </c>
      <c r="L30" s="1373">
        <f>'Capital IQ Sheet-STM'!I31</f>
        <v>0</v>
      </c>
      <c r="M30" s="1373">
        <f>'Capital IQ Sheet-STM'!J31</f>
        <v>0</v>
      </c>
      <c r="N30" s="1373">
        <f>'Capital IQ Sheet-STM'!K31</f>
        <v>0</v>
      </c>
      <c r="O30" s="1373">
        <f>'Capital IQ Sheet-STM'!L31</f>
        <v>0</v>
      </c>
      <c r="P30" s="1374"/>
      <c r="Q30" s="1373">
        <f>'Capital IQ Sheet-STM'!N31</f>
        <v>0</v>
      </c>
      <c r="R30" s="1373">
        <f>'Capital IQ Sheet-STM'!O31</f>
        <v>0</v>
      </c>
      <c r="S30" s="1373">
        <f>'Capital IQ Sheet-STM'!P31</f>
        <v>0</v>
      </c>
      <c r="T30" s="1374"/>
      <c r="U30" s="1375" t="str">
        <f t="shared" si="1"/>
        <v>n/a</v>
      </c>
      <c r="V30" s="1375" t="str">
        <f t="shared" si="2"/>
        <v>n/a</v>
      </c>
      <c r="W30" s="1375" t="str">
        <f t="shared" si="3"/>
        <v>n/a</v>
      </c>
      <c r="X30" s="1375">
        <f>'Capital IQ Sheet-STM'!U31</f>
        <v>0</v>
      </c>
      <c r="Y30" s="1375">
        <f>'Capital IQ Sheet-STM'!V31</f>
        <v>0</v>
      </c>
      <c r="Z30" s="1374"/>
      <c r="AA30" s="759">
        <f>'Capital IQ Sheet-STM'!X31</f>
        <v>0</v>
      </c>
      <c r="AB30" s="759">
        <f>'Capital IQ Sheet-STM'!Y31</f>
        <v>0</v>
      </c>
      <c r="AC30" s="759">
        <f>'Capital IQ Sheet-STM'!Z31</f>
        <v>0</v>
      </c>
      <c r="AD30" s="1374"/>
      <c r="AE30" s="1375" t="str">
        <f t="shared" si="6"/>
        <v>n/a</v>
      </c>
      <c r="AF30" s="1375" t="str">
        <f t="shared" si="7"/>
        <v>n/a</v>
      </c>
      <c r="AG30" s="1370">
        <f>'Capital IQ Sheet-STM'!AD31</f>
        <v>0</v>
      </c>
      <c r="AI30" s="1371">
        <f>IFERROR('Capital IQ Sheet-STM'!AH31,"n/a")</f>
        <v>0</v>
      </c>
      <c r="AJ30" s="1371">
        <f>IFERROR('Capital IQ Sheet-STM'!AI31,"n/a")</f>
        <v>0</v>
      </c>
      <c r="AL30" s="1377"/>
    </row>
    <row r="31" spans="2:38" s="1372" customFormat="1" ht="14.85" customHeight="1">
      <c r="B31" s="1370">
        <f>IFERROR('Capital IQ Sheet-STM'!B32,"n/a")</f>
        <v>0</v>
      </c>
      <c r="C31" s="1370">
        <f>'Capital IQ Sheet-STM'!C32</f>
        <v>0</v>
      </c>
      <c r="D31" s="1370">
        <f>'Capital IQ Sheet-STM'!D32</f>
        <v>0</v>
      </c>
      <c r="E31" s="1370">
        <f>'Capital IQ Sheet-STM'!E32</f>
        <v>0</v>
      </c>
      <c r="F31" s="1371">
        <f>IFERROR('Capital IQ Sheet-STM'!F32,"n/a")</f>
        <v>0</v>
      </c>
      <c r="G31" s="1370">
        <f>'Capital IQ Sheet-STM'!G32</f>
        <v>0</v>
      </c>
      <c r="L31" s="1373">
        <f>'Capital IQ Sheet-STM'!I32</f>
        <v>0</v>
      </c>
      <c r="M31" s="1373">
        <f>'Capital IQ Sheet-STM'!J32</f>
        <v>0</v>
      </c>
      <c r="N31" s="1373">
        <f>'Capital IQ Sheet-STM'!K32</f>
        <v>0</v>
      </c>
      <c r="O31" s="1373">
        <f>'Capital IQ Sheet-STM'!L32</f>
        <v>0</v>
      </c>
      <c r="P31" s="1374"/>
      <c r="Q31" s="1373">
        <f>'Capital IQ Sheet-STM'!N32</f>
        <v>0</v>
      </c>
      <c r="R31" s="1373">
        <f>'Capital IQ Sheet-STM'!O32</f>
        <v>0</v>
      </c>
      <c r="S31" s="1373">
        <f>'Capital IQ Sheet-STM'!P32</f>
        <v>0</v>
      </c>
      <c r="T31" s="1374"/>
      <c r="U31" s="1375" t="str">
        <f t="shared" si="1"/>
        <v>n/a</v>
      </c>
      <c r="V31" s="1375" t="str">
        <f t="shared" si="2"/>
        <v>n/a</v>
      </c>
      <c r="W31" s="1375" t="str">
        <f t="shared" si="3"/>
        <v>n/a</v>
      </c>
      <c r="X31" s="1375">
        <f>'Capital IQ Sheet-STM'!U32</f>
        <v>0</v>
      </c>
      <c r="Y31" s="1375">
        <f>'Capital IQ Sheet-STM'!V32</f>
        <v>0</v>
      </c>
      <c r="Z31" s="1374"/>
      <c r="AA31" s="759">
        <f>'Capital IQ Sheet-STM'!X32</f>
        <v>0</v>
      </c>
      <c r="AB31" s="759">
        <f>'Capital IQ Sheet-STM'!Y32</f>
        <v>0</v>
      </c>
      <c r="AC31" s="759">
        <f>'Capital IQ Sheet-STM'!Z32</f>
        <v>0</v>
      </c>
      <c r="AD31" s="1374"/>
      <c r="AE31" s="1375" t="str">
        <f t="shared" si="6"/>
        <v>n/a</v>
      </c>
      <c r="AF31" s="1375" t="str">
        <f t="shared" si="7"/>
        <v>n/a</v>
      </c>
      <c r="AG31" s="1370">
        <f>'Capital IQ Sheet-STM'!AD32</f>
        <v>0</v>
      </c>
      <c r="AI31" s="1371">
        <f>IFERROR('Capital IQ Sheet-STM'!AH32,"n/a")</f>
        <v>0</v>
      </c>
      <c r="AJ31" s="1371">
        <f>IFERROR('Capital IQ Sheet-STM'!AI32,"n/a")</f>
        <v>0</v>
      </c>
      <c r="AL31" s="1377"/>
    </row>
    <row r="32" spans="2:38" s="1372" customFormat="1" ht="14.85" customHeight="1">
      <c r="B32" s="1370">
        <f>IFERROR('Capital IQ Sheet-STM'!B33,"n/a")</f>
        <v>0</v>
      </c>
      <c r="C32" s="1370">
        <f>'Capital IQ Sheet-STM'!C33</f>
        <v>0</v>
      </c>
      <c r="D32" s="1370">
        <f>'Capital IQ Sheet-STM'!D33</f>
        <v>0</v>
      </c>
      <c r="E32" s="1370">
        <f>'Capital IQ Sheet-STM'!E33</f>
        <v>0</v>
      </c>
      <c r="F32" s="1371">
        <f>IFERROR('Capital IQ Sheet-STM'!F33,"n/a")</f>
        <v>0</v>
      </c>
      <c r="G32" s="1370">
        <f>'Capital IQ Sheet-STM'!G33</f>
        <v>0</v>
      </c>
      <c r="L32" s="1373">
        <f>'Capital IQ Sheet-STM'!I33</f>
        <v>0</v>
      </c>
      <c r="M32" s="1373">
        <f>'Capital IQ Sheet-STM'!J33</f>
        <v>0</v>
      </c>
      <c r="N32" s="1373">
        <f>'Capital IQ Sheet-STM'!K33</f>
        <v>0</v>
      </c>
      <c r="O32" s="1373">
        <f>'Capital IQ Sheet-STM'!L33</f>
        <v>0</v>
      </c>
      <c r="P32" s="1374"/>
      <c r="Q32" s="1373">
        <f>'Capital IQ Sheet-STM'!N33</f>
        <v>0</v>
      </c>
      <c r="R32" s="1373">
        <f>'Capital IQ Sheet-STM'!O33</f>
        <v>0</v>
      </c>
      <c r="S32" s="1373">
        <f>'Capital IQ Sheet-STM'!P33</f>
        <v>0</v>
      </c>
      <c r="T32" s="1374"/>
      <c r="U32" s="1375" t="str">
        <f t="shared" si="1"/>
        <v>n/a</v>
      </c>
      <c r="V32" s="1375" t="str">
        <f t="shared" si="2"/>
        <v>n/a</v>
      </c>
      <c r="W32" s="1375" t="str">
        <f t="shared" si="3"/>
        <v>n/a</v>
      </c>
      <c r="X32" s="1375">
        <f>'Capital IQ Sheet-STM'!U33</f>
        <v>0</v>
      </c>
      <c r="Y32" s="1375">
        <f>'Capital IQ Sheet-STM'!V33</f>
        <v>0</v>
      </c>
      <c r="Z32" s="1374"/>
      <c r="AA32" s="759">
        <f>'Capital IQ Sheet-STM'!X33</f>
        <v>0</v>
      </c>
      <c r="AB32" s="759">
        <f>'Capital IQ Sheet-STM'!Y33</f>
        <v>0</v>
      </c>
      <c r="AC32" s="759">
        <f>'Capital IQ Sheet-STM'!Z33</f>
        <v>0</v>
      </c>
      <c r="AD32" s="1374"/>
      <c r="AE32" s="1375" t="str">
        <f t="shared" si="6"/>
        <v>n/a</v>
      </c>
      <c r="AF32" s="1375" t="str">
        <f t="shared" si="7"/>
        <v>n/a</v>
      </c>
      <c r="AG32" s="1370">
        <f>'Capital IQ Sheet-STM'!AD33</f>
        <v>0</v>
      </c>
      <c r="AI32" s="1371">
        <f>IFERROR('Capital IQ Sheet-STM'!AH33,"n/a")</f>
        <v>0</v>
      </c>
      <c r="AJ32" s="1371">
        <f>IFERROR('Capital IQ Sheet-STM'!AI33,"n/a")</f>
        <v>0</v>
      </c>
      <c r="AL32" s="1377"/>
    </row>
    <row r="33" spans="2:38" s="1372" customFormat="1" ht="14.85" customHeight="1">
      <c r="B33" s="1370">
        <f>IFERROR('Capital IQ Sheet-STM'!B34,"n/a")</f>
        <v>0</v>
      </c>
      <c r="C33" s="1370">
        <f>'Capital IQ Sheet-STM'!C34</f>
        <v>0</v>
      </c>
      <c r="D33" s="1370">
        <f>'Capital IQ Sheet-STM'!D34</f>
        <v>0</v>
      </c>
      <c r="E33" s="1370">
        <f>'Capital IQ Sheet-STM'!E34</f>
        <v>0</v>
      </c>
      <c r="F33" s="1371">
        <f>IFERROR('Capital IQ Sheet-STM'!F34,"n/a")</f>
        <v>0</v>
      </c>
      <c r="G33" s="1370">
        <f>'Capital IQ Sheet-STM'!G34</f>
        <v>0</v>
      </c>
      <c r="L33" s="1373">
        <f>'Capital IQ Sheet-STM'!I34</f>
        <v>0</v>
      </c>
      <c r="M33" s="1373">
        <f>'Capital IQ Sheet-STM'!J34</f>
        <v>0</v>
      </c>
      <c r="N33" s="1373">
        <f>'Capital IQ Sheet-STM'!K34</f>
        <v>0</v>
      </c>
      <c r="O33" s="1373">
        <f>'Capital IQ Sheet-STM'!L34</f>
        <v>0</v>
      </c>
      <c r="P33" s="1374"/>
      <c r="Q33" s="1373">
        <f>'Capital IQ Sheet-STM'!N34</f>
        <v>0</v>
      </c>
      <c r="R33" s="1373">
        <f>'Capital IQ Sheet-STM'!O34</f>
        <v>0</v>
      </c>
      <c r="S33" s="1373">
        <f>'Capital IQ Sheet-STM'!P34</f>
        <v>0</v>
      </c>
      <c r="T33" s="1374"/>
      <c r="U33" s="1375" t="str">
        <f t="shared" si="1"/>
        <v>n/a</v>
      </c>
      <c r="V33" s="1375" t="str">
        <f t="shared" si="2"/>
        <v>n/a</v>
      </c>
      <c r="W33" s="1375" t="str">
        <f t="shared" si="3"/>
        <v>n/a</v>
      </c>
      <c r="X33" s="1375">
        <f>'Capital IQ Sheet-STM'!U34</f>
        <v>0</v>
      </c>
      <c r="Y33" s="1375">
        <f>'Capital IQ Sheet-STM'!V34</f>
        <v>0</v>
      </c>
      <c r="Z33" s="1374"/>
      <c r="AA33" s="759">
        <f>'Capital IQ Sheet-STM'!X34</f>
        <v>0</v>
      </c>
      <c r="AB33" s="759">
        <f>'Capital IQ Sheet-STM'!Y34</f>
        <v>0</v>
      </c>
      <c r="AC33" s="759">
        <f>'Capital IQ Sheet-STM'!Z34</f>
        <v>0</v>
      </c>
      <c r="AD33" s="1374"/>
      <c r="AE33" s="1375" t="str">
        <f t="shared" si="6"/>
        <v>n/a</v>
      </c>
      <c r="AF33" s="1375" t="str">
        <f t="shared" si="7"/>
        <v>n/a</v>
      </c>
      <c r="AG33" s="1370">
        <f>'Capital IQ Sheet-STM'!AD34</f>
        <v>0</v>
      </c>
      <c r="AI33" s="1371">
        <f>IFERROR('Capital IQ Sheet-STM'!AH34,"n/a")</f>
        <v>0</v>
      </c>
      <c r="AJ33" s="1371">
        <f>IFERROR('Capital IQ Sheet-STM'!AI34,"n/a")</f>
        <v>0</v>
      </c>
      <c r="AL33" s="1377"/>
    </row>
    <row r="34" spans="2:38" s="1372" customFormat="1" ht="14.85" customHeight="1">
      <c r="B34" s="1370">
        <f>IFERROR('Capital IQ Sheet-STM'!B35,"n/a")</f>
        <v>0</v>
      </c>
      <c r="C34" s="1370">
        <f>'Capital IQ Sheet-STM'!C35</f>
        <v>0</v>
      </c>
      <c r="D34" s="1370">
        <f>'Capital IQ Sheet-STM'!D35</f>
        <v>0</v>
      </c>
      <c r="E34" s="1370">
        <f>'Capital IQ Sheet-STM'!E35</f>
        <v>0</v>
      </c>
      <c r="F34" s="1371">
        <f>IFERROR('Capital IQ Sheet-STM'!F35,"n/a")</f>
        <v>0</v>
      </c>
      <c r="G34" s="1370">
        <f>'Capital IQ Sheet-STM'!G35</f>
        <v>0</v>
      </c>
      <c r="L34" s="1373">
        <f>'Capital IQ Sheet-STM'!I35</f>
        <v>0</v>
      </c>
      <c r="M34" s="1373">
        <f>'Capital IQ Sheet-STM'!J35</f>
        <v>0</v>
      </c>
      <c r="N34" s="1373">
        <f>'Capital IQ Sheet-STM'!K35</f>
        <v>0</v>
      </c>
      <c r="O34" s="1373">
        <f>'Capital IQ Sheet-STM'!L35</f>
        <v>0</v>
      </c>
      <c r="P34" s="1374"/>
      <c r="Q34" s="1373">
        <f>'Capital IQ Sheet-STM'!N35</f>
        <v>0</v>
      </c>
      <c r="R34" s="1373">
        <f>'Capital IQ Sheet-STM'!O35</f>
        <v>0</v>
      </c>
      <c r="S34" s="1373">
        <f>'Capital IQ Sheet-STM'!P35</f>
        <v>0</v>
      </c>
      <c r="T34" s="1374"/>
      <c r="U34" s="1375" t="str">
        <f t="shared" si="1"/>
        <v>n/a</v>
      </c>
      <c r="V34" s="1375" t="str">
        <f t="shared" si="2"/>
        <v>n/a</v>
      </c>
      <c r="W34" s="1375" t="str">
        <f t="shared" si="3"/>
        <v>n/a</v>
      </c>
      <c r="X34" s="1375">
        <f>'Capital IQ Sheet-STM'!U35</f>
        <v>0</v>
      </c>
      <c r="Y34" s="1375">
        <f>'Capital IQ Sheet-STM'!V35</f>
        <v>0</v>
      </c>
      <c r="Z34" s="1374"/>
      <c r="AA34" s="759">
        <f>'Capital IQ Sheet-STM'!X35</f>
        <v>0</v>
      </c>
      <c r="AB34" s="759">
        <f>'Capital IQ Sheet-STM'!Y35</f>
        <v>0</v>
      </c>
      <c r="AC34" s="759">
        <f>'Capital IQ Sheet-STM'!Z35</f>
        <v>0</v>
      </c>
      <c r="AD34" s="1374"/>
      <c r="AE34" s="1375" t="str">
        <f t="shared" si="6"/>
        <v>n/a</v>
      </c>
      <c r="AF34" s="1375" t="str">
        <f t="shared" si="7"/>
        <v>n/a</v>
      </c>
      <c r="AG34" s="1370">
        <f>'Capital IQ Sheet-STM'!AD35</f>
        <v>0</v>
      </c>
      <c r="AI34" s="1371">
        <f>IFERROR('Capital IQ Sheet-STM'!AH35,"n/a")</f>
        <v>0</v>
      </c>
      <c r="AJ34" s="1371">
        <f>IFERROR('Capital IQ Sheet-STM'!AI35,"n/a")</f>
        <v>0</v>
      </c>
      <c r="AL34" s="1377"/>
    </row>
    <row r="35" spans="2:38" s="1372" customFormat="1" ht="14.85" customHeight="1">
      <c r="B35" s="1370">
        <f>IFERROR('Capital IQ Sheet-STM'!B36,"n/a")</f>
        <v>0</v>
      </c>
      <c r="C35" s="1370">
        <f>'Capital IQ Sheet-STM'!C36</f>
        <v>0</v>
      </c>
      <c r="D35" s="1370">
        <f>'Capital IQ Sheet-STM'!D36</f>
        <v>0</v>
      </c>
      <c r="E35" s="1370">
        <f>'Capital IQ Sheet-STM'!E36</f>
        <v>0</v>
      </c>
      <c r="F35" s="1371">
        <f>IFERROR('Capital IQ Sheet-STM'!F36,"n/a")</f>
        <v>0</v>
      </c>
      <c r="G35" s="1370">
        <f>'Capital IQ Sheet-STM'!G36</f>
        <v>0</v>
      </c>
      <c r="L35" s="1373">
        <f>'Capital IQ Sheet-STM'!I36</f>
        <v>0</v>
      </c>
      <c r="M35" s="1373">
        <f>'Capital IQ Sheet-STM'!J36</f>
        <v>0</v>
      </c>
      <c r="N35" s="1373">
        <f>'Capital IQ Sheet-STM'!K36</f>
        <v>0</v>
      </c>
      <c r="O35" s="1373">
        <f>'Capital IQ Sheet-STM'!L36</f>
        <v>0</v>
      </c>
      <c r="P35" s="1374"/>
      <c r="Q35" s="1373">
        <f>'Capital IQ Sheet-STM'!N36</f>
        <v>0</v>
      </c>
      <c r="R35" s="1373">
        <f>'Capital IQ Sheet-STM'!O36</f>
        <v>0</v>
      </c>
      <c r="S35" s="1373">
        <f>'Capital IQ Sheet-STM'!P36</f>
        <v>0</v>
      </c>
      <c r="T35" s="1374"/>
      <c r="U35" s="1375" t="str">
        <f t="shared" si="1"/>
        <v>n/a</v>
      </c>
      <c r="V35" s="1375" t="str">
        <f t="shared" si="2"/>
        <v>n/a</v>
      </c>
      <c r="W35" s="1375" t="str">
        <f t="shared" si="3"/>
        <v>n/a</v>
      </c>
      <c r="X35" s="1375">
        <f>'Capital IQ Sheet-STM'!U36</f>
        <v>0</v>
      </c>
      <c r="Y35" s="1375">
        <f>'Capital IQ Sheet-STM'!V36</f>
        <v>0</v>
      </c>
      <c r="Z35" s="1374"/>
      <c r="AA35" s="759">
        <f>'Capital IQ Sheet-STM'!X36</f>
        <v>0</v>
      </c>
      <c r="AB35" s="759">
        <f>'Capital IQ Sheet-STM'!Y36</f>
        <v>0</v>
      </c>
      <c r="AC35" s="759">
        <f>'Capital IQ Sheet-STM'!Z36</f>
        <v>0</v>
      </c>
      <c r="AD35" s="1374"/>
      <c r="AE35" s="1375" t="str">
        <f t="shared" si="6"/>
        <v>n/a</v>
      </c>
      <c r="AF35" s="1375" t="str">
        <f t="shared" si="7"/>
        <v>n/a</v>
      </c>
      <c r="AG35" s="1370">
        <f>'Capital IQ Sheet-STM'!AD36</f>
        <v>0</v>
      </c>
      <c r="AI35" s="1371">
        <f>IFERROR('Capital IQ Sheet-STM'!AH36,"n/a")</f>
        <v>0</v>
      </c>
      <c r="AJ35" s="1371">
        <f>IFERROR('Capital IQ Sheet-STM'!AI36,"n/a")</f>
        <v>0</v>
      </c>
      <c r="AL35" s="1377"/>
    </row>
    <row r="36" spans="2:38" s="1372" customFormat="1" ht="14.85" customHeight="1">
      <c r="B36" s="1370">
        <f>IFERROR('Capital IQ Sheet-STM'!B37,"n/a")</f>
        <v>0</v>
      </c>
      <c r="C36" s="1370">
        <f>'Capital IQ Sheet-STM'!C37</f>
        <v>0</v>
      </c>
      <c r="D36" s="1370">
        <f>'Capital IQ Sheet-STM'!D37</f>
        <v>0</v>
      </c>
      <c r="E36" s="1370">
        <f>'Capital IQ Sheet-STM'!E37</f>
        <v>0</v>
      </c>
      <c r="F36" s="1371">
        <f>IFERROR('Capital IQ Sheet-STM'!F37,"n/a")</f>
        <v>0</v>
      </c>
      <c r="G36" s="1370">
        <f>'Capital IQ Sheet-STM'!G37</f>
        <v>0</v>
      </c>
      <c r="L36" s="1373">
        <f>'Capital IQ Sheet-STM'!I37</f>
        <v>0</v>
      </c>
      <c r="M36" s="1373">
        <f>'Capital IQ Sheet-STM'!J37</f>
        <v>0</v>
      </c>
      <c r="N36" s="1373">
        <f>'Capital IQ Sheet-STM'!K37</f>
        <v>0</v>
      </c>
      <c r="O36" s="1373">
        <f>'Capital IQ Sheet-STM'!L37</f>
        <v>0</v>
      </c>
      <c r="P36" s="1374"/>
      <c r="Q36" s="1373">
        <f>'Capital IQ Sheet-STM'!N37</f>
        <v>0</v>
      </c>
      <c r="R36" s="1373">
        <f>'Capital IQ Sheet-STM'!O37</f>
        <v>0</v>
      </c>
      <c r="S36" s="1373">
        <f>'Capital IQ Sheet-STM'!P37</f>
        <v>0</v>
      </c>
      <c r="T36" s="1374"/>
      <c r="U36" s="1375" t="str">
        <f t="shared" si="1"/>
        <v>n/a</v>
      </c>
      <c r="V36" s="1375" t="str">
        <f t="shared" si="2"/>
        <v>n/a</v>
      </c>
      <c r="W36" s="1375" t="str">
        <f t="shared" si="3"/>
        <v>n/a</v>
      </c>
      <c r="X36" s="1375">
        <f>'Capital IQ Sheet-STM'!U37</f>
        <v>0</v>
      </c>
      <c r="Y36" s="1375">
        <f>'Capital IQ Sheet-STM'!V37</f>
        <v>0</v>
      </c>
      <c r="Z36" s="1374"/>
      <c r="AA36" s="759">
        <f>'Capital IQ Sheet-STM'!X37</f>
        <v>0</v>
      </c>
      <c r="AB36" s="759">
        <f>'Capital IQ Sheet-STM'!Y37</f>
        <v>0</v>
      </c>
      <c r="AC36" s="759">
        <f>'Capital IQ Sheet-STM'!Z37</f>
        <v>0</v>
      </c>
      <c r="AD36" s="1374"/>
      <c r="AE36" s="1375" t="str">
        <f t="shared" si="6"/>
        <v>n/a</v>
      </c>
      <c r="AF36" s="1375" t="str">
        <f t="shared" si="7"/>
        <v>n/a</v>
      </c>
      <c r="AG36" s="1370">
        <f>'Capital IQ Sheet-STM'!AD37</f>
        <v>0</v>
      </c>
      <c r="AI36" s="1371">
        <f>IFERROR('Capital IQ Sheet-STM'!AH37,"n/a")</f>
        <v>0</v>
      </c>
      <c r="AJ36" s="1371">
        <f>IFERROR('Capital IQ Sheet-STM'!AI37,"n/a")</f>
        <v>0</v>
      </c>
      <c r="AL36" s="1377"/>
    </row>
    <row r="37" spans="2:38" s="1372" customFormat="1" ht="14.85" customHeight="1">
      <c r="B37" s="1370">
        <f>IFERROR('Capital IQ Sheet-STM'!B38,"n/a")</f>
        <v>0</v>
      </c>
      <c r="C37" s="1370">
        <f>'Capital IQ Sheet-STM'!C38</f>
        <v>0</v>
      </c>
      <c r="D37" s="1370">
        <f>'Capital IQ Sheet-STM'!D38</f>
        <v>0</v>
      </c>
      <c r="E37" s="1370">
        <f>'Capital IQ Sheet-STM'!E38</f>
        <v>0</v>
      </c>
      <c r="F37" s="1371">
        <f>IFERROR('Capital IQ Sheet-STM'!F38,"n/a")</f>
        <v>0</v>
      </c>
      <c r="G37" s="1370">
        <f>'Capital IQ Sheet-STM'!G38</f>
        <v>0</v>
      </c>
      <c r="L37" s="1373">
        <f>'Capital IQ Sheet-STM'!I38</f>
        <v>0</v>
      </c>
      <c r="M37" s="1373">
        <f>'Capital IQ Sheet-STM'!J38</f>
        <v>0</v>
      </c>
      <c r="N37" s="1373">
        <f>'Capital IQ Sheet-STM'!K38</f>
        <v>0</v>
      </c>
      <c r="O37" s="1373">
        <f>'Capital IQ Sheet-STM'!L38</f>
        <v>0</v>
      </c>
      <c r="P37" s="1374"/>
      <c r="Q37" s="1373">
        <f>'Capital IQ Sheet-STM'!N38</f>
        <v>0</v>
      </c>
      <c r="R37" s="1373">
        <f>'Capital IQ Sheet-STM'!O38</f>
        <v>0</v>
      </c>
      <c r="S37" s="1373">
        <f>'Capital IQ Sheet-STM'!P38</f>
        <v>0</v>
      </c>
      <c r="T37" s="1374"/>
      <c r="U37" s="1375" t="str">
        <f t="shared" si="1"/>
        <v>n/a</v>
      </c>
      <c r="V37" s="1375" t="str">
        <f t="shared" si="2"/>
        <v>n/a</v>
      </c>
      <c r="W37" s="1375" t="str">
        <f t="shared" si="3"/>
        <v>n/a</v>
      </c>
      <c r="X37" s="1375">
        <f>'Capital IQ Sheet-STM'!U38</f>
        <v>0</v>
      </c>
      <c r="Y37" s="1375">
        <f>'Capital IQ Sheet-STM'!V38</f>
        <v>0</v>
      </c>
      <c r="Z37" s="1374"/>
      <c r="AA37" s="759">
        <f>'Capital IQ Sheet-STM'!X38</f>
        <v>0</v>
      </c>
      <c r="AB37" s="759">
        <f>'Capital IQ Sheet-STM'!Y38</f>
        <v>0</v>
      </c>
      <c r="AC37" s="759">
        <f>'Capital IQ Sheet-STM'!Z38</f>
        <v>0</v>
      </c>
      <c r="AD37" s="1374"/>
      <c r="AE37" s="1375" t="str">
        <f t="shared" si="6"/>
        <v>n/a</v>
      </c>
      <c r="AF37" s="1375" t="str">
        <f t="shared" si="7"/>
        <v>n/a</v>
      </c>
      <c r="AG37" s="1370">
        <f>'Capital IQ Sheet-STM'!AD38</f>
        <v>0</v>
      </c>
      <c r="AI37" s="1371">
        <f>IFERROR('Capital IQ Sheet-STM'!AH38,"n/a")</f>
        <v>0</v>
      </c>
      <c r="AJ37" s="1371">
        <f>IFERROR('Capital IQ Sheet-STM'!AI38,"n/a")</f>
        <v>0</v>
      </c>
      <c r="AL37" s="1377"/>
    </row>
    <row r="38" spans="2:38" s="1372" customFormat="1" ht="14.85" customHeight="1">
      <c r="B38" s="1370">
        <f>IFERROR('Capital IQ Sheet-STM'!B39,"n/a")</f>
        <v>0</v>
      </c>
      <c r="C38" s="1370">
        <f>'Capital IQ Sheet-STM'!C39</f>
        <v>0</v>
      </c>
      <c r="D38" s="1370">
        <f>'Capital IQ Sheet-STM'!D39</f>
        <v>0</v>
      </c>
      <c r="E38" s="1370">
        <f>'Capital IQ Sheet-STM'!E39</f>
        <v>0</v>
      </c>
      <c r="F38" s="1371">
        <f>IFERROR('Capital IQ Sheet-STM'!F39,"n/a")</f>
        <v>0</v>
      </c>
      <c r="G38" s="1370">
        <f>'Capital IQ Sheet-STM'!G39</f>
        <v>0</v>
      </c>
      <c r="L38" s="1373">
        <f>'Capital IQ Sheet-STM'!I39</f>
        <v>0</v>
      </c>
      <c r="M38" s="1373">
        <f>'Capital IQ Sheet-STM'!J39</f>
        <v>0</v>
      </c>
      <c r="N38" s="1373">
        <f>'Capital IQ Sheet-STM'!K39</f>
        <v>0</v>
      </c>
      <c r="O38" s="1373">
        <f>'Capital IQ Sheet-STM'!L39</f>
        <v>0</v>
      </c>
      <c r="P38" s="1374"/>
      <c r="Q38" s="1373">
        <f>'Capital IQ Sheet-STM'!N39</f>
        <v>0</v>
      </c>
      <c r="R38" s="1373">
        <f>'Capital IQ Sheet-STM'!O39</f>
        <v>0</v>
      </c>
      <c r="S38" s="1373">
        <f>'Capital IQ Sheet-STM'!P39</f>
        <v>0</v>
      </c>
      <c r="T38" s="1374"/>
      <c r="U38" s="1375" t="str">
        <f t="shared" si="1"/>
        <v>n/a</v>
      </c>
      <c r="V38" s="1375" t="str">
        <f t="shared" si="2"/>
        <v>n/a</v>
      </c>
      <c r="W38" s="1375" t="str">
        <f t="shared" si="3"/>
        <v>n/a</v>
      </c>
      <c r="X38" s="1375">
        <f>'Capital IQ Sheet-STM'!U39</f>
        <v>0</v>
      </c>
      <c r="Y38" s="1375">
        <f>'Capital IQ Sheet-STM'!V39</f>
        <v>0</v>
      </c>
      <c r="Z38" s="1374"/>
      <c r="AA38" s="759">
        <f>'Capital IQ Sheet-STM'!X39</f>
        <v>0</v>
      </c>
      <c r="AB38" s="759">
        <f>'Capital IQ Sheet-STM'!Y39</f>
        <v>0</v>
      </c>
      <c r="AC38" s="759">
        <f>'Capital IQ Sheet-STM'!Z39</f>
        <v>0</v>
      </c>
      <c r="AD38" s="1374"/>
      <c r="AE38" s="1375" t="str">
        <f t="shared" si="6"/>
        <v>n/a</v>
      </c>
      <c r="AF38" s="1375" t="str">
        <f t="shared" si="7"/>
        <v>n/a</v>
      </c>
      <c r="AG38" s="1370">
        <f>'Capital IQ Sheet-STM'!AD39</f>
        <v>0</v>
      </c>
      <c r="AI38" s="1371">
        <f>IFERROR('Capital IQ Sheet-STM'!AH39,"n/a")</f>
        <v>0</v>
      </c>
      <c r="AJ38" s="1371">
        <f>IFERROR('Capital IQ Sheet-STM'!AI39,"n/a")</f>
        <v>0</v>
      </c>
      <c r="AL38" s="1377"/>
    </row>
    <row r="39" spans="2:38" s="1372" customFormat="1" ht="14.85" customHeight="1">
      <c r="B39" s="1370">
        <f>IFERROR('Capital IQ Sheet-STM'!B40,"n/a")</f>
        <v>0</v>
      </c>
      <c r="C39" s="1370">
        <f>'Capital IQ Sheet-STM'!C40</f>
        <v>0</v>
      </c>
      <c r="D39" s="1370">
        <f>'Capital IQ Sheet-STM'!D40</f>
        <v>0</v>
      </c>
      <c r="E39" s="1370">
        <f>'Capital IQ Sheet-STM'!E40</f>
        <v>0</v>
      </c>
      <c r="F39" s="1371">
        <f>IFERROR('Capital IQ Sheet-STM'!F40,"n/a")</f>
        <v>0</v>
      </c>
      <c r="G39" s="1370">
        <f>'Capital IQ Sheet-STM'!G40</f>
        <v>0</v>
      </c>
      <c r="L39" s="1373">
        <f>'Capital IQ Sheet-STM'!I40</f>
        <v>0</v>
      </c>
      <c r="M39" s="1373">
        <f>'Capital IQ Sheet-STM'!J40</f>
        <v>0</v>
      </c>
      <c r="N39" s="1373">
        <f>'Capital IQ Sheet-STM'!K40</f>
        <v>0</v>
      </c>
      <c r="O39" s="1373">
        <f>'Capital IQ Sheet-STM'!L40</f>
        <v>0</v>
      </c>
      <c r="P39" s="1374"/>
      <c r="Q39" s="1373">
        <f>'Capital IQ Sheet-STM'!N40</f>
        <v>0</v>
      </c>
      <c r="R39" s="1373">
        <f>'Capital IQ Sheet-STM'!O40</f>
        <v>0</v>
      </c>
      <c r="S39" s="1373">
        <f>'Capital IQ Sheet-STM'!P40</f>
        <v>0</v>
      </c>
      <c r="T39" s="1374"/>
      <c r="U39" s="1375" t="str">
        <f t="shared" si="1"/>
        <v>n/a</v>
      </c>
      <c r="V39" s="1375" t="str">
        <f t="shared" si="2"/>
        <v>n/a</v>
      </c>
      <c r="W39" s="1375" t="str">
        <f t="shared" si="3"/>
        <v>n/a</v>
      </c>
      <c r="X39" s="1375">
        <f>'Capital IQ Sheet-STM'!U40</f>
        <v>0</v>
      </c>
      <c r="Y39" s="1375">
        <f>'Capital IQ Sheet-STM'!V40</f>
        <v>0</v>
      </c>
      <c r="Z39" s="1374"/>
      <c r="AA39" s="759">
        <f>'Capital IQ Sheet-STM'!X40</f>
        <v>0</v>
      </c>
      <c r="AB39" s="759">
        <f>'Capital IQ Sheet-STM'!Y40</f>
        <v>0</v>
      </c>
      <c r="AC39" s="759">
        <f>'Capital IQ Sheet-STM'!Z40</f>
        <v>0</v>
      </c>
      <c r="AD39" s="1374"/>
      <c r="AE39" s="1375" t="str">
        <f t="shared" si="6"/>
        <v>n/a</v>
      </c>
      <c r="AF39" s="1375" t="str">
        <f t="shared" si="7"/>
        <v>n/a</v>
      </c>
      <c r="AG39" s="1370">
        <f>'Capital IQ Sheet-STM'!AD40</f>
        <v>0</v>
      </c>
      <c r="AI39" s="1371">
        <f>IFERROR('Capital IQ Sheet-STM'!AH40,"n/a")</f>
        <v>0</v>
      </c>
      <c r="AJ39" s="1371">
        <f>IFERROR('Capital IQ Sheet-STM'!AI40,"n/a")</f>
        <v>0</v>
      </c>
      <c r="AL39" s="1377"/>
    </row>
    <row r="40" spans="2:38" s="1372" customFormat="1" ht="14.85" customHeight="1">
      <c r="B40" s="1370">
        <f>IFERROR('Capital IQ Sheet-STM'!B41,"n/a")</f>
        <v>0</v>
      </c>
      <c r="C40" s="1370">
        <f>'Capital IQ Sheet-STM'!C41</f>
        <v>0</v>
      </c>
      <c r="D40" s="1370">
        <f>'Capital IQ Sheet-STM'!D41</f>
        <v>0</v>
      </c>
      <c r="E40" s="1370">
        <f>'Capital IQ Sheet-STM'!E41</f>
        <v>0</v>
      </c>
      <c r="F40" s="1371">
        <f>IFERROR('Capital IQ Sheet-STM'!F41,"n/a")</f>
        <v>0</v>
      </c>
      <c r="G40" s="1370">
        <f>'Capital IQ Sheet-STM'!G41</f>
        <v>0</v>
      </c>
      <c r="L40" s="1373">
        <f>'Capital IQ Sheet-STM'!I41</f>
        <v>0</v>
      </c>
      <c r="M40" s="1373">
        <f>'Capital IQ Sheet-STM'!J41</f>
        <v>0</v>
      </c>
      <c r="N40" s="1373">
        <f>'Capital IQ Sheet-STM'!K41</f>
        <v>0</v>
      </c>
      <c r="O40" s="1373">
        <f>'Capital IQ Sheet-STM'!L41</f>
        <v>0</v>
      </c>
      <c r="P40" s="1374"/>
      <c r="Q40" s="1373">
        <f>'Capital IQ Sheet-STM'!N41</f>
        <v>0</v>
      </c>
      <c r="R40" s="1373">
        <f>'Capital IQ Sheet-STM'!O41</f>
        <v>0</v>
      </c>
      <c r="S40" s="1373">
        <f>'Capital IQ Sheet-STM'!P41</f>
        <v>0</v>
      </c>
      <c r="T40" s="1374"/>
      <c r="U40" s="1375" t="str">
        <f t="shared" si="1"/>
        <v>n/a</v>
      </c>
      <c r="V40" s="1375" t="str">
        <f t="shared" si="2"/>
        <v>n/a</v>
      </c>
      <c r="W40" s="1375" t="str">
        <f t="shared" si="3"/>
        <v>n/a</v>
      </c>
      <c r="X40" s="1375">
        <f>'Capital IQ Sheet-STM'!U41</f>
        <v>0</v>
      </c>
      <c r="Y40" s="1375">
        <f>'Capital IQ Sheet-STM'!V41</f>
        <v>0</v>
      </c>
      <c r="Z40" s="1374"/>
      <c r="AA40" s="759">
        <f>'Capital IQ Sheet-STM'!X41</f>
        <v>0</v>
      </c>
      <c r="AB40" s="759">
        <f>'Capital IQ Sheet-STM'!Y41</f>
        <v>0</v>
      </c>
      <c r="AC40" s="759">
        <f>'Capital IQ Sheet-STM'!Z41</f>
        <v>0</v>
      </c>
      <c r="AD40" s="1374"/>
      <c r="AE40" s="1375" t="str">
        <f t="shared" si="6"/>
        <v>n/a</v>
      </c>
      <c r="AF40" s="1375" t="str">
        <f t="shared" si="7"/>
        <v>n/a</v>
      </c>
      <c r="AG40" s="1370">
        <f>'Capital IQ Sheet-STM'!AD41</f>
        <v>0</v>
      </c>
      <c r="AI40" s="1371">
        <f>IFERROR('Capital IQ Sheet-STM'!AH41,"n/a")</f>
        <v>0</v>
      </c>
      <c r="AJ40" s="1371">
        <f>IFERROR('Capital IQ Sheet-STM'!AI41,"n/a")</f>
        <v>0</v>
      </c>
      <c r="AL40" s="1377"/>
    </row>
    <row r="41" spans="2:38" s="1372" customFormat="1" ht="14.85" customHeight="1">
      <c r="B41" s="1370">
        <f>IFERROR('Capital IQ Sheet-STM'!B42,"n/a")</f>
        <v>0</v>
      </c>
      <c r="C41" s="1370">
        <f>'Capital IQ Sheet-STM'!C42</f>
        <v>0</v>
      </c>
      <c r="D41" s="1370">
        <f>'Capital IQ Sheet-STM'!D42</f>
        <v>0</v>
      </c>
      <c r="E41" s="1370">
        <f>'Capital IQ Sheet-STM'!E42</f>
        <v>0</v>
      </c>
      <c r="F41" s="1371">
        <f>IFERROR('Capital IQ Sheet-STM'!F42,"n/a")</f>
        <v>0</v>
      </c>
      <c r="G41" s="1370">
        <f>'Capital IQ Sheet-STM'!G42</f>
        <v>0</v>
      </c>
      <c r="L41" s="1373">
        <f>'Capital IQ Sheet-STM'!I42</f>
        <v>0</v>
      </c>
      <c r="M41" s="1373">
        <f>'Capital IQ Sheet-STM'!J42</f>
        <v>0</v>
      </c>
      <c r="N41" s="1373">
        <f>'Capital IQ Sheet-STM'!K42</f>
        <v>0</v>
      </c>
      <c r="O41" s="1373">
        <f>'Capital IQ Sheet-STM'!L42</f>
        <v>0</v>
      </c>
      <c r="P41" s="1374"/>
      <c r="Q41" s="1373">
        <f>'Capital IQ Sheet-STM'!N42</f>
        <v>0</v>
      </c>
      <c r="R41" s="1373">
        <f>'Capital IQ Sheet-STM'!O42</f>
        <v>0</v>
      </c>
      <c r="S41" s="1373">
        <f>'Capital IQ Sheet-STM'!P42</f>
        <v>0</v>
      </c>
      <c r="T41" s="1374"/>
      <c r="U41" s="1375" t="str">
        <f t="shared" si="1"/>
        <v>n/a</v>
      </c>
      <c r="V41" s="1375" t="str">
        <f t="shared" si="2"/>
        <v>n/a</v>
      </c>
      <c r="W41" s="1375" t="str">
        <f t="shared" si="3"/>
        <v>n/a</v>
      </c>
      <c r="X41" s="1375">
        <f>'Capital IQ Sheet-STM'!U42</f>
        <v>0</v>
      </c>
      <c r="Y41" s="1375">
        <f>'Capital IQ Sheet-STM'!V42</f>
        <v>0</v>
      </c>
      <c r="Z41" s="1374"/>
      <c r="AA41" s="759">
        <f>'Capital IQ Sheet-STM'!X42</f>
        <v>0</v>
      </c>
      <c r="AB41" s="759">
        <f>'Capital IQ Sheet-STM'!Y42</f>
        <v>0</v>
      </c>
      <c r="AC41" s="759">
        <f>'Capital IQ Sheet-STM'!Z42</f>
        <v>0</v>
      </c>
      <c r="AD41" s="1374"/>
      <c r="AE41" s="1375" t="str">
        <f t="shared" si="6"/>
        <v>n/a</v>
      </c>
      <c r="AF41" s="1375" t="str">
        <f t="shared" si="7"/>
        <v>n/a</v>
      </c>
      <c r="AG41" s="1370">
        <f>'Capital IQ Sheet-STM'!AD42</f>
        <v>0</v>
      </c>
      <c r="AI41" s="1371">
        <f>IFERROR('Capital IQ Sheet-STM'!AH42,"n/a")</f>
        <v>0</v>
      </c>
      <c r="AJ41" s="1371">
        <f>IFERROR('Capital IQ Sheet-STM'!AI42,"n/a")</f>
        <v>0</v>
      </c>
      <c r="AL41" s="1377"/>
    </row>
    <row r="42" spans="2:38" ht="14.85" customHeight="1">
      <c r="F42" s="491"/>
    </row>
    <row r="43" spans="2:38" ht="14.85" customHeight="1">
      <c r="B43" s="860" t="s">
        <v>111</v>
      </c>
      <c r="C43" s="1378"/>
      <c r="D43" s="1378"/>
      <c r="E43" s="826"/>
      <c r="F43" s="1379"/>
      <c r="G43" s="1378"/>
      <c r="H43" s="1378"/>
      <c r="I43" s="1380"/>
      <c r="J43" s="1380"/>
      <c r="K43" s="1380"/>
      <c r="L43" s="1304">
        <f>MAX(L9:L42)</f>
        <v>8623.2993399999996</v>
      </c>
      <c r="M43" s="1381">
        <f t="shared" ref="M43:O43" si="8">MAX(M9:M42)</f>
        <v>0</v>
      </c>
      <c r="N43" s="1381">
        <f t="shared" si="8"/>
        <v>0</v>
      </c>
      <c r="O43" s="1382">
        <f t="shared" si="8"/>
        <v>8955.5517299999992</v>
      </c>
      <c r="P43" s="1378"/>
      <c r="Q43" s="1304">
        <f>MAX(Q9:Q42)</f>
        <v>21.066389999999998</v>
      </c>
      <c r="R43" s="1304">
        <f>MAX(R9:R42)</f>
        <v>0</v>
      </c>
      <c r="S43" s="1304">
        <f>MAX(S9:S42)</f>
        <v>0</v>
      </c>
      <c r="T43" s="1383"/>
      <c r="U43" s="1307">
        <f>MAX(U9:U42)</f>
        <v>36.80718386016779</v>
      </c>
      <c r="V43" s="1307">
        <f>MAX(V9:V42)</f>
        <v>0</v>
      </c>
      <c r="W43" s="1307">
        <f>MAX(W9:W42)</f>
        <v>0</v>
      </c>
      <c r="X43" s="1307">
        <f>MAX(X9:X42)</f>
        <v>11.42728</v>
      </c>
      <c r="Y43" s="1307">
        <f>MAX(Y9:Y42)</f>
        <v>0</v>
      </c>
      <c r="Z43" s="1378"/>
      <c r="AA43" s="1304">
        <f>MAX(AA9:AA42)</f>
        <v>16.040900000000001</v>
      </c>
      <c r="AB43" s="1304">
        <f>MAX(AB9:AB42)</f>
        <v>0</v>
      </c>
      <c r="AC43" s="1304">
        <f>MAX(AC9:AC42)</f>
        <v>0</v>
      </c>
      <c r="AD43" s="1378"/>
      <c r="AE43" s="1307">
        <f>MAX(AE9:AE42)</f>
        <v>537.5820147248595</v>
      </c>
      <c r="AF43" s="1307">
        <f>MAX(AF9:AF42)</f>
        <v>-16.300964315897023</v>
      </c>
      <c r="AG43" s="1307">
        <f>MAX(AG9:AG42)</f>
        <v>0</v>
      </c>
      <c r="AH43" s="1384"/>
      <c r="AI43" s="1385">
        <f>MAX(AI9:AI42)</f>
        <v>1.2368589999999999</v>
      </c>
      <c r="AJ43" s="1386">
        <f>MAX(AJ9:AJ42)</f>
        <v>1.4347749999999999</v>
      </c>
    </row>
    <row r="44" spans="2:38" ht="14.85" customHeight="1">
      <c r="B44" s="1309" t="s">
        <v>115</v>
      </c>
      <c r="C44" s="831"/>
      <c r="D44" s="831"/>
      <c r="E44" s="831"/>
      <c r="F44" s="1387"/>
      <c r="G44" s="831"/>
      <c r="H44" s="831"/>
      <c r="I44" s="831"/>
      <c r="J44" s="831"/>
      <c r="K44" s="831"/>
      <c r="L44" s="1190">
        <f>QUARTILE(L9:L42,3)</f>
        <v>17.917827500000001</v>
      </c>
      <c r="M44" s="1190">
        <f t="shared" ref="M44:O44" si="9">QUARTILE(M9:M42,3)</f>
        <v>0</v>
      </c>
      <c r="N44" s="1190">
        <f t="shared" si="9"/>
        <v>0</v>
      </c>
      <c r="O44" s="1190">
        <f t="shared" si="9"/>
        <v>15.0687625</v>
      </c>
      <c r="P44" s="831"/>
      <c r="Q44" s="1190">
        <f>QUARTILE(Q9:Q42,3)</f>
        <v>0</v>
      </c>
      <c r="R44" s="1190">
        <f>QUARTILE(R9:R42,3)</f>
        <v>0</v>
      </c>
      <c r="S44" s="1190">
        <f>QUARTILE(S9:S42,3)</f>
        <v>0</v>
      </c>
      <c r="T44" s="870"/>
      <c r="U44" s="1189">
        <f>QUARTILE(U9:U42,3)</f>
        <v>28.745577348486528</v>
      </c>
      <c r="V44" s="1189" t="e">
        <f>QUARTILE(V9:V42,3)</f>
        <v>#NUM!</v>
      </c>
      <c r="W44" s="1189" t="e">
        <f>QUARTILE(W9:W42,3)</f>
        <v>#NUM!</v>
      </c>
      <c r="X44" s="1189">
        <f>QUARTILE(X9:X42,3)</f>
        <v>0</v>
      </c>
      <c r="Y44" s="1189">
        <f>QUARTILE(Y9:Y42,3)</f>
        <v>0</v>
      </c>
      <c r="Z44" s="831"/>
      <c r="AA44" s="1190">
        <f>QUARTILE(AA9:AA42,3)</f>
        <v>0</v>
      </c>
      <c r="AB44" s="1190">
        <f>QUARTILE(AB9:AB42,3)</f>
        <v>0</v>
      </c>
      <c r="AC44" s="1190">
        <f>QUARTILE(AC9:AC42,3)</f>
        <v>0</v>
      </c>
      <c r="AD44" s="831"/>
      <c r="AE44" s="1189">
        <f>QUARTILE(AE9:AE42,3)</f>
        <v>537.5820147248595</v>
      </c>
      <c r="AF44" s="1189">
        <f>QUARTILE(AF9:AF42,3)</f>
        <v>-20.158429709190443</v>
      </c>
      <c r="AG44" s="1189">
        <f>QUARTILE(AG9:AG42,3)</f>
        <v>0</v>
      </c>
      <c r="AH44" s="512"/>
      <c r="AI44" s="1328">
        <f>QUARTILE(AI9:AI42,3)</f>
        <v>0</v>
      </c>
      <c r="AJ44" s="1329">
        <f>QUARTILE(AJ9:AJ42,3)</f>
        <v>0</v>
      </c>
    </row>
    <row r="45" spans="2:38" ht="14.85" customHeight="1">
      <c r="B45" s="1309" t="s">
        <v>113</v>
      </c>
      <c r="C45" s="831"/>
      <c r="D45" s="831"/>
      <c r="E45" s="831"/>
      <c r="F45" s="1387"/>
      <c r="G45" s="831"/>
      <c r="H45" s="831"/>
      <c r="I45" s="831"/>
      <c r="J45" s="831"/>
      <c r="K45" s="831"/>
      <c r="L45" s="1190">
        <f>AVERAGE(L9:L42)</f>
        <v>483.75012400000003</v>
      </c>
      <c r="M45" s="1190">
        <f t="shared" ref="M45:O45" si="10">AVERAGE(M9:M42)</f>
        <v>0</v>
      </c>
      <c r="N45" s="1190">
        <f t="shared" si="10"/>
        <v>0</v>
      </c>
      <c r="O45" s="1190">
        <f t="shared" si="10"/>
        <v>503.58945549999987</v>
      </c>
      <c r="P45" s="831"/>
      <c r="Q45" s="1190">
        <f>AVERAGE(Q9:Q42)</f>
        <v>1.4828005</v>
      </c>
      <c r="R45" s="1190">
        <f>AVERAGE(R9:R42)</f>
        <v>-11.639029500000001</v>
      </c>
      <c r="S45" s="1190">
        <f>AVERAGE(S9:S42)</f>
        <v>-12.128776999999999</v>
      </c>
      <c r="T45" s="870"/>
      <c r="U45" s="1189">
        <f>AVERAGE(U9:U42)</f>
        <v>20.683970836805265</v>
      </c>
      <c r="V45" s="1189" t="e">
        <f>AVERAGE(V9:V42)</f>
        <v>#DIV/0!</v>
      </c>
      <c r="W45" s="1189" t="e">
        <f>AVERAGE(W9:W42)</f>
        <v>#DIV/0!</v>
      </c>
      <c r="X45" s="1189">
        <f>AVERAGE(X9:X42)</f>
        <v>1.6495582352941176</v>
      </c>
      <c r="Y45" s="1189">
        <f>AVERAGE(Y9:Y42)</f>
        <v>0</v>
      </c>
      <c r="Z45" s="831"/>
      <c r="AA45" s="1190">
        <f>AVERAGE(AA9:AA42)</f>
        <v>0.80204500000000001</v>
      </c>
      <c r="AB45" s="1190">
        <f>AVERAGE(AB9:AB42)</f>
        <v>-15.966575000000001</v>
      </c>
      <c r="AC45" s="1190">
        <f>AVERAGE(AC9:AC42)</f>
        <v>0</v>
      </c>
      <c r="AD45" s="831"/>
      <c r="AE45" s="1189">
        <f>AVERAGE(AE9:AE42)</f>
        <v>537.5820147248595</v>
      </c>
      <c r="AF45" s="1189">
        <f>AVERAGE(AF9:AF42)</f>
        <v>-24.015895102483864</v>
      </c>
      <c r="AG45" s="1189">
        <f>AVERAGE(AG9:AG42)</f>
        <v>0</v>
      </c>
      <c r="AH45" s="512"/>
      <c r="AI45" s="1328">
        <f>AVERAGE(AI9:AI42)</f>
        <v>0.11615813333333333</v>
      </c>
      <c r="AJ45" s="1329">
        <f>AVERAGE(AJ9:AJ42)</f>
        <v>0.12751399999999999</v>
      </c>
    </row>
    <row r="46" spans="2:38" ht="14.85" customHeight="1">
      <c r="B46" s="1309" t="s">
        <v>44</v>
      </c>
      <c r="C46" s="831"/>
      <c r="D46" s="831"/>
      <c r="E46" s="831"/>
      <c r="F46" s="1387"/>
      <c r="G46" s="831"/>
      <c r="H46" s="831"/>
      <c r="I46" s="831"/>
      <c r="J46" s="831"/>
      <c r="K46" s="831"/>
      <c r="L46" s="1190">
        <f>MEDIAN(L9:L42)</f>
        <v>0</v>
      </c>
      <c r="M46" s="1190">
        <f t="shared" ref="M46:O46" si="11">MEDIAN(M9:M42)</f>
        <v>0</v>
      </c>
      <c r="N46" s="1190">
        <f t="shared" si="11"/>
        <v>0</v>
      </c>
      <c r="O46" s="1190">
        <f t="shared" si="11"/>
        <v>0</v>
      </c>
      <c r="P46" s="831"/>
      <c r="Q46" s="1190">
        <f>MEDIAN(Q9:Q42)</f>
        <v>0</v>
      </c>
      <c r="R46" s="1190">
        <f>MEDIAN(R9:R42)</f>
        <v>0</v>
      </c>
      <c r="S46" s="1190">
        <f>MEDIAN(S9:S42)</f>
        <v>0</v>
      </c>
      <c r="T46" s="870"/>
      <c r="U46" s="1189">
        <f>MEDIAN(U9:U42)</f>
        <v>20.683970836805265</v>
      </c>
      <c r="V46" s="1189" t="e">
        <f>MEDIAN(V9:V42)</f>
        <v>#NUM!</v>
      </c>
      <c r="W46" s="1189" t="e">
        <f>MEDIAN(W9:W42)</f>
        <v>#NUM!</v>
      </c>
      <c r="X46" s="1189">
        <f>MEDIAN(X9:X42)</f>
        <v>0</v>
      </c>
      <c r="Y46" s="1189">
        <f>MEDIAN(Y9:Y42)</f>
        <v>0</v>
      </c>
      <c r="Z46" s="831"/>
      <c r="AA46" s="1190">
        <f>MEDIAN(AA9:AA42)</f>
        <v>0</v>
      </c>
      <c r="AB46" s="1190">
        <f>MEDIAN(AB9:AB42)</f>
        <v>0</v>
      </c>
      <c r="AC46" s="1190">
        <f>MEDIAN(AC9:AC42)</f>
        <v>0</v>
      </c>
      <c r="AD46" s="831"/>
      <c r="AE46" s="1189">
        <f>MEDIAN(AE9:AE42)</f>
        <v>537.5820147248595</v>
      </c>
      <c r="AF46" s="1189">
        <f>MEDIAN(AF9:AF42)</f>
        <v>-24.015895102483864</v>
      </c>
      <c r="AG46" s="1189">
        <f>MEDIAN(AG9:AG42)</f>
        <v>0</v>
      </c>
      <c r="AH46" s="512"/>
      <c r="AI46" s="1328">
        <f>MEDIAN(AI9:AI42)</f>
        <v>0</v>
      </c>
      <c r="AJ46" s="1329">
        <f>MEDIAN(AJ9:AJ42)</f>
        <v>0</v>
      </c>
    </row>
    <row r="47" spans="2:38" ht="14.85" customHeight="1">
      <c r="B47" s="1309" t="s">
        <v>114</v>
      </c>
      <c r="C47" s="831"/>
      <c r="D47" s="831"/>
      <c r="E47" s="831"/>
      <c r="F47" s="831"/>
      <c r="G47" s="831"/>
      <c r="H47" s="831"/>
      <c r="I47" s="831"/>
      <c r="J47" s="831"/>
      <c r="K47" s="831"/>
      <c r="L47" s="1190">
        <f>QUARTILE(L9:L42,1)</f>
        <v>0</v>
      </c>
      <c r="M47" s="1190">
        <f t="shared" ref="M47:O47" si="12">QUARTILE(M9:M42,1)</f>
        <v>0</v>
      </c>
      <c r="N47" s="1190">
        <f t="shared" si="12"/>
        <v>0</v>
      </c>
      <c r="O47" s="1190">
        <f t="shared" si="12"/>
        <v>0</v>
      </c>
      <c r="P47" s="831"/>
      <c r="Q47" s="1190">
        <f>QUARTILE(Q9:Q42,1)</f>
        <v>0</v>
      </c>
      <c r="R47" s="1190">
        <f>QUARTILE(R9:R42,1)</f>
        <v>0</v>
      </c>
      <c r="S47" s="1190">
        <f>QUARTILE(S9:S42,1)</f>
        <v>0</v>
      </c>
      <c r="T47" s="870"/>
      <c r="U47" s="1189">
        <f>QUARTILE(U9:U42,1)</f>
        <v>12.622364325124003</v>
      </c>
      <c r="V47" s="1189" t="e">
        <f>QUARTILE(V9:V42,1)</f>
        <v>#NUM!</v>
      </c>
      <c r="W47" s="1189" t="e">
        <f>QUARTILE(W9:W42,1)</f>
        <v>#NUM!</v>
      </c>
      <c r="X47" s="1189">
        <f>QUARTILE(X9:X42,1)</f>
        <v>0</v>
      </c>
      <c r="Y47" s="1189">
        <f>QUARTILE(Y9:Y42,1)</f>
        <v>0</v>
      </c>
      <c r="Z47" s="831"/>
      <c r="AA47" s="1190">
        <f>QUARTILE(AA9:AA42,1)</f>
        <v>0</v>
      </c>
      <c r="AB47" s="1190">
        <f>QUARTILE(AB9:AB42,1)</f>
        <v>0</v>
      </c>
      <c r="AC47" s="1190">
        <f>QUARTILE(AC9:AC42,1)</f>
        <v>0</v>
      </c>
      <c r="AD47" s="831"/>
      <c r="AE47" s="1189">
        <f>QUARTILE(AE9:AE42,1)</f>
        <v>537.5820147248595</v>
      </c>
      <c r="AF47" s="1189">
        <f>QUARTILE(AF9:AF42,1)</f>
        <v>-27.873360495777284</v>
      </c>
      <c r="AG47" s="1189">
        <f>QUARTILE(AG9:AG42,1)</f>
        <v>0</v>
      </c>
      <c r="AH47" s="512"/>
      <c r="AI47" s="1328">
        <f>QUARTILE(AI9:AI42,1)</f>
        <v>0</v>
      </c>
      <c r="AJ47" s="1329">
        <f>QUARTILE(AJ9:AJ42,1)</f>
        <v>0</v>
      </c>
    </row>
    <row r="48" spans="2:38" ht="14.85" customHeight="1">
      <c r="B48" s="1192" t="s">
        <v>112</v>
      </c>
      <c r="C48" s="1388"/>
      <c r="D48" s="1388"/>
      <c r="E48" s="1388"/>
      <c r="F48" s="1388"/>
      <c r="G48" s="1388"/>
      <c r="H48" s="1388"/>
      <c r="I48" s="1388"/>
      <c r="J48" s="1388"/>
      <c r="K48" s="1388"/>
      <c r="L48" s="867">
        <f>MIN(L9:L42)</f>
        <v>0</v>
      </c>
      <c r="M48" s="867">
        <f t="shared" ref="M48:O48" si="13">MIN(M9:M42)</f>
        <v>0</v>
      </c>
      <c r="N48" s="867">
        <f t="shared" si="13"/>
        <v>0</v>
      </c>
      <c r="O48" s="867">
        <f t="shared" si="13"/>
        <v>0</v>
      </c>
      <c r="P48" s="1388"/>
      <c r="Q48" s="867">
        <f>MIN(Q9:Q42)</f>
        <v>0</v>
      </c>
      <c r="R48" s="867">
        <f>MIN(R9:R42)</f>
        <v>-209.39500000000001</v>
      </c>
      <c r="S48" s="867">
        <f>MIN(S9:S42)</f>
        <v>-215.7</v>
      </c>
      <c r="T48" s="1389"/>
      <c r="U48" s="1193">
        <f>MIN(U9:U42)</f>
        <v>4.5607578134427422</v>
      </c>
      <c r="V48" s="1193">
        <f>MIN(V9:V42)</f>
        <v>0</v>
      </c>
      <c r="W48" s="1193">
        <f>MIN(W9:W42)</f>
        <v>0</v>
      </c>
      <c r="X48" s="1193">
        <f>MIN(X9:X42)</f>
        <v>0</v>
      </c>
      <c r="Y48" s="1193">
        <f>MIN(Y9:Y42)</f>
        <v>0</v>
      </c>
      <c r="Z48" s="1388"/>
      <c r="AA48" s="867">
        <f>MIN(AA9:AA42)</f>
        <v>0</v>
      </c>
      <c r="AB48" s="867">
        <f>MIN(AB9:AB42)</f>
        <v>-271.76409999999998</v>
      </c>
      <c r="AC48" s="867">
        <f>MIN(AC9:AC42)</f>
        <v>0</v>
      </c>
      <c r="AD48" s="1388"/>
      <c r="AE48" s="1193">
        <f>MIN(AE9:AE42)</f>
        <v>537.5820147248595</v>
      </c>
      <c r="AF48" s="1193">
        <f>MIN(AF9:AF42)</f>
        <v>-31.730825889070704</v>
      </c>
      <c r="AG48" s="1193">
        <f>MIN(AG9:AG42)</f>
        <v>0</v>
      </c>
      <c r="AH48" s="654"/>
      <c r="AI48" s="1330">
        <f>MIN(AI9:AI42)</f>
        <v>0</v>
      </c>
      <c r="AJ48" s="1390">
        <f>MIN(AJ9:AJ42)</f>
        <v>0</v>
      </c>
    </row>
    <row r="49" spans="2:2" ht="14.85" customHeight="1"/>
    <row r="50" spans="2:2" ht="14.85" customHeight="1">
      <c r="B50" s="356" t="s">
        <v>116</v>
      </c>
    </row>
    <row r="51" spans="2:2" ht="14.85" customHeight="1"/>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U4">
    <cfRule type="cellIs" dxfId="206" priority="9" stopIfTrue="1" operator="equal">
      <formula>"input"</formula>
    </cfRule>
  </conditionalFormatting>
  <conditionalFormatting sqref="B4:P4">
    <cfRule type="cellIs" dxfId="205" priority="15" stopIfTrue="1" operator="equal">
      <formula>"input"</formula>
    </cfRule>
  </conditionalFormatting>
  <conditionalFormatting sqref="Q4">
    <cfRule type="cellIs" dxfId="204" priority="13" stopIfTrue="1" operator="equal">
      <formula>"input"</formula>
    </cfRule>
  </conditionalFormatting>
  <conditionalFormatting sqref="Q4">
    <cfRule type="cellIs" dxfId="203" priority="14" stopIfTrue="1" operator="equal">
      <formula>"input"</formula>
    </cfRule>
  </conditionalFormatting>
  <conditionalFormatting sqref="R4:T4">
    <cfRule type="cellIs" dxfId="202" priority="11" stopIfTrue="1" operator="equal">
      <formula>"input"</formula>
    </cfRule>
  </conditionalFormatting>
  <conditionalFormatting sqref="R4:T4">
    <cfRule type="cellIs" dxfId="201" priority="12" stopIfTrue="1" operator="equal">
      <formula>"input"</formula>
    </cfRule>
  </conditionalFormatting>
  <conditionalFormatting sqref="U4">
    <cfRule type="cellIs" dxfId="200" priority="10" stopIfTrue="1" operator="equal">
      <formula>"input"</formula>
    </cfRule>
  </conditionalFormatting>
  <conditionalFormatting sqref="V4:AI4">
    <cfRule type="cellIs" dxfId="199" priority="7" stopIfTrue="1" operator="equal">
      <formula>"input"</formula>
    </cfRule>
  </conditionalFormatting>
  <conditionalFormatting sqref="V4:AI4">
    <cfRule type="cellIs" dxfId="198" priority="8" stopIfTrue="1" operator="equal">
      <formula>"input"</formula>
    </cfRule>
  </conditionalFormatting>
  <conditionalFormatting sqref="AJ4">
    <cfRule type="cellIs" dxfId="197" priority="1" stopIfTrue="1" operator="equal">
      <formula>"input"</formula>
    </cfRule>
  </conditionalFormatting>
  <conditionalFormatting sqref="AJ4">
    <cfRule type="cellIs" dxfId="196" priority="2" stopIfTrue="1" operator="equal">
      <formula>"input"</formula>
    </cfRule>
  </conditionalFormatting>
  <pageMargins left="0.5" right="0.5" top="0.5" bottom="0.5" header="0.5" footer="0.5"/>
  <pageSetup scale="49" fitToWidth="0" fitToHeight="0" orientation="landscape" r:id="rId1"/>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B1:M764"/>
  <sheetViews>
    <sheetView showGridLines="0" view="pageBreakPreview" topLeftCell="A2" zoomScale="80" zoomScaleNormal="100" zoomScaleSheetLayoutView="80" workbookViewId="0">
      <selection activeCell="D13" sqref="D13"/>
    </sheetView>
  </sheetViews>
  <sheetFormatPr defaultRowHeight="12.75"/>
  <cols>
    <col min="1" max="1" width="4.5" style="250" customWidth="1"/>
    <col min="2" max="2" width="39" style="250" customWidth="1"/>
    <col min="3" max="3" width="2.83203125" style="250" customWidth="1"/>
    <col min="4" max="4" width="103.1640625" style="250" customWidth="1"/>
    <col min="5" max="5" width="4.5" style="250" customWidth="1"/>
    <col min="6" max="16384" width="9.33203125" style="250"/>
  </cols>
  <sheetData>
    <row r="1" spans="2:13" ht="13.5" thickBot="1"/>
    <row r="2" spans="2:13" ht="15" thickTop="1">
      <c r="B2" s="258" t="str">
        <f>'MASTER PubCo Inputs'!$C$5</f>
        <v>ABC, Inc.</v>
      </c>
      <c r="C2" s="258"/>
      <c r="D2" s="258"/>
    </row>
    <row r="3" spans="2:13" ht="14.25">
      <c r="B3" s="259" t="str">
        <f>VLOOKUP(B4,Outline!$E$8:$G$79,COLUMNS(Outline!$E$8:$G$8),FALSE)</f>
        <v>Exhibit F.3</v>
      </c>
      <c r="C3" s="259"/>
      <c r="D3" s="259"/>
    </row>
    <row r="4" spans="2:13" ht="15" thickBot="1">
      <c r="B4" s="924" t="s">
        <v>826</v>
      </c>
      <c r="C4" s="924"/>
      <c r="D4" s="925"/>
    </row>
    <row r="5" spans="2:13" s="467" customFormat="1" ht="14.85" customHeight="1" thickTop="1">
      <c r="B5" s="250"/>
      <c r="C5" s="250"/>
      <c r="D5" s="250"/>
      <c r="E5" s="250"/>
      <c r="F5" s="250"/>
      <c r="G5" s="250"/>
      <c r="H5" s="250"/>
      <c r="I5" s="250"/>
      <c r="J5" s="250"/>
      <c r="K5" s="250"/>
      <c r="L5" s="250"/>
      <c r="M5" s="250"/>
    </row>
    <row r="6" spans="2:13" ht="14.85" customHeight="1">
      <c r="B6" s="1336" t="s">
        <v>827</v>
      </c>
      <c r="C6" s="1391"/>
      <c r="D6" s="1337" t="s">
        <v>127</v>
      </c>
    </row>
    <row r="7" spans="2:13" ht="14.85" customHeight="1"/>
    <row r="8" spans="2:13" ht="14.85" customHeight="1">
      <c r="B8" s="1392" t="str">
        <f>Trans.1!D9</f>
        <v>Synageva BioPharma Corp.</v>
      </c>
      <c r="C8" s="1393"/>
      <c r="D8" s="1392" t="str">
        <f>'Capital IQ Sheet-STM'!AL10</f>
        <v>Synageva BioPharma Corp. operates as a biopharmaceutical company in the United States. It focuses on the discovery, development, and commercialization of therapeutic products for patients with rare diseases. The company’s lead program include sebelipase alfa, a recombinant form of human lysosomal acid lipase (LAL) under the Kanuma brand name for the treatment of LAL deficiency in infants, children, and adults. It also has various other research programs in various stages of preclinical development, including SBC-103, an enzyme replacement therapy in a Phase 1/2 study for lysosomal storage disease, known as mucopolysaccharidosis type IIIB; SBC-105, an enzyme replacement therapy in preclinical development for rare disorders of calcification; and other programs. The company was founded in 1996 and is headquartered in Lexington, Massachusetts. As of June 19, 2015, Synageva BioPharma Corp. operates as a subsidiary of Alexion Pharmaceuticals, Inc..</v>
      </c>
    </row>
    <row r="9" spans="2:13" ht="14.25" customHeight="1">
      <c r="B9" s="1392" t="str">
        <f>Trans.1!D10</f>
        <v>Abeona Therapeutics LLC</v>
      </c>
      <c r="C9" s="1393"/>
      <c r="D9" s="1392" t="str">
        <f>'Capital IQ Sheet-STM'!AL11</f>
        <v>Abeona Therapeutics LLC, a biopharmaceutical company, focuses on developing and delivering gene therapy and plasma-based products for severe and life-threatening rare diseases. It engages in developing adeno-associated viral (AAV)-based gene therapies for MPS III (Sanfilippo syndrome), which involves a one-time delivery of a normal copy of the defective gene to cells of the central nervous system to reverse the effects of the genetic errors that cause the disease. The company offers ABO-101 and ABO-102, which induce cells in the central nervous system and peripheral organs to produce the missing enzymes and help repair damage caused to the cells; ABO-201 for Juvenile Batten Disease (JBD); and ABO-301 (AAV LK19 FANCC), an AAV-based gene therapy for the delivery of a normal copy of the defective gene to cells of the hematopoietic or blood system to reverse the effects of the genetic errors that cause Fanconi anemia. It also provides Salt Diafiltration Process (SDF) that focuses on the ethanol-free extraction of therapeutic biologics from human plasma, including PTB-101 SDF Alpha (alpha1-proteinase inhibitor) for chronic augmentation and maintenance therapy in adults; and PTB-201 SDF IVIG for autoimmune, infectious, and idiopathic diseases. The company was founded in 2013 and is based in Cleveland, Ohio. As of May 15, 2015, Abeona Therapeutics LLC operates as a subsidiary of Abeona Therapeutics Inc.</v>
      </c>
    </row>
    <row r="10" spans="2:13" ht="14.85" customHeight="1">
      <c r="B10" s="1392" t="str">
        <f>Trans.1!D11</f>
        <v>Prosensa Holding N.V. (nka:BioMarin Nederland B.V.)</v>
      </c>
      <c r="C10" s="1393"/>
      <c r="D10" s="1392" t="str">
        <f>'Capital IQ Sheet-STM'!AL12</f>
        <v>BioMarin Nederland B.V., a biotechnology company, engages in the discovery and development of ribonucleic acid-modulating therapeutics for the treatment of genetic disorders. Its products focus on the treatment of neuromuscular and neurodegenerative disorders, including duchenne muscular dystrophy (DMD), myotonic dystrophy, and huntington’s diseases. The company develops drisapersen, which is in Phase III studies to restore dystrophin expression and enhancing muscle condition; PRO044 that is in Phase I/II studies to address a separate sub-population of DMD patients; and PRO045, PRO053, PRO052, and PRO055 to address other distinct sub-populations of DMD patients. It also develops PRO135 that is in preclinical trials for myotonic dystrophy; PRO289, which is in preclinical trials for treating huntington’s diseases; and PROSPECT to address mutations in the exon. The company was incorporated in 1997 and is headquartered in Leiden, the Netherlands. As of January 29, 2015, BioMarin Nederland B.V. operates as a subsidiary of BioMarin Pharmaceutical Inc.</v>
      </c>
    </row>
    <row r="11" spans="2:13" ht="14.85" customHeight="1">
      <c r="B11" s="1392" t="str">
        <f>Trans.1!D12</f>
        <v>Precision Genome Engineering, Inc.</v>
      </c>
      <c r="C11" s="1393"/>
      <c r="D11" s="1392" t="str">
        <f>'Capital IQ Sheet-STM'!AL13</f>
        <v>Precision Genome Engineering, Inc., doing business as Pregenen, operates as a biotechnology company designing and engineering molecules for the generation of gene and cell-based therapies primarily in the areas of cancer and infectious diseases. It develops DisplayArray platform, which produces active and portable DNA-targeting enzymes with integrated DNA binding and cleavage activity. The company also provides a suite of custom genome engineering tools for creating site specific DNA breaks, such as TrueCut reagents that include engineered homing endonuclease enzymes for producing the DNA double-stranded break combined with accessory proteins to increase the rate of gene disruption following the creation of a DNA break-point. In addition, it undertakes a range of analyses to determine the in vitro and in vivo activity and specificity of genome engineering tools; and develops a cell signaling system to provide pharmacological control over chimeric antigen receptor driven immunotherapies. The company was founded in 2006 and is based in Seattle, Washington. As of June 30, 2014, Precision Genome Engineering, Inc. operates as a subsidiary of bluebird bio, Inc.</v>
      </c>
    </row>
    <row r="12" spans="2:13" ht="14.85" customHeight="1">
      <c r="B12" s="1392" t="str">
        <f>Trans.1!D13</f>
        <v>REGENX Biosciences, LLC, Worldwide License to Proprietary NAV® Vectors</v>
      </c>
      <c r="C12" s="1393"/>
      <c r="D12" s="1392" t="str">
        <f>'Capital IQ Sheet-STM'!AL14</f>
        <v>As of June 2, 2014, Worldwide License to Proprietary NAV® Vectors of REGENX Biosciences, LLC was acquired by Voyager Therapeutics, Inc. REGENX Biosciences, LLC, Worldwide License to Proprietary NAV® Vectors comprises NAV® vectors for the development and commercialization of gene therapies to treat Amyotrophic Lateral Sclerosis, Friedreich's ataxia, and Huntington's disease.</v>
      </c>
    </row>
    <row r="13" spans="2:13" ht="14.85" customHeight="1">
      <c r="B13" s="1392" t="str">
        <f>Trans.1!D14</f>
        <v>DNAVEC Corporation</v>
      </c>
      <c r="C13" s="1393"/>
      <c r="D13" s="1392" t="str">
        <f>'Capital IQ Sheet-STM'!AL15</f>
        <v>DNAVEC Corporation develops and licenses out gene therapeutic medicines, gene vaccines, therapeutic antibodies, and medicinal proteins for pharmaceutical companies in Japan and internationally. It offers gene therapeutic medicines for cardiovascular, respiratory, autoimmune, ophthalmologic, and cancer diseases; gene vaccines for AIDS, tuberculosis, influenza, malaria, tumors, Alzheimer’s, and Parkinson’s diseases; and proteins for medical treatment, research, and in vitro diagnosis. The company also provides antibodies, proteins, gene analysis products, and technical services to the bio-field markets. In addition, DNAVEC offers proteins for research and diagnosis; antibodies; and gene function analysis services and kits. Further, the company consults for pharmaceutical and bio-venture companies planning to enter China and establish joint enterprises. Furthermore, it develops its therapeutic products and services in alliance with other bio-venture companies. DNAVEC Corporation was founded in 2003 and is based in Tsukuba, Japan. As of January 2014, DNAVEC Corporation operates as a subsidiary of I'rom Group Co., Ltd.</v>
      </c>
    </row>
    <row r="14" spans="2:13" ht="14.85" customHeight="1">
      <c r="B14" s="1392" t="str">
        <f>Trans.1!D15</f>
        <v>Ceregene, Inc.</v>
      </c>
      <c r="C14" s="1393"/>
      <c r="D14" s="1392" t="str">
        <f>'Capital IQ Sheet-STM'!AL16</f>
        <v>Ceregene, Inc., a biotechnology company, focuses on developing neurotrophic growth factor treatments for neurodegenerative disorders. The company develops adeno-associated virus (AAV) vectors for delivering the neurotrophic gene. Its pipeline includes CERE-120, a AAV-neurturin for brain degenerating in Parkinson’s diseases; CERE-110, a AAV-nerve growth factor that has profound protective and function restoring effects on cholinergic neurons in the brain; CERE-130, a AAV-insulin-like growth factor-1 to enhance the function and provide protective support of motor neurons that originate in the spinal cord and control various muscles; and CERE-140, a AAV-neurotrophic factor 4/5 for treating ocular diseases. The company targets neurodegenerative disorders, including Parkinson’s, Alzheimer’s, amyotrophic lateral sclerosis, and Huntington diseases; and degenerative diseases of the eye, such as retinitis pigmentosa, age-related macular degeneration, and glaucoma. Ceregene, Inc. was incorporated in 2000 and is based in San Diego, California. As of October 1, 2013, Ceregene, Inc. operates as a subsidiary of Sangamo Biosciences Inc.</v>
      </c>
    </row>
    <row r="15" spans="2:13" ht="14.85" customHeight="1">
      <c r="B15" s="1392" t="str">
        <f>Trans.1!D16</f>
        <v>(Invalid Transaction Id)</v>
      </c>
      <c r="C15" s="1393"/>
      <c r="D15" s="1392" t="str">
        <f>'Capital IQ Sheet-STM'!AL17</f>
        <v>(Invalid Identifier)</v>
      </c>
    </row>
    <row r="16" spans="2:13" ht="14.85" customHeight="1">
      <c r="B16" s="1392" t="str">
        <f>Trans.1!D17</f>
        <v>(Invalid Transaction Id)</v>
      </c>
      <c r="C16" s="1393"/>
      <c r="D16" s="1392" t="str">
        <f>'Capital IQ Sheet-STM'!AL18</f>
        <v>(Invalid Identifier)</v>
      </c>
    </row>
    <row r="17" spans="2:4" ht="14.85" customHeight="1">
      <c r="B17" s="1392" t="str">
        <f>Trans.1!D18</f>
        <v>(Invalid Transaction Id)</v>
      </c>
      <c r="C17" s="1393"/>
      <c r="D17" s="1392" t="str">
        <f>'Capital IQ Sheet-STM'!AL19</f>
        <v>(Invalid Identifier)</v>
      </c>
    </row>
    <row r="18" spans="2:4" ht="14.85" customHeight="1">
      <c r="B18" s="1392" t="str">
        <f>Trans.1!D19</f>
        <v>(Invalid Transaction Id)</v>
      </c>
      <c r="C18" s="1393"/>
      <c r="D18" s="1392" t="str">
        <f>'Capital IQ Sheet-STM'!AL20</f>
        <v>(Invalid Identifier)</v>
      </c>
    </row>
    <row r="19" spans="2:4" ht="14.85" customHeight="1">
      <c r="B19" s="1392" t="str">
        <f>Trans.1!D20</f>
        <v>(Invalid Transaction Id)</v>
      </c>
      <c r="C19" s="1393"/>
      <c r="D19" s="1392" t="str">
        <f>'Capital IQ Sheet-STM'!AL21</f>
        <v>(Invalid Identifier)</v>
      </c>
    </row>
    <row r="20" spans="2:4" ht="14.85" customHeight="1">
      <c r="B20" s="1392" t="str">
        <f>Trans.1!D21</f>
        <v>(Invalid Transaction Id)</v>
      </c>
      <c r="C20" s="1393"/>
      <c r="D20" s="1392" t="str">
        <f>'Capital IQ Sheet-STM'!AL22</f>
        <v>(Invalid Identifier)</v>
      </c>
    </row>
    <row r="21" spans="2:4" ht="14.85" customHeight="1">
      <c r="B21" s="1392" t="str">
        <f>Trans.1!D22</f>
        <v>(Invalid Transaction Id)</v>
      </c>
      <c r="C21" s="1393"/>
      <c r="D21" s="1392" t="str">
        <f>'Capital IQ Sheet-STM'!AL23</f>
        <v>(Invalid Identifier)</v>
      </c>
    </row>
    <row r="22" spans="2:4" ht="14.85" customHeight="1">
      <c r="B22" s="1392" t="str">
        <f>Trans.1!D23</f>
        <v>(Invalid Transaction Id)</v>
      </c>
      <c r="C22" s="1393"/>
      <c r="D22" s="1392" t="str">
        <f>'Capital IQ Sheet-STM'!AL24</f>
        <v>(Invalid Identifier)</v>
      </c>
    </row>
    <row r="23" spans="2:4" ht="14.85" customHeight="1">
      <c r="B23" s="1392" t="str">
        <f>Trans.1!D24</f>
        <v>(Invalid Transaction Id)</v>
      </c>
      <c r="C23" s="1393"/>
      <c r="D23" s="1392" t="str">
        <f>'Capital IQ Sheet-STM'!AL25</f>
        <v>(Invalid Identifier)</v>
      </c>
    </row>
    <row r="24" spans="2:4" ht="14.85" customHeight="1">
      <c r="B24" s="1392" t="str">
        <f>Trans.1!D25</f>
        <v>(Invalid Transaction Id)</v>
      </c>
      <c r="C24" s="1393"/>
      <c r="D24" s="1392" t="str">
        <f>'Capital IQ Sheet-STM'!AL26</f>
        <v>(Invalid Identifier)</v>
      </c>
    </row>
    <row r="25" spans="2:4" ht="14.85" customHeight="1">
      <c r="B25" s="1392" t="str">
        <f>Trans.1!D26</f>
        <v>(Invalid Transaction Id)</v>
      </c>
      <c r="C25" s="1393"/>
      <c r="D25" s="1392" t="str">
        <f>'Capital IQ Sheet-STM'!AL27</f>
        <v>(Invalid Identifier)</v>
      </c>
    </row>
    <row r="26" spans="2:4" ht="14.85" customHeight="1">
      <c r="B26" s="1392" t="str">
        <f>Trans.1!D27</f>
        <v>(Invalid Transaction Id)</v>
      </c>
      <c r="C26" s="1393"/>
      <c r="D26" s="1392" t="str">
        <f>'Capital IQ Sheet-STM'!AL28</f>
        <v>(Invalid Identifier)</v>
      </c>
    </row>
    <row r="27" spans="2:4" ht="14.85" customHeight="1">
      <c r="B27" s="1392" t="str">
        <f>Trans.1!D28</f>
        <v>(Invalid Transaction Id)</v>
      </c>
      <c r="C27" s="1393"/>
      <c r="D27" s="1392" t="str">
        <f>'Capital IQ Sheet-STM'!AL29</f>
        <v>(Invalid Identifier)</v>
      </c>
    </row>
    <row r="28" spans="2:4" ht="14.85" customHeight="1">
      <c r="D28" s="1341"/>
    </row>
    <row r="29" spans="2:4" ht="14.85" customHeight="1">
      <c r="B29" s="356" t="s">
        <v>116</v>
      </c>
      <c r="C29" s="356"/>
    </row>
    <row r="30" spans="2:4" ht="14.85" customHeight="1"/>
    <row r="31" spans="2:4" ht="14.85" customHeight="1"/>
    <row r="32" spans="2:4"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8:C27">
    <cfRule type="cellIs" dxfId="195" priority="8" operator="equal">
      <formula>"(Invalid Identifier)"</formula>
    </cfRule>
  </conditionalFormatting>
  <conditionalFormatting sqref="D4">
    <cfRule type="cellIs" dxfId="194" priority="2" stopIfTrue="1" operator="equal">
      <formula>"input"</formula>
    </cfRule>
  </conditionalFormatting>
  <conditionalFormatting sqref="D4">
    <cfRule type="cellIs" dxfId="193" priority="3" stopIfTrue="1" operator="equal">
      <formula>"input"</formula>
    </cfRule>
  </conditionalFormatting>
  <conditionalFormatting sqref="B4:C4">
    <cfRule type="cellIs" dxfId="192" priority="1" stopIfTrue="1" operator="equal">
      <formula>"input"</formula>
    </cfRule>
  </conditionalFormatting>
  <pageMargins left="0.5" right="0.5" top="0.5" bottom="0.5" header="0.5" footer="0.5"/>
  <pageSetup scale="99" fitToWidth="0" fitToHeight="0" orientation="landscape" r:id="rId1"/>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5">
    <tabColor theme="3" tint="-0.499984740745262"/>
    <pageSetUpPr fitToPage="1"/>
  </sheetPr>
  <dimension ref="A6:G30"/>
  <sheetViews>
    <sheetView showGridLines="0" view="pageBreakPreview" topLeftCell="A4" zoomScale="70" zoomScaleNormal="100" zoomScaleSheetLayoutView="70" workbookViewId="0">
      <selection activeCell="C26" sqref="C26"/>
    </sheetView>
  </sheetViews>
  <sheetFormatPr defaultColWidth="9.33203125" defaultRowHeight="12.75"/>
  <cols>
    <col min="1" max="1" width="4.5" style="303" customWidth="1"/>
    <col min="2" max="2" width="3.83203125" style="303" customWidth="1"/>
    <col min="3" max="3" width="15.83203125" style="303" customWidth="1"/>
    <col min="4" max="4" width="104.5" style="363" customWidth="1"/>
    <col min="5" max="5" width="15.83203125" style="303" customWidth="1"/>
    <col min="6" max="6" width="3.83203125" style="303" customWidth="1"/>
    <col min="7" max="7" width="4.5" style="303" customWidth="1"/>
    <col min="8" max="8" width="9.33203125" style="303"/>
    <col min="9" max="9" width="16.33203125" style="303" bestFit="1" customWidth="1"/>
    <col min="10" max="10" width="19" style="303" bestFit="1" customWidth="1"/>
    <col min="11" max="16384" width="9.33203125" style="303"/>
  </cols>
  <sheetData>
    <row r="6" spans="1:7">
      <c r="B6" s="364"/>
      <c r="C6" s="365"/>
      <c r="D6" s="366"/>
      <c r="E6" s="365"/>
      <c r="F6" s="365"/>
    </row>
    <row r="7" spans="1:7" ht="13.5" thickBot="1">
      <c r="B7" s="364"/>
      <c r="C7" s="365"/>
      <c r="D7" s="366"/>
      <c r="E7" s="365"/>
      <c r="F7" s="365"/>
    </row>
    <row r="8" spans="1:7" s="227" customFormat="1" ht="15" thickTop="1">
      <c r="A8" s="303"/>
      <c r="B8" s="228"/>
      <c r="C8" s="1234"/>
      <c r="D8" s="2074"/>
      <c r="E8" s="1234"/>
      <c r="F8" s="1234"/>
      <c r="G8" s="303"/>
    </row>
    <row r="9" spans="1:7" s="234" customFormat="1" ht="39.75">
      <c r="A9" s="303"/>
      <c r="B9" s="231"/>
      <c r="C9" s="1236"/>
      <c r="D9" s="260" t="s">
        <v>497</v>
      </c>
      <c r="E9" s="1236"/>
      <c r="F9" s="1236"/>
      <c r="G9" s="303"/>
    </row>
    <row r="10" spans="1:7" s="227" customFormat="1" ht="15" thickBot="1">
      <c r="A10" s="303"/>
      <c r="B10" s="241"/>
      <c r="C10" s="1238"/>
      <c r="D10" s="2078"/>
      <c r="E10" s="1238"/>
      <c r="F10" s="1238"/>
      <c r="G10" s="303"/>
    </row>
    <row r="11" spans="1:7" s="227" customFormat="1" ht="15" thickTop="1">
      <c r="A11" s="303"/>
      <c r="C11" s="303"/>
      <c r="D11" s="363"/>
      <c r="E11" s="303"/>
      <c r="F11" s="303"/>
      <c r="G11" s="303"/>
    </row>
    <row r="12" spans="1:7" s="227" customFormat="1" ht="14.25">
      <c r="A12" s="303"/>
      <c r="C12" s="303"/>
      <c r="D12" s="363"/>
      <c r="E12" s="303"/>
      <c r="F12" s="303"/>
      <c r="G12" s="303"/>
    </row>
    <row r="13" spans="1:7" s="227" customFormat="1" ht="18">
      <c r="A13" s="303"/>
      <c r="C13" s="303"/>
      <c r="D13" s="245"/>
      <c r="E13" s="303"/>
      <c r="F13" s="303"/>
      <c r="G13" s="303"/>
    </row>
    <row r="14" spans="1:7" s="227" customFormat="1" ht="18">
      <c r="A14" s="303"/>
      <c r="C14" s="303"/>
      <c r="D14" s="246"/>
      <c r="E14" s="303"/>
      <c r="F14" s="303"/>
      <c r="G14" s="303"/>
    </row>
    <row r="15" spans="1:7" s="227" customFormat="1" ht="14.25">
      <c r="A15" s="303"/>
      <c r="C15" s="303"/>
      <c r="D15" s="363"/>
      <c r="E15" s="303"/>
      <c r="F15" s="303"/>
      <c r="G15" s="303"/>
    </row>
    <row r="16" spans="1:7" s="227" customFormat="1" ht="14.25">
      <c r="A16" s="303"/>
      <c r="C16" s="303"/>
      <c r="D16" s="363"/>
      <c r="E16" s="303"/>
      <c r="F16" s="303"/>
      <c r="G16" s="303"/>
    </row>
    <row r="17" spans="1:7" s="227" customFormat="1" ht="14.25">
      <c r="A17" s="303"/>
      <c r="C17" s="303"/>
      <c r="D17" s="363"/>
      <c r="E17" s="303"/>
      <c r="F17" s="303"/>
      <c r="G17" s="303"/>
    </row>
    <row r="18" spans="1:7" s="227" customFormat="1" ht="14.25">
      <c r="A18" s="303"/>
      <c r="C18" s="303"/>
      <c r="D18" s="363"/>
      <c r="E18" s="303"/>
      <c r="F18" s="303"/>
      <c r="G18" s="303"/>
    </row>
    <row r="19" spans="1:7" s="227" customFormat="1" ht="14.25">
      <c r="A19" s="303"/>
      <c r="C19" s="303"/>
      <c r="D19" s="363"/>
      <c r="E19" s="303"/>
      <c r="F19" s="303"/>
      <c r="G19" s="303"/>
    </row>
    <row r="20" spans="1:7" s="227" customFormat="1" ht="14.25">
      <c r="A20" s="303"/>
      <c r="C20" s="303"/>
      <c r="D20" s="363"/>
      <c r="E20" s="303"/>
      <c r="F20" s="303"/>
      <c r="G20" s="303"/>
    </row>
    <row r="21" spans="1:7" s="227" customFormat="1" ht="14.25">
      <c r="A21" s="303"/>
      <c r="C21" s="303"/>
      <c r="D21" s="363"/>
      <c r="E21" s="303"/>
      <c r="F21" s="303"/>
      <c r="G21" s="303"/>
    </row>
    <row r="22" spans="1:7" s="227" customFormat="1" ht="14.25">
      <c r="A22" s="303"/>
      <c r="C22" s="303"/>
      <c r="D22" s="363"/>
      <c r="E22" s="303"/>
      <c r="F22" s="303"/>
      <c r="G22" s="303"/>
    </row>
    <row r="23" spans="1:7" s="227" customFormat="1" ht="14.25">
      <c r="A23" s="303"/>
      <c r="C23" s="303"/>
      <c r="D23" s="363"/>
      <c r="E23" s="303"/>
      <c r="F23" s="303"/>
      <c r="G23" s="303"/>
    </row>
    <row r="24" spans="1:7" s="227" customFormat="1" ht="14.25">
      <c r="A24" s="303"/>
      <c r="C24" s="303"/>
      <c r="D24" s="363"/>
      <c r="E24" s="303"/>
      <c r="F24" s="303"/>
      <c r="G24" s="303"/>
    </row>
    <row r="25" spans="1:7" s="227" customFormat="1" ht="14.25">
      <c r="A25" s="303"/>
      <c r="C25" s="303"/>
      <c r="D25" s="363"/>
      <c r="E25" s="303"/>
      <c r="F25" s="303"/>
      <c r="G25" s="303"/>
    </row>
    <row r="26" spans="1:7" s="227" customFormat="1" ht="14.25">
      <c r="A26" s="303"/>
      <c r="C26" s="303"/>
      <c r="D26" s="363"/>
      <c r="E26" s="303"/>
      <c r="F26" s="303"/>
      <c r="G26" s="303"/>
    </row>
    <row r="27" spans="1:7" s="227" customFormat="1" ht="23.25">
      <c r="A27" s="303"/>
      <c r="C27" s="303"/>
      <c r="D27" s="247"/>
      <c r="E27" s="303"/>
      <c r="F27" s="303"/>
      <c r="G27" s="303"/>
    </row>
    <row r="28" spans="1:7" s="227" customFormat="1" ht="14.25">
      <c r="A28" s="303"/>
      <c r="C28" s="303"/>
      <c r="D28" s="244"/>
      <c r="E28" s="303"/>
      <c r="F28" s="303"/>
      <c r="G28" s="303"/>
    </row>
    <row r="29" spans="1:7" s="227" customFormat="1" ht="18">
      <c r="A29" s="303"/>
      <c r="C29" s="303"/>
      <c r="D29" s="248"/>
      <c r="E29" s="303"/>
      <c r="F29" s="303"/>
      <c r="G29" s="303"/>
    </row>
    <row r="30" spans="1:7" s="227" customFormat="1" ht="36">
      <c r="A30" s="303"/>
      <c r="C30" s="303"/>
      <c r="D30" s="249" t="s">
        <v>485</v>
      </c>
      <c r="E30" s="303"/>
      <c r="F30" s="303"/>
      <c r="G30" s="303"/>
    </row>
  </sheetData>
  <pageMargins left="0.5" right="0.5" top="0.5" bottom="0.5" header="0.5" footer="0.5"/>
  <pageSetup orientation="landscape" r:id="rId1"/>
  <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pageSetUpPr fitToPage="1"/>
  </sheetPr>
  <dimension ref="A1:O764"/>
  <sheetViews>
    <sheetView showGridLines="0" view="pageBreakPreview" zoomScale="80" zoomScaleNormal="100" zoomScaleSheetLayoutView="80" workbookViewId="0">
      <selection activeCell="A2" sqref="A2"/>
    </sheetView>
  </sheetViews>
  <sheetFormatPr defaultRowHeight="12.75" outlineLevelRow="1"/>
  <cols>
    <col min="1" max="1" width="4.5" style="250" customWidth="1"/>
    <col min="2" max="2" width="45" style="250" customWidth="1"/>
    <col min="3" max="3" width="4.1640625" style="250" customWidth="1"/>
    <col min="4" max="11" width="15.83203125" style="250" customWidth="1"/>
    <col min="12" max="12" width="2.83203125" style="250" customWidth="1"/>
    <col min="13" max="13" width="15.83203125" style="250" customWidth="1"/>
    <col min="14" max="14" width="4.5" style="250" customWidth="1"/>
    <col min="15" max="16384" width="9.33203125" style="250"/>
  </cols>
  <sheetData>
    <row r="1" spans="2:14" ht="10.7" customHeight="1" thickBot="1"/>
    <row r="2" spans="2:14" ht="16.5" customHeight="1" thickTop="1">
      <c r="B2" s="258" t="str">
        <f>'MASTER PubCo Inputs'!$C$5</f>
        <v>ABC, Inc.</v>
      </c>
      <c r="C2" s="258"/>
      <c r="D2" s="258"/>
      <c r="E2" s="258"/>
      <c r="F2" s="258"/>
      <c r="G2" s="258"/>
      <c r="H2" s="258"/>
      <c r="I2" s="258"/>
      <c r="J2" s="258"/>
      <c r="K2" s="258"/>
      <c r="L2" s="258"/>
      <c r="M2" s="258"/>
    </row>
    <row r="3" spans="2:14" ht="15.75" customHeight="1">
      <c r="B3" s="259" t="str">
        <f>VLOOKUP(B4,Outline!$E$8:$G$79,COLUMNS(Outline!$E$8:$G$8),FALSE)</f>
        <v>Exhibit G.1</v>
      </c>
      <c r="C3" s="259"/>
      <c r="D3" s="259"/>
      <c r="E3" s="259"/>
      <c r="F3" s="259"/>
      <c r="G3" s="259"/>
      <c r="H3" s="259"/>
      <c r="I3" s="259"/>
      <c r="J3" s="259"/>
      <c r="K3" s="259"/>
      <c r="L3" s="259"/>
      <c r="M3" s="259"/>
    </row>
    <row r="4" spans="2:14" ht="16.5" customHeight="1" thickBot="1">
      <c r="B4" s="924" t="s">
        <v>767</v>
      </c>
      <c r="C4" s="924"/>
      <c r="D4" s="924"/>
      <c r="E4" s="924"/>
      <c r="F4" s="924"/>
      <c r="G4" s="924"/>
      <c r="H4" s="924"/>
      <c r="I4" s="924"/>
      <c r="J4" s="924"/>
      <c r="K4" s="924"/>
      <c r="L4" s="925"/>
      <c r="M4" s="925" t="str">
        <f>+'MASTER PubCo Inputs'!$C$20</f>
        <v>(in thousands of USD and shares, except price per share)</v>
      </c>
    </row>
    <row r="5" spans="2:14" s="467" customFormat="1" ht="14.85" customHeight="1" thickTop="1">
      <c r="B5" s="250"/>
      <c r="C5" s="250"/>
      <c r="D5" s="250"/>
      <c r="E5" s="250"/>
      <c r="F5" s="250"/>
      <c r="G5" s="250"/>
      <c r="H5" s="250"/>
      <c r="I5" s="250"/>
      <c r="J5" s="250"/>
      <c r="K5" s="250"/>
      <c r="L5" s="250"/>
      <c r="M5" s="250"/>
      <c r="N5" s="250"/>
    </row>
    <row r="6" spans="2:14" ht="14.85" customHeight="1"/>
    <row r="7" spans="2:14" s="272" customFormat="1" ht="14.85" customHeight="1">
      <c r="B7" s="1394" t="s">
        <v>3510</v>
      </c>
      <c r="D7" s="1395" t="s">
        <v>524</v>
      </c>
      <c r="E7" s="497" t="s">
        <v>530</v>
      </c>
      <c r="F7" s="497" t="s">
        <v>534</v>
      </c>
      <c r="G7" s="497" t="s">
        <v>538</v>
      </c>
      <c r="H7" s="497" t="s">
        <v>539</v>
      </c>
      <c r="I7" s="497" t="s">
        <v>540</v>
      </c>
      <c r="J7" s="497" t="s">
        <v>542</v>
      </c>
      <c r="K7" s="545" t="s">
        <v>255</v>
      </c>
      <c r="L7" s="347"/>
      <c r="M7" s="1396" t="s">
        <v>169</v>
      </c>
    </row>
    <row r="8" spans="2:14" ht="14.85" customHeight="1"/>
    <row r="9" spans="2:14" ht="14.85" customHeight="1">
      <c r="B9" s="1211" t="s">
        <v>995</v>
      </c>
      <c r="D9" s="1397">
        <v>10</v>
      </c>
      <c r="E9" s="1397">
        <f t="shared" ref="E9:K9" ca="1" si="0">RANDBETWEEN(50,100)</f>
        <v>99</v>
      </c>
      <c r="F9" s="1397">
        <f t="shared" ca="1" si="0"/>
        <v>88</v>
      </c>
      <c r="G9" s="1397">
        <f t="shared" ca="1" si="0"/>
        <v>54</v>
      </c>
      <c r="H9" s="1397">
        <f t="shared" ca="1" si="0"/>
        <v>100</v>
      </c>
      <c r="I9" s="1397">
        <f t="shared" ca="1" si="0"/>
        <v>66</v>
      </c>
      <c r="J9" s="1397">
        <f t="shared" ca="1" si="0"/>
        <v>98</v>
      </c>
      <c r="K9" s="1397">
        <f t="shared" ca="1" si="0"/>
        <v>64</v>
      </c>
      <c r="M9" s="331">
        <f ca="1">SUM(D9:K9)</f>
        <v>579</v>
      </c>
    </row>
    <row r="10" spans="2:14" ht="14.85" customHeight="1" outlineLevel="1">
      <c r="B10" s="1211" t="s">
        <v>735</v>
      </c>
      <c r="D10" s="1397"/>
      <c r="E10" s="1397"/>
      <c r="F10" s="1397"/>
      <c r="G10" s="1397"/>
      <c r="H10" s="1397"/>
      <c r="I10" s="1397"/>
      <c r="J10" s="1397"/>
      <c r="K10" s="1397"/>
      <c r="M10" s="331">
        <f>SUM(D10:K10)</f>
        <v>0</v>
      </c>
    </row>
    <row r="11" spans="2:14" ht="14.85" customHeight="1" outlineLevel="1">
      <c r="B11" s="1211" t="s">
        <v>736</v>
      </c>
      <c r="D11" s="1397"/>
      <c r="E11" s="1397"/>
      <c r="F11" s="1397"/>
      <c r="G11" s="1397"/>
      <c r="H11" s="1397"/>
      <c r="I11" s="1397"/>
      <c r="J11" s="1397"/>
      <c r="K11" s="1397"/>
      <c r="M11" s="331">
        <f>SUM(D11:K11)</f>
        <v>0</v>
      </c>
    </row>
    <row r="12" spans="2:14" ht="14.85" customHeight="1">
      <c r="B12" s="346"/>
      <c r="C12" s="346"/>
      <c r="D12" s="346"/>
      <c r="E12" s="346"/>
      <c r="F12" s="346"/>
      <c r="G12" s="346"/>
      <c r="H12" s="346"/>
      <c r="I12" s="346"/>
      <c r="J12" s="346"/>
      <c r="K12" s="346"/>
      <c r="M12" s="346"/>
    </row>
    <row r="13" spans="2:14" ht="14.85" customHeight="1">
      <c r="B13" s="1398" t="s">
        <v>169</v>
      </c>
      <c r="D13" s="412">
        <f>SUM(D9:D11)</f>
        <v>10</v>
      </c>
      <c r="E13" s="412">
        <f t="shared" ref="E13:K13" ca="1" si="1">SUM(E9:E11)</f>
        <v>99</v>
      </c>
      <c r="F13" s="412">
        <f t="shared" ca="1" si="1"/>
        <v>88</v>
      </c>
      <c r="G13" s="412">
        <f t="shared" ca="1" si="1"/>
        <v>54</v>
      </c>
      <c r="H13" s="412">
        <f t="shared" ca="1" si="1"/>
        <v>100</v>
      </c>
      <c r="I13" s="412">
        <f t="shared" ca="1" si="1"/>
        <v>66</v>
      </c>
      <c r="J13" s="412">
        <f t="shared" ca="1" si="1"/>
        <v>98</v>
      </c>
      <c r="K13" s="412">
        <f t="shared" ca="1" si="1"/>
        <v>64</v>
      </c>
      <c r="M13" s="412">
        <f ca="1">SUM(M9:M11)</f>
        <v>579</v>
      </c>
    </row>
    <row r="14" spans="2:14" ht="14.85" customHeight="1"/>
    <row r="15" spans="2:14" ht="14.85" customHeight="1">
      <c r="B15" s="1399" t="s">
        <v>382</v>
      </c>
      <c r="D15" s="1400">
        <f t="shared" ref="D15:J15" ca="1" si="2">RANDBETWEEN(10,20)</f>
        <v>12</v>
      </c>
      <c r="E15" s="1400">
        <f t="shared" ca="1" si="2"/>
        <v>10</v>
      </c>
      <c r="F15" s="1400">
        <f t="shared" ca="1" si="2"/>
        <v>17</v>
      </c>
      <c r="G15" s="1400">
        <f t="shared" ca="1" si="2"/>
        <v>14</v>
      </c>
      <c r="H15" s="1400">
        <f t="shared" ca="1" si="2"/>
        <v>19</v>
      </c>
      <c r="I15" s="1400">
        <f t="shared" ca="1" si="2"/>
        <v>15</v>
      </c>
      <c r="J15" s="1400">
        <f t="shared" ca="1" si="2"/>
        <v>11</v>
      </c>
      <c r="K15" s="1400">
        <v>0</v>
      </c>
      <c r="M15" s="331">
        <f ca="1">SUM(D15:K15)</f>
        <v>98</v>
      </c>
    </row>
    <row r="16" spans="2:14" ht="14.85" customHeight="1">
      <c r="B16" s="328" t="s">
        <v>383</v>
      </c>
      <c r="D16" s="1400"/>
      <c r="E16" s="1400"/>
      <c r="F16" s="1400"/>
      <c r="G16" s="1400"/>
      <c r="H16" s="1400"/>
      <c r="I16" s="1400"/>
      <c r="J16" s="1400"/>
      <c r="K16" s="1400">
        <v>79</v>
      </c>
      <c r="M16" s="331">
        <f>K16</f>
        <v>79</v>
      </c>
    </row>
    <row r="17" spans="2:15" ht="14.85" customHeight="1">
      <c r="B17" s="328" t="s">
        <v>384</v>
      </c>
      <c r="K17" s="1400">
        <v>14</v>
      </c>
      <c r="M17" s="331">
        <f>K17</f>
        <v>14</v>
      </c>
    </row>
    <row r="18" spans="2:15" ht="14.85" customHeight="1">
      <c r="B18" s="346"/>
      <c r="C18" s="346"/>
      <c r="D18" s="346"/>
      <c r="E18" s="346"/>
      <c r="F18" s="346"/>
      <c r="G18" s="346"/>
      <c r="H18" s="346"/>
      <c r="I18" s="346"/>
      <c r="J18" s="346"/>
      <c r="K18" s="346"/>
      <c r="M18" s="346"/>
    </row>
    <row r="19" spans="2:15" ht="14.85" customHeight="1">
      <c r="B19" s="1398" t="s">
        <v>385</v>
      </c>
      <c r="D19" s="412">
        <f ca="1">SUM(D13:D17)</f>
        <v>22</v>
      </c>
      <c r="E19" s="412">
        <f t="shared" ref="E19:J19" ca="1" si="3">SUM(E13:E17)</f>
        <v>109</v>
      </c>
      <c r="F19" s="412">
        <f t="shared" ca="1" si="3"/>
        <v>105</v>
      </c>
      <c r="G19" s="412">
        <f t="shared" ca="1" si="3"/>
        <v>68</v>
      </c>
      <c r="H19" s="412">
        <f t="shared" ca="1" si="3"/>
        <v>119</v>
      </c>
      <c r="I19" s="412">
        <f t="shared" ca="1" si="3"/>
        <v>81</v>
      </c>
      <c r="J19" s="412">
        <f t="shared" ca="1" si="3"/>
        <v>109</v>
      </c>
      <c r="K19" s="412">
        <f ca="1">SUM(K13:K17)</f>
        <v>157</v>
      </c>
      <c r="M19" s="412">
        <f ca="1">SUM(M13:M17)</f>
        <v>770</v>
      </c>
    </row>
    <row r="20" spans="2:15" ht="14.85" customHeight="1"/>
    <row r="21" spans="2:15" ht="14.85" customHeight="1">
      <c r="B21" s="426" t="s">
        <v>386</v>
      </c>
      <c r="D21" s="1401">
        <v>1</v>
      </c>
      <c r="E21" s="1401">
        <v>1</v>
      </c>
      <c r="F21" s="1401">
        <v>1</v>
      </c>
      <c r="G21" s="1401">
        <v>1</v>
      </c>
      <c r="H21" s="1401">
        <v>1</v>
      </c>
      <c r="I21" s="1401">
        <v>1</v>
      </c>
      <c r="J21" s="1401">
        <v>1</v>
      </c>
      <c r="K21" s="1401">
        <v>1</v>
      </c>
    </row>
    <row r="22" spans="2:15" ht="14.85" customHeight="1"/>
    <row r="23" spans="2:15" ht="14.85" customHeight="1">
      <c r="B23" s="1402" t="s">
        <v>387</v>
      </c>
      <c r="C23" s="1403"/>
      <c r="D23" s="1404">
        <f t="shared" ref="D23:K23" ca="1" si="4">D19*D21</f>
        <v>22</v>
      </c>
      <c r="E23" s="1404">
        <f t="shared" ca="1" si="4"/>
        <v>109</v>
      </c>
      <c r="F23" s="1404">
        <f t="shared" ca="1" si="4"/>
        <v>105</v>
      </c>
      <c r="G23" s="1404">
        <f t="shared" ca="1" si="4"/>
        <v>68</v>
      </c>
      <c r="H23" s="1404">
        <f t="shared" ca="1" si="4"/>
        <v>119</v>
      </c>
      <c r="I23" s="1404">
        <f t="shared" ca="1" si="4"/>
        <v>81</v>
      </c>
      <c r="J23" s="1404">
        <f t="shared" ca="1" si="4"/>
        <v>109</v>
      </c>
      <c r="K23" s="1405">
        <f t="shared" ca="1" si="4"/>
        <v>157</v>
      </c>
      <c r="M23" s="1406">
        <f ca="1">SUM(D23:K23)</f>
        <v>770</v>
      </c>
    </row>
    <row r="24" spans="2:15" ht="14.85" customHeight="1"/>
    <row r="25" spans="2:15" ht="14.85" customHeight="1">
      <c r="B25" s="1407" t="s">
        <v>388</v>
      </c>
      <c r="C25" s="1408"/>
      <c r="D25" s="1408"/>
      <c r="E25" s="1409"/>
      <c r="L25" s="786"/>
      <c r="M25" s="331"/>
    </row>
    <row r="26" spans="2:15" ht="14.85" customHeight="1">
      <c r="B26" s="1410"/>
      <c r="C26" s="467"/>
      <c r="D26" s="1411" t="s">
        <v>996</v>
      </c>
      <c r="E26" s="1412" t="s">
        <v>82</v>
      </c>
      <c r="L26" s="786"/>
    </row>
    <row r="27" spans="2:15" ht="14.85" customHeight="1">
      <c r="B27" s="1413" t="str">
        <f t="shared" ref="B27:B35" si="5">"Options/Warrants at " &amp;TEXT(E27,"$0.00") &amp; " Strike Price"</f>
        <v>Options/Warrants at $2.00 Strike Price</v>
      </c>
      <c r="C27" s="467"/>
      <c r="D27" s="1414">
        <v>79</v>
      </c>
      <c r="E27" s="1415">
        <v>2</v>
      </c>
      <c r="L27" s="786"/>
      <c r="O27" s="331"/>
    </row>
    <row r="28" spans="2:15" ht="14.85" customHeight="1" outlineLevel="1">
      <c r="B28" s="1413" t="str">
        <f t="shared" si="5"/>
        <v>Options/Warrants at $0.00 Strike Price</v>
      </c>
      <c r="C28" s="467"/>
      <c r="D28" s="1414"/>
      <c r="E28" s="786"/>
      <c r="L28" s="786"/>
    </row>
    <row r="29" spans="2:15" ht="14.85" customHeight="1" outlineLevel="1">
      <c r="B29" s="1413" t="str">
        <f t="shared" si="5"/>
        <v>Options/Warrants at $0.00 Strike Price</v>
      </c>
      <c r="C29" s="467"/>
      <c r="D29" s="1414"/>
      <c r="E29" s="786"/>
      <c r="L29" s="786"/>
    </row>
    <row r="30" spans="2:15" ht="14.85" customHeight="1" outlineLevel="1">
      <c r="B30" s="1413" t="str">
        <f t="shared" si="5"/>
        <v>Options/Warrants at $0.00 Strike Price</v>
      </c>
      <c r="C30" s="467"/>
      <c r="D30" s="1414"/>
      <c r="E30" s="786"/>
      <c r="L30" s="786"/>
    </row>
    <row r="31" spans="2:15" ht="14.85" customHeight="1" outlineLevel="1">
      <c r="B31" s="1413" t="str">
        <f t="shared" si="5"/>
        <v>Options/Warrants at $0.00 Strike Price</v>
      </c>
      <c r="C31" s="467"/>
      <c r="D31" s="1414"/>
      <c r="E31" s="786"/>
      <c r="L31" s="786"/>
    </row>
    <row r="32" spans="2:15" ht="14.85" customHeight="1" outlineLevel="1">
      <c r="B32" s="1413" t="str">
        <f t="shared" si="5"/>
        <v>Options/Warrants at $0.00 Strike Price</v>
      </c>
      <c r="C32" s="467"/>
      <c r="D32" s="1414"/>
      <c r="E32" s="786"/>
      <c r="L32" s="786"/>
    </row>
    <row r="33" spans="2:13" ht="14.85" customHeight="1" outlineLevel="1">
      <c r="B33" s="1413" t="str">
        <f t="shared" si="5"/>
        <v>Options/Warrants at $0.00 Strike Price</v>
      </c>
      <c r="C33" s="467"/>
      <c r="D33" s="1414"/>
      <c r="E33" s="786"/>
      <c r="L33" s="786"/>
      <c r="M33" s="331"/>
    </row>
    <row r="34" spans="2:13" ht="14.85" customHeight="1" outlineLevel="1">
      <c r="B34" s="1413" t="str">
        <f t="shared" si="5"/>
        <v>Options/Warrants at $0.00 Strike Price</v>
      </c>
      <c r="C34" s="467"/>
      <c r="D34" s="1414"/>
      <c r="E34" s="786"/>
      <c r="L34" s="786"/>
      <c r="M34" s="875"/>
    </row>
    <row r="35" spans="2:13" ht="14.85" customHeight="1" outlineLevel="1">
      <c r="B35" s="1413" t="str">
        <f t="shared" si="5"/>
        <v>Options/Warrants at $0.00 Strike Price</v>
      </c>
      <c r="C35" s="467"/>
      <c r="D35" s="1414"/>
      <c r="E35" s="786"/>
      <c r="L35" s="786"/>
    </row>
    <row r="36" spans="2:13" ht="14.85" customHeight="1">
      <c r="B36" s="1413" t="s">
        <v>561</v>
      </c>
      <c r="C36" s="1416" t="s">
        <v>269</v>
      </c>
      <c r="D36" s="1414">
        <v>14</v>
      </c>
      <c r="E36" s="1417">
        <f>'Val Summ'!O30</f>
        <v>0</v>
      </c>
      <c r="L36" s="786"/>
    </row>
    <row r="37" spans="2:13" ht="14.85" customHeight="1">
      <c r="B37" s="1418"/>
      <c r="C37" s="346"/>
      <c r="D37" s="1419"/>
      <c r="E37" s="749"/>
      <c r="L37" s="786"/>
    </row>
    <row r="38" spans="2:13" ht="14.85" customHeight="1">
      <c r="B38" s="1420" t="s">
        <v>169</v>
      </c>
      <c r="C38" s="467"/>
      <c r="D38" s="412">
        <f>SUM(D27:D36)</f>
        <v>93</v>
      </c>
      <c r="E38" s="275"/>
      <c r="F38" s="275"/>
      <c r="G38" s="275"/>
      <c r="L38" s="786"/>
    </row>
    <row r="39" spans="2:13" ht="14.85" customHeight="1">
      <c r="D39" s="275"/>
      <c r="E39" s="275"/>
      <c r="F39" s="275"/>
      <c r="G39" s="275"/>
      <c r="L39" s="786"/>
    </row>
    <row r="40" spans="2:13" ht="14.85" customHeight="1">
      <c r="B40" s="1421" t="s">
        <v>558</v>
      </c>
      <c r="C40" s="1422"/>
      <c r="D40" s="1423"/>
      <c r="E40" s="1424"/>
      <c r="F40" s="275"/>
      <c r="G40" s="275"/>
      <c r="L40" s="786"/>
    </row>
    <row r="41" spans="2:13" ht="14.85" customHeight="1">
      <c r="B41" s="1410" t="s">
        <v>559</v>
      </c>
      <c r="C41" s="1410"/>
      <c r="D41" s="1411" t="s">
        <v>996</v>
      </c>
      <c r="E41" s="1412" t="s">
        <v>82</v>
      </c>
      <c r="F41" s="275"/>
      <c r="G41" s="275"/>
      <c r="L41" s="786"/>
    </row>
    <row r="42" spans="2:13" ht="14.85" customHeight="1">
      <c r="B42" s="1425" t="s">
        <v>524</v>
      </c>
      <c r="C42" s="1426"/>
      <c r="D42" s="1414"/>
      <c r="E42" s="786"/>
      <c r="F42" s="275"/>
      <c r="G42" s="275"/>
      <c r="L42" s="786"/>
    </row>
    <row r="43" spans="2:13" ht="14.85" customHeight="1">
      <c r="B43" s="1425" t="s">
        <v>530</v>
      </c>
      <c r="C43" s="1426"/>
      <c r="D43" s="1414"/>
      <c r="E43" s="786"/>
      <c r="F43" s="275"/>
      <c r="G43" s="275"/>
      <c r="L43" s="786"/>
    </row>
    <row r="44" spans="2:13" ht="14.85" customHeight="1">
      <c r="B44" s="1425" t="s">
        <v>534</v>
      </c>
      <c r="C44" s="1426"/>
      <c r="D44" s="1414"/>
      <c r="E44" s="786"/>
      <c r="F44" s="275"/>
      <c r="G44" s="275"/>
      <c r="L44" s="786"/>
    </row>
    <row r="45" spans="2:13" ht="14.85" customHeight="1">
      <c r="B45" s="1425" t="s">
        <v>538</v>
      </c>
      <c r="C45" s="1426"/>
      <c r="D45" s="1414"/>
      <c r="E45" s="786"/>
      <c r="F45" s="275"/>
      <c r="G45" s="275"/>
      <c r="L45" s="786"/>
    </row>
    <row r="46" spans="2:13" ht="14.85" customHeight="1">
      <c r="B46" s="1425" t="s">
        <v>539</v>
      </c>
      <c r="C46" s="1426"/>
      <c r="D46" s="1414"/>
      <c r="E46" s="786"/>
      <c r="F46" s="275"/>
      <c r="G46" s="275"/>
      <c r="L46" s="786"/>
    </row>
    <row r="47" spans="2:13" ht="14.85" customHeight="1">
      <c r="B47" s="1425" t="s">
        <v>540</v>
      </c>
      <c r="C47" s="1426"/>
      <c r="D47" s="1414"/>
      <c r="E47" s="786"/>
      <c r="F47" s="275"/>
      <c r="G47" s="275"/>
      <c r="L47" s="786"/>
    </row>
    <row r="48" spans="2:13" ht="14.85" customHeight="1">
      <c r="B48" s="1425" t="s">
        <v>542</v>
      </c>
      <c r="C48" s="1426"/>
      <c r="D48" s="1414"/>
      <c r="E48" s="786"/>
      <c r="F48" s="275"/>
      <c r="G48" s="275"/>
      <c r="L48" s="786"/>
    </row>
    <row r="49" spans="1:12" ht="14.85" customHeight="1">
      <c r="B49" s="1426"/>
      <c r="C49" s="1426"/>
      <c r="D49" s="1414"/>
      <c r="E49" s="786"/>
      <c r="F49" s="275"/>
      <c r="G49" s="275"/>
      <c r="L49" s="786"/>
    </row>
    <row r="50" spans="1:12" ht="14.85" customHeight="1">
      <c r="B50" s="1427" t="s">
        <v>169</v>
      </c>
      <c r="C50" s="1428"/>
      <c r="D50" s="1429">
        <f>SUM(D42:D48)</f>
        <v>0</v>
      </c>
      <c r="E50" s="1429"/>
      <c r="F50" s="275"/>
      <c r="G50" s="275"/>
      <c r="L50" s="786"/>
    </row>
    <row r="51" spans="1:12" ht="14.85" customHeight="1">
      <c r="D51" s="275"/>
      <c r="E51" s="275"/>
      <c r="F51" s="275"/>
      <c r="G51" s="275"/>
      <c r="L51" s="786"/>
    </row>
    <row r="52" spans="1:12" ht="14.85" customHeight="1">
      <c r="B52" s="356" t="s">
        <v>86</v>
      </c>
    </row>
    <row r="53" spans="1:12" ht="14.85" customHeight="1">
      <c r="A53" s="357" t="s">
        <v>270</v>
      </c>
      <c r="B53" s="1131" t="s">
        <v>1152</v>
      </c>
    </row>
    <row r="54" spans="1:12" ht="14.85" customHeight="1">
      <c r="A54" s="357" t="s">
        <v>269</v>
      </c>
      <c r="B54" s="1132" t="s">
        <v>1153</v>
      </c>
      <c r="C54" s="359"/>
      <c r="D54" s="359"/>
      <c r="E54" s="359"/>
      <c r="F54" s="359"/>
      <c r="G54" s="359"/>
      <c r="H54" s="359"/>
    </row>
    <row r="55" spans="1:12" ht="14.85" customHeight="1">
      <c r="B55" s="1430" t="s">
        <v>977</v>
      </c>
    </row>
    <row r="56" spans="1:12" ht="14.85" customHeight="1"/>
    <row r="57" spans="1:12" ht="14.85" customHeight="1"/>
    <row r="58" spans="1:12" ht="14.85" customHeight="1"/>
    <row r="59" spans="1:12" ht="14.85" customHeight="1"/>
    <row r="60" spans="1:12" ht="14.85" customHeight="1"/>
    <row r="61" spans="1:12" ht="14.85" customHeight="1"/>
    <row r="62" spans="1:12" ht="14.85" customHeight="1"/>
    <row r="63" spans="1:12" ht="14.85" customHeight="1"/>
    <row r="64" spans="1:1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K4">
    <cfRule type="cellIs" dxfId="191" priority="7" stopIfTrue="1" operator="equal">
      <formula>"input"</formula>
    </cfRule>
  </conditionalFormatting>
  <conditionalFormatting sqref="L4">
    <cfRule type="cellIs" dxfId="190" priority="5" stopIfTrue="1" operator="equal">
      <formula>"input"</formula>
    </cfRule>
  </conditionalFormatting>
  <conditionalFormatting sqref="L4">
    <cfRule type="cellIs" dxfId="189" priority="6" stopIfTrue="1" operator="equal">
      <formula>"input"</formula>
    </cfRule>
  </conditionalFormatting>
  <conditionalFormatting sqref="M4">
    <cfRule type="cellIs" dxfId="188" priority="1" stopIfTrue="1" operator="equal">
      <formula>"input"</formula>
    </cfRule>
  </conditionalFormatting>
  <conditionalFormatting sqref="M4">
    <cfRule type="cellIs" dxfId="187" priority="2" stopIfTrue="1" operator="equal">
      <formula>"input"</formula>
    </cfRule>
  </conditionalFormatting>
  <pageMargins left="0.5" right="0.5" top="0.5" bottom="0.5" header="0.5" footer="0.5"/>
  <pageSetup scale="70" orientation="landscape" r:id="rId1"/>
  <drawing r:id="rId2"/>
  <legacy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'List Data'!$B$3:$B$49</xm:f>
          </x14:formula1>
          <xm:sqref>D7:K7 B42:B49</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7"/>
  <dimension ref="A1:X764"/>
  <sheetViews>
    <sheetView showGridLines="0" view="pageBreakPreview" zoomScale="80" zoomScaleNormal="145" zoomScaleSheetLayoutView="80" workbookViewId="0"/>
  </sheetViews>
  <sheetFormatPr defaultRowHeight="12.75"/>
  <cols>
    <col min="1" max="1" width="4.5" style="250" customWidth="1"/>
    <col min="2" max="2" width="45.1640625" style="250" customWidth="1"/>
    <col min="3" max="3" width="2.83203125" style="250" customWidth="1"/>
    <col min="4" max="10" width="17.33203125" style="250" customWidth="1"/>
    <col min="11" max="11" width="4.5" style="250" customWidth="1"/>
    <col min="12" max="16384" width="9.33203125" style="250"/>
  </cols>
  <sheetData>
    <row r="1" spans="2:24" ht="10.7" customHeight="1" thickBot="1"/>
    <row r="2" spans="2:24" ht="16.5" customHeight="1" thickTop="1">
      <c r="B2" s="258" t="str">
        <f>'MASTER PubCo Inputs'!$C$5</f>
        <v>ABC, Inc.</v>
      </c>
      <c r="C2" s="258"/>
      <c r="D2" s="258"/>
      <c r="E2" s="258"/>
      <c r="F2" s="258"/>
      <c r="G2" s="258"/>
      <c r="H2" s="258"/>
      <c r="I2" s="258"/>
      <c r="J2" s="258"/>
    </row>
    <row r="3" spans="2:24" ht="15.75" customHeight="1">
      <c r="B3" s="259" t="str">
        <f>VLOOKUP(B4,Outline!$E$8:$G$79,COLUMNS(Outline!$E$8:$G$8),FALSE)</f>
        <v>Exhibit G.2</v>
      </c>
      <c r="C3" s="259"/>
      <c r="D3" s="259"/>
      <c r="E3" s="259"/>
      <c r="F3" s="259"/>
      <c r="G3" s="259"/>
      <c r="H3" s="259"/>
      <c r="I3" s="259"/>
      <c r="J3" s="259"/>
    </row>
    <row r="4" spans="2:24" ht="16.5" customHeight="1" thickBot="1">
      <c r="B4" s="924" t="s">
        <v>768</v>
      </c>
      <c r="C4" s="924"/>
      <c r="D4" s="924"/>
      <c r="E4" s="924"/>
      <c r="F4" s="924"/>
      <c r="G4" s="924"/>
      <c r="H4" s="924"/>
      <c r="I4" s="924"/>
      <c r="J4" s="925" t="str">
        <f>+'MASTER PubCo Inputs'!$C$20</f>
        <v>(in thousands of USD and shares, except price per share)</v>
      </c>
    </row>
    <row r="5" spans="2:24" s="467" customFormat="1" ht="14.85" customHeight="1" thickTop="1">
      <c r="B5" s="250"/>
      <c r="C5" s="250"/>
      <c r="D5" s="250"/>
      <c r="E5" s="250"/>
      <c r="F5" s="250"/>
      <c r="G5" s="250"/>
      <c r="H5" s="250"/>
      <c r="I5" s="250"/>
      <c r="J5" s="250"/>
      <c r="K5" s="250"/>
    </row>
    <row r="6" spans="2:24" ht="14.85" customHeight="1"/>
    <row r="7" spans="2:24" s="272" customFormat="1" ht="14.85" customHeight="1">
      <c r="D7" s="738" t="s">
        <v>524</v>
      </c>
      <c r="E7" s="498" t="s">
        <v>530</v>
      </c>
      <c r="F7" s="498" t="s">
        <v>534</v>
      </c>
      <c r="G7" s="498" t="s">
        <v>538</v>
      </c>
      <c r="H7" s="498" t="s">
        <v>539</v>
      </c>
      <c r="I7" s="498" t="s">
        <v>540</v>
      </c>
      <c r="J7" s="739" t="s">
        <v>542</v>
      </c>
    </row>
    <row r="8" spans="2:24" ht="14.85" customHeight="1"/>
    <row r="9" spans="2:24" ht="14.85" customHeight="1">
      <c r="B9" s="375" t="s">
        <v>3511</v>
      </c>
      <c r="C9" s="1084"/>
      <c r="D9" s="1084"/>
      <c r="E9" s="1084"/>
      <c r="F9" s="1084"/>
      <c r="G9" s="1084"/>
      <c r="H9" s="1084"/>
      <c r="I9" s="1084"/>
      <c r="J9" s="1085"/>
    </row>
    <row r="10" spans="2:24" ht="14.85" customHeight="1">
      <c r="B10" s="328" t="s">
        <v>395</v>
      </c>
      <c r="D10" s="1431">
        <v>41274</v>
      </c>
      <c r="E10" s="1431">
        <v>41274</v>
      </c>
      <c r="F10" s="1431">
        <v>41274</v>
      </c>
      <c r="G10" s="1431">
        <v>41274</v>
      </c>
      <c r="H10" s="1431">
        <v>41274</v>
      </c>
      <c r="I10" s="1431">
        <v>41274</v>
      </c>
      <c r="J10" s="1431">
        <v>41274</v>
      </c>
      <c r="V10" s="478"/>
      <c r="W10" s="478"/>
    </row>
    <row r="11" spans="2:24" ht="14.85" customHeight="1">
      <c r="B11" s="328" t="s">
        <v>412</v>
      </c>
      <c r="D11" s="1432">
        <v>250</v>
      </c>
      <c r="E11" s="1432">
        <v>243</v>
      </c>
      <c r="F11" s="1432">
        <v>261</v>
      </c>
      <c r="G11" s="1432">
        <v>264</v>
      </c>
      <c r="H11" s="1432">
        <v>216</v>
      </c>
      <c r="I11" s="1432">
        <v>200</v>
      </c>
      <c r="J11" s="1432">
        <v>259</v>
      </c>
    </row>
    <row r="12" spans="2:24" ht="14.85" customHeight="1">
      <c r="B12" s="328" t="s">
        <v>469</v>
      </c>
      <c r="D12" s="1433">
        <v>1</v>
      </c>
      <c r="E12" s="1433">
        <v>1</v>
      </c>
      <c r="F12" s="1433">
        <v>1</v>
      </c>
      <c r="G12" s="1433">
        <v>1</v>
      </c>
      <c r="H12" s="1433">
        <v>1</v>
      </c>
      <c r="I12" s="1433">
        <v>1</v>
      </c>
      <c r="J12" s="1433">
        <v>1</v>
      </c>
      <c r="R12" s="478"/>
      <c r="S12" s="478"/>
      <c r="T12" s="478"/>
      <c r="U12" s="478"/>
      <c r="V12" s="478"/>
      <c r="W12" s="478"/>
      <c r="X12" s="478"/>
    </row>
    <row r="13" spans="2:24" ht="14.85" customHeight="1">
      <c r="B13" s="328" t="s">
        <v>571</v>
      </c>
      <c r="D13" s="1434">
        <f>D11*D12</f>
        <v>250</v>
      </c>
      <c r="E13" s="1434">
        <f t="shared" ref="E13:J13" si="0">E11*E12</f>
        <v>243</v>
      </c>
      <c r="F13" s="1434">
        <f t="shared" si="0"/>
        <v>261</v>
      </c>
      <c r="G13" s="1434">
        <f t="shared" si="0"/>
        <v>264</v>
      </c>
      <c r="H13" s="1434">
        <f t="shared" si="0"/>
        <v>216</v>
      </c>
      <c r="I13" s="1434">
        <f t="shared" si="0"/>
        <v>200</v>
      </c>
      <c r="J13" s="1434">
        <f t="shared" si="0"/>
        <v>259</v>
      </c>
      <c r="R13" s="478"/>
      <c r="S13" s="478"/>
      <c r="T13" s="478"/>
      <c r="U13" s="478"/>
      <c r="V13" s="478"/>
      <c r="W13" s="478"/>
      <c r="X13" s="478"/>
    </row>
    <row r="14" spans="2:24" ht="14.85" customHeight="1">
      <c r="B14" s="328"/>
      <c r="D14" s="1435"/>
      <c r="E14" s="1435"/>
      <c r="F14" s="1435"/>
      <c r="G14" s="1435"/>
      <c r="H14" s="1435"/>
      <c r="I14" s="1435"/>
      <c r="J14" s="1435"/>
      <c r="R14" s="478"/>
      <c r="S14" s="478"/>
      <c r="T14" s="478"/>
      <c r="U14" s="478"/>
      <c r="V14" s="478"/>
      <c r="W14" s="478"/>
      <c r="X14" s="478"/>
    </row>
    <row r="15" spans="2:24" ht="14.85" customHeight="1">
      <c r="B15" s="328" t="s">
        <v>575</v>
      </c>
      <c r="D15" s="1436">
        <v>1</v>
      </c>
      <c r="E15" s="1436">
        <v>1</v>
      </c>
      <c r="F15" s="1436">
        <v>1</v>
      </c>
      <c r="G15" s="1436">
        <v>1</v>
      </c>
      <c r="H15" s="1436">
        <v>1</v>
      </c>
      <c r="I15" s="1436">
        <v>1</v>
      </c>
      <c r="J15" s="1436">
        <v>1</v>
      </c>
      <c r="R15" s="478"/>
      <c r="S15" s="478"/>
      <c r="T15" s="478"/>
      <c r="U15" s="478"/>
      <c r="V15" s="478"/>
      <c r="W15" s="478"/>
      <c r="X15" s="478"/>
    </row>
    <row r="16" spans="2:24" ht="14.85" customHeight="1">
      <c r="B16" s="328" t="s">
        <v>574</v>
      </c>
      <c r="D16" s="1434">
        <f>D13*D15</f>
        <v>250</v>
      </c>
      <c r="E16" s="1434">
        <f t="shared" ref="E16:J16" si="1">E13*E15</f>
        <v>243</v>
      </c>
      <c r="F16" s="1434">
        <f t="shared" si="1"/>
        <v>261</v>
      </c>
      <c r="G16" s="1434">
        <f t="shared" si="1"/>
        <v>264</v>
      </c>
      <c r="H16" s="1434">
        <f t="shared" si="1"/>
        <v>216</v>
      </c>
      <c r="I16" s="1434">
        <f t="shared" si="1"/>
        <v>200</v>
      </c>
      <c r="J16" s="1434">
        <f t="shared" si="1"/>
        <v>259</v>
      </c>
      <c r="K16" s="1437"/>
      <c r="R16" s="478"/>
      <c r="S16" s="478"/>
      <c r="T16" s="478"/>
      <c r="U16" s="478"/>
      <c r="V16" s="478"/>
      <c r="W16" s="478"/>
      <c r="X16" s="478"/>
    </row>
    <row r="17" spans="2:24" ht="14.85" customHeight="1">
      <c r="B17" s="328" t="s">
        <v>404</v>
      </c>
      <c r="D17" s="1438">
        <v>1</v>
      </c>
      <c r="E17" s="1438">
        <v>2</v>
      </c>
      <c r="F17" s="1438">
        <v>2</v>
      </c>
      <c r="G17" s="1438">
        <v>2</v>
      </c>
      <c r="H17" s="1438">
        <v>3</v>
      </c>
      <c r="I17" s="1438">
        <v>4</v>
      </c>
      <c r="J17" s="1438">
        <v>5</v>
      </c>
      <c r="R17" s="478"/>
      <c r="S17" s="478"/>
      <c r="T17" s="478"/>
      <c r="U17" s="478"/>
      <c r="V17" s="478"/>
      <c r="W17" s="478"/>
      <c r="X17" s="478"/>
    </row>
    <row r="18" spans="2:24" ht="14.85" customHeight="1">
      <c r="B18" s="328"/>
      <c r="D18" s="1438"/>
      <c r="E18" s="1438"/>
      <c r="F18" s="1438"/>
      <c r="G18" s="1438"/>
      <c r="H18" s="1438"/>
      <c r="I18" s="1438"/>
      <c r="J18" s="1438"/>
      <c r="R18" s="478"/>
      <c r="S18" s="478"/>
      <c r="T18" s="478"/>
      <c r="U18" s="478"/>
      <c r="V18" s="478"/>
      <c r="W18" s="478"/>
      <c r="X18" s="478"/>
    </row>
    <row r="19" spans="2:24" ht="14.85" customHeight="1">
      <c r="B19" s="328" t="s">
        <v>391</v>
      </c>
      <c r="D19" s="1439" t="s">
        <v>393</v>
      </c>
      <c r="E19" s="1439" t="s">
        <v>393</v>
      </c>
      <c r="F19" s="1439" t="s">
        <v>393</v>
      </c>
      <c r="G19" s="1439" t="s">
        <v>393</v>
      </c>
      <c r="H19" s="1439" t="s">
        <v>393</v>
      </c>
      <c r="I19" s="1439" t="s">
        <v>393</v>
      </c>
      <c r="J19" s="1439" t="s">
        <v>393</v>
      </c>
    </row>
    <row r="20" spans="2:24" ht="14.85" customHeight="1">
      <c r="B20" s="328" t="s">
        <v>396</v>
      </c>
      <c r="D20" s="1436" t="s">
        <v>13</v>
      </c>
      <c r="E20" s="1436" t="s">
        <v>13</v>
      </c>
      <c r="F20" s="1436" t="s">
        <v>13</v>
      </c>
      <c r="G20" s="1436" t="s">
        <v>13</v>
      </c>
      <c r="H20" s="1436" t="s">
        <v>13</v>
      </c>
      <c r="I20" s="1436" t="s">
        <v>13</v>
      </c>
      <c r="J20" s="1436" t="s">
        <v>13</v>
      </c>
    </row>
    <row r="21" spans="2:24" ht="14.85" customHeight="1">
      <c r="B21" s="328"/>
      <c r="D21" s="1436"/>
      <c r="E21" s="1436"/>
      <c r="F21" s="1436"/>
      <c r="G21" s="1436"/>
      <c r="H21" s="1436"/>
      <c r="I21" s="1436"/>
      <c r="J21" s="1436"/>
    </row>
    <row r="22" spans="2:24" ht="14.85" customHeight="1">
      <c r="B22" s="328" t="s">
        <v>390</v>
      </c>
      <c r="D22" s="1122">
        <v>0.08</v>
      </c>
      <c r="E22" s="1122">
        <v>0.08</v>
      </c>
      <c r="F22" s="1122">
        <v>0.08</v>
      </c>
      <c r="G22" s="1122">
        <v>0.08</v>
      </c>
      <c r="H22" s="1122">
        <v>0.08</v>
      </c>
      <c r="I22" s="1122">
        <v>0.08</v>
      </c>
      <c r="J22" s="1122">
        <v>0.08</v>
      </c>
    </row>
    <row r="23" spans="2:24" ht="14.85" customHeight="1">
      <c r="B23" s="328" t="s">
        <v>564</v>
      </c>
      <c r="D23" s="1440" t="s">
        <v>566</v>
      </c>
      <c r="E23" s="1440" t="s">
        <v>566</v>
      </c>
      <c r="F23" s="1440" t="s">
        <v>567</v>
      </c>
      <c r="G23" s="1440" t="s">
        <v>566</v>
      </c>
      <c r="H23" s="1440" t="s">
        <v>567</v>
      </c>
      <c r="I23" s="1440" t="s">
        <v>567</v>
      </c>
      <c r="J23" s="1440" t="s">
        <v>566</v>
      </c>
      <c r="R23" s="478"/>
      <c r="S23" s="478"/>
      <c r="T23" s="478"/>
      <c r="U23" s="478"/>
      <c r="V23" s="478"/>
      <c r="W23" s="478"/>
      <c r="X23" s="478"/>
    </row>
    <row r="24" spans="2:24" ht="14.85" customHeight="1">
      <c r="B24" s="328" t="s">
        <v>565</v>
      </c>
      <c r="D24" s="1440" t="s">
        <v>570</v>
      </c>
      <c r="E24" s="1440" t="s">
        <v>568</v>
      </c>
      <c r="F24" s="1440" t="s">
        <v>568</v>
      </c>
      <c r="G24" s="1440" t="s">
        <v>568</v>
      </c>
      <c r="H24" s="1440" t="s">
        <v>568</v>
      </c>
      <c r="I24" s="1440" t="s">
        <v>568</v>
      </c>
      <c r="J24" s="1440" t="s">
        <v>568</v>
      </c>
      <c r="S24" s="478"/>
      <c r="T24" s="478"/>
      <c r="U24" s="478"/>
      <c r="V24" s="478"/>
      <c r="W24" s="478"/>
      <c r="X24" s="478"/>
    </row>
    <row r="25" spans="2:24" ht="14.85" customHeight="1">
      <c r="B25" s="1441" t="s">
        <v>563</v>
      </c>
      <c r="C25" s="359"/>
      <c r="D25" s="1442">
        <f>YEARFRAC(D10,'MASTER PubCo Inputs'!$C$6,3)</f>
        <v>4.0027397260273974</v>
      </c>
      <c r="E25" s="1442">
        <f>YEARFRAC(E10,'MASTER PubCo Inputs'!$C$6,3)</f>
        <v>4.0027397260273974</v>
      </c>
      <c r="F25" s="1442">
        <f>YEARFRAC(F10,'MASTER PubCo Inputs'!$C$6,3)</f>
        <v>4.0027397260273974</v>
      </c>
      <c r="G25" s="1442">
        <f>YEARFRAC(G10,'MASTER PubCo Inputs'!$C$6,3)</f>
        <v>4.0027397260273974</v>
      </c>
      <c r="H25" s="1442">
        <f>YEARFRAC(H10,'MASTER PubCo Inputs'!$C$6,3)</f>
        <v>4.0027397260273974</v>
      </c>
      <c r="I25" s="1442">
        <f>YEARFRAC(I10,'MASTER PubCo Inputs'!$C$6,3)</f>
        <v>4.0027397260273974</v>
      </c>
      <c r="J25" s="1442">
        <f>YEARFRAC(J10,'MASTER PubCo Inputs'!$C$6,3)</f>
        <v>4.0027397260273974</v>
      </c>
      <c r="T25" s="478"/>
      <c r="U25" s="478"/>
      <c r="V25" s="478"/>
      <c r="W25" s="478"/>
      <c r="X25" s="478"/>
    </row>
    <row r="26" spans="2:24" ht="14.85" customHeight="1">
      <c r="B26" s="1441" t="s">
        <v>397</v>
      </c>
      <c r="C26" s="359"/>
      <c r="D26" s="1443">
        <f t="shared" ref="D26:J26" si="2">IF(D23="Non-Cumulative","NA",IF(D24="Simple",D12*D22*D25*D11,(D12*((1+D22)^D25-1))*D11))</f>
        <v>90.193963072734689</v>
      </c>
      <c r="E26" s="1443">
        <f t="shared" si="2"/>
        <v>87.668532106698123</v>
      </c>
      <c r="F26" s="1443" t="str">
        <f t="shared" si="2"/>
        <v>NA</v>
      </c>
      <c r="G26" s="1443">
        <f t="shared" si="2"/>
        <v>95.244825004807836</v>
      </c>
      <c r="H26" s="1443" t="str">
        <f t="shared" si="2"/>
        <v>NA</v>
      </c>
      <c r="I26" s="1443" t="str">
        <f t="shared" si="2"/>
        <v>NA</v>
      </c>
      <c r="J26" s="1443">
        <f t="shared" si="2"/>
        <v>93.44094574335314</v>
      </c>
      <c r="U26" s="478"/>
      <c r="V26" s="478"/>
      <c r="W26" s="478"/>
      <c r="X26" s="478"/>
    </row>
    <row r="27" spans="2:24" ht="14.85" customHeight="1">
      <c r="B27" s="1441" t="s">
        <v>572</v>
      </c>
      <c r="C27" s="359"/>
      <c r="D27" s="1442">
        <f>D25+'OPM 1'!$D$10</f>
        <v>6.0027397260273974</v>
      </c>
      <c r="E27" s="1442">
        <f>E25+'OPM 1'!$D$10</f>
        <v>6.0027397260273974</v>
      </c>
      <c r="F27" s="1442">
        <f>F25+'OPM 1'!$D$10</f>
        <v>6.0027397260273974</v>
      </c>
      <c r="G27" s="1442">
        <f>G25+'OPM 1'!$D$10</f>
        <v>6.0027397260273974</v>
      </c>
      <c r="H27" s="1442">
        <f>H25+'OPM 1'!$D$10</f>
        <v>6.0027397260273974</v>
      </c>
      <c r="I27" s="1442">
        <f>I25+'OPM 1'!$D$10</f>
        <v>6.0027397260273974</v>
      </c>
      <c r="J27" s="1442">
        <f>J25+'OPM 1'!$D$10</f>
        <v>6.0027397260273974</v>
      </c>
      <c r="V27" s="478"/>
      <c r="W27" s="478"/>
      <c r="X27" s="478"/>
    </row>
    <row r="28" spans="2:24" ht="14.85" customHeight="1">
      <c r="B28" s="1441" t="s">
        <v>573</v>
      </c>
      <c r="C28" s="359"/>
      <c r="D28" s="1444">
        <f>IF(D23="Non-Cumulative","NA",IF(D24="Simple",D12*D22*D27*D11,(D12*((1+D22)^D27-1))*D11))</f>
        <v>146.8022385280378</v>
      </c>
      <c r="E28" s="1444">
        <f t="shared" ref="E28:J28" si="3">IF(E23="Non-Cumulative","NA",IF(E24="Simple",E12*E22*E27*E11,(E12*((1+E22)^E27-1))*E11))</f>
        <v>142.69177584925276</v>
      </c>
      <c r="F28" s="1444" t="str">
        <f t="shared" si="3"/>
        <v>NA</v>
      </c>
      <c r="G28" s="1444">
        <f t="shared" si="3"/>
        <v>155.02316388560791</v>
      </c>
      <c r="H28" s="1444" t="str">
        <f t="shared" si="3"/>
        <v>NA</v>
      </c>
      <c r="I28" s="1444" t="str">
        <f t="shared" si="3"/>
        <v>NA</v>
      </c>
      <c r="J28" s="1444">
        <f t="shared" si="3"/>
        <v>152.08711911504716</v>
      </c>
      <c r="W28" s="478"/>
      <c r="X28" s="478"/>
    </row>
    <row r="29" spans="2:24" ht="14.85" customHeight="1">
      <c r="B29" s="328"/>
      <c r="D29" s="746"/>
      <c r="E29" s="746"/>
      <c r="F29" s="746"/>
      <c r="G29" s="746"/>
      <c r="H29" s="746"/>
      <c r="I29" s="746"/>
      <c r="J29" s="746"/>
      <c r="X29" s="478"/>
    </row>
    <row r="30" spans="2:24" ht="14.85" customHeight="1">
      <c r="B30" s="328" t="s">
        <v>389</v>
      </c>
      <c r="D30" s="1439" t="s">
        <v>393</v>
      </c>
      <c r="E30" s="1439" t="s">
        <v>393</v>
      </c>
      <c r="F30" s="1439" t="s">
        <v>393</v>
      </c>
      <c r="G30" s="1439" t="s">
        <v>393</v>
      </c>
      <c r="H30" s="1439" t="s">
        <v>393</v>
      </c>
      <c r="I30" s="1439" t="s">
        <v>393</v>
      </c>
      <c r="J30" s="1439" t="s">
        <v>393</v>
      </c>
    </row>
    <row r="31" spans="2:24" ht="14.85" customHeight="1">
      <c r="B31" s="328" t="s">
        <v>392</v>
      </c>
      <c r="D31" s="1439" t="s">
        <v>394</v>
      </c>
      <c r="E31" s="1439" t="s">
        <v>394</v>
      </c>
      <c r="F31" s="1439" t="s">
        <v>394</v>
      </c>
      <c r="G31" s="1439" t="s">
        <v>394</v>
      </c>
      <c r="H31" s="1439" t="s">
        <v>394</v>
      </c>
      <c r="I31" s="1439" t="s">
        <v>394</v>
      </c>
      <c r="J31" s="1439" t="s">
        <v>394</v>
      </c>
    </row>
    <row r="32" spans="2:24" ht="14.85" customHeight="1">
      <c r="B32" s="328"/>
    </row>
    <row r="33" spans="1:2" ht="14.85" customHeight="1">
      <c r="B33" s="356" t="s">
        <v>86</v>
      </c>
    </row>
    <row r="34" spans="1:2" ht="14.85" customHeight="1">
      <c r="A34" s="357" t="s">
        <v>270</v>
      </c>
      <c r="B34" s="250" t="s">
        <v>1152</v>
      </c>
    </row>
    <row r="35" spans="1:2" ht="14.85" customHeight="1"/>
    <row r="36" spans="1:2" ht="14.85" customHeight="1"/>
    <row r="37" spans="1:2" ht="14.85" customHeight="1"/>
    <row r="38" spans="1:2" ht="14.85" customHeight="1"/>
    <row r="39" spans="1:2" ht="14.85" customHeight="1"/>
    <row r="40" spans="1:2" ht="14.85" customHeight="1"/>
    <row r="41" spans="1:2" ht="14.85" customHeight="1"/>
    <row r="42" spans="1:2" ht="14.85" customHeight="1"/>
    <row r="43" spans="1:2" ht="14.85" customHeight="1"/>
    <row r="44" spans="1:2" ht="14.85" customHeight="1"/>
    <row r="45" spans="1:2" ht="14.85" customHeight="1"/>
    <row r="46" spans="1:2" ht="14.85" customHeight="1"/>
    <row r="47" spans="1:2" ht="14.85" customHeight="1"/>
    <row r="48" spans="1:2" ht="14.85" customHeight="1"/>
    <row r="49" spans="2:2" ht="14.85" customHeight="1"/>
    <row r="50" spans="2:2" ht="14.85" customHeight="1"/>
    <row r="51" spans="2:2" ht="14.85" customHeight="1"/>
    <row r="52" spans="2:2" ht="14.85" customHeight="1"/>
    <row r="53" spans="2:2" ht="14.85" customHeight="1"/>
    <row r="54" spans="2:2" ht="14.85" customHeight="1">
      <c r="B54" s="356"/>
    </row>
    <row r="55" spans="2:2" ht="14.85" customHeight="1">
      <c r="B55" s="1133"/>
    </row>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I4">
    <cfRule type="cellIs" dxfId="186" priority="7" stopIfTrue="1" operator="equal">
      <formula>"input"</formula>
    </cfRule>
  </conditionalFormatting>
  <conditionalFormatting sqref="J4">
    <cfRule type="cellIs" dxfId="185" priority="1" stopIfTrue="1" operator="equal">
      <formula>"input"</formula>
    </cfRule>
  </conditionalFormatting>
  <conditionalFormatting sqref="J4">
    <cfRule type="cellIs" dxfId="184" priority="2" stopIfTrue="1" operator="equal">
      <formula>"input"</formula>
    </cfRule>
  </conditionalFormatting>
  <pageMargins left="0.5" right="0.5" top="0.5" bottom="0.5" header="0.5" footer="0.5"/>
  <pageSetup scale="85" fitToWidth="0" fitToHeight="0" orientation="landscape" r:id="rId1"/>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2500-000000000000}">
          <x14:formula1>
            <xm:f>'List Data'!$C$3:$C$6</xm:f>
          </x14:formula1>
          <xm:sqref>D30:J30 D19:J19</xm:sqref>
        </x14:dataValidation>
        <x14:dataValidation type="list" allowBlank="1" showInputMessage="1" showErrorMessage="1" xr:uid="{00000000-0002-0000-2500-000001000000}">
          <x14:formula1>
            <xm:f>'List Data'!$D$3:$D$5</xm:f>
          </x14:formula1>
          <xm:sqref>D23:J23</xm:sqref>
        </x14:dataValidation>
        <x14:dataValidation type="list" allowBlank="1" showInputMessage="1" showErrorMessage="1" xr:uid="{00000000-0002-0000-2500-000002000000}">
          <x14:formula1>
            <xm:f>'List Data'!$E$3:$E$5</xm:f>
          </x14:formula1>
          <xm:sqref>D24:J24</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8">
    <tabColor theme="3" tint="-0.499984740745262"/>
    <pageSetUpPr fitToPage="1"/>
  </sheetPr>
  <dimension ref="A6:G30"/>
  <sheetViews>
    <sheetView showGridLines="0" view="pageBreakPreview" zoomScale="60" zoomScaleNormal="100" workbookViewId="0"/>
  </sheetViews>
  <sheetFormatPr defaultColWidth="9.33203125" defaultRowHeight="12.75"/>
  <cols>
    <col min="1" max="1" width="4.5" style="303" customWidth="1"/>
    <col min="2" max="2" width="3.83203125" style="303" customWidth="1"/>
    <col min="3" max="3" width="15.83203125" style="303" customWidth="1"/>
    <col min="4" max="4" width="105.5" style="363" customWidth="1"/>
    <col min="5" max="5" width="15.83203125" style="303" customWidth="1"/>
    <col min="6" max="6" width="3.83203125" style="303" customWidth="1"/>
    <col min="7" max="7" width="4.5" style="303" customWidth="1"/>
    <col min="8" max="8" width="9.33203125" style="303"/>
    <col min="9" max="9" width="16.33203125" style="303" bestFit="1" customWidth="1"/>
    <col min="10" max="10" width="19" style="303" bestFit="1" customWidth="1"/>
    <col min="11" max="16384" width="9.33203125" style="303"/>
  </cols>
  <sheetData>
    <row r="6" spans="1:7">
      <c r="B6" s="364"/>
      <c r="C6" s="922"/>
      <c r="D6" s="923"/>
      <c r="E6" s="922"/>
      <c r="F6" s="922"/>
    </row>
    <row r="7" spans="1:7" ht="13.5" thickBot="1">
      <c r="B7" s="364"/>
      <c r="C7" s="922"/>
      <c r="D7" s="923"/>
      <c r="E7" s="922"/>
      <c r="F7" s="922"/>
    </row>
    <row r="8" spans="1:7" s="227" customFormat="1" ht="15" thickTop="1">
      <c r="A8" s="303"/>
      <c r="B8" s="1233"/>
      <c r="C8" s="1234"/>
      <c r="D8" s="2074"/>
      <c r="E8" s="229"/>
      <c r="F8" s="229"/>
      <c r="G8" s="303"/>
    </row>
    <row r="9" spans="1:7" s="234" customFormat="1" ht="39.75">
      <c r="A9" s="303"/>
      <c r="B9" s="1235"/>
      <c r="C9" s="1236"/>
      <c r="D9" s="260" t="s">
        <v>499</v>
      </c>
      <c r="E9" s="233"/>
      <c r="F9" s="233"/>
      <c r="G9" s="303"/>
    </row>
    <row r="10" spans="1:7" s="227" customFormat="1" ht="15" thickBot="1">
      <c r="A10" s="303"/>
      <c r="B10" s="1237"/>
      <c r="C10" s="1238"/>
      <c r="D10" s="2078"/>
      <c r="E10" s="242"/>
      <c r="F10" s="242"/>
      <c r="G10" s="303"/>
    </row>
    <row r="11" spans="1:7" s="227" customFormat="1" ht="15" thickTop="1">
      <c r="A11" s="303"/>
      <c r="B11" s="303"/>
      <c r="C11" s="303"/>
      <c r="D11" s="363"/>
      <c r="E11" s="303"/>
      <c r="F11" s="303"/>
      <c r="G11" s="303"/>
    </row>
    <row r="12" spans="1:7" s="227" customFormat="1" ht="14.25">
      <c r="A12" s="303"/>
      <c r="B12" s="303"/>
      <c r="C12" s="303"/>
      <c r="D12" s="363"/>
      <c r="E12" s="303"/>
      <c r="F12" s="303"/>
      <c r="G12" s="303"/>
    </row>
    <row r="13" spans="1:7" s="227" customFormat="1" ht="18">
      <c r="A13" s="303"/>
      <c r="B13" s="303"/>
      <c r="C13" s="303"/>
      <c r="D13" s="245"/>
      <c r="E13" s="303"/>
      <c r="F13" s="303"/>
      <c r="G13" s="303"/>
    </row>
    <row r="14" spans="1:7" s="227" customFormat="1" ht="18">
      <c r="A14" s="303"/>
      <c r="B14" s="303"/>
      <c r="C14" s="303"/>
      <c r="D14" s="246"/>
      <c r="E14" s="303"/>
      <c r="F14" s="303"/>
      <c r="G14" s="303"/>
    </row>
    <row r="15" spans="1:7" s="227" customFormat="1" ht="14.25">
      <c r="A15" s="303"/>
      <c r="B15" s="303"/>
      <c r="C15" s="303"/>
      <c r="D15" s="363"/>
      <c r="E15" s="303"/>
      <c r="F15" s="303"/>
      <c r="G15" s="303"/>
    </row>
    <row r="16" spans="1:7" s="227" customFormat="1" ht="14.25">
      <c r="A16" s="303"/>
      <c r="B16" s="303"/>
      <c r="C16" s="303"/>
      <c r="D16" s="363"/>
      <c r="E16" s="303"/>
      <c r="F16" s="303"/>
      <c r="G16" s="303"/>
    </row>
    <row r="17" spans="1:7" s="227" customFormat="1" ht="14.25">
      <c r="A17" s="303"/>
      <c r="B17" s="303"/>
      <c r="C17" s="303"/>
      <c r="D17" s="363"/>
      <c r="E17" s="303"/>
      <c r="F17" s="303"/>
      <c r="G17" s="303"/>
    </row>
    <row r="18" spans="1:7" s="227" customFormat="1" ht="14.25">
      <c r="A18" s="303"/>
      <c r="B18" s="303"/>
      <c r="C18" s="303"/>
      <c r="D18" s="363"/>
      <c r="E18" s="303"/>
      <c r="F18" s="303"/>
      <c r="G18" s="303"/>
    </row>
    <row r="19" spans="1:7" s="227" customFormat="1" ht="14.25">
      <c r="A19" s="303"/>
      <c r="B19" s="303"/>
      <c r="C19" s="303"/>
      <c r="D19" s="363"/>
      <c r="E19" s="303"/>
      <c r="F19" s="303"/>
      <c r="G19" s="303"/>
    </row>
    <row r="20" spans="1:7" s="227" customFormat="1" ht="14.25">
      <c r="A20" s="303"/>
      <c r="B20" s="303"/>
      <c r="C20" s="303"/>
      <c r="D20" s="363"/>
      <c r="E20" s="303"/>
      <c r="F20" s="303"/>
      <c r="G20" s="303"/>
    </row>
    <row r="21" spans="1:7" s="227" customFormat="1" ht="14.25">
      <c r="A21" s="303"/>
      <c r="B21" s="303"/>
      <c r="C21" s="303"/>
      <c r="D21" s="363"/>
      <c r="E21" s="303"/>
      <c r="F21" s="303"/>
      <c r="G21" s="303"/>
    </row>
    <row r="22" spans="1:7" s="227" customFormat="1" ht="14.25">
      <c r="A22" s="303"/>
      <c r="B22" s="303"/>
      <c r="C22" s="303"/>
      <c r="D22" s="363"/>
      <c r="E22" s="303"/>
      <c r="F22" s="303"/>
      <c r="G22" s="303"/>
    </row>
    <row r="23" spans="1:7" s="227" customFormat="1" ht="14.25">
      <c r="A23" s="303"/>
      <c r="B23" s="303"/>
      <c r="C23" s="303"/>
      <c r="D23" s="363"/>
      <c r="E23" s="303"/>
      <c r="F23" s="303"/>
      <c r="G23" s="303"/>
    </row>
    <row r="24" spans="1:7" s="227" customFormat="1" ht="14.25">
      <c r="A24" s="303"/>
      <c r="B24" s="303"/>
      <c r="C24" s="303"/>
      <c r="D24" s="363"/>
      <c r="E24" s="303"/>
      <c r="F24" s="303"/>
      <c r="G24" s="303"/>
    </row>
    <row r="25" spans="1:7" s="227" customFormat="1" ht="14.25">
      <c r="A25" s="303"/>
      <c r="B25" s="303"/>
      <c r="C25" s="303"/>
      <c r="D25" s="363"/>
      <c r="E25" s="303"/>
      <c r="F25" s="303"/>
      <c r="G25" s="303"/>
    </row>
    <row r="26" spans="1:7" s="227" customFormat="1" ht="14.25">
      <c r="A26" s="303"/>
      <c r="B26" s="303"/>
      <c r="C26" s="303"/>
      <c r="D26" s="363"/>
      <c r="E26" s="303"/>
      <c r="F26" s="303"/>
      <c r="G26" s="303"/>
    </row>
    <row r="27" spans="1:7" s="227" customFormat="1" ht="23.25">
      <c r="A27" s="303"/>
      <c r="B27" s="303"/>
      <c r="C27" s="303"/>
      <c r="D27" s="247"/>
      <c r="E27" s="303"/>
      <c r="F27" s="303"/>
      <c r="G27" s="303"/>
    </row>
    <row r="28" spans="1:7" s="227" customFormat="1" ht="14.25">
      <c r="A28" s="303"/>
      <c r="B28" s="303"/>
      <c r="C28" s="303"/>
      <c r="D28" s="363"/>
      <c r="E28" s="303"/>
      <c r="F28" s="303"/>
      <c r="G28" s="303"/>
    </row>
    <row r="29" spans="1:7" s="227" customFormat="1" ht="18">
      <c r="A29" s="303"/>
      <c r="B29" s="303"/>
      <c r="C29" s="303"/>
      <c r="D29" s="248"/>
      <c r="E29" s="303"/>
      <c r="F29" s="303"/>
      <c r="G29" s="303"/>
    </row>
    <row r="30" spans="1:7" s="227" customFormat="1" ht="36">
      <c r="A30" s="303"/>
      <c r="B30" s="303"/>
      <c r="C30" s="303"/>
      <c r="D30" s="249" t="s">
        <v>485</v>
      </c>
      <c r="E30" s="303"/>
      <c r="F30" s="303"/>
      <c r="G30" s="303"/>
    </row>
  </sheetData>
  <pageMargins left="0.5" right="0.5" top="0.5" bottom="0.5" header="0.5" footer="0.5"/>
  <pageSetup scale="99" orientation="landscape" r:id="rId1"/>
  <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9"/>
  <dimension ref="A1:J764"/>
  <sheetViews>
    <sheetView showGridLines="0" view="pageBreakPreview" zoomScale="80" zoomScaleNormal="100" zoomScaleSheetLayoutView="80" workbookViewId="0"/>
  </sheetViews>
  <sheetFormatPr defaultRowHeight="12.75" outlineLevelRow="1"/>
  <cols>
    <col min="1" max="1" width="4.5" style="250" customWidth="1"/>
    <col min="2" max="2" width="46.33203125" style="250" customWidth="1"/>
    <col min="3" max="3" width="2.83203125" style="250" customWidth="1"/>
    <col min="4" max="4" width="11.83203125" style="250" customWidth="1"/>
    <col min="5" max="8" width="15.83203125" style="250" customWidth="1"/>
    <col min="9" max="9" width="2.83203125" style="250" customWidth="1"/>
    <col min="10" max="10" width="18" style="250" customWidth="1"/>
    <col min="11" max="11" width="4.5" style="250" customWidth="1"/>
    <col min="12" max="16384" width="9.33203125" style="250"/>
  </cols>
  <sheetData>
    <row r="1" spans="2:10" ht="10.7" customHeight="1" thickBot="1"/>
    <row r="2" spans="2:10" ht="16.5" customHeight="1" thickTop="1">
      <c r="B2" s="258" t="str">
        <f>'MASTER PubCo Inputs'!$C$5</f>
        <v>ABC, Inc.</v>
      </c>
      <c r="C2" s="258"/>
      <c r="D2" s="258"/>
      <c r="E2" s="258"/>
      <c r="F2" s="258"/>
      <c r="G2" s="258"/>
      <c r="H2" s="258"/>
      <c r="I2" s="258"/>
      <c r="J2" s="258"/>
    </row>
    <row r="3" spans="2:10" ht="15.75" customHeight="1">
      <c r="B3" s="259" t="str">
        <f>VLOOKUP(B4,Outline!$E$8:$G$79,COLUMNS(Outline!$E$8:$G$8),FALSE)</f>
        <v>Exhibit H.1</v>
      </c>
      <c r="C3" s="259"/>
      <c r="D3" s="259"/>
      <c r="E3" s="259"/>
      <c r="F3" s="259"/>
      <c r="G3" s="259"/>
      <c r="H3" s="259"/>
      <c r="I3" s="259"/>
      <c r="J3" s="259"/>
    </row>
    <row r="4" spans="2:10" ht="16.5" customHeight="1" thickBot="1">
      <c r="B4" s="924" t="s">
        <v>2311</v>
      </c>
      <c r="C4" s="924"/>
      <c r="D4" s="924"/>
      <c r="E4" s="924"/>
      <c r="F4" s="924"/>
      <c r="G4" s="924"/>
      <c r="H4" s="924"/>
      <c r="I4" s="924"/>
      <c r="J4" s="925"/>
    </row>
    <row r="5" spans="2:10" ht="14.85" customHeight="1" thickTop="1">
      <c r="B5" s="439" t="s">
        <v>2312</v>
      </c>
    </row>
    <row r="6" spans="2:10" ht="14.85" customHeight="1">
      <c r="B6" s="1445" t="s">
        <v>619</v>
      </c>
      <c r="C6" s="1357"/>
      <c r="D6" s="1446" t="s">
        <v>602</v>
      </c>
      <c r="E6" s="1446" t="s">
        <v>2295</v>
      </c>
      <c r="F6" s="1446" t="s">
        <v>2296</v>
      </c>
      <c r="G6" s="1446" t="s">
        <v>2307</v>
      </c>
      <c r="H6" s="1447" t="s">
        <v>2308</v>
      </c>
      <c r="J6" s="1448" t="s">
        <v>70</v>
      </c>
    </row>
    <row r="7" spans="2:10" ht="14.85" customHeight="1">
      <c r="D7" s="330" t="s">
        <v>270</v>
      </c>
      <c r="H7" s="467"/>
      <c r="J7" s="1449"/>
    </row>
    <row r="8" spans="2:10" ht="14.85" customHeight="1">
      <c r="B8" s="250" t="s">
        <v>2289</v>
      </c>
      <c r="D8" s="1450">
        <f>'OPM 1'!D10</f>
        <v>2</v>
      </c>
      <c r="E8" s="1450">
        <f>PWERM!D13</f>
        <v>1.2465753424657535</v>
      </c>
      <c r="F8" s="1450">
        <f>PWERM!F13</f>
        <v>2.2465753424657535</v>
      </c>
      <c r="G8" s="1450">
        <f>PWERM!H13</f>
        <v>1.2465753424657535</v>
      </c>
      <c r="H8" s="1450">
        <f>PWERM!K13</f>
        <v>2.2465753424657535</v>
      </c>
      <c r="J8" s="256" t="str">
        <f>PWERM!B3</f>
        <v>Exhibit B.1</v>
      </c>
    </row>
    <row r="9" spans="2:10" ht="14.85" customHeight="1">
      <c r="B9" s="250" t="s">
        <v>2290</v>
      </c>
      <c r="D9" s="1451" t="s">
        <v>2291</v>
      </c>
      <c r="E9" s="1451"/>
      <c r="F9" s="1452"/>
      <c r="G9" s="1452"/>
      <c r="H9" s="1453"/>
      <c r="J9" s="256"/>
    </row>
    <row r="10" spans="2:10" ht="14.85" customHeight="1">
      <c r="B10" s="250" t="s">
        <v>2292</v>
      </c>
      <c r="D10" s="1454">
        <v>1</v>
      </c>
      <c r="E10" s="1455"/>
      <c r="F10" s="1455"/>
      <c r="G10" s="850">
        <f>D10</f>
        <v>1</v>
      </c>
      <c r="H10" s="850">
        <f>D10</f>
        <v>1</v>
      </c>
      <c r="J10" s="1456" t="s">
        <v>269</v>
      </c>
    </row>
    <row r="11" spans="2:10" ht="14.85" customHeight="1">
      <c r="B11" s="1457" t="s">
        <v>2293</v>
      </c>
      <c r="C11" s="886"/>
      <c r="D11" s="1458">
        <f>SUM(D8:D10)</f>
        <v>3</v>
      </c>
      <c r="E11" s="1458">
        <f>SUM(E8:E10)</f>
        <v>1.2465753424657535</v>
      </c>
      <c r="F11" s="1458">
        <f t="shared" ref="F11:H11" si="0">SUM(F8:F10)</f>
        <v>2.2465753424657535</v>
      </c>
      <c r="G11" s="1458">
        <f t="shared" si="0"/>
        <v>2.2465753424657535</v>
      </c>
      <c r="H11" s="1459">
        <f t="shared" si="0"/>
        <v>3.2465753424657535</v>
      </c>
      <c r="J11" s="256"/>
    </row>
    <row r="12" spans="2:10" ht="14.85" customHeight="1">
      <c r="H12" s="467"/>
    </row>
    <row r="13" spans="2:10" ht="14.85" customHeight="1">
      <c r="B13" s="1445" t="s">
        <v>502</v>
      </c>
      <c r="C13" s="1357"/>
      <c r="D13" s="1446" t="str">
        <f>D6</f>
        <v>OPM</v>
      </c>
      <c r="E13" s="1446" t="str">
        <f>E6</f>
        <v>IPO Early</v>
      </c>
      <c r="F13" s="1446" t="str">
        <f t="shared" ref="F13:H13" si="1">F6</f>
        <v>IPO Late</v>
      </c>
      <c r="G13" s="1446" t="str">
        <f t="shared" si="1"/>
        <v>M&amp;A Early</v>
      </c>
      <c r="H13" s="1447" t="str">
        <f t="shared" si="1"/>
        <v>M&amp;A Late</v>
      </c>
    </row>
    <row r="14" spans="2:10" ht="14.85" customHeight="1">
      <c r="H14" s="467"/>
    </row>
    <row r="15" spans="2:10" ht="14.85" customHeight="1">
      <c r="B15" s="1460" t="s">
        <v>71</v>
      </c>
      <c r="C15" s="1461"/>
      <c r="D15" s="1462">
        <f>D11</f>
        <v>3</v>
      </c>
      <c r="E15" s="1462">
        <f>E11</f>
        <v>1.2465753424657535</v>
      </c>
      <c r="F15" s="1462">
        <f t="shared" ref="F15:H15" si="2">F11</f>
        <v>2.2465753424657535</v>
      </c>
      <c r="G15" s="1462">
        <f t="shared" si="2"/>
        <v>2.2465753424657535</v>
      </c>
      <c r="H15" s="1463">
        <f t="shared" si="2"/>
        <v>3.2465753424657535</v>
      </c>
      <c r="J15" s="1464"/>
    </row>
    <row r="16" spans="2:10" ht="14.85" customHeight="1">
      <c r="B16" s="466" t="s">
        <v>72</v>
      </c>
      <c r="C16" s="467"/>
      <c r="D16" s="1465">
        <f>'Risk-Free Rates'!E35</f>
        <v>1.3999999999999999E-2</v>
      </c>
      <c r="E16" s="1465">
        <f>'Risk-Free Rates'!E43</f>
        <v>8.7643835616438362E-3</v>
      </c>
      <c r="F16" s="1465">
        <f>'Risk-Free Rates'!E51</f>
        <v>1.1815068493150685E-2</v>
      </c>
      <c r="G16" s="1465">
        <f>'Risk-Free Rates'!E59</f>
        <v>1.1815068493150685E-2</v>
      </c>
      <c r="H16" s="1466">
        <f>'Risk-Free Rates'!E67</f>
        <v>1.4530136986301369E-2</v>
      </c>
      <c r="J16" s="1126" t="str">
        <f>'Risk-Free Rates'!B3</f>
        <v>Exhibit H.9</v>
      </c>
    </row>
    <row r="17" spans="2:10" ht="14.85" customHeight="1">
      <c r="B17" s="466" t="s">
        <v>73</v>
      </c>
      <c r="C17" s="467"/>
      <c r="D17" s="1467">
        <v>0</v>
      </c>
      <c r="E17" s="1467">
        <v>0</v>
      </c>
      <c r="F17" s="1467">
        <v>0</v>
      </c>
      <c r="G17" s="1467">
        <v>0</v>
      </c>
      <c r="H17" s="1468">
        <v>0</v>
      </c>
      <c r="J17" s="724"/>
    </row>
    <row r="18" spans="2:10" ht="14.85" customHeight="1">
      <c r="B18" s="1469" t="s">
        <v>74</v>
      </c>
      <c r="C18" s="512"/>
      <c r="D18" s="1470">
        <f>'Asset Vol_DLOM'!Q50</f>
        <v>0.31</v>
      </c>
      <c r="E18" s="1470">
        <f>'Asset Vol_IPO Early'!Q50</f>
        <v>0.31</v>
      </c>
      <c r="F18" s="1470">
        <f>'Asset Vol_IPO Late'!Q50</f>
        <v>0.31</v>
      </c>
      <c r="G18" s="1470">
        <f>'Asset Vol_M&amp;A Early'!Q50</f>
        <v>0.31</v>
      </c>
      <c r="H18" s="1471">
        <f>'Asset Vol_M&amp;A Late'!Q50</f>
        <v>0.31</v>
      </c>
      <c r="J18" s="1472" t="s">
        <v>308</v>
      </c>
    </row>
    <row r="19" spans="2:10" ht="14.85" customHeight="1">
      <c r="B19" s="466"/>
      <c r="C19" s="467"/>
      <c r="D19" s="467"/>
      <c r="E19" s="467"/>
      <c r="F19" s="467"/>
      <c r="G19" s="467"/>
      <c r="H19" s="468"/>
    </row>
    <row r="20" spans="2:10" ht="14.85" customHeight="1">
      <c r="B20" s="466" t="s">
        <v>75</v>
      </c>
      <c r="C20" s="467"/>
      <c r="D20" s="1473">
        <f t="shared" ref="D20" si="3">D18^2*D15</f>
        <v>0.2883</v>
      </c>
      <c r="E20" s="1473">
        <f t="shared" ref="E20:H20" si="4">E18^2*E15</f>
        <v>0.11979589041095892</v>
      </c>
      <c r="F20" s="1473">
        <f t="shared" si="4"/>
        <v>0.21589589041095891</v>
      </c>
      <c r="G20" s="1473">
        <f t="shared" si="4"/>
        <v>0.21589589041095891</v>
      </c>
      <c r="H20" s="1474">
        <f t="shared" si="4"/>
        <v>0.31199589041095893</v>
      </c>
    </row>
    <row r="21" spans="2:10" ht="14.85" customHeight="1">
      <c r="B21" s="466" t="s">
        <v>76</v>
      </c>
      <c r="C21" s="467"/>
      <c r="D21" s="1473">
        <f t="shared" ref="D21" si="5">(D18^2*D15+LN(2*(EXP(D20)-D18^2*D15-1))-2*LN(EXP(D20)-1))^0.5</f>
        <v>0.30251645789915682</v>
      </c>
      <c r="E21" s="1473">
        <f t="shared" ref="E21:H21" si="6">(E18^2*E15+LN(2*(EXP(E20)-E18^2*E15-1))-2*LN(EXP(E20)-1))^0.5</f>
        <v>0.19783056340975955</v>
      </c>
      <c r="F21" s="1473">
        <f t="shared" si="6"/>
        <v>0.26341896579508478</v>
      </c>
      <c r="G21" s="1473">
        <f t="shared" si="6"/>
        <v>0.26341896579508478</v>
      </c>
      <c r="H21" s="1474">
        <f t="shared" si="6"/>
        <v>0.31406060234714805</v>
      </c>
    </row>
    <row r="22" spans="2:10" ht="14.85" customHeight="1">
      <c r="B22" s="466" t="s">
        <v>77</v>
      </c>
      <c r="C22" s="467"/>
      <c r="D22" s="1473">
        <f>((D16-D17)*D15)/D21+0.5*D21</f>
        <v>0.290093650637613</v>
      </c>
      <c r="E22" s="1473">
        <f>((E16-E17)*E15)/E21+0.5*E21</f>
        <v>0.15414165447331724</v>
      </c>
      <c r="F22" s="1473">
        <f>((F16-F17)*F15)/F21+0.5*F21</f>
        <v>0.23247459472667559</v>
      </c>
      <c r="G22" s="1473">
        <f t="shared" ref="G22:H22" si="7">((G16-G17)*G15)/G21+0.5*G21</f>
        <v>0.23247459472667559</v>
      </c>
      <c r="H22" s="1474">
        <f t="shared" si="7"/>
        <v>0.307234383155919</v>
      </c>
    </row>
    <row r="23" spans="2:10" ht="14.85" customHeight="1">
      <c r="B23" s="466" t="s">
        <v>78</v>
      </c>
      <c r="C23" s="467"/>
      <c r="D23" s="1473">
        <f>((D16-D17)*D15)/D21-0.5*D21</f>
        <v>-1.2422807261543822E-2</v>
      </c>
      <c r="E23" s="1473">
        <f>((E16-E17)*E15)/E21-0.5*E21</f>
        <v>-4.3688908936442311E-2</v>
      </c>
      <c r="F23" s="1473">
        <f>((F16-F17)*F15)/F21-0.5*F21</f>
        <v>-3.0944371068409179E-2</v>
      </c>
      <c r="G23" s="1473">
        <f t="shared" ref="G23:H23" si="8">((G16-G17)*G15)/G21-0.5*G21</f>
        <v>-3.0944371068409179E-2</v>
      </c>
      <c r="H23" s="1474">
        <f t="shared" si="8"/>
        <v>-6.8262191912290271E-3</v>
      </c>
    </row>
    <row r="24" spans="2:10" ht="14.85" customHeight="1">
      <c r="B24" s="466"/>
      <c r="C24" s="467"/>
      <c r="D24" s="1475"/>
      <c r="E24" s="1475"/>
      <c r="F24" s="1475"/>
      <c r="G24" s="1475"/>
      <c r="H24" s="1476"/>
    </row>
    <row r="25" spans="2:10" ht="14.85" customHeight="1">
      <c r="B25" s="1477" t="s">
        <v>79</v>
      </c>
      <c r="C25" s="1478"/>
      <c r="D25" s="1479">
        <f>EXP((D16-D17)*D15)*NORMSDIST(D22)-NORMSDIST(D23)</f>
        <v>0.14542624675943322</v>
      </c>
      <c r="E25" s="1479">
        <f>EXP((E16-E17)*E15)*NORMSDIST(E22)-NORMSDIST(E23)</f>
        <v>8.4840334312039634E-2</v>
      </c>
      <c r="F25" s="1479">
        <f>EXP((F16-F17)*F15)*NORMSDIST(F22)-NORMSDIST(F23)</f>
        <v>0.12018018387003288</v>
      </c>
      <c r="G25" s="1479">
        <f t="shared" ref="G25:H25" si="9">EXP((G16-G17)*G15)*NORMSDIST(G22)-NORMSDIST(G23)</f>
        <v>0.12018018387003288</v>
      </c>
      <c r="H25" s="1480">
        <f t="shared" si="9"/>
        <v>0.15337119815117739</v>
      </c>
    </row>
    <row r="26" spans="2:10" ht="14.85" customHeight="1" outlineLevel="1">
      <c r="H26" s="467"/>
    </row>
    <row r="27" spans="2:10" ht="14.85" customHeight="1" outlineLevel="1">
      <c r="B27" s="1445" t="s">
        <v>80</v>
      </c>
      <c r="C27" s="1357"/>
      <c r="D27" s="1446" t="str">
        <f>D13</f>
        <v>OPM</v>
      </c>
      <c r="E27" s="1446" t="str">
        <f>E13</f>
        <v>IPO Early</v>
      </c>
      <c r="F27" s="1446" t="str">
        <f t="shared" ref="F27:H27" si="10">F13</f>
        <v>IPO Late</v>
      </c>
      <c r="G27" s="1446" t="str">
        <f t="shared" si="10"/>
        <v>M&amp;A Early</v>
      </c>
      <c r="H27" s="1447" t="str">
        <f t="shared" si="10"/>
        <v>M&amp;A Late</v>
      </c>
    </row>
    <row r="28" spans="2:10" ht="14.85" customHeight="1" outlineLevel="1">
      <c r="H28" s="467"/>
    </row>
    <row r="29" spans="2:10" ht="14.85" customHeight="1" outlineLevel="1">
      <c r="B29" s="1460" t="s">
        <v>81</v>
      </c>
      <c r="C29" s="1461"/>
      <c r="D29" s="1481">
        <v>1</v>
      </c>
      <c r="E29" s="1481">
        <v>1</v>
      </c>
      <c r="F29" s="1481">
        <v>1</v>
      </c>
      <c r="G29" s="1481">
        <v>1</v>
      </c>
      <c r="H29" s="1482">
        <v>1</v>
      </c>
    </row>
    <row r="30" spans="2:10" ht="14.85" customHeight="1" outlineLevel="1">
      <c r="B30" s="1469" t="s">
        <v>82</v>
      </c>
      <c r="C30" s="467"/>
      <c r="D30" s="480">
        <v>1</v>
      </c>
      <c r="E30" s="480">
        <v>1</v>
      </c>
      <c r="F30" s="480">
        <v>1</v>
      </c>
      <c r="G30" s="480">
        <v>1</v>
      </c>
      <c r="H30" s="777">
        <v>1</v>
      </c>
    </row>
    <row r="31" spans="2:10" ht="14.85" customHeight="1" outlineLevel="1">
      <c r="B31" s="1469" t="s">
        <v>83</v>
      </c>
      <c r="C31" s="467"/>
      <c r="D31" s="850">
        <f t="shared" ref="D31" si="11">D15</f>
        <v>3</v>
      </c>
      <c r="E31" s="850">
        <f t="shared" ref="E31:H31" si="12">E15</f>
        <v>1.2465753424657535</v>
      </c>
      <c r="F31" s="850">
        <f t="shared" si="12"/>
        <v>2.2465753424657535</v>
      </c>
      <c r="G31" s="850">
        <f t="shared" si="12"/>
        <v>2.2465753424657535</v>
      </c>
      <c r="H31" s="847">
        <f t="shared" si="12"/>
        <v>3.2465753424657535</v>
      </c>
      <c r="J31" s="1126"/>
    </row>
    <row r="32" spans="2:10" ht="14.85" customHeight="1" outlineLevel="1">
      <c r="B32" s="466" t="s">
        <v>72</v>
      </c>
      <c r="C32" s="467"/>
      <c r="D32" s="797">
        <f>D16</f>
        <v>1.3999999999999999E-2</v>
      </c>
      <c r="E32" s="797">
        <f>E16</f>
        <v>8.7643835616438362E-3</v>
      </c>
      <c r="F32" s="797">
        <f>F16</f>
        <v>1.1815068493150685E-2</v>
      </c>
      <c r="G32" s="797">
        <f t="shared" ref="G32:H32" si="13">G16</f>
        <v>1.1815068493150685E-2</v>
      </c>
      <c r="H32" s="1483">
        <f t="shared" si="13"/>
        <v>1.4530136986301369E-2</v>
      </c>
      <c r="J32" s="1126" t="str">
        <f>+J16</f>
        <v>Exhibit H.9</v>
      </c>
    </row>
    <row r="33" spans="2:10" ht="14.85" customHeight="1" outlineLevel="1">
      <c r="B33" s="466" t="s">
        <v>74</v>
      </c>
      <c r="C33" s="467"/>
      <c r="D33" s="674">
        <f t="shared" ref="D33" si="14">D18</f>
        <v>0.31</v>
      </c>
      <c r="E33" s="674">
        <f t="shared" ref="E33:H33" si="15">E18</f>
        <v>0.31</v>
      </c>
      <c r="F33" s="674">
        <f t="shared" si="15"/>
        <v>0.31</v>
      </c>
      <c r="G33" s="674">
        <f t="shared" si="15"/>
        <v>0.31</v>
      </c>
      <c r="H33" s="673">
        <f t="shared" si="15"/>
        <v>0.31</v>
      </c>
      <c r="J33" s="1126" t="str">
        <f>+J18</f>
        <v>(3)</v>
      </c>
    </row>
    <row r="34" spans="2:10" ht="14.85" customHeight="1" outlineLevel="1">
      <c r="B34" s="466"/>
      <c r="C34" s="467"/>
      <c r="D34" s="467"/>
      <c r="E34" s="467"/>
      <c r="F34" s="467"/>
      <c r="G34" s="467"/>
      <c r="H34" s="468"/>
    </row>
    <row r="35" spans="2:10" ht="14.85" customHeight="1" outlineLevel="1">
      <c r="B35" s="466" t="s">
        <v>84</v>
      </c>
      <c r="C35" s="467"/>
      <c r="D35" s="1473">
        <f t="shared" ref="D35" si="16">(LN(D29/D30)+(D32+D33^2/2)*D31)/(D33*SQRT(D31))</f>
        <v>0.34668952454725438</v>
      </c>
      <c r="E35" s="1473">
        <f t="shared" ref="E35:H35" si="17">(LN(E29/E30)+(E32+E33^2/2)*E31)/(E33*SQRT(E31))</f>
        <v>0.20462367073664714</v>
      </c>
      <c r="F35" s="1473">
        <f t="shared" si="17"/>
        <v>0.28944915353677925</v>
      </c>
      <c r="G35" s="1473">
        <f t="shared" si="17"/>
        <v>0.28944915353677925</v>
      </c>
      <c r="H35" s="1474">
        <f t="shared" si="17"/>
        <v>0.36373706536286982</v>
      </c>
    </row>
    <row r="36" spans="2:10" ht="14.85" customHeight="1" outlineLevel="1">
      <c r="B36" s="466" t="s">
        <v>85</v>
      </c>
      <c r="C36" s="467"/>
      <c r="D36" s="1473">
        <f t="shared" ref="D36" si="18">D35-D33*SQRT(D31)</f>
        <v>-0.1902462257990975</v>
      </c>
      <c r="E36" s="1473">
        <f t="shared" ref="E36:H36" si="19">E35-E33*SQRT(E31)</f>
        <v>-0.14149175857987281</v>
      </c>
      <c r="F36" s="1473">
        <f t="shared" si="19"/>
        <v>-0.17519683042408413</v>
      </c>
      <c r="G36" s="1473">
        <f t="shared" si="19"/>
        <v>-0.17519683042408413</v>
      </c>
      <c r="H36" s="1474">
        <f t="shared" si="19"/>
        <v>-0.19482885770347597</v>
      </c>
    </row>
    <row r="37" spans="2:10" ht="14.85" customHeight="1" outlineLevel="1">
      <c r="B37" s="466"/>
      <c r="C37" s="467"/>
      <c r="D37" s="467"/>
      <c r="E37" s="467"/>
      <c r="F37" s="467"/>
      <c r="G37" s="467"/>
      <c r="H37" s="468"/>
    </row>
    <row r="38" spans="2:10" ht="14.85" customHeight="1" outlineLevel="1">
      <c r="B38" s="1477" t="s">
        <v>79</v>
      </c>
      <c r="C38" s="346"/>
      <c r="D38" s="1479">
        <f t="shared" ref="D38" si="20">D30*EXP(-D32*D31)*NORMSDIST(-D36)-D29*NORMSDIST(-D35)</f>
        <v>0.18736156293585804</v>
      </c>
      <c r="E38" s="1479">
        <f t="shared" ref="E38:H38" si="21">E30*EXP(-E32*E31)*NORMSDIST(-E36)-E29*NORMSDIST(-E35)</f>
        <v>0.13128187257763413</v>
      </c>
      <c r="F38" s="1479">
        <f t="shared" si="21"/>
        <v>0.16850005610497421</v>
      </c>
      <c r="G38" s="1479">
        <f t="shared" si="21"/>
        <v>0.16850005610497421</v>
      </c>
      <c r="H38" s="1480">
        <f t="shared" si="21"/>
        <v>0.19261155196699131</v>
      </c>
    </row>
    <row r="39" spans="2:10" ht="14.85" customHeight="1">
      <c r="H39" s="467"/>
    </row>
    <row r="40" spans="2:10" ht="14.85" customHeight="1">
      <c r="B40" s="1445" t="s">
        <v>498</v>
      </c>
      <c r="C40" s="1357"/>
      <c r="D40" s="1446" t="str">
        <f>D13</f>
        <v>OPM</v>
      </c>
      <c r="E40" s="1446" t="str">
        <f>E13</f>
        <v>IPO Early</v>
      </c>
      <c r="F40" s="1446" t="str">
        <f t="shared" ref="F40:H40" si="22">F13</f>
        <v>IPO Late</v>
      </c>
      <c r="G40" s="1446" t="str">
        <f t="shared" si="22"/>
        <v>M&amp;A Early</v>
      </c>
      <c r="H40" s="1447" t="str">
        <f t="shared" si="22"/>
        <v>M&amp;A Late</v>
      </c>
    </row>
    <row r="41" spans="2:10" ht="14.85" customHeight="1">
      <c r="H41" s="467"/>
    </row>
    <row r="42" spans="2:10" ht="14.85" customHeight="1">
      <c r="B42" s="1460" t="s">
        <v>83</v>
      </c>
      <c r="C42" s="1461"/>
      <c r="D42" s="1484">
        <f t="shared" ref="D42" si="23">+D31</f>
        <v>3</v>
      </c>
      <c r="E42" s="1484">
        <f t="shared" ref="E42:H42" si="24">+E31</f>
        <v>1.2465753424657535</v>
      </c>
      <c r="F42" s="1484">
        <f t="shared" si="24"/>
        <v>2.2465753424657535</v>
      </c>
      <c r="G42" s="1484">
        <f t="shared" si="24"/>
        <v>2.2465753424657535</v>
      </c>
      <c r="H42" s="1485">
        <f t="shared" si="24"/>
        <v>3.2465753424657535</v>
      </c>
      <c r="J42" s="1126"/>
    </row>
    <row r="43" spans="2:10" ht="14.85" customHeight="1">
      <c r="B43" s="466" t="s">
        <v>81</v>
      </c>
      <c r="C43" s="467"/>
      <c r="D43" s="480">
        <f t="shared" ref="D43" si="25">+D29</f>
        <v>1</v>
      </c>
      <c r="E43" s="480">
        <f t="shared" ref="E43:H43" si="26">+E29</f>
        <v>1</v>
      </c>
      <c r="F43" s="480">
        <f t="shared" si="26"/>
        <v>1</v>
      </c>
      <c r="G43" s="480">
        <f t="shared" si="26"/>
        <v>1</v>
      </c>
      <c r="H43" s="777">
        <f t="shared" si="26"/>
        <v>1</v>
      </c>
    </row>
    <row r="44" spans="2:10" ht="14.85" customHeight="1">
      <c r="B44" s="466" t="s">
        <v>82</v>
      </c>
      <c r="C44" s="467"/>
      <c r="D44" s="480">
        <f t="shared" ref="D44" si="27">+D30</f>
        <v>1</v>
      </c>
      <c r="E44" s="480">
        <f t="shared" ref="E44:H44" si="28">+E30</f>
        <v>1</v>
      </c>
      <c r="F44" s="480">
        <f t="shared" si="28"/>
        <v>1</v>
      </c>
      <c r="G44" s="480">
        <f t="shared" si="28"/>
        <v>1</v>
      </c>
      <c r="H44" s="777">
        <f t="shared" si="28"/>
        <v>1</v>
      </c>
    </row>
    <row r="45" spans="2:10" ht="14.85" customHeight="1">
      <c r="B45" s="466" t="s">
        <v>73</v>
      </c>
      <c r="C45" s="467"/>
      <c r="D45" s="797">
        <f t="shared" ref="D45" si="29">+D17</f>
        <v>0</v>
      </c>
      <c r="E45" s="797">
        <f t="shared" ref="E45:H45" si="30">+E17</f>
        <v>0</v>
      </c>
      <c r="F45" s="797">
        <f t="shared" si="30"/>
        <v>0</v>
      </c>
      <c r="G45" s="797">
        <f t="shared" si="30"/>
        <v>0</v>
      </c>
      <c r="H45" s="1483">
        <f t="shared" si="30"/>
        <v>0</v>
      </c>
    </row>
    <row r="46" spans="2:10" ht="14.85" customHeight="1">
      <c r="B46" s="466" t="s">
        <v>74</v>
      </c>
      <c r="C46" s="467"/>
      <c r="D46" s="674">
        <f t="shared" ref="D46" si="31">+D18</f>
        <v>0.31</v>
      </c>
      <c r="E46" s="674">
        <f t="shared" ref="E46:H46" si="32">+E18</f>
        <v>0.31</v>
      </c>
      <c r="F46" s="674">
        <f t="shared" si="32"/>
        <v>0.31</v>
      </c>
      <c r="G46" s="674">
        <f t="shared" si="32"/>
        <v>0.31</v>
      </c>
      <c r="H46" s="673">
        <f t="shared" si="32"/>
        <v>0.31</v>
      </c>
      <c r="J46" s="1126"/>
    </row>
    <row r="47" spans="2:10" ht="14.85" customHeight="1">
      <c r="B47" s="466"/>
      <c r="C47" s="467"/>
      <c r="D47" s="467"/>
      <c r="E47" s="467"/>
      <c r="F47" s="467"/>
      <c r="G47" s="467"/>
      <c r="H47" s="468"/>
    </row>
    <row r="48" spans="2:10" ht="14.85" customHeight="1">
      <c r="B48" s="466" t="s">
        <v>500</v>
      </c>
      <c r="C48" s="467"/>
      <c r="D48" s="1473">
        <f t="shared" ref="D48" si="33">LN(2*(EXP((D46^2)*D42)-((D46^2)*D42)-1))-2*(LN((D46^2)*D42))</f>
        <v>9.8437823607352204E-2</v>
      </c>
      <c r="E48" s="1473">
        <f t="shared" ref="E48:H48" si="34">LN(2*(EXP((E46^2)*E42)-((E46^2)*E42)-1))-2*(LN((E46^2)*E42))</f>
        <v>4.0332710108771153E-2</v>
      </c>
      <c r="F48" s="1473">
        <f t="shared" si="34"/>
        <v>7.3272296871756293E-2</v>
      </c>
      <c r="G48" s="1473">
        <f t="shared" si="34"/>
        <v>7.3272296871756293E-2</v>
      </c>
      <c r="H48" s="1474">
        <f t="shared" si="34"/>
        <v>0.10673927829014707</v>
      </c>
    </row>
    <row r="49" spans="2:10" ht="14.85" customHeight="1">
      <c r="B49" s="466" t="s">
        <v>501</v>
      </c>
      <c r="C49" s="467"/>
      <c r="D49" s="1473">
        <f t="shared" ref="D49" si="35">SQRT(D48)</f>
        <v>0.31374802566287524</v>
      </c>
      <c r="E49" s="1473">
        <f t="shared" ref="E49:H49" si="36">SQRT(E48)</f>
        <v>0.20083005280278934</v>
      </c>
      <c r="F49" s="1473">
        <f t="shared" si="36"/>
        <v>0.27068856065921276</v>
      </c>
      <c r="G49" s="1473">
        <f t="shared" si="36"/>
        <v>0.27068856065921276</v>
      </c>
      <c r="H49" s="1474">
        <f t="shared" si="36"/>
        <v>0.32670977685117886</v>
      </c>
    </row>
    <row r="50" spans="2:10" ht="14.85" customHeight="1">
      <c r="B50" s="466"/>
      <c r="C50" s="467"/>
      <c r="D50" s="467"/>
      <c r="E50" s="467"/>
      <c r="F50" s="467"/>
      <c r="G50" s="467"/>
      <c r="H50" s="468"/>
    </row>
    <row r="51" spans="2:10" ht="14.85" customHeight="1">
      <c r="B51" s="1477" t="s">
        <v>79</v>
      </c>
      <c r="C51" s="346"/>
      <c r="D51" s="1479">
        <f t="shared" ref="D51" si="37">EXP(-D45*D42)*D44*(2*NORMSDIST(D49/2)-1)</f>
        <v>0.12465585899519627</v>
      </c>
      <c r="E51" s="1479">
        <f t="shared" ref="E51:H51" si="38">EXP(-E45*E42)*E44*(2*NORMSDIST(E49/2)-1)</f>
        <v>7.9985159281916296E-2</v>
      </c>
      <c r="F51" s="1479">
        <f t="shared" si="38"/>
        <v>0.10766032350089239</v>
      </c>
      <c r="G51" s="1479">
        <f t="shared" si="38"/>
        <v>0.10766032350089239</v>
      </c>
      <c r="H51" s="1480">
        <f t="shared" si="38"/>
        <v>0.12976098047355289</v>
      </c>
    </row>
    <row r="52" spans="2:10" ht="14.85" customHeight="1">
      <c r="H52" s="467"/>
    </row>
    <row r="53" spans="2:10" ht="14.85" customHeight="1" outlineLevel="1">
      <c r="B53" s="1486" t="s">
        <v>2596</v>
      </c>
      <c r="C53" s="1487"/>
      <c r="D53" s="1488" t="str">
        <f>D6</f>
        <v>OPM</v>
      </c>
      <c r="E53" s="1488" t="str">
        <f t="shared" ref="E53:H53" si="39">E6</f>
        <v>IPO Early</v>
      </c>
      <c r="F53" s="1488" t="str">
        <f t="shared" si="39"/>
        <v>IPO Late</v>
      </c>
      <c r="G53" s="1488" t="str">
        <f t="shared" si="39"/>
        <v>M&amp;A Early</v>
      </c>
      <c r="H53" s="1489" t="str">
        <f t="shared" si="39"/>
        <v>M&amp;A Late</v>
      </c>
    </row>
    <row r="54" spans="2:10" ht="14.85" customHeight="1" outlineLevel="1"/>
    <row r="55" spans="2:10" ht="14.85" customHeight="1" outlineLevel="1">
      <c r="B55" s="1490" t="s">
        <v>71</v>
      </c>
      <c r="C55" s="1491"/>
      <c r="D55" s="1492">
        <f>D11</f>
        <v>3</v>
      </c>
      <c r="E55" s="1492">
        <f t="shared" ref="E55:H55" si="40">E11</f>
        <v>1.2465753424657535</v>
      </c>
      <c r="F55" s="1492">
        <f t="shared" si="40"/>
        <v>2.2465753424657535</v>
      </c>
      <c r="G55" s="1492">
        <f t="shared" si="40"/>
        <v>2.2465753424657535</v>
      </c>
      <c r="H55" s="1493">
        <f t="shared" si="40"/>
        <v>3.2465753424657535</v>
      </c>
      <c r="J55" s="256" t="str">
        <f>J8</f>
        <v>Exhibit B.1</v>
      </c>
    </row>
    <row r="56" spans="2:10" ht="14.85" customHeight="1" outlineLevel="1">
      <c r="B56" s="466" t="s">
        <v>72</v>
      </c>
      <c r="C56" s="467"/>
      <c r="D56" s="1494">
        <f>D16</f>
        <v>1.3999999999999999E-2</v>
      </c>
      <c r="E56" s="1494">
        <f t="shared" ref="E56:H56" si="41">E16</f>
        <v>8.7643835616438362E-3</v>
      </c>
      <c r="F56" s="1494">
        <f t="shared" si="41"/>
        <v>1.1815068493150685E-2</v>
      </c>
      <c r="G56" s="1494">
        <f t="shared" si="41"/>
        <v>1.1815068493150685E-2</v>
      </c>
      <c r="H56" s="1495">
        <f t="shared" si="41"/>
        <v>1.4530136986301369E-2</v>
      </c>
      <c r="J56" s="251" t="str">
        <f>J16</f>
        <v>Exhibit H.9</v>
      </c>
    </row>
    <row r="57" spans="2:10" ht="14.85" customHeight="1" outlineLevel="1">
      <c r="B57" s="466" t="s">
        <v>73</v>
      </c>
      <c r="C57" s="467"/>
      <c r="D57" s="1496">
        <f>D17</f>
        <v>0</v>
      </c>
      <c r="E57" s="1496">
        <f t="shared" ref="E57:H58" si="42">E17</f>
        <v>0</v>
      </c>
      <c r="F57" s="1496">
        <f t="shared" si="42"/>
        <v>0</v>
      </c>
      <c r="G57" s="1496">
        <f t="shared" si="42"/>
        <v>0</v>
      </c>
      <c r="H57" s="1497">
        <f t="shared" si="42"/>
        <v>0</v>
      </c>
    </row>
    <row r="58" spans="2:10" ht="14.85" customHeight="1" outlineLevel="1">
      <c r="B58" s="1469" t="s">
        <v>74</v>
      </c>
      <c r="C58" s="512"/>
      <c r="D58" s="1496">
        <f>D18</f>
        <v>0.31</v>
      </c>
      <c r="E58" s="1496">
        <f t="shared" si="42"/>
        <v>0.31</v>
      </c>
      <c r="F58" s="1496">
        <f t="shared" si="42"/>
        <v>0.31</v>
      </c>
      <c r="G58" s="1496">
        <f t="shared" si="42"/>
        <v>0.31</v>
      </c>
      <c r="H58" s="1497">
        <f t="shared" si="42"/>
        <v>0.31</v>
      </c>
      <c r="J58" s="359"/>
    </row>
    <row r="59" spans="2:10" ht="14.85" customHeight="1" outlineLevel="1">
      <c r="B59" s="466"/>
      <c r="C59" s="467"/>
      <c r="D59" s="467"/>
      <c r="E59" s="467"/>
      <c r="F59" s="467"/>
      <c r="G59" s="467"/>
      <c r="H59" s="468"/>
    </row>
    <row r="60" spans="2:10" ht="14.85" customHeight="1" outlineLevel="1">
      <c r="B60" s="466" t="s">
        <v>75</v>
      </c>
      <c r="C60" s="467"/>
      <c r="D60" s="1473">
        <f>D58^2*D55</f>
        <v>0.2883</v>
      </c>
      <c r="E60" s="1473">
        <f t="shared" ref="E60:G60" si="43">E58^2*E55</f>
        <v>0.11979589041095892</v>
      </c>
      <c r="F60" s="1473">
        <f t="shared" si="43"/>
        <v>0.21589589041095891</v>
      </c>
      <c r="G60" s="1473">
        <f t="shared" si="43"/>
        <v>0.21589589041095891</v>
      </c>
      <c r="H60" s="1474">
        <f>H58^2*H55</f>
        <v>0.31199589041095893</v>
      </c>
    </row>
    <row r="61" spans="2:10" ht="14.85" customHeight="1" outlineLevel="1">
      <c r="B61" s="466"/>
      <c r="C61" s="467"/>
      <c r="D61" s="1473"/>
      <c r="E61" s="1473"/>
      <c r="F61" s="1473"/>
      <c r="G61" s="1473"/>
      <c r="H61" s="1474"/>
    </row>
    <row r="62" spans="2:10" ht="14.85" customHeight="1" outlineLevel="1">
      <c r="B62" s="466" t="s">
        <v>2597</v>
      </c>
      <c r="C62" s="467"/>
      <c r="D62" s="674">
        <f>(2+(D60/2))*NORMSDIST(SQRT(D60)/2)+(SQRT(D60/(2*PI()))*EXP(-D60/8))-1</f>
        <v>0.50561560244319237</v>
      </c>
      <c r="E62" s="674">
        <f t="shared" ref="E62:G62" si="44">(2+(E60/2))*NORMSDIST(SQRT(E60)/2)+(SQRT(E60/(2*PI()))*EXP(-E60/8))-1</f>
        <v>0.30748552231944859</v>
      </c>
      <c r="F62" s="674">
        <f t="shared" si="44"/>
        <v>0.42803386036753666</v>
      </c>
      <c r="G62" s="674">
        <f t="shared" si="44"/>
        <v>0.42803386036753666</v>
      </c>
      <c r="H62" s="673">
        <f>(2+(H60/2))*NORMSDIST(SQRT(H60)/2)+(SQRT(H60/(2*PI()))*EXP(-H60/8))-1</f>
        <v>0.52944127741013003</v>
      </c>
    </row>
    <row r="63" spans="2:10" ht="14.85" customHeight="1" outlineLevel="1">
      <c r="B63" s="466"/>
      <c r="C63" s="467"/>
      <c r="D63" s="1473"/>
      <c r="E63" s="1473"/>
      <c r="F63" s="1473"/>
      <c r="G63" s="1473"/>
      <c r="H63" s="1474"/>
    </row>
    <row r="64" spans="2:10" ht="14.85" customHeight="1" outlineLevel="1">
      <c r="B64" s="1477" t="s">
        <v>2598</v>
      </c>
      <c r="C64" s="1478"/>
      <c r="D64" s="1479">
        <f>D62/(1+D62)</f>
        <v>0.33581984779031238</v>
      </c>
      <c r="E64" s="1479">
        <f t="shared" ref="E64:G64" si="45">E62/(1+E62)</f>
        <v>0.23517317558819045</v>
      </c>
      <c r="F64" s="1479">
        <f t="shared" si="45"/>
        <v>0.29973649242278644</v>
      </c>
      <c r="G64" s="1479">
        <f t="shared" si="45"/>
        <v>0.29973649242278644</v>
      </c>
      <c r="H64" s="1480">
        <f>H62/(1+H62)</f>
        <v>0.34616646302802562</v>
      </c>
    </row>
    <row r="65" spans="1:10" ht="14.85" customHeight="1" outlineLevel="1"/>
    <row r="66" spans="1:10" ht="14.85" customHeight="1">
      <c r="B66" s="1498" t="s">
        <v>503</v>
      </c>
      <c r="C66" s="1499"/>
      <c r="D66" s="1500">
        <f t="shared" ref="D66" si="46">AVERAGE(D51,D38,D25)</f>
        <v>0.15248122289682917</v>
      </c>
      <c r="E66" s="1500">
        <f t="shared" ref="E66:H66" si="47">AVERAGE(E51,E38,E25)</f>
        <v>9.8702455390530019E-2</v>
      </c>
      <c r="F66" s="1500">
        <f t="shared" si="47"/>
        <v>0.13211352115863315</v>
      </c>
      <c r="G66" s="1500">
        <f t="shared" si="47"/>
        <v>0.13211352115863315</v>
      </c>
      <c r="H66" s="1501">
        <f t="shared" si="47"/>
        <v>0.15858124353057387</v>
      </c>
    </row>
    <row r="67" spans="1:10" ht="14.85" customHeight="1"/>
    <row r="68" spans="1:10" ht="14.85" customHeight="1">
      <c r="B68" s="356" t="s">
        <v>86</v>
      </c>
    </row>
    <row r="69" spans="1:10" ht="14.85" customHeight="1">
      <c r="A69" s="1502" t="s">
        <v>270</v>
      </c>
      <c r="B69" s="1503" t="str">
        <f>"Refer to "&amp;'OPM 1'!B3&amp;"."</f>
        <v>Refer to Exhibit B.4.</v>
      </c>
      <c r="C69" s="1504"/>
      <c r="D69" s="1504"/>
      <c r="E69" s="1504"/>
      <c r="F69" s="1504"/>
      <c r="G69" s="1504"/>
      <c r="H69" s="1504"/>
      <c r="I69" s="1504"/>
      <c r="J69" s="1504"/>
    </row>
    <row r="70" spans="1:10" ht="14.85" customHeight="1">
      <c r="A70" s="1502" t="s">
        <v>269</v>
      </c>
      <c r="B70" s="2092" t="str">
        <f>"We applied an additional term of "&amp;TEXT(D10,"0.0")&amp;" year to account for a structured exit for a biopharma company in which cash flows to a preferred shareholder and a common shareholder would accrue over a period given the split of deal value between upfront and milestone payments."</f>
        <v>We applied an additional term of 1.0 year to account for a structured exit for a biopharma company in which cash flows to a preferred shareholder and a common shareholder would accrue over a period given the split of deal value between upfront and milestone payments.</v>
      </c>
      <c r="C70" s="2092"/>
      <c r="D70" s="2092"/>
      <c r="E70" s="2092"/>
      <c r="F70" s="2092"/>
      <c r="G70" s="2092"/>
      <c r="H70" s="2092"/>
      <c r="I70" s="2092"/>
      <c r="J70" s="2092"/>
    </row>
    <row r="71" spans="1:10" ht="14.85" customHeight="1">
      <c r="A71" s="1505" t="str">
        <f>J18</f>
        <v>(3)</v>
      </c>
      <c r="B71" s="1503" t="str">
        <f>"Refer to "&amp;'Asset Vol_OPM'!B3&amp;" through "&amp;'Asset Vol_M&amp;A Late'!B3&amp;"."</f>
        <v>Refer to Exhibit H.2 through Exhibit H.7.</v>
      </c>
      <c r="C71" s="1504"/>
      <c r="D71" s="1504"/>
      <c r="E71" s="1504"/>
      <c r="F71" s="1504"/>
      <c r="G71" s="1504"/>
      <c r="H71" s="1504"/>
      <c r="I71" s="1504"/>
      <c r="J71" s="1504"/>
    </row>
    <row r="72" spans="1:10" ht="14.85" customHeight="1"/>
    <row r="73" spans="1:10" ht="14.85" customHeight="1"/>
    <row r="74" spans="1:10" ht="14.85" customHeight="1"/>
    <row r="75" spans="1:10" ht="14.85" customHeight="1"/>
    <row r="76" spans="1:10" ht="14.85" customHeight="1"/>
    <row r="77" spans="1:10" ht="14.85" customHeight="1"/>
    <row r="78" spans="1:10" ht="14.85" customHeight="1"/>
    <row r="79" spans="1:10" ht="14.85" customHeight="1"/>
    <row r="80" spans="1:1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B70:J70"/>
  </mergeCells>
  <conditionalFormatting sqref="B4:I4">
    <cfRule type="cellIs" dxfId="183" priority="8" stopIfTrue="1" operator="equal">
      <formula>"input"</formula>
    </cfRule>
  </conditionalFormatting>
  <conditionalFormatting sqref="J4">
    <cfRule type="cellIs" dxfId="182" priority="4" stopIfTrue="1" operator="equal">
      <formula>"input"</formula>
    </cfRule>
  </conditionalFormatting>
  <conditionalFormatting sqref="J4">
    <cfRule type="cellIs" dxfId="181" priority="5" stopIfTrue="1" operator="equal">
      <formula>"input"</formula>
    </cfRule>
  </conditionalFormatting>
  <conditionalFormatting sqref="E9:H10">
    <cfRule type="cellIs" dxfId="180" priority="3" operator="equal">
      <formula>0</formula>
    </cfRule>
  </conditionalFormatting>
  <conditionalFormatting sqref="D10">
    <cfRule type="cellIs" dxfId="179" priority="2" operator="equal">
      <formula>0</formula>
    </cfRule>
  </conditionalFormatting>
  <conditionalFormatting sqref="D9">
    <cfRule type="cellIs" dxfId="178" priority="1" operator="equal">
      <formula>0</formula>
    </cfRule>
  </conditionalFormatting>
  <pageMargins left="0.5" right="0.5" top="0.5" bottom="0.5" header="0.5" footer="0.5"/>
  <pageSetup scale="84" fitToWidth="0" fitToHeight="0" orientation="landscape" r:id="rId1"/>
  <legacyDrawing r:id="rId2"/>
  <legacyDrawingHF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AI764"/>
  <sheetViews>
    <sheetView showGridLines="0" view="pageBreakPreview" zoomScale="80" zoomScaleNormal="100" zoomScaleSheetLayoutView="80" workbookViewId="0"/>
  </sheetViews>
  <sheetFormatPr defaultRowHeight="12.75" outlineLevelRow="1" outlineLevelCol="1"/>
  <cols>
    <col min="1" max="1" width="4.5" style="250" customWidth="1"/>
    <col min="2" max="2" width="42.1640625" style="250" customWidth="1"/>
    <col min="3" max="3" width="3.5" style="250" customWidth="1"/>
    <col min="4" max="4" width="13.1640625" style="250" customWidth="1"/>
    <col min="5" max="5" width="10.83203125" style="250" hidden="1" customWidth="1" outlineLevel="1"/>
    <col min="6" max="7" width="9.83203125" style="250" hidden="1" customWidth="1" outlineLevel="1"/>
    <col min="8" max="8" width="12.83203125" style="250" customWidth="1" collapsed="1"/>
    <col min="9" max="11" width="12.83203125" style="250" customWidth="1"/>
    <col min="12" max="12" width="2.83203125" style="250" customWidth="1"/>
    <col min="13" max="15" width="12.83203125" style="250" customWidth="1"/>
    <col min="16" max="16" width="2.83203125" style="724" customWidth="1"/>
    <col min="17" max="17" width="12.83203125" style="250" customWidth="1"/>
    <col min="18" max="18" width="2.83203125" style="250" customWidth="1"/>
    <col min="19" max="19" width="11.6640625" style="250" hidden="1" customWidth="1" outlineLevel="1"/>
    <col min="20" max="23" width="8.83203125" style="250" hidden="1" customWidth="1" outlineLevel="1"/>
    <col min="24" max="24" width="12.83203125" style="250" customWidth="1" collapsed="1"/>
    <col min="25" max="25" width="12.83203125" style="250" customWidth="1"/>
    <col min="26" max="26" width="4.5" style="250" customWidth="1"/>
    <col min="27" max="27" width="17.5" style="250" bestFit="1" customWidth="1"/>
    <col min="28" max="28" width="14.33203125" style="250" bestFit="1" customWidth="1"/>
    <col min="29" max="29" width="9.6640625" style="250" bestFit="1" customWidth="1"/>
    <col min="30" max="30" width="10.1640625" style="250" bestFit="1" customWidth="1"/>
    <col min="31" max="16384" width="9.33203125" style="250"/>
  </cols>
  <sheetData>
    <row r="1" spans="2:35" ht="10.7" customHeight="1" thickBot="1">
      <c r="P1" s="250"/>
    </row>
    <row r="2" spans="2:35" ht="16.5" customHeight="1" thickTop="1">
      <c r="B2" s="258" t="str">
        <f>'MASTER PubCo Inputs'!$C$5</f>
        <v>ABC, Inc.</v>
      </c>
      <c r="C2" s="258"/>
      <c r="D2" s="258"/>
      <c r="E2" s="258"/>
      <c r="F2" s="258"/>
      <c r="G2" s="258"/>
      <c r="H2" s="258"/>
      <c r="I2" s="258"/>
      <c r="J2" s="258"/>
      <c r="K2" s="258"/>
      <c r="L2" s="258"/>
      <c r="M2" s="258"/>
      <c r="N2" s="258"/>
      <c r="O2" s="258"/>
      <c r="P2" s="258"/>
      <c r="Q2" s="258"/>
      <c r="R2" s="258"/>
      <c r="S2" s="258"/>
      <c r="T2" s="258"/>
      <c r="U2" s="258"/>
      <c r="V2" s="258"/>
      <c r="W2" s="258"/>
      <c r="X2" s="258"/>
      <c r="Y2" s="258"/>
      <c r="AA2" s="1151" t="s">
        <v>87</v>
      </c>
      <c r="AB2" s="1152">
        <f>+'Comp.1'!$AL$2</f>
        <v>42735</v>
      </c>
    </row>
    <row r="3" spans="2:35" ht="15.75" customHeight="1">
      <c r="B3" s="259" t="str">
        <f>VLOOKUP(B4,Outline!$E$8:$G$79,COLUMNS(Outline!$E$8:$G$8),FALSE)</f>
        <v>Exhibit H.2</v>
      </c>
      <c r="C3" s="259"/>
      <c r="D3" s="259"/>
      <c r="E3" s="259"/>
      <c r="F3" s="259"/>
      <c r="G3" s="259"/>
      <c r="H3" s="259"/>
      <c r="I3" s="259"/>
      <c r="J3" s="259"/>
      <c r="K3" s="259"/>
      <c r="L3" s="259"/>
      <c r="M3" s="259"/>
      <c r="N3" s="259"/>
      <c r="O3" s="259"/>
      <c r="P3" s="259"/>
      <c r="Q3" s="259"/>
      <c r="R3" s="259"/>
      <c r="S3" s="259"/>
      <c r="T3" s="259"/>
      <c r="U3" s="259"/>
      <c r="V3" s="259"/>
      <c r="W3" s="259"/>
      <c r="X3" s="259"/>
      <c r="Y3" s="259"/>
      <c r="AA3" s="1153" t="s">
        <v>489</v>
      </c>
      <c r="AB3" s="1154" t="str">
        <f>+'Comp.1'!$AL$3</f>
        <v>F</v>
      </c>
    </row>
    <row r="4" spans="2:35" ht="16.5" customHeight="1" thickBot="1">
      <c r="B4" s="924" t="s">
        <v>2309</v>
      </c>
      <c r="C4" s="924"/>
      <c r="D4" s="924"/>
      <c r="E4" s="924"/>
      <c r="F4" s="924"/>
      <c r="G4" s="924"/>
      <c r="H4" s="924"/>
      <c r="I4" s="924"/>
      <c r="J4" s="925"/>
      <c r="K4" s="925"/>
      <c r="L4" s="925"/>
      <c r="M4" s="925"/>
      <c r="N4" s="925"/>
      <c r="O4" s="925"/>
      <c r="P4" s="925"/>
      <c r="Q4" s="925"/>
      <c r="R4" s="925"/>
      <c r="S4" s="925"/>
      <c r="T4" s="925"/>
      <c r="U4" s="925"/>
      <c r="V4" s="925"/>
      <c r="W4" s="925"/>
      <c r="X4" s="925"/>
      <c r="Y4" s="925" t="str">
        <f>+'MASTER PubCo Inputs'!$C$24</f>
        <v>(in millions of USD)</v>
      </c>
      <c r="AA4" s="1153" t="s">
        <v>490</v>
      </c>
      <c r="AB4" s="1154" t="str">
        <f>+'Comp.1'!$AL$4</f>
        <v>USD</v>
      </c>
    </row>
    <row r="5" spans="2:35" ht="14.85" customHeight="1" thickTop="1">
      <c r="B5" s="724"/>
      <c r="AA5" s="518" t="s">
        <v>89</v>
      </c>
      <c r="AB5" s="1155" t="str">
        <f>+'Comp.1'!$AL$5</f>
        <v>H</v>
      </c>
    </row>
    <row r="6" spans="2:35" ht="14.85" customHeight="1" outlineLevel="1">
      <c r="N6" s="1506">
        <f>'OPM 1'!D10</f>
        <v>2</v>
      </c>
      <c r="O6" s="1507">
        <f>'Risk-Free Rates'!E27</f>
        <v>1.11E-2</v>
      </c>
      <c r="Q6" s="1508">
        <f>HLOOKUP(ROUND(N6,0),'Equity Vol'!$D$8:$K$8,1,TRUE)</f>
        <v>2</v>
      </c>
    </row>
    <row r="7" spans="2:35" ht="14.85" customHeight="1">
      <c r="D7" s="1509" t="s">
        <v>91</v>
      </c>
      <c r="E7" s="1510"/>
      <c r="F7" s="1510"/>
      <c r="G7" s="1510"/>
      <c r="H7" s="1510"/>
      <c r="I7" s="1510"/>
      <c r="J7" s="1510"/>
      <c r="K7" s="1511"/>
      <c r="M7" s="1509" t="s">
        <v>92</v>
      </c>
      <c r="N7" s="1510"/>
      <c r="O7" s="1510"/>
      <c r="P7" s="1512"/>
      <c r="Q7" s="1511"/>
      <c r="S7" s="1509" t="s">
        <v>93</v>
      </c>
      <c r="T7" s="1510"/>
      <c r="U7" s="1510"/>
      <c r="V7" s="1510"/>
      <c r="W7" s="1510"/>
      <c r="X7" s="1513" t="s">
        <v>93</v>
      </c>
      <c r="Y7" s="1514"/>
    </row>
    <row r="8" spans="2:35" s="272" customFormat="1" ht="45" customHeight="1">
      <c r="B8" s="1515" t="s">
        <v>815</v>
      </c>
      <c r="D8" s="1516" t="s">
        <v>94</v>
      </c>
      <c r="E8" s="1517" t="s">
        <v>95</v>
      </c>
      <c r="F8" s="1517" t="s">
        <v>96</v>
      </c>
      <c r="G8" s="1517" t="s">
        <v>97</v>
      </c>
      <c r="H8" s="1517" t="s">
        <v>98</v>
      </c>
      <c r="I8" s="1517" t="s">
        <v>99</v>
      </c>
      <c r="J8" s="1517" t="s">
        <v>100</v>
      </c>
      <c r="K8" s="1518" t="s">
        <v>101</v>
      </c>
      <c r="L8" s="347"/>
      <c r="M8" s="1516" t="s">
        <v>73</v>
      </c>
      <c r="N8" s="1517" t="s">
        <v>102</v>
      </c>
      <c r="O8" s="1518" t="s">
        <v>72</v>
      </c>
      <c r="P8" s="1292"/>
      <c r="Q8" s="1519" t="s">
        <v>103</v>
      </c>
      <c r="R8" s="1292"/>
      <c r="S8" s="1516" t="s">
        <v>104</v>
      </c>
      <c r="T8" s="1517" t="s">
        <v>84</v>
      </c>
      <c r="U8" s="1517" t="s">
        <v>85</v>
      </c>
      <c r="V8" s="1517" t="s">
        <v>105</v>
      </c>
      <c r="W8" s="1517" t="s">
        <v>106</v>
      </c>
      <c r="X8" s="1520" t="s">
        <v>107</v>
      </c>
      <c r="Y8" s="1518" t="s">
        <v>3512</v>
      </c>
      <c r="AA8" s="1170" t="s">
        <v>108</v>
      </c>
      <c r="AB8" s="1171" t="s">
        <v>109</v>
      </c>
      <c r="AC8" s="1171" t="s">
        <v>110</v>
      </c>
      <c r="AD8" s="1521"/>
    </row>
    <row r="9" spans="2:35" ht="14.85" customHeight="1"/>
    <row r="10" spans="2:35" ht="14.85" customHeight="1">
      <c r="B10" s="250" t="str">
        <f>'Comp.1'!B12</f>
        <v>Spark Therapeutics, Inc.</v>
      </c>
      <c r="D10" s="331">
        <f>'Beta Calc'!K10</f>
        <v>1692.82537</v>
      </c>
      <c r="E10" s="331">
        <f>'Beta Calc'!L10</f>
        <v>1.57541</v>
      </c>
      <c r="F10" s="331">
        <f>'Beta Calc'!M10</f>
        <v>0</v>
      </c>
      <c r="G10" s="331">
        <f>'Beta Calc'!N10</f>
        <v>0</v>
      </c>
      <c r="H10" s="331">
        <f>SUM(E10:G10)</f>
        <v>1.57541</v>
      </c>
      <c r="I10" s="331">
        <f>SUM(D10:G10)</f>
        <v>1694.4007799999999</v>
      </c>
      <c r="J10" s="331">
        <f>'Beta Calc'!Q10</f>
        <v>306.64877999999999</v>
      </c>
      <c r="K10" s="331">
        <f>I10-J10</f>
        <v>1387.752</v>
      </c>
      <c r="M10" s="1066">
        <f>IFERROR('Capital IQ Sheet-GPC'!AT13,"n/a")</f>
        <v>0</v>
      </c>
      <c r="N10" s="331">
        <f t="shared" ref="N10:O39" si="0">N$6</f>
        <v>2</v>
      </c>
      <c r="O10" s="1522">
        <f t="shared" si="0"/>
        <v>1.11E-2</v>
      </c>
      <c r="P10" s="1523"/>
      <c r="Q10" s="1524">
        <f>IFERROR(HLOOKUP($Q$6,'Equity Vol'!$B$8:$K10,ROWS('Equity Vol'!$C$8:$C10),FALSE),"n/a")</f>
        <v>0.7672442493850854</v>
      </c>
      <c r="R10" s="1525"/>
      <c r="S10" s="1526">
        <f>IFERROR(IF(Q10="n/a","n/a",Q10^2),"n/a")</f>
        <v>0.58866373821448315</v>
      </c>
      <c r="T10" s="1526">
        <f t="shared" ref="T10" si="1">IF(OR(K10="n/a",S10="n/a"),"n/a",IF(H10=0,0,IF(M10=0,(LN(K10/H10)+((O10+(S10/2))*N10))/((S10*N10)^0.5),(LN(K10/H10)+((O10-M10+(S10/2))*N10))/((S10*N10)^0.5))))</f>
        <v>6.8124119167458481</v>
      </c>
      <c r="U10" s="1527">
        <f t="shared" ref="U10" si="2">IF(T10="n/a","n/a",IF(H10=0,0,T10-(S10*N10)^0.5))</f>
        <v>5.727364693612695</v>
      </c>
      <c r="V10" s="1527">
        <f t="shared" ref="V10" si="3">IF(OR(T10="n/a",S10="n/a"),"n/a",IF(H10=0,0,NORMSDIST(T10)))</f>
        <v>0.99999999999520117</v>
      </c>
      <c r="W10" s="1527">
        <f t="shared" ref="W10" si="4">IF(OR(U10="n/a",S10="n/a"),"n/a",IF(H10=0,0,NORMSDIST(U10)))</f>
        <v>0.99999999489986324</v>
      </c>
      <c r="X10" s="759">
        <f t="shared" ref="X10" si="5">IF(OR(K10="n/a",S10="n/a"),"n/a",IF(M10=0,(K10*V10)-((H10*EXP(1)^(-O10*N10))*W10),(K10*(2.718^(-M10*N10))*V10)-(H10*(2.718^(-O10*N10))*W10)))</f>
        <v>1386.211178747566</v>
      </c>
      <c r="Y10" s="1524">
        <f>IFERROR(IF(LEN(B10)&gt;0,IF(H10=0,Q10,IF(ISERROR(Q10/((K10/X10)*V10)),"n/a",Q10/((K10/X10)*V10)))),"n/a")</f>
        <v>0.76639237798431903</v>
      </c>
      <c r="AA10" s="1177" t="str">
        <f>IF('MASTER PubCo Inputs'!B28=0,"",'MASTER PubCo Inputs'!B28)</f>
        <v>NasdaqGS:ONCE</v>
      </c>
      <c r="AB10" s="331">
        <f>'Beta Calc'!Z10</f>
        <v>1387.752</v>
      </c>
      <c r="AC10" s="1178">
        <f t="shared" ref="AC10" si="6">K10-AB10</f>
        <v>0</v>
      </c>
      <c r="AI10" s="1179"/>
    </row>
    <row r="11" spans="2:35" ht="14.85" customHeight="1">
      <c r="B11" s="250" t="str">
        <f>'Comp.1'!B13</f>
        <v>CRISPR Therapeutics AG</v>
      </c>
      <c r="D11" s="331">
        <f>'Beta Calc'!K11</f>
        <v>868.62804000000006</v>
      </c>
      <c r="E11" s="331">
        <f>'Beta Calc'!L11</f>
        <v>0</v>
      </c>
      <c r="F11" s="331">
        <f>'Beta Calc'!M11</f>
        <v>185.565</v>
      </c>
      <c r="G11" s="331">
        <f>'Beta Calc'!N11</f>
        <v>-5.0999999999999997E-2</v>
      </c>
      <c r="H11" s="331">
        <f t="shared" ref="H11:H39" si="7">SUM(E11:G11)</f>
        <v>185.51400000000001</v>
      </c>
      <c r="I11" s="331">
        <f t="shared" ref="I11:I39" si="8">SUM(D11:G11)</f>
        <v>1054.1420400000002</v>
      </c>
      <c r="J11" s="331">
        <f>'Beta Calc'!Q11</f>
        <v>228.613</v>
      </c>
      <c r="K11" s="331">
        <f t="shared" ref="K11:K39" si="9">I11-J11</f>
        <v>825.52904000000012</v>
      </c>
      <c r="M11" s="1066">
        <f>IFERROR('Capital IQ Sheet-GPC'!AT14,"n/a")</f>
        <v>0</v>
      </c>
      <c r="N11" s="331">
        <f t="shared" si="0"/>
        <v>2</v>
      </c>
      <c r="O11" s="1522">
        <f t="shared" si="0"/>
        <v>1.11E-2</v>
      </c>
      <c r="P11" s="1523"/>
      <c r="Q11" s="1524" t="str">
        <f>IFERROR(HLOOKUP($Q$6,'Equity Vol'!$B$8:$K11,ROWS('Equity Vol'!$C$8:$C11),FALSE),"n/a")</f>
        <v>n/a</v>
      </c>
      <c r="R11" s="1525"/>
      <c r="S11" s="1526" t="str">
        <f t="shared" ref="S11:S39" si="10">IFERROR(IF(Q11="n/a","n/a",Q11^2),"n/a")</f>
        <v>n/a</v>
      </c>
      <c r="T11" s="1526" t="str">
        <f t="shared" ref="T11:T39" si="11">IF(OR(K11="n/a",S11="n/a"),"n/a",IF(H11=0,0,IF(M11=0,(LN(K11/H11)+((O11+(S11/2))*N11))/((S11*N11)^0.5),(LN(K11/H11)+((O11-M11+(S11/2))*N11))/((S11*N11)^0.5))))</f>
        <v>n/a</v>
      </c>
      <c r="U11" s="1527" t="str">
        <f t="shared" ref="U11:U39" si="12">IF(T11="n/a","n/a",IF(H11=0,0,T11-(S11*N11)^0.5))</f>
        <v>n/a</v>
      </c>
      <c r="V11" s="1527" t="str">
        <f t="shared" ref="V11:V39" si="13">IF(OR(T11="n/a",S11="n/a"),"n/a",IF(H11=0,0,NORMSDIST(T11)))</f>
        <v>n/a</v>
      </c>
      <c r="W11" s="1527" t="str">
        <f t="shared" ref="W11:W39" si="14">IF(OR(U11="n/a",S11="n/a"),"n/a",IF(H11=0,0,NORMSDIST(U11)))</f>
        <v>n/a</v>
      </c>
      <c r="X11" s="759" t="str">
        <f t="shared" ref="X11:X39" si="15">IF(OR(K11="n/a",S11="n/a"),"n/a",IF(M11=0,(K11*V11)-((H11*EXP(1)^(-O11*N11))*W11),(K11*(2.718^(-M11*N11))*V11)-(H11*(2.718^(-O11*N11))*W11)))</f>
        <v>n/a</v>
      </c>
      <c r="Y11" s="1524" t="str">
        <f t="shared" ref="Y11:Y39" si="16">IFERROR(IF(LEN(B11)&gt;0,IF(H11=0,Q11,IF(ISERROR(Q11/((K11/X11)*V11)),"n/a",Q11/((K11/X11)*V11)))),"n/a")</f>
        <v>n/a</v>
      </c>
      <c r="AA11" s="1177" t="str">
        <f>IF('MASTER PubCo Inputs'!B29=0,"",'MASTER PubCo Inputs'!B29)</f>
        <v>NasdaqGM:CRSP</v>
      </c>
      <c r="AB11" s="331">
        <f>'Beta Calc'!Z11</f>
        <v>825.52904000000001</v>
      </c>
      <c r="AC11" s="1178">
        <f t="shared" ref="AC11:AC39" si="17">K11-AB11</f>
        <v>0</v>
      </c>
      <c r="AI11" s="1179"/>
    </row>
    <row r="12" spans="2:35" ht="14.85" customHeight="1">
      <c r="B12" s="250" t="str">
        <f>'Comp.1'!B14</f>
        <v>WAVE Life Sciences Ltd.</v>
      </c>
      <c r="D12" s="331">
        <f>'Beta Calc'!K12</f>
        <v>835.72670000000005</v>
      </c>
      <c r="E12" s="331">
        <f>'Beta Calc'!L12</f>
        <v>9.2999999999999999E-2</v>
      </c>
      <c r="F12" s="331">
        <f>'Beta Calc'!M12</f>
        <v>7.8739999999999997</v>
      </c>
      <c r="G12" s="331">
        <f>'Beta Calc'!N12</f>
        <v>0</v>
      </c>
      <c r="H12" s="331">
        <f t="shared" si="7"/>
        <v>7.9669999999999996</v>
      </c>
      <c r="I12" s="331">
        <f t="shared" si="8"/>
        <v>843.69370000000004</v>
      </c>
      <c r="J12" s="331">
        <f>'Beta Calc'!Q12</f>
        <v>169.01499999999999</v>
      </c>
      <c r="K12" s="331">
        <f t="shared" si="9"/>
        <v>674.67870000000005</v>
      </c>
      <c r="M12" s="1066">
        <f>IFERROR('Capital IQ Sheet-GPC'!AT15,"n/a")</f>
        <v>0</v>
      </c>
      <c r="N12" s="331">
        <f t="shared" si="0"/>
        <v>2</v>
      </c>
      <c r="O12" s="1522">
        <f t="shared" si="0"/>
        <v>1.11E-2</v>
      </c>
      <c r="P12" s="1523"/>
      <c r="Q12" s="1524">
        <f>IFERROR(HLOOKUP($Q$6,'Equity Vol'!$B$8:$K12,ROWS('Equity Vol'!$C$8:$C12),FALSE),"n/a")</f>
        <v>0.79703443847278144</v>
      </c>
      <c r="R12" s="1525"/>
      <c r="S12" s="1526">
        <f t="shared" si="10"/>
        <v>0.63526389611162204</v>
      </c>
      <c r="T12" s="1526">
        <f t="shared" si="11"/>
        <v>4.5213776173406961</v>
      </c>
      <c r="U12" s="1527">
        <f t="shared" si="12"/>
        <v>3.3942007047740645</v>
      </c>
      <c r="V12" s="1527">
        <f t="shared" si="13"/>
        <v>0.9999969280761758</v>
      </c>
      <c r="W12" s="1527">
        <f t="shared" si="14"/>
        <v>0.99965585385587585</v>
      </c>
      <c r="X12" s="759">
        <f t="shared" si="15"/>
        <v>666.88722767266484</v>
      </c>
      <c r="Y12" s="1524">
        <f t="shared" si="16"/>
        <v>0.7878323709698406</v>
      </c>
      <c r="AA12" s="1177" t="str">
        <f>IF('MASTER PubCo Inputs'!B30=0,"",'MASTER PubCo Inputs'!B30)</f>
        <v>NasdaqGM:WVE</v>
      </c>
      <c r="AB12" s="331">
        <f>'Beta Calc'!Z12</f>
        <v>674.67870000000005</v>
      </c>
      <c r="AC12" s="1178">
        <f t="shared" si="17"/>
        <v>0</v>
      </c>
      <c r="AI12" s="1179"/>
    </row>
    <row r="13" spans="2:35" ht="14.85" customHeight="1">
      <c r="B13" s="250" t="str">
        <f>'Comp.1'!B15</f>
        <v>Regenxbio Inc.</v>
      </c>
      <c r="D13" s="331">
        <f>'Beta Calc'!K13</f>
        <v>589.07718</v>
      </c>
      <c r="E13" s="331">
        <f>'Beta Calc'!L13</f>
        <v>0</v>
      </c>
      <c r="F13" s="331">
        <f>'Beta Calc'!M13</f>
        <v>0</v>
      </c>
      <c r="G13" s="331">
        <f>'Beta Calc'!N13</f>
        <v>0</v>
      </c>
      <c r="H13" s="331">
        <f t="shared" si="7"/>
        <v>0</v>
      </c>
      <c r="I13" s="331">
        <f t="shared" si="8"/>
        <v>589.07718</v>
      </c>
      <c r="J13" s="331">
        <f>'Beta Calc'!Q13</f>
        <v>91.77</v>
      </c>
      <c r="K13" s="331">
        <f t="shared" si="9"/>
        <v>497.30718000000002</v>
      </c>
      <c r="M13" s="1066">
        <f>IFERROR('Capital IQ Sheet-GPC'!AT16,"n/a")</f>
        <v>0</v>
      </c>
      <c r="N13" s="331">
        <f t="shared" si="0"/>
        <v>2</v>
      </c>
      <c r="O13" s="1522">
        <f t="shared" si="0"/>
        <v>1.11E-2</v>
      </c>
      <c r="P13" s="1523"/>
      <c r="Q13" s="1524">
        <f>IFERROR(HLOOKUP($Q$6,'Equity Vol'!$B$8:$K13,ROWS('Equity Vol'!$C$8:$C13),FALSE),"n/a")</f>
        <v>0.74596470213292698</v>
      </c>
      <c r="R13" s="1525"/>
      <c r="S13" s="1526">
        <f t="shared" si="10"/>
        <v>0.55646333682826643</v>
      </c>
      <c r="T13" s="1526">
        <f t="shared" si="11"/>
        <v>0</v>
      </c>
      <c r="U13" s="1527">
        <f t="shared" si="12"/>
        <v>0</v>
      </c>
      <c r="V13" s="1527">
        <f t="shared" si="13"/>
        <v>0</v>
      </c>
      <c r="W13" s="1527">
        <f t="shared" si="14"/>
        <v>0</v>
      </c>
      <c r="X13" s="759">
        <f t="shared" si="15"/>
        <v>0</v>
      </c>
      <c r="Y13" s="1524">
        <f t="shared" si="16"/>
        <v>0.74596470213292698</v>
      </c>
      <c r="AA13" s="1177" t="str">
        <f>IF('MASTER PubCo Inputs'!B31=0,"",'MASTER PubCo Inputs'!B31)</f>
        <v>NasdaqGS:RGNX</v>
      </c>
      <c r="AB13" s="331">
        <f>'Beta Calc'!Z13</f>
        <v>497.30718000000002</v>
      </c>
      <c r="AC13" s="1178">
        <f t="shared" si="17"/>
        <v>0</v>
      </c>
      <c r="AI13" s="1179"/>
    </row>
    <row r="14" spans="2:35" ht="14.85" customHeight="1">
      <c r="B14" s="250" t="str">
        <f>'Comp.1'!B16</f>
        <v>Inovio Pharmaceuticals, Inc.</v>
      </c>
      <c r="D14" s="331">
        <f>'Beta Calc'!K14</f>
        <v>524.34855000000005</v>
      </c>
      <c r="E14" s="331">
        <f>'Beta Calc'!L14</f>
        <v>0</v>
      </c>
      <c r="F14" s="331">
        <f>'Beta Calc'!M14</f>
        <v>0</v>
      </c>
      <c r="G14" s="331">
        <f>'Beta Calc'!N14</f>
        <v>9.6269999999999994E-2</v>
      </c>
      <c r="H14" s="331">
        <f t="shared" si="7"/>
        <v>9.6269999999999994E-2</v>
      </c>
      <c r="I14" s="331">
        <f t="shared" si="8"/>
        <v>524.44482000000005</v>
      </c>
      <c r="J14" s="331">
        <f>'Beta Calc'!Q14</f>
        <v>119.68635</v>
      </c>
      <c r="K14" s="331">
        <f t="shared" si="9"/>
        <v>404.75847000000005</v>
      </c>
      <c r="M14" s="1066">
        <f>IFERROR('Capital IQ Sheet-GPC'!AT17,"n/a")</f>
        <v>0</v>
      </c>
      <c r="N14" s="331">
        <f t="shared" si="0"/>
        <v>2</v>
      </c>
      <c r="O14" s="1522">
        <f t="shared" si="0"/>
        <v>1.11E-2</v>
      </c>
      <c r="P14" s="1523"/>
      <c r="Q14" s="1524">
        <f>IFERROR(HLOOKUP($Q$6,'Equity Vol'!$B$8:$K14,ROWS('Equity Vol'!$C$8:$C14),FALSE),"n/a")</f>
        <v>0.6189501235098539</v>
      </c>
      <c r="R14" s="1525"/>
      <c r="S14" s="1526">
        <f t="shared" si="10"/>
        <v>0.38309925539286338</v>
      </c>
      <c r="T14" s="1526">
        <f t="shared" si="11"/>
        <v>9.9953294271726456</v>
      </c>
      <c r="U14" s="1527">
        <f t="shared" si="12"/>
        <v>9.1200017680725072</v>
      </c>
      <c r="V14" s="1527">
        <f t="shared" si="13"/>
        <v>1</v>
      </c>
      <c r="W14" s="1527">
        <f t="shared" si="14"/>
        <v>1</v>
      </c>
      <c r="X14" s="759">
        <f t="shared" si="15"/>
        <v>404.66431364572577</v>
      </c>
      <c r="Y14" s="1524">
        <f t="shared" si="16"/>
        <v>0.61880614113165366</v>
      </c>
      <c r="AA14" s="1177" t="str">
        <f>IF('MASTER PubCo Inputs'!B32=0,"",'MASTER PubCo Inputs'!B32)</f>
        <v>NasdaqGS:INO</v>
      </c>
      <c r="AB14" s="331">
        <f>'Beta Calc'!Z14</f>
        <v>404.75846999999999</v>
      </c>
      <c r="AC14" s="1178">
        <f t="shared" si="17"/>
        <v>0</v>
      </c>
      <c r="AI14" s="1179"/>
    </row>
    <row r="15" spans="2:35" ht="14.85" customHeight="1">
      <c r="B15" s="250" t="str">
        <f>'Comp.1'!B17</f>
        <v>Enanta Pharmaceuticals, Inc.</v>
      </c>
      <c r="D15" s="331">
        <f>'Beta Calc'!K15</f>
        <v>598.48901000000001</v>
      </c>
      <c r="E15" s="331">
        <f>'Beta Calc'!L15</f>
        <v>0.70699999999999996</v>
      </c>
      <c r="F15" s="331">
        <f>'Beta Calc'!M15</f>
        <v>1.2370000000000001</v>
      </c>
      <c r="G15" s="331">
        <f>'Beta Calc'!N15</f>
        <v>0</v>
      </c>
      <c r="H15" s="331">
        <f t="shared" si="7"/>
        <v>1.944</v>
      </c>
      <c r="I15" s="331">
        <f t="shared" si="8"/>
        <v>600.43300999999997</v>
      </c>
      <c r="J15" s="331">
        <f>'Beta Calc'!Q15</f>
        <v>218.465</v>
      </c>
      <c r="K15" s="331">
        <f t="shared" si="9"/>
        <v>381.96800999999994</v>
      </c>
      <c r="M15" s="1066">
        <f>IFERROR('Capital IQ Sheet-GPC'!AT18,"n/a")</f>
        <v>0</v>
      </c>
      <c r="N15" s="331">
        <f t="shared" si="0"/>
        <v>2</v>
      </c>
      <c r="O15" s="1522">
        <f t="shared" si="0"/>
        <v>1.11E-2</v>
      </c>
      <c r="P15" s="1523"/>
      <c r="Q15" s="1524">
        <f>IFERROR(HLOOKUP($Q$6,'Equity Vol'!$B$8:$K15,ROWS('Equity Vol'!$C$8:$C15),FALSE),"n/a")</f>
        <v>0.62241218308329371</v>
      </c>
      <c r="R15" s="1525"/>
      <c r="S15" s="1526">
        <f t="shared" si="10"/>
        <v>0.38739692565051154</v>
      </c>
      <c r="T15" s="1526">
        <f t="shared" si="11"/>
        <v>6.4644768750155439</v>
      </c>
      <c r="U15" s="1527">
        <f t="shared" si="12"/>
        <v>5.5842531243129043</v>
      </c>
      <c r="V15" s="1527">
        <f t="shared" si="13"/>
        <v>0.9999999999491751</v>
      </c>
      <c r="W15" s="1527">
        <f t="shared" si="14"/>
        <v>0.99999998826466718</v>
      </c>
      <c r="X15" s="759">
        <f t="shared" si="15"/>
        <v>380.06669128773143</v>
      </c>
      <c r="Y15" s="1524">
        <f t="shared" si="16"/>
        <v>0.61931400761457556</v>
      </c>
      <c r="AA15" s="1177" t="str">
        <f>IF('MASTER PubCo Inputs'!B33=0,"",'MASTER PubCo Inputs'!B33)</f>
        <v>NasdaqGS:ENTA</v>
      </c>
      <c r="AB15" s="331">
        <f>'Beta Calc'!Z15</f>
        <v>389.81500999999997</v>
      </c>
      <c r="AC15" s="1178">
        <f t="shared" si="17"/>
        <v>-7.8470000000000368</v>
      </c>
      <c r="AI15" s="1179"/>
    </row>
    <row r="16" spans="2:35" ht="14.85" customHeight="1">
      <c r="B16" s="250" t="str">
        <f>'Comp.1'!B18</f>
        <v>Editas Medicine, Inc.</v>
      </c>
      <c r="D16" s="331">
        <f>'Beta Calc'!K16</f>
        <v>508.51056999999997</v>
      </c>
      <c r="E16" s="331">
        <f>'Beta Calc'!L16</f>
        <v>32.048000000000002</v>
      </c>
      <c r="F16" s="331">
        <f>'Beta Calc'!M16</f>
        <v>0</v>
      </c>
      <c r="G16" s="331">
        <f>'Beta Calc'!N16</f>
        <v>0</v>
      </c>
      <c r="H16" s="331">
        <f t="shared" si="7"/>
        <v>32.048000000000002</v>
      </c>
      <c r="I16" s="331">
        <f t="shared" si="8"/>
        <v>540.55856999999992</v>
      </c>
      <c r="J16" s="331">
        <f>'Beta Calc'!Q16</f>
        <v>199.874</v>
      </c>
      <c r="K16" s="331">
        <f t="shared" si="9"/>
        <v>340.68456999999989</v>
      </c>
      <c r="M16" s="1066">
        <f>IFERROR('Capital IQ Sheet-GPC'!AT19,"n/a")</f>
        <v>0</v>
      </c>
      <c r="N16" s="331">
        <f t="shared" si="0"/>
        <v>2</v>
      </c>
      <c r="O16" s="1522">
        <f t="shared" si="0"/>
        <v>1.11E-2</v>
      </c>
      <c r="P16" s="1523"/>
      <c r="Q16" s="1524" t="str">
        <f>IFERROR(HLOOKUP($Q$6,'Equity Vol'!$B$8:$K16,ROWS('Equity Vol'!$C$8:$C16),FALSE),"n/a")</f>
        <v>n/a</v>
      </c>
      <c r="R16" s="1525"/>
      <c r="S16" s="1526" t="str">
        <f t="shared" si="10"/>
        <v>n/a</v>
      </c>
      <c r="T16" s="1526" t="str">
        <f t="shared" si="11"/>
        <v>n/a</v>
      </c>
      <c r="U16" s="1527" t="str">
        <f t="shared" si="12"/>
        <v>n/a</v>
      </c>
      <c r="V16" s="1527" t="str">
        <f t="shared" si="13"/>
        <v>n/a</v>
      </c>
      <c r="W16" s="1527" t="str">
        <f t="shared" si="14"/>
        <v>n/a</v>
      </c>
      <c r="X16" s="759" t="str">
        <f t="shared" si="15"/>
        <v>n/a</v>
      </c>
      <c r="Y16" s="1524" t="str">
        <f t="shared" si="16"/>
        <v>n/a</v>
      </c>
      <c r="AA16" s="1177" t="str">
        <f>IF('MASTER PubCo Inputs'!B34=0,"",'MASTER PubCo Inputs'!B34)</f>
        <v>NasdaqGS:EDIT</v>
      </c>
      <c r="AB16" s="331">
        <f>'Beta Calc'!Z16</f>
        <v>340.68457000000001</v>
      </c>
      <c r="AC16" s="1178">
        <f t="shared" si="17"/>
        <v>0</v>
      </c>
      <c r="AI16" s="1179"/>
    </row>
    <row r="17" spans="2:35" ht="14.85" customHeight="1">
      <c r="B17" s="250" t="str">
        <f>'Comp.1'!B19</f>
        <v>NantKwest, Inc.</v>
      </c>
      <c r="D17" s="331">
        <f>'Beta Calc'!K17</f>
        <v>538.73569999999995</v>
      </c>
      <c r="E17" s="331">
        <f>'Beta Calc'!L17</f>
        <v>7.7030000000000003</v>
      </c>
      <c r="F17" s="331">
        <f>'Beta Calc'!M17</f>
        <v>0</v>
      </c>
      <c r="G17" s="331">
        <f>'Beta Calc'!N17</f>
        <v>0</v>
      </c>
      <c r="H17" s="331">
        <f t="shared" si="7"/>
        <v>7.7030000000000003</v>
      </c>
      <c r="I17" s="331">
        <f t="shared" si="8"/>
        <v>546.43869999999993</v>
      </c>
      <c r="J17" s="331">
        <f>'Beta Calc'!Q17</f>
        <v>209.256</v>
      </c>
      <c r="K17" s="331">
        <f t="shared" si="9"/>
        <v>337.18269999999995</v>
      </c>
      <c r="M17" s="1066">
        <f>IFERROR('Capital IQ Sheet-GPC'!AT20,"n/a")</f>
        <v>0</v>
      </c>
      <c r="N17" s="331">
        <f t="shared" si="0"/>
        <v>2</v>
      </c>
      <c r="O17" s="1522">
        <f t="shared" si="0"/>
        <v>1.11E-2</v>
      </c>
      <c r="P17" s="1523"/>
      <c r="Q17" s="1524">
        <f>IFERROR(HLOOKUP($Q$6,'Equity Vol'!$B$8:$K17,ROWS('Equity Vol'!$C$8:$C17),FALSE),"n/a")</f>
        <v>0.87724623477379815</v>
      </c>
      <c r="R17" s="1525"/>
      <c r="S17" s="1526">
        <f t="shared" si="10"/>
        <v>0.76956095642480582</v>
      </c>
      <c r="T17" s="1526">
        <f t="shared" si="11"/>
        <v>3.6842867896855505</v>
      </c>
      <c r="U17" s="1527">
        <f t="shared" si="12"/>
        <v>2.4436732669277128</v>
      </c>
      <c r="V17" s="1527">
        <f t="shared" si="13"/>
        <v>0.99988532804754016</v>
      </c>
      <c r="W17" s="1527">
        <f t="shared" si="14"/>
        <v>0.9927307067205039</v>
      </c>
      <c r="X17" s="759">
        <f t="shared" si="15"/>
        <v>329.66492296290238</v>
      </c>
      <c r="Y17" s="1524">
        <f t="shared" si="16"/>
        <v>0.85778564270925417</v>
      </c>
      <c r="AA17" s="1177" t="str">
        <f>IF('MASTER PubCo Inputs'!B35=0,"",'MASTER PubCo Inputs'!B35)</f>
        <v>NasdaqGS:NK</v>
      </c>
      <c r="AB17" s="331">
        <f>'Beta Calc'!Z17</f>
        <v>337.18270000000001</v>
      </c>
      <c r="AC17" s="1178">
        <f t="shared" si="17"/>
        <v>0</v>
      </c>
      <c r="AI17" s="1179"/>
    </row>
    <row r="18" spans="2:35" ht="14.85" customHeight="1">
      <c r="B18" s="250" t="str">
        <f>'Comp.1'!B20</f>
        <v>Cocrystal Pharma, Inc.</v>
      </c>
      <c r="D18" s="331">
        <f>'Beta Calc'!K18</f>
        <v>317.20850000000002</v>
      </c>
      <c r="E18" s="331">
        <f>'Beta Calc'!L18</f>
        <v>0</v>
      </c>
      <c r="F18" s="331">
        <f>'Beta Calc'!M18</f>
        <v>0</v>
      </c>
      <c r="G18" s="331">
        <f>'Beta Calc'!N18</f>
        <v>0</v>
      </c>
      <c r="H18" s="331">
        <f t="shared" si="7"/>
        <v>0</v>
      </c>
      <c r="I18" s="331">
        <f t="shared" si="8"/>
        <v>317.20850000000002</v>
      </c>
      <c r="J18" s="331">
        <f>'Beta Calc'!Q18</f>
        <v>5.9059999999999997</v>
      </c>
      <c r="K18" s="331">
        <f t="shared" si="9"/>
        <v>311.30250000000001</v>
      </c>
      <c r="M18" s="1066">
        <f>IFERROR('Capital IQ Sheet-GPC'!AT21,"n/a")</f>
        <v>0</v>
      </c>
      <c r="N18" s="331">
        <f t="shared" si="0"/>
        <v>2</v>
      </c>
      <c r="O18" s="1522">
        <f t="shared" si="0"/>
        <v>1.11E-2</v>
      </c>
      <c r="P18" s="1523"/>
      <c r="Q18" s="1524">
        <f>IFERROR(HLOOKUP($Q$6,'Equity Vol'!$B$8:$K18,ROWS('Equity Vol'!$C$8:$C18),FALSE),"n/a")</f>
        <v>0.82210152397422587</v>
      </c>
      <c r="R18" s="1525"/>
      <c r="S18" s="1526">
        <f t="shared" si="10"/>
        <v>0.67585091572074463</v>
      </c>
      <c r="T18" s="1526">
        <f t="shared" si="11"/>
        <v>0</v>
      </c>
      <c r="U18" s="1527">
        <f t="shared" si="12"/>
        <v>0</v>
      </c>
      <c r="V18" s="1527">
        <f t="shared" si="13"/>
        <v>0</v>
      </c>
      <c r="W18" s="1527">
        <f t="shared" si="14"/>
        <v>0</v>
      </c>
      <c r="X18" s="759">
        <f t="shared" si="15"/>
        <v>0</v>
      </c>
      <c r="Y18" s="1524">
        <f t="shared" si="16"/>
        <v>0.82210152397422587</v>
      </c>
      <c r="AA18" s="1177" t="str">
        <f>IF('MASTER PubCo Inputs'!B36=0,"",'MASTER PubCo Inputs'!B36)</f>
        <v>OTCBB:COCP</v>
      </c>
      <c r="AB18" s="331">
        <f>'Beta Calc'!Z18</f>
        <v>311.30250000000001</v>
      </c>
      <c r="AC18" s="1178">
        <f t="shared" si="17"/>
        <v>0</v>
      </c>
      <c r="AI18" s="1179"/>
    </row>
    <row r="19" spans="2:35" ht="14.85" customHeight="1">
      <c r="B19" s="250" t="str">
        <f>'Comp.1'!B21</f>
        <v>Intellia Therapeutics Inc.</v>
      </c>
      <c r="D19" s="331">
        <f>'Beta Calc'!K19</f>
        <v>566.92646000000002</v>
      </c>
      <c r="E19" s="331">
        <f>'Beta Calc'!L19</f>
        <v>0</v>
      </c>
      <c r="F19" s="331">
        <f>'Beta Calc'!M19</f>
        <v>0</v>
      </c>
      <c r="G19" s="331">
        <f>'Beta Calc'!N19</f>
        <v>0</v>
      </c>
      <c r="H19" s="331">
        <f t="shared" si="7"/>
        <v>0</v>
      </c>
      <c r="I19" s="331">
        <f t="shared" si="8"/>
        <v>566.92646000000002</v>
      </c>
      <c r="J19" s="331">
        <f>'Beta Calc'!Q19</f>
        <v>290.61799999999999</v>
      </c>
      <c r="K19" s="331">
        <f t="shared" si="9"/>
        <v>276.30846000000003</v>
      </c>
      <c r="M19" s="1066">
        <f>IFERROR('Capital IQ Sheet-GPC'!AT22,"n/a")</f>
        <v>0</v>
      </c>
      <c r="N19" s="331">
        <f t="shared" si="0"/>
        <v>2</v>
      </c>
      <c r="O19" s="1522">
        <f t="shared" si="0"/>
        <v>1.11E-2</v>
      </c>
      <c r="P19" s="1523"/>
      <c r="Q19" s="1524" t="str">
        <f>IFERROR(HLOOKUP($Q$6,'Equity Vol'!$B$8:$K19,ROWS('Equity Vol'!$C$8:$C19),FALSE),"n/a")</f>
        <v>n/a</v>
      </c>
      <c r="R19" s="1525"/>
      <c r="S19" s="1526" t="str">
        <f t="shared" si="10"/>
        <v>n/a</v>
      </c>
      <c r="T19" s="1526" t="str">
        <f t="shared" si="11"/>
        <v>n/a</v>
      </c>
      <c r="U19" s="1527" t="str">
        <f t="shared" si="12"/>
        <v>n/a</v>
      </c>
      <c r="V19" s="1527" t="str">
        <f t="shared" si="13"/>
        <v>n/a</v>
      </c>
      <c r="W19" s="1527" t="str">
        <f t="shared" si="14"/>
        <v>n/a</v>
      </c>
      <c r="X19" s="759" t="str">
        <f t="shared" si="15"/>
        <v>n/a</v>
      </c>
      <c r="Y19" s="1524" t="str">
        <f t="shared" si="16"/>
        <v>n/a</v>
      </c>
      <c r="AA19" s="1177" t="str">
        <f>IF('MASTER PubCo Inputs'!B37=0,"",'MASTER PubCo Inputs'!B37)</f>
        <v>NasdaqGM:NTLA</v>
      </c>
      <c r="AB19" s="331">
        <f>'Beta Calc'!Z19</f>
        <v>276.30846000000003</v>
      </c>
      <c r="AC19" s="1178">
        <f t="shared" si="17"/>
        <v>0</v>
      </c>
      <c r="AI19" s="1179"/>
    </row>
    <row r="20" spans="2:35" ht="14.85" customHeight="1">
      <c r="B20" s="250" t="str">
        <f>'Comp.1'!B22</f>
        <v>GenSight Biologics S.A.</v>
      </c>
      <c r="D20" s="331">
        <f>'Beta Calc'!K20</f>
        <v>256.04862000000003</v>
      </c>
      <c r="E20" s="331">
        <f>'Beta Calc'!L20</f>
        <v>0.67574000000000001</v>
      </c>
      <c r="F20" s="331">
        <f>'Beta Calc'!M20</f>
        <v>0</v>
      </c>
      <c r="G20" s="331">
        <f>'Beta Calc'!N20</f>
        <v>0</v>
      </c>
      <c r="H20" s="331">
        <f t="shared" si="7"/>
        <v>0.67574000000000001</v>
      </c>
      <c r="I20" s="331">
        <f t="shared" si="8"/>
        <v>256.72436000000005</v>
      </c>
      <c r="J20" s="331">
        <f>'Beta Calc'!Q20</f>
        <v>32.647199999999998</v>
      </c>
      <c r="K20" s="331">
        <f t="shared" si="9"/>
        <v>224.07716000000005</v>
      </c>
      <c r="M20" s="1066">
        <f>IFERROR('Capital IQ Sheet-GPC'!AT23,"n/a")</f>
        <v>0</v>
      </c>
      <c r="N20" s="331">
        <f t="shared" si="0"/>
        <v>2</v>
      </c>
      <c r="O20" s="1522">
        <f t="shared" si="0"/>
        <v>1.11E-2</v>
      </c>
      <c r="P20" s="1523"/>
      <c r="Q20" s="1524" t="str">
        <f>IFERROR(HLOOKUP($Q$6,'Equity Vol'!$B$8:$K20,ROWS('Equity Vol'!$C$8:$C20),FALSE),"n/a")</f>
        <v>n/a</v>
      </c>
      <c r="R20" s="1525"/>
      <c r="S20" s="1526" t="str">
        <f t="shared" si="10"/>
        <v>n/a</v>
      </c>
      <c r="T20" s="1526" t="str">
        <f t="shared" si="11"/>
        <v>n/a</v>
      </c>
      <c r="U20" s="1527" t="str">
        <f t="shared" si="12"/>
        <v>n/a</v>
      </c>
      <c r="V20" s="1527" t="str">
        <f t="shared" si="13"/>
        <v>n/a</v>
      </c>
      <c r="W20" s="1527" t="str">
        <f t="shared" si="14"/>
        <v>n/a</v>
      </c>
      <c r="X20" s="759" t="str">
        <f t="shared" si="15"/>
        <v>n/a</v>
      </c>
      <c r="Y20" s="1524" t="str">
        <f t="shared" si="16"/>
        <v>n/a</v>
      </c>
      <c r="AA20" s="1177" t="str">
        <f>IF('MASTER PubCo Inputs'!B38=0,"",'MASTER PubCo Inputs'!B38)</f>
        <v>ENXTPA:SIGHT</v>
      </c>
      <c r="AB20" s="331">
        <f>'Beta Calc'!Z20</f>
        <v>224.93052</v>
      </c>
      <c r="AC20" s="1178">
        <f t="shared" si="17"/>
        <v>-0.85335999999995238</v>
      </c>
      <c r="AI20" s="1179"/>
    </row>
    <row r="21" spans="2:35" ht="14.85" customHeight="1">
      <c r="B21" s="250" t="str">
        <f>'Comp.1'!B23</f>
        <v>Advaxis, Inc.</v>
      </c>
      <c r="D21" s="331">
        <f>'Beta Calc'!K21</f>
        <v>331.10462000000001</v>
      </c>
      <c r="E21" s="331">
        <f>'Beta Calc'!L21</f>
        <v>0</v>
      </c>
      <c r="F21" s="331">
        <f>'Beta Calc'!M21</f>
        <v>0</v>
      </c>
      <c r="G21" s="331">
        <f>'Beta Calc'!N21</f>
        <v>0</v>
      </c>
      <c r="H21" s="331">
        <f t="shared" si="7"/>
        <v>0</v>
      </c>
      <c r="I21" s="331">
        <f t="shared" si="8"/>
        <v>331.10462000000001</v>
      </c>
      <c r="J21" s="331">
        <f>'Beta Calc'!Q21</f>
        <v>78.717920000000007</v>
      </c>
      <c r="K21" s="331">
        <f t="shared" si="9"/>
        <v>252.38670000000002</v>
      </c>
      <c r="M21" s="1066">
        <f>IFERROR('Capital IQ Sheet-GPC'!AT24,"n/a")</f>
        <v>0</v>
      </c>
      <c r="N21" s="331">
        <f t="shared" si="0"/>
        <v>2</v>
      </c>
      <c r="O21" s="1522">
        <f t="shared" si="0"/>
        <v>1.11E-2</v>
      </c>
      <c r="P21" s="1523"/>
      <c r="Q21" s="1524">
        <f>IFERROR(HLOOKUP($Q$6,'Equity Vol'!$B$8:$K21,ROWS('Equity Vol'!$C$8:$C21),FALSE),"n/a")</f>
        <v>1.0114092642984704</v>
      </c>
      <c r="R21" s="1525"/>
      <c r="S21" s="1526">
        <f t="shared" si="10"/>
        <v>1.0229486999087734</v>
      </c>
      <c r="T21" s="1526">
        <f t="shared" si="11"/>
        <v>0</v>
      </c>
      <c r="U21" s="1527">
        <f t="shared" si="12"/>
        <v>0</v>
      </c>
      <c r="V21" s="1527">
        <f t="shared" si="13"/>
        <v>0</v>
      </c>
      <c r="W21" s="1527">
        <f t="shared" si="14"/>
        <v>0</v>
      </c>
      <c r="X21" s="759">
        <f t="shared" si="15"/>
        <v>0</v>
      </c>
      <c r="Y21" s="1524">
        <f t="shared" si="16"/>
        <v>1.0114092642984704</v>
      </c>
      <c r="AA21" s="1177" t="str">
        <f>IF('MASTER PubCo Inputs'!B39=0,"",'MASTER PubCo Inputs'!B39)</f>
        <v>NasdaqCM:ADXS</v>
      </c>
      <c r="AB21" s="331">
        <f>'Beta Calc'!Z21</f>
        <v>252.38669999999999</v>
      </c>
      <c r="AC21" s="1178">
        <f t="shared" si="17"/>
        <v>0</v>
      </c>
      <c r="AI21" s="1179"/>
    </row>
    <row r="22" spans="2:35" ht="14.85" customHeight="1">
      <c r="B22" s="250" t="str">
        <f>'Comp.1'!B24</f>
        <v>Audentes Therapeutics, Inc.</v>
      </c>
      <c r="D22" s="331">
        <f>'Beta Calc'!K22</f>
        <v>356.94443000000001</v>
      </c>
      <c r="E22" s="331">
        <f>'Beta Calc'!L22</f>
        <v>0</v>
      </c>
      <c r="F22" s="331">
        <f>'Beta Calc'!M22</f>
        <v>0</v>
      </c>
      <c r="G22" s="331">
        <f>'Beta Calc'!N22</f>
        <v>0</v>
      </c>
      <c r="H22" s="331">
        <f t="shared" si="7"/>
        <v>0</v>
      </c>
      <c r="I22" s="331">
        <f t="shared" si="8"/>
        <v>356.94443000000001</v>
      </c>
      <c r="J22" s="331">
        <f>'Beta Calc'!Q22</f>
        <v>119.18</v>
      </c>
      <c r="K22" s="331">
        <f t="shared" si="9"/>
        <v>237.76443</v>
      </c>
      <c r="M22" s="1066">
        <f>IFERROR('Capital IQ Sheet-GPC'!AT25,"n/a")</f>
        <v>0</v>
      </c>
      <c r="N22" s="331">
        <f t="shared" si="0"/>
        <v>2</v>
      </c>
      <c r="O22" s="1522">
        <f t="shared" si="0"/>
        <v>1.11E-2</v>
      </c>
      <c r="P22" s="1523"/>
      <c r="Q22" s="1524" t="str">
        <f>IFERROR(HLOOKUP($Q$6,'Equity Vol'!$B$8:$K22,ROWS('Equity Vol'!$C$8:$C22),FALSE),"n/a")</f>
        <v>n/a</v>
      </c>
      <c r="R22" s="1525"/>
      <c r="S22" s="1526" t="str">
        <f t="shared" si="10"/>
        <v>n/a</v>
      </c>
      <c r="T22" s="1526" t="str">
        <f t="shared" si="11"/>
        <v>n/a</v>
      </c>
      <c r="U22" s="1527" t="str">
        <f t="shared" si="12"/>
        <v>n/a</v>
      </c>
      <c r="V22" s="1527" t="str">
        <f t="shared" si="13"/>
        <v>n/a</v>
      </c>
      <c r="W22" s="1527" t="str">
        <f t="shared" si="14"/>
        <v>n/a</v>
      </c>
      <c r="X22" s="759" t="str">
        <f t="shared" si="15"/>
        <v>n/a</v>
      </c>
      <c r="Y22" s="1524" t="str">
        <f t="shared" si="16"/>
        <v>n/a</v>
      </c>
      <c r="AA22" s="1177" t="str">
        <f>IF('MASTER PubCo Inputs'!B40=0,"",'MASTER PubCo Inputs'!B40)</f>
        <v>NasdaqGM:BOLD</v>
      </c>
      <c r="AB22" s="331">
        <f>'Beta Calc'!Z22</f>
        <v>237.76443</v>
      </c>
      <c r="AC22" s="1178">
        <f t="shared" si="17"/>
        <v>0</v>
      </c>
      <c r="AI22" s="1179"/>
    </row>
    <row r="23" spans="2:35" ht="14.85" customHeight="1">
      <c r="B23" s="250" t="str">
        <f>'Comp.1'!B25</f>
        <v>Syros Pharmaceuticals, Inc.</v>
      </c>
      <c r="D23" s="331">
        <f>'Beta Calc'!K23</f>
        <v>317.50677000000002</v>
      </c>
      <c r="E23" s="331">
        <f>'Beta Calc'!L23</f>
        <v>0.26100000000000001</v>
      </c>
      <c r="F23" s="331">
        <f>'Beta Calc'!M23</f>
        <v>0</v>
      </c>
      <c r="G23" s="331">
        <f>'Beta Calc'!N23</f>
        <v>0</v>
      </c>
      <c r="H23" s="331">
        <f t="shared" si="7"/>
        <v>0.26100000000000001</v>
      </c>
      <c r="I23" s="331">
        <f t="shared" si="8"/>
        <v>317.76777000000004</v>
      </c>
      <c r="J23" s="331">
        <f>'Beta Calc'!Q23</f>
        <v>93.494</v>
      </c>
      <c r="K23" s="331">
        <f t="shared" si="9"/>
        <v>224.27377000000004</v>
      </c>
      <c r="M23" s="1066">
        <f>IFERROR('Capital IQ Sheet-GPC'!AT26,"n/a")</f>
        <v>0</v>
      </c>
      <c r="N23" s="331">
        <f t="shared" si="0"/>
        <v>2</v>
      </c>
      <c r="O23" s="1522">
        <f t="shared" si="0"/>
        <v>1.11E-2</v>
      </c>
      <c r="P23" s="1523"/>
      <c r="Q23" s="1524" t="str">
        <f>IFERROR(HLOOKUP($Q$6,'Equity Vol'!$B$8:$K23,ROWS('Equity Vol'!$C$8:$C23),FALSE),"n/a")</f>
        <v>n/a</v>
      </c>
      <c r="R23" s="1525"/>
      <c r="S23" s="1526" t="str">
        <f t="shared" si="10"/>
        <v>n/a</v>
      </c>
      <c r="T23" s="1526" t="str">
        <f t="shared" si="11"/>
        <v>n/a</v>
      </c>
      <c r="U23" s="1527" t="str">
        <f t="shared" si="12"/>
        <v>n/a</v>
      </c>
      <c r="V23" s="1527" t="str">
        <f t="shared" si="13"/>
        <v>n/a</v>
      </c>
      <c r="W23" s="1527" t="str">
        <f t="shared" si="14"/>
        <v>n/a</v>
      </c>
      <c r="X23" s="759" t="str">
        <f t="shared" si="15"/>
        <v>n/a</v>
      </c>
      <c r="Y23" s="1524" t="str">
        <f t="shared" si="16"/>
        <v>n/a</v>
      </c>
      <c r="AA23" s="1177" t="str">
        <f>IF('MASTER PubCo Inputs'!B41=0,"",'MASTER PubCo Inputs'!B41)</f>
        <v>NasdaqGS:SYRS</v>
      </c>
      <c r="AB23" s="331">
        <f>'Beta Calc'!Z23</f>
        <v>224.27377000000001</v>
      </c>
      <c r="AC23" s="1178">
        <f t="shared" si="17"/>
        <v>0</v>
      </c>
      <c r="AI23" s="1179"/>
    </row>
    <row r="24" spans="2:35" ht="14.85" customHeight="1">
      <c r="B24" s="250" t="str">
        <f>'Comp.1'!B26</f>
        <v>Abeona Therapeutics Inc.</v>
      </c>
      <c r="D24" s="331">
        <f>'Beta Calc'!K24</f>
        <v>249.7473</v>
      </c>
      <c r="E24" s="331">
        <f>'Beta Calc'!L24</f>
        <v>0</v>
      </c>
      <c r="F24" s="331">
        <f>'Beta Calc'!M24</f>
        <v>0</v>
      </c>
      <c r="G24" s="331">
        <f>'Beta Calc'!N24</f>
        <v>0</v>
      </c>
      <c r="H24" s="331">
        <f t="shared" si="7"/>
        <v>0</v>
      </c>
      <c r="I24" s="331">
        <f t="shared" si="8"/>
        <v>249.7473</v>
      </c>
      <c r="J24" s="331">
        <f>'Beta Calc'!Q24</f>
        <v>31.184999999999999</v>
      </c>
      <c r="K24" s="331">
        <f t="shared" si="9"/>
        <v>218.56229999999999</v>
      </c>
      <c r="M24" s="1066">
        <f>IFERROR('Capital IQ Sheet-GPC'!AT27,"n/a")</f>
        <v>0</v>
      </c>
      <c r="N24" s="331">
        <f t="shared" si="0"/>
        <v>2</v>
      </c>
      <c r="O24" s="1522">
        <f t="shared" si="0"/>
        <v>1.11E-2</v>
      </c>
      <c r="P24" s="1523"/>
      <c r="Q24" s="1524">
        <f>IFERROR(HLOOKUP($Q$6,'Equity Vol'!$B$8:$K24,ROWS('Equity Vol'!$C$8:$C24),FALSE),"n/a")</f>
        <v>1.0161279587876995</v>
      </c>
      <c r="R24" s="1525"/>
      <c r="S24" s="1526">
        <f t="shared" si="10"/>
        <v>1.0325160286300568</v>
      </c>
      <c r="T24" s="1526">
        <f t="shared" si="11"/>
        <v>0</v>
      </c>
      <c r="U24" s="1527">
        <f t="shared" si="12"/>
        <v>0</v>
      </c>
      <c r="V24" s="1527">
        <f t="shared" si="13"/>
        <v>0</v>
      </c>
      <c r="W24" s="1527">
        <f t="shared" si="14"/>
        <v>0</v>
      </c>
      <c r="X24" s="759">
        <f t="shared" si="15"/>
        <v>0</v>
      </c>
      <c r="Y24" s="1524">
        <f t="shared" si="16"/>
        <v>1.0161279587876995</v>
      </c>
      <c r="AA24" s="1177" t="str">
        <f>IF('MASTER PubCo Inputs'!B42=0,"",'MASTER PubCo Inputs'!B42)</f>
        <v>NasdaqCM:ABEO</v>
      </c>
      <c r="AB24" s="331">
        <f>'Beta Calc'!Z24</f>
        <v>218.56229999999999</v>
      </c>
      <c r="AC24" s="1178">
        <f t="shared" si="17"/>
        <v>0</v>
      </c>
      <c r="AI24" s="1179"/>
    </row>
    <row r="25" spans="2:35" ht="14.85" customHeight="1">
      <c r="B25" s="250" t="str">
        <f>'Comp.1'!B27</f>
        <v>Idera Pharmaceuticals, Inc.</v>
      </c>
      <c r="D25" s="331">
        <f>'Beta Calc'!K25</f>
        <v>249.53377</v>
      </c>
      <c r="E25" s="331">
        <f>'Beta Calc'!L25</f>
        <v>0.56899999999999995</v>
      </c>
      <c r="F25" s="331">
        <f>'Beta Calc'!M25</f>
        <v>0</v>
      </c>
      <c r="G25" s="331">
        <f>'Beta Calc'!N25</f>
        <v>0</v>
      </c>
      <c r="H25" s="331">
        <f t="shared" si="7"/>
        <v>0.56899999999999995</v>
      </c>
      <c r="I25" s="331">
        <f t="shared" si="8"/>
        <v>250.10276999999999</v>
      </c>
      <c r="J25" s="331">
        <f>'Beta Calc'!Q25</f>
        <v>52.01</v>
      </c>
      <c r="K25" s="331">
        <f t="shared" si="9"/>
        <v>198.09277</v>
      </c>
      <c r="M25" s="1066">
        <f>IFERROR('Capital IQ Sheet-GPC'!AT28,"n/a")</f>
        <v>0</v>
      </c>
      <c r="N25" s="331">
        <f t="shared" si="0"/>
        <v>2</v>
      </c>
      <c r="O25" s="1522">
        <f t="shared" si="0"/>
        <v>1.11E-2</v>
      </c>
      <c r="P25" s="1523"/>
      <c r="Q25" s="1524">
        <f>IFERROR(HLOOKUP($Q$6,'Equity Vol'!$B$8:$K25,ROWS('Equity Vol'!$C$8:$C25),FALSE),"n/a")</f>
        <v>0.75325423670083858</v>
      </c>
      <c r="R25" s="1525"/>
      <c r="S25" s="1526">
        <f t="shared" si="10"/>
        <v>0.56739194510776292</v>
      </c>
      <c r="T25" s="1526">
        <f t="shared" si="11"/>
        <v>6.0475264156147901</v>
      </c>
      <c r="U25" s="1527">
        <f t="shared" si="12"/>
        <v>4.9822640581574706</v>
      </c>
      <c r="V25" s="1527">
        <f t="shared" si="13"/>
        <v>0.99999999926456717</v>
      </c>
      <c r="W25" s="1527">
        <f t="shared" si="14"/>
        <v>0.99999968577702469</v>
      </c>
      <c r="X25" s="759">
        <f t="shared" si="15"/>
        <v>197.53626264804646</v>
      </c>
      <c r="Y25" s="1524">
        <f t="shared" si="16"/>
        <v>0.75113809984644753</v>
      </c>
      <c r="AA25" s="1177" t="str">
        <f>IF('MASTER PubCo Inputs'!B43=0,"",'MASTER PubCo Inputs'!B43)</f>
        <v>NasdaqCM:IDRA</v>
      </c>
      <c r="AB25" s="331">
        <f>'Beta Calc'!Z25</f>
        <v>198.09277</v>
      </c>
      <c r="AC25" s="1178">
        <f t="shared" si="17"/>
        <v>0</v>
      </c>
      <c r="AI25" s="1179"/>
    </row>
    <row r="26" spans="2:35" ht="14.85" customHeight="1">
      <c r="B26" s="250" t="str">
        <f>'Comp.1'!B28</f>
        <v>Achillion Pharmaceuticals, Inc.</v>
      </c>
      <c r="D26" s="331">
        <f>'Beta Calc'!K26</f>
        <v>565.85888</v>
      </c>
      <c r="E26" s="331">
        <f>'Beta Calc'!L26</f>
        <v>0.28899999999999998</v>
      </c>
      <c r="F26" s="331">
        <f>'Beta Calc'!M26</f>
        <v>0</v>
      </c>
      <c r="G26" s="331">
        <f>'Beta Calc'!N26</f>
        <v>0</v>
      </c>
      <c r="H26" s="331">
        <f t="shared" si="7"/>
        <v>0.28899999999999998</v>
      </c>
      <c r="I26" s="331">
        <f t="shared" si="8"/>
        <v>566.14787999999999</v>
      </c>
      <c r="J26" s="331">
        <f>'Beta Calc'!Q26</f>
        <v>408.70499999999998</v>
      </c>
      <c r="K26" s="331">
        <f t="shared" si="9"/>
        <v>157.44288</v>
      </c>
      <c r="M26" s="1066">
        <f>IFERROR('Capital IQ Sheet-GPC'!AT29,"n/a")</f>
        <v>0</v>
      </c>
      <c r="N26" s="331">
        <f t="shared" si="0"/>
        <v>2</v>
      </c>
      <c r="O26" s="1522">
        <f t="shared" si="0"/>
        <v>1.11E-2</v>
      </c>
      <c r="P26" s="1523"/>
      <c r="Q26" s="1524">
        <f>IFERROR(HLOOKUP($Q$6,'Equity Vol'!$B$8:$K26,ROWS('Equity Vol'!$C$8:$C26),FALSE),"n/a")</f>
        <v>0.65060803171501025</v>
      </c>
      <c r="R26" s="1525"/>
      <c r="S26" s="1526">
        <f t="shared" si="10"/>
        <v>0.42329081093207976</v>
      </c>
      <c r="T26" s="1526">
        <f t="shared" si="11"/>
        <v>7.3316939923908695</v>
      </c>
      <c r="U26" s="1527">
        <f t="shared" si="12"/>
        <v>6.411595290150637</v>
      </c>
      <c r="V26" s="1527">
        <f t="shared" si="13"/>
        <v>0.99999999999988642</v>
      </c>
      <c r="W26" s="1527">
        <f t="shared" si="14"/>
        <v>0.9999999999279976</v>
      </c>
      <c r="X26" s="759">
        <f t="shared" si="15"/>
        <v>157.16022510870442</v>
      </c>
      <c r="Y26" s="1524">
        <f t="shared" si="16"/>
        <v>0.64944000466628726</v>
      </c>
      <c r="AA26" s="1177" t="str">
        <f>IF('MASTER PubCo Inputs'!B44=0,"",'MASTER PubCo Inputs'!B44)</f>
        <v>NasdaqGS:ACHN</v>
      </c>
      <c r="AB26" s="331">
        <f>'Beta Calc'!Z26</f>
        <v>157.44288</v>
      </c>
      <c r="AC26" s="1178">
        <f t="shared" si="17"/>
        <v>0</v>
      </c>
      <c r="AI26" s="1179"/>
    </row>
    <row r="27" spans="2:35" ht="14.85" customHeight="1">
      <c r="B27" s="250" t="str">
        <f>'Comp.1'!B29</f>
        <v>ContraVir Pharmaceuticals, Inc.</v>
      </c>
      <c r="D27" s="331">
        <f>'Beta Calc'!K27</f>
        <v>118.69085</v>
      </c>
      <c r="E27" s="331">
        <f>'Beta Calc'!L27</f>
        <v>0</v>
      </c>
      <c r="F27" s="331">
        <f>'Beta Calc'!M27</f>
        <v>1.83091</v>
      </c>
      <c r="G27" s="331">
        <f>'Beta Calc'!N27</f>
        <v>0</v>
      </c>
      <c r="H27" s="331">
        <f t="shared" si="7"/>
        <v>1.83091</v>
      </c>
      <c r="I27" s="331">
        <f t="shared" si="8"/>
        <v>120.52176</v>
      </c>
      <c r="J27" s="331">
        <f>'Beta Calc'!Q27</f>
        <v>3.0281600000000002</v>
      </c>
      <c r="K27" s="331">
        <f t="shared" si="9"/>
        <v>117.4936</v>
      </c>
      <c r="M27" s="1066">
        <f>IFERROR('Capital IQ Sheet-GPC'!AT30,"n/a")</f>
        <v>0</v>
      </c>
      <c r="N27" s="331">
        <f t="shared" si="0"/>
        <v>2</v>
      </c>
      <c r="O27" s="1522">
        <f t="shared" si="0"/>
        <v>1.11E-2</v>
      </c>
      <c r="P27" s="1523"/>
      <c r="Q27" s="1524">
        <f>IFERROR(HLOOKUP($Q$6,'Equity Vol'!$B$8:$K27,ROWS('Equity Vol'!$C$8:$C27),FALSE),"n/a")</f>
        <v>1.1933416076473253</v>
      </c>
      <c r="R27" s="1525"/>
      <c r="S27" s="1526">
        <f t="shared" si="10"/>
        <v>1.424064192542303</v>
      </c>
      <c r="T27" s="1526">
        <f t="shared" si="11"/>
        <v>3.3228859970659297</v>
      </c>
      <c r="U27" s="1527">
        <f t="shared" si="12"/>
        <v>1.6352461109869694</v>
      </c>
      <c r="V27" s="1527">
        <f t="shared" si="13"/>
        <v>0.99955454341694527</v>
      </c>
      <c r="W27" s="1527">
        <f t="shared" si="14"/>
        <v>0.94900126731190348</v>
      </c>
      <c r="X27" s="759">
        <f t="shared" si="15"/>
        <v>115.74187407659329</v>
      </c>
      <c r="Y27" s="1524">
        <f t="shared" si="16"/>
        <v>1.1760738268689599</v>
      </c>
      <c r="AA27" s="1177" t="str">
        <f>IF('MASTER PubCo Inputs'!B45=0,"",'MASTER PubCo Inputs'!B45)</f>
        <v>NasdaqCM:CTRV</v>
      </c>
      <c r="AB27" s="331">
        <f>'Beta Calc'!Z27</f>
        <v>117.4936</v>
      </c>
      <c r="AC27" s="1178">
        <f t="shared" si="17"/>
        <v>0</v>
      </c>
      <c r="AI27" s="1179"/>
    </row>
    <row r="28" spans="2:35" ht="14.85" customHeight="1">
      <c r="B28" s="250" t="str">
        <f>'Comp.1'!B30</f>
        <v>Sangamo Therapeutics, Inc.</v>
      </c>
      <c r="D28" s="331">
        <f>'Beta Calc'!K28</f>
        <v>225.99635000000001</v>
      </c>
      <c r="E28" s="331">
        <f>'Beta Calc'!L28</f>
        <v>0</v>
      </c>
      <c r="F28" s="331">
        <f>'Beta Calc'!M28</f>
        <v>0</v>
      </c>
      <c r="G28" s="331">
        <f>'Beta Calc'!N28</f>
        <v>0</v>
      </c>
      <c r="H28" s="331">
        <f t="shared" si="7"/>
        <v>0</v>
      </c>
      <c r="I28" s="331">
        <f t="shared" si="8"/>
        <v>225.99635000000001</v>
      </c>
      <c r="J28" s="331">
        <f>'Beta Calc'!Q28</f>
        <v>145.58099999999999</v>
      </c>
      <c r="K28" s="331">
        <f t="shared" si="9"/>
        <v>80.415350000000018</v>
      </c>
      <c r="M28" s="1066">
        <f>IFERROR('Capital IQ Sheet-GPC'!AT31,"n/a")</f>
        <v>0</v>
      </c>
      <c r="N28" s="331">
        <f t="shared" si="0"/>
        <v>2</v>
      </c>
      <c r="O28" s="1522">
        <f t="shared" si="0"/>
        <v>1.11E-2</v>
      </c>
      <c r="P28" s="1523"/>
      <c r="Q28" s="1524">
        <f>IFERROR(HLOOKUP($Q$6,'Equity Vol'!$B$8:$K28,ROWS('Equity Vol'!$C$8:$C28),FALSE),"n/a")</f>
        <v>0.75591191240814581</v>
      </c>
      <c r="R28" s="1525"/>
      <c r="S28" s="1526">
        <f t="shared" si="10"/>
        <v>0.57140281932054027</v>
      </c>
      <c r="T28" s="1526">
        <f t="shared" si="11"/>
        <v>0</v>
      </c>
      <c r="U28" s="1527">
        <f t="shared" si="12"/>
        <v>0</v>
      </c>
      <c r="V28" s="1527">
        <f t="shared" si="13"/>
        <v>0</v>
      </c>
      <c r="W28" s="1527">
        <f t="shared" si="14"/>
        <v>0</v>
      </c>
      <c r="X28" s="759">
        <f t="shared" si="15"/>
        <v>0</v>
      </c>
      <c r="Y28" s="1524">
        <f t="shared" si="16"/>
        <v>0.75591191240814581</v>
      </c>
      <c r="AA28" s="1177" t="str">
        <f>IF('MASTER PubCo Inputs'!B46=0,"",'MASTER PubCo Inputs'!B46)</f>
        <v>NasdaqGS:SGMO</v>
      </c>
      <c r="AB28" s="331">
        <f>'Beta Calc'!Z28</f>
        <v>80.415350000000004</v>
      </c>
      <c r="AC28" s="1178">
        <f t="shared" si="17"/>
        <v>0</v>
      </c>
      <c r="AI28" s="1179"/>
    </row>
    <row r="29" spans="2:35" ht="14.85" customHeight="1">
      <c r="B29" s="250" t="str">
        <f>'Comp.1'!B31</f>
        <v>Immune Design Corp.</v>
      </c>
      <c r="D29" s="331">
        <f>'Beta Calc'!K29</f>
        <v>186.75745000000001</v>
      </c>
      <c r="E29" s="331">
        <f>'Beta Calc'!L29</f>
        <v>0</v>
      </c>
      <c r="F29" s="331">
        <f>'Beta Calc'!M29</f>
        <v>0</v>
      </c>
      <c r="G29" s="331">
        <f>'Beta Calc'!N29</f>
        <v>0</v>
      </c>
      <c r="H29" s="331">
        <f t="shared" si="7"/>
        <v>0</v>
      </c>
      <c r="I29" s="331">
        <f t="shared" si="8"/>
        <v>186.75745000000001</v>
      </c>
      <c r="J29" s="331">
        <f>'Beta Calc'!Q29</f>
        <v>112.471</v>
      </c>
      <c r="K29" s="331">
        <f t="shared" si="9"/>
        <v>74.286450000000002</v>
      </c>
      <c r="M29" s="1066">
        <f>IFERROR('Capital IQ Sheet-GPC'!AT32,"n/a")</f>
        <v>0</v>
      </c>
      <c r="N29" s="331">
        <f t="shared" si="0"/>
        <v>2</v>
      </c>
      <c r="O29" s="1522">
        <f t="shared" si="0"/>
        <v>1.11E-2</v>
      </c>
      <c r="P29" s="1523"/>
      <c r="Q29" s="1524">
        <f>IFERROR(HLOOKUP($Q$6,'Equity Vol'!$B$8:$K29,ROWS('Equity Vol'!$C$8:$C29),FALSE),"n/a")</f>
        <v>0.89607154655257915</v>
      </c>
      <c r="R29" s="1525"/>
      <c r="S29" s="1526">
        <f t="shared" si="10"/>
        <v>0.80294421654113102</v>
      </c>
      <c r="T29" s="1526">
        <f t="shared" si="11"/>
        <v>0</v>
      </c>
      <c r="U29" s="1527">
        <f t="shared" si="12"/>
        <v>0</v>
      </c>
      <c r="V29" s="1527">
        <f t="shared" si="13"/>
        <v>0</v>
      </c>
      <c r="W29" s="1527">
        <f t="shared" si="14"/>
        <v>0</v>
      </c>
      <c r="X29" s="759">
        <f t="shared" si="15"/>
        <v>0</v>
      </c>
      <c r="Y29" s="1524">
        <f t="shared" si="16"/>
        <v>0.89607154655257915</v>
      </c>
      <c r="AA29" s="1177" t="str">
        <f>IF('MASTER PubCo Inputs'!B47=0,"",'MASTER PubCo Inputs'!B47)</f>
        <v>NasdaqGM:IMDZ</v>
      </c>
      <c r="AB29" s="331">
        <f>'Beta Calc'!Z29</f>
        <v>74.286450000000002</v>
      </c>
      <c r="AC29" s="1178">
        <f t="shared" si="17"/>
        <v>0</v>
      </c>
      <c r="AI29" s="1179"/>
    </row>
    <row r="30" spans="2:35" ht="14.85" customHeight="1">
      <c r="B30" s="250" t="str">
        <f>'Comp.1'!B32</f>
        <v>Fate Therapeutics, Inc.</v>
      </c>
      <c r="D30" s="331">
        <f>'Beta Calc'!K30</f>
        <v>100.39557000000001</v>
      </c>
      <c r="E30" s="331">
        <f>'Beta Calc'!L30</f>
        <v>12.635</v>
      </c>
      <c r="F30" s="331">
        <f>'Beta Calc'!M30</f>
        <v>0</v>
      </c>
      <c r="G30" s="331">
        <f>'Beta Calc'!N30</f>
        <v>0</v>
      </c>
      <c r="H30" s="331">
        <f t="shared" si="7"/>
        <v>12.635</v>
      </c>
      <c r="I30" s="331">
        <f t="shared" si="8"/>
        <v>113.03057000000001</v>
      </c>
      <c r="J30" s="331">
        <f>'Beta Calc'!Q30</f>
        <v>46.619</v>
      </c>
      <c r="K30" s="331">
        <f t="shared" si="9"/>
        <v>66.411570000000012</v>
      </c>
      <c r="M30" s="1066">
        <f>IFERROR('Capital IQ Sheet-GPC'!AT33,"n/a")</f>
        <v>0</v>
      </c>
      <c r="N30" s="331">
        <f t="shared" si="0"/>
        <v>2</v>
      </c>
      <c r="O30" s="1522">
        <f t="shared" si="0"/>
        <v>1.11E-2</v>
      </c>
      <c r="P30" s="1523"/>
      <c r="Q30" s="1524">
        <f>IFERROR(HLOOKUP($Q$6,'Equity Vol'!$B$8:$K30,ROWS('Equity Vol'!$C$8:$C30),FALSE),"n/a")</f>
        <v>0.87702243861868245</v>
      </c>
      <c r="R30" s="1525"/>
      <c r="S30" s="1526">
        <f t="shared" si="10"/>
        <v>0.76916835784066062</v>
      </c>
      <c r="T30" s="1526">
        <f t="shared" si="11"/>
        <v>1.975953220515362</v>
      </c>
      <c r="U30" s="1527">
        <f t="shared" si="12"/>
        <v>0.73565619331529608</v>
      </c>
      <c r="V30" s="1527">
        <f t="shared" si="13"/>
        <v>0.97591996218085419</v>
      </c>
      <c r="W30" s="1527">
        <f t="shared" si="14"/>
        <v>0.76903002223662154</v>
      </c>
      <c r="X30" s="759">
        <f t="shared" si="15"/>
        <v>55.309016398709062</v>
      </c>
      <c r="Y30" s="1524">
        <f t="shared" si="16"/>
        <v>0.74842569849480434</v>
      </c>
      <c r="AA30" s="1177" t="str">
        <f>IF('MASTER PubCo Inputs'!B48=0,"",'MASTER PubCo Inputs'!B48)</f>
        <v>NasdaqGM:FATE</v>
      </c>
      <c r="AB30" s="331">
        <f>'Beta Calc'!Z30</f>
        <v>66.411569999999998</v>
      </c>
      <c r="AC30" s="1178">
        <f t="shared" si="17"/>
        <v>0</v>
      </c>
      <c r="AI30" s="1179"/>
    </row>
    <row r="31" spans="2:35" ht="14.85" customHeight="1">
      <c r="B31" s="250" t="str">
        <f>'Comp.1'!B33</f>
        <v>Arrowhead Pharmaceuticals, Inc.</v>
      </c>
      <c r="D31" s="331">
        <f>'Beta Calc'!K31</f>
        <v>102.94919</v>
      </c>
      <c r="E31" s="331">
        <f>'Beta Calc'!L31</f>
        <v>3.32328</v>
      </c>
      <c r="F31" s="331">
        <f>'Beta Calc'!M31</f>
        <v>2.0000000000000002E-5</v>
      </c>
      <c r="G31" s="331">
        <f>'Beta Calc'!N31</f>
        <v>-0.55518999999999996</v>
      </c>
      <c r="H31" s="331">
        <f t="shared" si="7"/>
        <v>2.7681100000000001</v>
      </c>
      <c r="I31" s="331">
        <f t="shared" si="8"/>
        <v>105.71730000000001</v>
      </c>
      <c r="J31" s="331">
        <f>'Beta Calc'!Q31</f>
        <v>44.647100000000002</v>
      </c>
      <c r="K31" s="331">
        <f t="shared" si="9"/>
        <v>61.070200000000007</v>
      </c>
      <c r="M31" s="1066">
        <f>IFERROR('Capital IQ Sheet-GPC'!AT34,"n/a")</f>
        <v>0</v>
      </c>
      <c r="N31" s="331">
        <f t="shared" si="0"/>
        <v>2</v>
      </c>
      <c r="O31" s="1522">
        <f t="shared" si="0"/>
        <v>1.11E-2</v>
      </c>
      <c r="P31" s="1523"/>
      <c r="Q31" s="1524">
        <f>IFERROR(HLOOKUP($Q$6,'Equity Vol'!$B$8:$K31,ROWS('Equity Vol'!$C$8:$C31),FALSE),"n/a")</f>
        <v>0.72102275983348885</v>
      </c>
      <c r="R31" s="1525"/>
      <c r="S31" s="1526">
        <f t="shared" si="10"/>
        <v>0.51987382019790096</v>
      </c>
      <c r="T31" s="1526">
        <f t="shared" si="11"/>
        <v>3.5657583502005989</v>
      </c>
      <c r="U31" s="1527">
        <f t="shared" si="12"/>
        <v>2.5460781844643998</v>
      </c>
      <c r="V31" s="1527">
        <f t="shared" si="13"/>
        <v>0.99981859722068367</v>
      </c>
      <c r="W31" s="1527">
        <f t="shared" si="14"/>
        <v>0.99455296073380939</v>
      </c>
      <c r="X31" s="759">
        <f t="shared" si="15"/>
        <v>58.366533600456634</v>
      </c>
      <c r="Y31" s="1524">
        <f t="shared" si="16"/>
        <v>0.68922706337063877</v>
      </c>
      <c r="AA31" s="1177" t="str">
        <f>IF('MASTER PubCo Inputs'!B49=0,"",'MASTER PubCo Inputs'!B49)</f>
        <v>NasdaqGS:ARWR</v>
      </c>
      <c r="AB31" s="331">
        <f>'Beta Calc'!Z31</f>
        <v>61.0702</v>
      </c>
      <c r="AC31" s="1178">
        <f t="shared" si="17"/>
        <v>0</v>
      </c>
      <c r="AI31" s="1179"/>
    </row>
    <row r="32" spans="2:35" ht="14.85" customHeight="1">
      <c r="B32" s="250" t="str">
        <f>'Comp.1'!B34</f>
        <v>Regulus Therapeutics Inc.</v>
      </c>
      <c r="D32" s="331">
        <f>'Beta Calc'!K32</f>
        <v>129.66210000000001</v>
      </c>
      <c r="E32" s="331">
        <f>'Beta Calc'!L32</f>
        <v>19.786999999999999</v>
      </c>
      <c r="F32" s="331">
        <f>'Beta Calc'!M32</f>
        <v>0</v>
      </c>
      <c r="G32" s="331">
        <f>'Beta Calc'!N32</f>
        <v>0</v>
      </c>
      <c r="H32" s="331">
        <f t="shared" si="7"/>
        <v>19.786999999999999</v>
      </c>
      <c r="I32" s="331">
        <f t="shared" si="8"/>
        <v>149.44910000000002</v>
      </c>
      <c r="J32" s="331">
        <f>'Beta Calc'!Q32</f>
        <v>91.582999999999998</v>
      </c>
      <c r="K32" s="331">
        <f t="shared" si="9"/>
        <v>57.866100000000017</v>
      </c>
      <c r="M32" s="1066">
        <f>IFERROR('Capital IQ Sheet-GPC'!AT35,"n/a")</f>
        <v>0</v>
      </c>
      <c r="N32" s="331">
        <f t="shared" si="0"/>
        <v>2</v>
      </c>
      <c r="O32" s="1522">
        <f t="shared" si="0"/>
        <v>1.11E-2</v>
      </c>
      <c r="P32" s="1523"/>
      <c r="Q32" s="1524">
        <f>IFERROR(HLOOKUP($Q$6,'Equity Vol'!$B$8:$K32,ROWS('Equity Vol'!$C$8:$C32),FALSE),"n/a")</f>
        <v>0.91431217256686126</v>
      </c>
      <c r="R32" s="1525"/>
      <c r="S32" s="1526">
        <f t="shared" si="10"/>
        <v>0.83596674890393385</v>
      </c>
      <c r="T32" s="1526">
        <f t="shared" si="11"/>
        <v>1.4935997760805184</v>
      </c>
      <c r="U32" s="1527">
        <f t="shared" si="12"/>
        <v>0.20056710139365364</v>
      </c>
      <c r="V32" s="1527">
        <f t="shared" si="13"/>
        <v>0.93235987099452922</v>
      </c>
      <c r="W32" s="1527">
        <f t="shared" si="14"/>
        <v>0.57948145770833537</v>
      </c>
      <c r="X32" s="759">
        <f t="shared" si="15"/>
        <v>42.737574850753674</v>
      </c>
      <c r="Y32" s="1524">
        <f t="shared" si="16"/>
        <v>0.72426348465002133</v>
      </c>
      <c r="AA32" s="1177" t="str">
        <f>IF('MASTER PubCo Inputs'!B50=0,"",'MASTER PubCo Inputs'!B50)</f>
        <v>NasdaqGM:RGLS</v>
      </c>
      <c r="AB32" s="331">
        <f>'Beta Calc'!Z32</f>
        <v>57.866100000000003</v>
      </c>
      <c r="AC32" s="1178">
        <f t="shared" si="17"/>
        <v>0</v>
      </c>
      <c r="AI32" s="1179"/>
    </row>
    <row r="33" spans="2:35" ht="14.85" customHeight="1">
      <c r="B33" s="250" t="str">
        <f>'Comp.1'!B35</f>
        <v>CEL-SCI Corporation</v>
      </c>
      <c r="D33" s="331">
        <f>'Beta Calc'!K33</f>
        <v>32.817689999999999</v>
      </c>
      <c r="E33" s="331">
        <f>'Beta Calc'!L33</f>
        <v>2.31E-3</v>
      </c>
      <c r="F33" s="331">
        <f>'Beta Calc'!M33</f>
        <v>0</v>
      </c>
      <c r="G33" s="331">
        <f>'Beta Calc'!N33</f>
        <v>0</v>
      </c>
      <c r="H33" s="331">
        <f t="shared" si="7"/>
        <v>2.31E-3</v>
      </c>
      <c r="I33" s="331">
        <f t="shared" si="8"/>
        <v>32.82</v>
      </c>
      <c r="J33" s="331">
        <f>'Beta Calc'!Q33</f>
        <v>5.21896</v>
      </c>
      <c r="K33" s="331">
        <f t="shared" si="9"/>
        <v>27.601040000000001</v>
      </c>
      <c r="M33" s="1066">
        <f>IFERROR('Capital IQ Sheet-GPC'!AT36,"n/a")</f>
        <v>0</v>
      </c>
      <c r="N33" s="331">
        <f t="shared" si="0"/>
        <v>2</v>
      </c>
      <c r="O33" s="1522">
        <f t="shared" si="0"/>
        <v>1.11E-2</v>
      </c>
      <c r="P33" s="1523"/>
      <c r="Q33" s="1524">
        <f>IFERROR(HLOOKUP($Q$6,'Equity Vol'!$B$8:$K33,ROWS('Equity Vol'!$C$8:$C33),FALSE),"n/a")</f>
        <v>0.79234406162523929</v>
      </c>
      <c r="R33" s="1525"/>
      <c r="S33" s="1526">
        <f t="shared" si="10"/>
        <v>0.627809111992781</v>
      </c>
      <c r="T33" s="1526">
        <f t="shared" si="11"/>
        <v>8.9584816354918182</v>
      </c>
      <c r="U33" s="1527">
        <f t="shared" si="12"/>
        <v>7.837937917475621</v>
      </c>
      <c r="V33" s="1527">
        <f t="shared" si="13"/>
        <v>1</v>
      </c>
      <c r="W33" s="1527">
        <f t="shared" si="14"/>
        <v>0.99999999999999767</v>
      </c>
      <c r="X33" s="759">
        <f t="shared" si="15"/>
        <v>27.598780716958832</v>
      </c>
      <c r="Y33" s="1524">
        <f t="shared" si="16"/>
        <v>0.79227920430460197</v>
      </c>
      <c r="AA33" s="1177" t="str">
        <f>IF('MASTER PubCo Inputs'!B51=0,"",'MASTER PubCo Inputs'!B51)</f>
        <v>AMEX:CVM</v>
      </c>
      <c r="AB33" s="331">
        <f>'Beta Calc'!Z33</f>
        <v>27.601040000000001</v>
      </c>
      <c r="AC33" s="1178">
        <f t="shared" si="17"/>
        <v>0</v>
      </c>
      <c r="AI33" s="1179"/>
    </row>
    <row r="34" spans="2:35" ht="14.85" customHeight="1">
      <c r="B34" s="250" t="str">
        <f>'Comp.1'!B36</f>
        <v>PhaseRx, Inc.</v>
      </c>
      <c r="D34" s="331">
        <f>'Beta Calc'!K34</f>
        <v>24.549689999999998</v>
      </c>
      <c r="E34" s="331">
        <f>'Beta Calc'!L34</f>
        <v>5.6109999999999998</v>
      </c>
      <c r="F34" s="331">
        <f>'Beta Calc'!M34</f>
        <v>0</v>
      </c>
      <c r="G34" s="331">
        <f>'Beta Calc'!N34</f>
        <v>0</v>
      </c>
      <c r="H34" s="331">
        <f t="shared" si="7"/>
        <v>5.6109999999999998</v>
      </c>
      <c r="I34" s="331">
        <f t="shared" si="8"/>
        <v>30.160689999999999</v>
      </c>
      <c r="J34" s="331">
        <f>'Beta Calc'!Q34</f>
        <v>18.635000000000002</v>
      </c>
      <c r="K34" s="331">
        <f t="shared" si="9"/>
        <v>11.525689999999997</v>
      </c>
      <c r="M34" s="1066">
        <f>IFERROR('Capital IQ Sheet-GPC'!AT37,"n/a")</f>
        <v>0</v>
      </c>
      <c r="N34" s="331">
        <f t="shared" si="0"/>
        <v>2</v>
      </c>
      <c r="O34" s="1522">
        <f t="shared" si="0"/>
        <v>1.11E-2</v>
      </c>
      <c r="P34" s="1523"/>
      <c r="Q34" s="1524" t="str">
        <f>IFERROR(HLOOKUP($Q$6,'Equity Vol'!$B$8:$K34,ROWS('Equity Vol'!$C$8:$C34),FALSE),"n/a")</f>
        <v>n/a</v>
      </c>
      <c r="R34" s="1525"/>
      <c r="S34" s="1526" t="str">
        <f t="shared" si="10"/>
        <v>n/a</v>
      </c>
      <c r="T34" s="1526" t="str">
        <f t="shared" si="11"/>
        <v>n/a</v>
      </c>
      <c r="U34" s="1527" t="str">
        <f t="shared" si="12"/>
        <v>n/a</v>
      </c>
      <c r="V34" s="1527" t="str">
        <f t="shared" si="13"/>
        <v>n/a</v>
      </c>
      <c r="W34" s="1527" t="str">
        <f t="shared" si="14"/>
        <v>n/a</v>
      </c>
      <c r="X34" s="759" t="str">
        <f t="shared" si="15"/>
        <v>n/a</v>
      </c>
      <c r="Y34" s="1524" t="str">
        <f t="shared" si="16"/>
        <v>n/a</v>
      </c>
      <c r="AA34" s="1177" t="str">
        <f>IF('MASTER PubCo Inputs'!B52=0,"",'MASTER PubCo Inputs'!B52)</f>
        <v>NasdaqCM:PZRX</v>
      </c>
      <c r="AB34" s="331">
        <f>'Beta Calc'!Z34</f>
        <v>11.525690000000001</v>
      </c>
      <c r="AC34" s="1178">
        <f t="shared" si="17"/>
        <v>0</v>
      </c>
      <c r="AI34" s="1179"/>
    </row>
    <row r="35" spans="2:35" ht="14.85" customHeight="1">
      <c r="B35" s="250" t="str">
        <f>'Comp.1'!B37</f>
        <v>Marina Biotech, Inc.</v>
      </c>
      <c r="D35" s="331">
        <f>'Beta Calc'!K35</f>
        <v>9.8748500000000003</v>
      </c>
      <c r="E35" s="331">
        <f>'Beta Calc'!L35</f>
        <v>0</v>
      </c>
      <c r="F35" s="331">
        <f>'Beta Calc'!M35</f>
        <v>0</v>
      </c>
      <c r="G35" s="331">
        <f>'Beta Calc'!N35</f>
        <v>0</v>
      </c>
      <c r="H35" s="331">
        <f t="shared" si="7"/>
        <v>0</v>
      </c>
      <c r="I35" s="331">
        <f t="shared" si="8"/>
        <v>9.8748500000000003</v>
      </c>
      <c r="J35" s="331">
        <f>'Beta Calc'!Q35</f>
        <v>0</v>
      </c>
      <c r="K35" s="331">
        <f t="shared" si="9"/>
        <v>9.8748500000000003</v>
      </c>
      <c r="M35" s="1066">
        <f>IFERROR('Capital IQ Sheet-GPC'!AT38,"n/a")</f>
        <v>0</v>
      </c>
      <c r="N35" s="331">
        <f t="shared" si="0"/>
        <v>2</v>
      </c>
      <c r="O35" s="1522">
        <f t="shared" si="0"/>
        <v>1.11E-2</v>
      </c>
      <c r="P35" s="1523"/>
      <c r="Q35" s="1524" t="str">
        <f>IFERROR(HLOOKUP($Q$6,'Equity Vol'!$B$8:$K35,ROWS('Equity Vol'!$C$8:$C35),FALSE),"n/a")</f>
        <v>n/a</v>
      </c>
      <c r="R35" s="1525"/>
      <c r="S35" s="1526" t="str">
        <f t="shared" si="10"/>
        <v>n/a</v>
      </c>
      <c r="T35" s="1526" t="str">
        <f t="shared" si="11"/>
        <v>n/a</v>
      </c>
      <c r="U35" s="1527" t="str">
        <f t="shared" si="12"/>
        <v>n/a</v>
      </c>
      <c r="V35" s="1527" t="str">
        <f t="shared" si="13"/>
        <v>n/a</v>
      </c>
      <c r="W35" s="1527" t="str">
        <f t="shared" si="14"/>
        <v>n/a</v>
      </c>
      <c r="X35" s="759" t="str">
        <f t="shared" si="15"/>
        <v>n/a</v>
      </c>
      <c r="Y35" s="1524" t="str">
        <f t="shared" si="16"/>
        <v>n/a</v>
      </c>
      <c r="AA35" s="1177" t="str">
        <f>IF('MASTER PubCo Inputs'!B53=0,"",'MASTER PubCo Inputs'!B53)</f>
        <v>OTCPK:MRNA</v>
      </c>
      <c r="AB35" s="331">
        <f>'Beta Calc'!Z35</f>
        <v>0</v>
      </c>
      <c r="AC35" s="1178">
        <f t="shared" si="17"/>
        <v>9.8748500000000003</v>
      </c>
      <c r="AI35" s="1179"/>
    </row>
    <row r="36" spans="2:35" ht="14.85" customHeight="1">
      <c r="B36" s="250" t="str">
        <f>'Comp.1'!B38</f>
        <v>RXi Pharmaceuticals Corporation</v>
      </c>
      <c r="D36" s="331">
        <f>'Beta Calc'!K36</f>
        <v>9.9657699999999991</v>
      </c>
      <c r="E36" s="331">
        <f>'Beta Calc'!L36</f>
        <v>0</v>
      </c>
      <c r="F36" s="331">
        <f>'Beta Calc'!M36</f>
        <v>0</v>
      </c>
      <c r="G36" s="331">
        <f>'Beta Calc'!N36</f>
        <v>0</v>
      </c>
      <c r="H36" s="331">
        <f t="shared" si="7"/>
        <v>0</v>
      </c>
      <c r="I36" s="331">
        <f t="shared" si="8"/>
        <v>9.9657699999999991</v>
      </c>
      <c r="J36" s="331">
        <f>'Beta Calc'!Q36</f>
        <v>4.3789999999999996</v>
      </c>
      <c r="K36" s="331">
        <f t="shared" si="9"/>
        <v>5.5867699999999996</v>
      </c>
      <c r="M36" s="1066">
        <f>IFERROR('Capital IQ Sheet-GPC'!AT39,"n/a")</f>
        <v>0</v>
      </c>
      <c r="N36" s="331">
        <f t="shared" si="0"/>
        <v>2</v>
      </c>
      <c r="O36" s="1522">
        <f t="shared" si="0"/>
        <v>1.11E-2</v>
      </c>
      <c r="P36" s="1523"/>
      <c r="Q36" s="1524">
        <f>IFERROR(HLOOKUP($Q$6,'Equity Vol'!$B$8:$K36,ROWS('Equity Vol'!$C$8:$C36),FALSE),"n/a")</f>
        <v>0.94144155911266458</v>
      </c>
      <c r="R36" s="1525"/>
      <c r="S36" s="1526">
        <f t="shared" si="10"/>
        <v>0.88631220922448473</v>
      </c>
      <c r="T36" s="1526">
        <f t="shared" si="11"/>
        <v>0</v>
      </c>
      <c r="U36" s="1527">
        <f t="shared" si="12"/>
        <v>0</v>
      </c>
      <c r="V36" s="1527">
        <f t="shared" si="13"/>
        <v>0</v>
      </c>
      <c r="W36" s="1527">
        <f t="shared" si="14"/>
        <v>0</v>
      </c>
      <c r="X36" s="759">
        <f t="shared" si="15"/>
        <v>0</v>
      </c>
      <c r="Y36" s="1524">
        <f t="shared" si="16"/>
        <v>0.94144155911266458</v>
      </c>
      <c r="AA36" s="1177" t="str">
        <f>IF('MASTER PubCo Inputs'!B54=0,"",'MASTER PubCo Inputs'!B54)</f>
        <v>NasdaqCM:RXII</v>
      </c>
      <c r="AB36" s="331">
        <f>'Beta Calc'!Z36</f>
        <v>5.5867699999999996</v>
      </c>
      <c r="AC36" s="1178">
        <f t="shared" si="17"/>
        <v>0</v>
      </c>
      <c r="AI36" s="1179"/>
    </row>
    <row r="37" spans="2:35" ht="14.85" customHeight="1">
      <c r="B37" s="250" t="str">
        <f>'Comp.1'!B39</f>
        <v>Benitec Biopharma Limited</v>
      </c>
      <c r="D37" s="331">
        <f>'Beta Calc'!K37</f>
        <v>12.459519999999999</v>
      </c>
      <c r="E37" s="331">
        <f>'Beta Calc'!L37</f>
        <v>0</v>
      </c>
      <c r="F37" s="331">
        <f>'Beta Calc'!M37</f>
        <v>0</v>
      </c>
      <c r="G37" s="331">
        <f>'Beta Calc'!N37</f>
        <v>0</v>
      </c>
      <c r="H37" s="331">
        <f t="shared" si="7"/>
        <v>0</v>
      </c>
      <c r="I37" s="331">
        <f t="shared" si="8"/>
        <v>12.459519999999999</v>
      </c>
      <c r="J37" s="331">
        <f>'Beta Calc'!Q37</f>
        <v>10.266360000000001</v>
      </c>
      <c r="K37" s="331">
        <f t="shared" si="9"/>
        <v>2.1931599999999989</v>
      </c>
      <c r="M37" s="1066">
        <f>IFERROR('Capital IQ Sheet-GPC'!AT40,"n/a")</f>
        <v>0</v>
      </c>
      <c r="N37" s="331">
        <f t="shared" si="0"/>
        <v>2</v>
      </c>
      <c r="O37" s="1522">
        <f t="shared" si="0"/>
        <v>1.11E-2</v>
      </c>
      <c r="P37" s="1523"/>
      <c r="Q37" s="1524">
        <f>IFERROR(HLOOKUP($Q$6,'Equity Vol'!$B$8:$K37,ROWS('Equity Vol'!$C$8:$C37),FALSE),"n/a")</f>
        <v>0.97983618266092853</v>
      </c>
      <c r="R37" s="1525"/>
      <c r="S37" s="1526">
        <f t="shared" si="10"/>
        <v>0.96007894485154055</v>
      </c>
      <c r="T37" s="1526">
        <f t="shared" si="11"/>
        <v>0</v>
      </c>
      <c r="U37" s="1527">
        <f t="shared" si="12"/>
        <v>0</v>
      </c>
      <c r="V37" s="1527">
        <f t="shared" si="13"/>
        <v>0</v>
      </c>
      <c r="W37" s="1527">
        <f t="shared" si="14"/>
        <v>0</v>
      </c>
      <c r="X37" s="759">
        <f t="shared" si="15"/>
        <v>0</v>
      </c>
      <c r="Y37" s="1524">
        <f t="shared" si="16"/>
        <v>0.97983618266092853</v>
      </c>
      <c r="AA37" s="1177" t="str">
        <f>IF('MASTER PubCo Inputs'!B55=0,"",'MASTER PubCo Inputs'!B55)</f>
        <v>ASX:BLT</v>
      </c>
      <c r="AB37" s="331">
        <f>'Beta Calc'!Z37</f>
        <v>2.5731899999999999</v>
      </c>
      <c r="AC37" s="1178">
        <f t="shared" si="17"/>
        <v>-0.38003000000000098</v>
      </c>
      <c r="AI37" s="1179"/>
    </row>
    <row r="38" spans="2:35" ht="14.85" customHeight="1">
      <c r="B38" s="250" t="str">
        <f>'Comp.1'!B40</f>
        <v>GenVec, Inc.</v>
      </c>
      <c r="D38" s="331">
        <f>'Beta Calc'!K38</f>
        <v>7.33019</v>
      </c>
      <c r="E38" s="331">
        <f>'Beta Calc'!L38</f>
        <v>0</v>
      </c>
      <c r="F38" s="331">
        <f>'Beta Calc'!M38</f>
        <v>0</v>
      </c>
      <c r="G38" s="331">
        <f>'Beta Calc'!N38</f>
        <v>0</v>
      </c>
      <c r="H38" s="331">
        <f t="shared" si="7"/>
        <v>0</v>
      </c>
      <c r="I38" s="331">
        <f t="shared" si="8"/>
        <v>7.33019</v>
      </c>
      <c r="J38" s="331">
        <f>'Beta Calc'!Q38</f>
        <v>8.3960000000000008</v>
      </c>
      <c r="K38" s="331">
        <f t="shared" si="9"/>
        <v>-1.0658100000000008</v>
      </c>
      <c r="M38" s="1066">
        <f>IFERROR('Capital IQ Sheet-GPC'!AT41,"n/a")</f>
        <v>0</v>
      </c>
      <c r="N38" s="331">
        <f t="shared" si="0"/>
        <v>2</v>
      </c>
      <c r="O38" s="1522">
        <f t="shared" si="0"/>
        <v>1.11E-2</v>
      </c>
      <c r="P38" s="1523"/>
      <c r="Q38" s="1524">
        <f>IFERROR(HLOOKUP($Q$6,'Equity Vol'!$B$8:$K38,ROWS('Equity Vol'!$C$8:$C38),FALSE),"n/a")</f>
        <v>1.0969190492665144</v>
      </c>
      <c r="R38" s="1525"/>
      <c r="S38" s="1526">
        <f t="shared" si="10"/>
        <v>1.2032314006437539</v>
      </c>
      <c r="T38" s="1526">
        <f t="shared" si="11"/>
        <v>0</v>
      </c>
      <c r="U38" s="1527">
        <f t="shared" si="12"/>
        <v>0</v>
      </c>
      <c r="V38" s="1527">
        <f t="shared" si="13"/>
        <v>0</v>
      </c>
      <c r="W38" s="1527">
        <f t="shared" si="14"/>
        <v>0</v>
      </c>
      <c r="X38" s="759">
        <f t="shared" si="15"/>
        <v>0</v>
      </c>
      <c r="Y38" s="1524">
        <f t="shared" si="16"/>
        <v>1.0969190492665144</v>
      </c>
      <c r="AA38" s="1177" t="str">
        <f>IF('MASTER PubCo Inputs'!B56=0,"",'MASTER PubCo Inputs'!B56)</f>
        <v>NasdaqCM:GNVC</v>
      </c>
      <c r="AB38" s="331">
        <f>'Beta Calc'!Z38</f>
        <v>-1.0658099999999999</v>
      </c>
      <c r="AC38" s="1178">
        <f t="shared" si="17"/>
        <v>0</v>
      </c>
      <c r="AI38" s="1179"/>
    </row>
    <row r="39" spans="2:35" ht="14.85" customHeight="1">
      <c r="B39" s="250" t="str">
        <f>'Comp.1'!B41</f>
        <v>Arbutus Biopharma Corporation</v>
      </c>
      <c r="D39" s="331">
        <f>'Beta Calc'!K39</f>
        <v>145.32996</v>
      </c>
      <c r="E39" s="331">
        <f>'Beta Calc'!L39</f>
        <v>0</v>
      </c>
      <c r="F39" s="331">
        <f>'Beta Calc'!M39</f>
        <v>0</v>
      </c>
      <c r="G39" s="331">
        <f>'Beta Calc'!N39</f>
        <v>0</v>
      </c>
      <c r="H39" s="331">
        <f t="shared" si="7"/>
        <v>0</v>
      </c>
      <c r="I39" s="331">
        <f t="shared" si="8"/>
        <v>145.32996</v>
      </c>
      <c r="J39" s="331">
        <f>'Beta Calc'!Q39</f>
        <v>149.68199999999999</v>
      </c>
      <c r="K39" s="331">
        <f t="shared" si="9"/>
        <v>-4.3520399999999881</v>
      </c>
      <c r="M39" s="1066">
        <f>IFERROR('Capital IQ Sheet-GPC'!AT42,"n/a")</f>
        <v>0</v>
      </c>
      <c r="N39" s="331">
        <f t="shared" si="0"/>
        <v>2</v>
      </c>
      <c r="O39" s="1522">
        <f t="shared" si="0"/>
        <v>1.11E-2</v>
      </c>
      <c r="P39" s="1523"/>
      <c r="Q39" s="1524">
        <f>IFERROR(HLOOKUP($Q$6,'Equity Vol'!$B$8:$K39,ROWS('Equity Vol'!$C$8:$C39),FALSE),"n/a")</f>
        <v>0.6368240548266475</v>
      </c>
      <c r="R39" s="1525"/>
      <c r="S39" s="1526">
        <f t="shared" si="10"/>
        <v>0.40554487680585294</v>
      </c>
      <c r="T39" s="1526">
        <f t="shared" si="11"/>
        <v>0</v>
      </c>
      <c r="U39" s="1527">
        <f t="shared" si="12"/>
        <v>0</v>
      </c>
      <c r="V39" s="1527">
        <f t="shared" si="13"/>
        <v>0</v>
      </c>
      <c r="W39" s="1527">
        <f t="shared" si="14"/>
        <v>0</v>
      </c>
      <c r="X39" s="759">
        <f t="shared" si="15"/>
        <v>0</v>
      </c>
      <c r="Y39" s="1524">
        <f t="shared" si="16"/>
        <v>0.6368240548266475</v>
      </c>
      <c r="AA39" s="1177" t="str">
        <f>IF('MASTER PubCo Inputs'!B57=0,"",'MASTER PubCo Inputs'!B57)</f>
        <v>NasdaqGS:ABUS</v>
      </c>
      <c r="AB39" s="331">
        <f>'Beta Calc'!Z39</f>
        <v>-4.3520399999999997</v>
      </c>
      <c r="AC39" s="1178">
        <f t="shared" si="17"/>
        <v>1.1546319456101628E-14</v>
      </c>
      <c r="AI39" s="1179"/>
    </row>
    <row r="40" spans="2:35" ht="14.85" customHeight="1">
      <c r="D40" s="331"/>
      <c r="E40" s="331"/>
      <c r="F40" s="331"/>
      <c r="G40" s="331"/>
      <c r="H40" s="331"/>
      <c r="I40" s="331"/>
      <c r="J40" s="331"/>
      <c r="K40" s="331"/>
      <c r="R40" s="724"/>
    </row>
    <row r="41" spans="2:35" ht="14.85" customHeight="1">
      <c r="B41" s="1181" t="s">
        <v>111</v>
      </c>
      <c r="C41" s="1182"/>
      <c r="D41" s="1184">
        <f>MAX(D10:D39)</f>
        <v>1692.82537</v>
      </c>
      <c r="E41" s="1184">
        <f t="shared" ref="E41:K41" si="18">MAX(E10:E39)</f>
        <v>32.048000000000002</v>
      </c>
      <c r="F41" s="1184">
        <f t="shared" si="18"/>
        <v>185.565</v>
      </c>
      <c r="G41" s="1184">
        <f t="shared" si="18"/>
        <v>9.6269999999999994E-2</v>
      </c>
      <c r="H41" s="1184">
        <f t="shared" si="18"/>
        <v>185.51400000000001</v>
      </c>
      <c r="I41" s="1184">
        <f t="shared" si="18"/>
        <v>1694.4007799999999</v>
      </c>
      <c r="J41" s="1184">
        <f t="shared" si="18"/>
        <v>408.70499999999998</v>
      </c>
      <c r="K41" s="1184">
        <f t="shared" si="18"/>
        <v>1387.752</v>
      </c>
      <c r="L41" s="1182"/>
      <c r="M41" s="1326">
        <f t="shared" ref="M41:O41" si="19">MAX(M10:M39)</f>
        <v>0</v>
      </c>
      <c r="N41" s="1184">
        <f t="shared" si="19"/>
        <v>2</v>
      </c>
      <c r="O41" s="1528">
        <f t="shared" si="19"/>
        <v>1.11E-2</v>
      </c>
      <c r="P41" s="1529"/>
      <c r="Q41" s="1530">
        <f>MAX(Q10:Q39)</f>
        <v>1.1933416076473253</v>
      </c>
      <c r="R41" s="1531"/>
      <c r="S41" s="1532">
        <f t="shared" ref="S41:W41" si="20">MAX(S10:S40)</f>
        <v>1.424064192542303</v>
      </c>
      <c r="T41" s="1532">
        <f t="shared" si="20"/>
        <v>9.9953294271726456</v>
      </c>
      <c r="U41" s="1533">
        <f t="shared" si="20"/>
        <v>9.1200017680725072</v>
      </c>
      <c r="V41" s="1533">
        <f t="shared" si="20"/>
        <v>1</v>
      </c>
      <c r="W41" s="1533">
        <f t="shared" si="20"/>
        <v>1</v>
      </c>
      <c r="X41" s="1184">
        <f t="shared" ref="X41:Y41" si="21">MAX(X10:X39)</f>
        <v>1386.211178747566</v>
      </c>
      <c r="Y41" s="1534">
        <f t="shared" si="21"/>
        <v>1.1760738268689599</v>
      </c>
      <c r="AB41" s="1535">
        <f ca="1">+'Asset Vol_OPM'!Y48</f>
        <v>0.29990839422607651</v>
      </c>
      <c r="AC41" s="1536" t="s">
        <v>1815</v>
      </c>
      <c r="AD41" s="1536"/>
      <c r="AE41" s="1536"/>
      <c r="AF41" s="775"/>
    </row>
    <row r="42" spans="2:35" ht="14.85" customHeight="1">
      <c r="B42" s="1187" t="s">
        <v>115</v>
      </c>
      <c r="C42" s="1188"/>
      <c r="D42" s="1190">
        <f t="shared" ref="D42:K42" si="22">QUARTILE(D10:D39,3)</f>
        <v>535.13891249999995</v>
      </c>
      <c r="E42" s="1190">
        <f t="shared" si="22"/>
        <v>0.69918499999999995</v>
      </c>
      <c r="F42" s="1190">
        <f t="shared" si="22"/>
        <v>0</v>
      </c>
      <c r="G42" s="1190">
        <f t="shared" si="22"/>
        <v>0</v>
      </c>
      <c r="H42" s="1190">
        <f t="shared" si="22"/>
        <v>2.5620824999999998</v>
      </c>
      <c r="I42" s="1190">
        <f t="shared" si="22"/>
        <v>544.96866749999992</v>
      </c>
      <c r="J42" s="1190">
        <f t="shared" si="22"/>
        <v>164.18174999999999</v>
      </c>
      <c r="K42" s="1190">
        <f t="shared" si="22"/>
        <v>330.71264999999994</v>
      </c>
      <c r="L42" s="1188"/>
      <c r="M42" s="1328">
        <f>QUARTILE(M10:M39,3)</f>
        <v>0</v>
      </c>
      <c r="N42" s="1190">
        <f>QUARTILE(N10:N39,3)</f>
        <v>2</v>
      </c>
      <c r="O42" s="1537">
        <f>QUARTILE(O10:O39,3)</f>
        <v>1.11E-2</v>
      </c>
      <c r="P42" s="1538"/>
      <c r="Q42" s="1539">
        <f>QUARTILE(Q10:Q39,3)</f>
        <v>0.93465921247621375</v>
      </c>
      <c r="R42" s="1540"/>
      <c r="S42" s="1541">
        <f>QUARTILE(S10:S40,3)</f>
        <v>0.87372584414434695</v>
      </c>
      <c r="T42" s="1541">
        <f>QUARTILE(T10:T40,3)</f>
        <v>5.6659892160462668</v>
      </c>
      <c r="U42" s="1542">
        <f>QUARTILE(U10:U40,3)</f>
        <v>4.5852482198116196</v>
      </c>
      <c r="V42" s="1542">
        <f>QUARTILE(V10:V40,3)</f>
        <v>0.99999923146746927</v>
      </c>
      <c r="W42" s="1542">
        <f>QUARTILE(W10:W40,3)</f>
        <v>0.99991372779673748</v>
      </c>
      <c r="X42" s="1190">
        <f>QUARTILE(X10:X39,3)</f>
        <v>187.44225326321094</v>
      </c>
      <c r="Y42" s="1543">
        <f>QUARTILE(Y10:Y39,3)</f>
        <v>0.9300990559726432</v>
      </c>
      <c r="AB42" s="1544">
        <f>+'Asset Vol_OPM'!Y50</f>
        <v>0.31</v>
      </c>
      <c r="AC42" s="467" t="s">
        <v>1816</v>
      </c>
      <c r="AD42" s="467"/>
      <c r="AE42" s="467"/>
      <c r="AF42" s="468"/>
    </row>
    <row r="43" spans="2:35" ht="14.85" customHeight="1">
      <c r="B43" s="1187" t="s">
        <v>113</v>
      </c>
      <c r="C43" s="1188"/>
      <c r="D43" s="1190">
        <f>AVERAGE(D10:D39)</f>
        <v>349.13332166666657</v>
      </c>
      <c r="E43" s="1190">
        <f t="shared" ref="E43:K43" si="23">AVERAGE(E10:E39)</f>
        <v>2.8426580000000001</v>
      </c>
      <c r="F43" s="1190">
        <f t="shared" si="23"/>
        <v>6.5502309999999992</v>
      </c>
      <c r="G43" s="1190">
        <f t="shared" si="23"/>
        <v>-1.699733333333333E-2</v>
      </c>
      <c r="H43" s="1190">
        <f t="shared" si="23"/>
        <v>9.3758916666666661</v>
      </c>
      <c r="I43" s="1190">
        <f t="shared" si="23"/>
        <v>358.50921333333332</v>
      </c>
      <c r="J43" s="1190">
        <f t="shared" si="23"/>
        <v>109.87659433333336</v>
      </c>
      <c r="K43" s="1190">
        <f t="shared" si="23"/>
        <v>248.63261900000001</v>
      </c>
      <c r="L43" s="1188"/>
      <c r="M43" s="1328">
        <f t="shared" ref="M43:O43" si="24">AVERAGE(M10:M39)</f>
        <v>0</v>
      </c>
      <c r="N43" s="1190">
        <f t="shared" si="24"/>
        <v>2</v>
      </c>
      <c r="O43" s="1537">
        <f t="shared" si="24"/>
        <v>1.11E-2</v>
      </c>
      <c r="P43" s="1538"/>
      <c r="Q43" s="1539">
        <f>AVERAGE(Q10:Q39)</f>
        <v>0.84033637690695717</v>
      </c>
      <c r="R43" s="1540"/>
      <c r="S43" s="1541">
        <f t="shared" ref="S43:W43" si="25">AVERAGE(S10:S40)</f>
        <v>0.72949287308122057</v>
      </c>
      <c r="T43" s="1541">
        <f t="shared" si="25"/>
        <v>2.916990091514553</v>
      </c>
      <c r="U43" s="1542">
        <f t="shared" si="25"/>
        <v>2.3008562915292696</v>
      </c>
      <c r="V43" s="1542">
        <f t="shared" si="25"/>
        <v>0.54125160132479799</v>
      </c>
      <c r="W43" s="1542">
        <f t="shared" si="25"/>
        <v>0.51292963351984544</v>
      </c>
      <c r="X43" s="1190">
        <f t="shared" ref="X43:Y43" si="26">AVERAGE(X10:X39)</f>
        <v>173.72475462349146</v>
      </c>
      <c r="Y43" s="1543">
        <f t="shared" si="26"/>
        <v>0.82198116711964575</v>
      </c>
      <c r="AB43" s="1544">
        <f>+'Asset Vol_OPM'!Y44</f>
        <v>0.77711237447707981</v>
      </c>
      <c r="AC43" s="467" t="s">
        <v>1814</v>
      </c>
      <c r="AD43" s="467"/>
      <c r="AE43" s="467"/>
      <c r="AF43" s="1545" t="s">
        <v>2280</v>
      </c>
    </row>
    <row r="44" spans="2:35" ht="14.85" customHeight="1">
      <c r="B44" s="1187" t="s">
        <v>44</v>
      </c>
      <c r="C44" s="1188"/>
      <c r="D44" s="1190">
        <f>MEDIAN(D10:D39)</f>
        <v>252.89796000000001</v>
      </c>
      <c r="E44" s="1190">
        <f t="shared" ref="E44:K44" si="27">MEDIAN(E10:E39)</f>
        <v>0</v>
      </c>
      <c r="F44" s="1190">
        <f t="shared" si="27"/>
        <v>0</v>
      </c>
      <c r="G44" s="1190">
        <f t="shared" si="27"/>
        <v>0</v>
      </c>
      <c r="H44" s="1190">
        <f t="shared" si="27"/>
        <v>0.17863499999999999</v>
      </c>
      <c r="I44" s="1190">
        <f t="shared" si="27"/>
        <v>253.41356500000001</v>
      </c>
      <c r="J44" s="1190">
        <f t="shared" si="27"/>
        <v>91.676500000000004</v>
      </c>
      <c r="K44" s="1190">
        <f t="shared" si="27"/>
        <v>208.32753500000001</v>
      </c>
      <c r="L44" s="1188"/>
      <c r="M44" s="1328">
        <f t="shared" ref="M44:O44" si="28">MEDIAN(M10:M39)</f>
        <v>0</v>
      </c>
      <c r="N44" s="1190">
        <f t="shared" si="28"/>
        <v>2</v>
      </c>
      <c r="O44" s="1537">
        <f t="shared" si="28"/>
        <v>1.11E-2</v>
      </c>
      <c r="P44" s="1538"/>
      <c r="Q44" s="1539">
        <f>MEDIAN(Q10:Q39)</f>
        <v>0.80956798122350371</v>
      </c>
      <c r="R44" s="1540"/>
      <c r="S44" s="1541">
        <f t="shared" ref="S44:W44" si="29">MEDIAN(S10:S40)</f>
        <v>0.65555740591618328</v>
      </c>
      <c r="T44" s="1541">
        <f t="shared" si="29"/>
        <v>1.7347764982979403</v>
      </c>
      <c r="U44" s="1542">
        <f t="shared" si="29"/>
        <v>0.46811164735447486</v>
      </c>
      <c r="V44" s="1542">
        <f t="shared" si="29"/>
        <v>0.95413991658769171</v>
      </c>
      <c r="W44" s="1542">
        <f t="shared" si="29"/>
        <v>0.67425573997247845</v>
      </c>
      <c r="X44" s="1190">
        <f t="shared" ref="X44:Y44" si="30">MEDIAN(X10:X39)</f>
        <v>35.168177783856251</v>
      </c>
      <c r="Y44" s="1543">
        <f t="shared" si="30"/>
        <v>0.77711237447707981</v>
      </c>
      <c r="AB44" s="1546" t="str">
        <f ca="1">IF(ROUND(AB41,3)=ROUND(AB43,3),"","Update Volatility - OPM")</f>
        <v>Update Volatility - OPM</v>
      </c>
      <c r="AC44" s="467"/>
      <c r="AD44" s="467"/>
      <c r="AE44" s="467"/>
      <c r="AF44" s="468"/>
    </row>
    <row r="45" spans="2:35" ht="14.85" customHeight="1">
      <c r="B45" s="1187" t="s">
        <v>114</v>
      </c>
      <c r="C45" s="1188"/>
      <c r="D45" s="1190">
        <f>QUARTILE(D10:D39,1)</f>
        <v>106.88460499999999</v>
      </c>
      <c r="E45" s="1190">
        <f t="shared" ref="E45:K45" si="31">QUARTILE(E10:E39,1)</f>
        <v>0</v>
      </c>
      <c r="F45" s="1190">
        <f t="shared" si="31"/>
        <v>0</v>
      </c>
      <c r="G45" s="1190">
        <f t="shared" si="31"/>
        <v>0</v>
      </c>
      <c r="H45" s="1190">
        <f t="shared" si="31"/>
        <v>0</v>
      </c>
      <c r="I45" s="1190">
        <f t="shared" si="31"/>
        <v>114.9033675</v>
      </c>
      <c r="J45" s="1190">
        <f t="shared" si="31"/>
        <v>21.772500000000001</v>
      </c>
      <c r="K45" s="1190">
        <f t="shared" si="31"/>
        <v>58.667125000000013</v>
      </c>
      <c r="L45" s="1188"/>
      <c r="M45" s="1328">
        <f t="shared" ref="M45:O45" si="32">QUARTILE(M10:M39,1)</f>
        <v>0</v>
      </c>
      <c r="N45" s="1190">
        <f t="shared" si="32"/>
        <v>2</v>
      </c>
      <c r="O45" s="1537">
        <f t="shared" si="32"/>
        <v>1.11E-2</v>
      </c>
      <c r="P45" s="1538"/>
      <c r="Q45" s="1539">
        <f>QUARTILE(Q10:Q39,1)</f>
        <v>0.74778708577490494</v>
      </c>
      <c r="R45" s="1540"/>
      <c r="S45" s="1541">
        <f t="shared" ref="S45:W45" si="33">QUARTILE(S10:S40,1)</f>
        <v>0.55919548889814052</v>
      </c>
      <c r="T45" s="1541">
        <f t="shared" si="33"/>
        <v>0</v>
      </c>
      <c r="U45" s="1542">
        <f t="shared" si="33"/>
        <v>0</v>
      </c>
      <c r="V45" s="1542">
        <f t="shared" si="33"/>
        <v>0</v>
      </c>
      <c r="W45" s="1542">
        <f t="shared" si="33"/>
        <v>0</v>
      </c>
      <c r="X45" s="1190">
        <f t="shared" ref="X45:Y45" si="34">QUARTILE(X10:X39,1)</f>
        <v>0</v>
      </c>
      <c r="Y45" s="1543">
        <f t="shared" si="34"/>
        <v>0.72968878902074774</v>
      </c>
      <c r="AB45" s="1547" t="str">
        <f>IF(ROUND(AB42,3)=ROUND(AB43,3),"","Update Volatility - DLOM")</f>
        <v>Update Volatility - DLOM</v>
      </c>
      <c r="AC45" s="346"/>
      <c r="AD45" s="346"/>
      <c r="AE45" s="346"/>
      <c r="AF45" s="897"/>
    </row>
    <row r="46" spans="2:35" ht="14.85" customHeight="1">
      <c r="B46" s="1192" t="s">
        <v>112</v>
      </c>
      <c r="C46" s="858"/>
      <c r="D46" s="867">
        <f t="shared" ref="D46:K46" si="35">MIN(D10:D39)</f>
        <v>7.33019</v>
      </c>
      <c r="E46" s="867">
        <f t="shared" si="35"/>
        <v>0</v>
      </c>
      <c r="F46" s="867">
        <f t="shared" si="35"/>
        <v>0</v>
      </c>
      <c r="G46" s="867">
        <f t="shared" si="35"/>
        <v>-0.55518999999999996</v>
      </c>
      <c r="H46" s="867">
        <f t="shared" si="35"/>
        <v>0</v>
      </c>
      <c r="I46" s="867">
        <f t="shared" si="35"/>
        <v>7.33019</v>
      </c>
      <c r="J46" s="867">
        <f t="shared" si="35"/>
        <v>0</v>
      </c>
      <c r="K46" s="867">
        <f t="shared" si="35"/>
        <v>-4.3520399999999881</v>
      </c>
      <c r="L46" s="858"/>
      <c r="M46" s="1330">
        <f>MIN(M10:M39)</f>
        <v>0</v>
      </c>
      <c r="N46" s="867">
        <f>MIN(N10:N39)</f>
        <v>2</v>
      </c>
      <c r="O46" s="1548">
        <f>MIN(O10:O39)</f>
        <v>1.11E-2</v>
      </c>
      <c r="P46" s="1549"/>
      <c r="Q46" s="1550">
        <f>MIN(Q10:Q39)</f>
        <v>0.6189501235098539</v>
      </c>
      <c r="R46" s="1551"/>
      <c r="S46" s="1552">
        <f>MIN(S10:S40)</f>
        <v>0.38309925539286338</v>
      </c>
      <c r="T46" s="1552">
        <f>MIN(T10:T40)</f>
        <v>0</v>
      </c>
      <c r="U46" s="1553">
        <f>MIN(U10:U40)</f>
        <v>0</v>
      </c>
      <c r="V46" s="1553">
        <f>MIN(V10:V40)</f>
        <v>0</v>
      </c>
      <c r="W46" s="1553">
        <f>MIN(W10:W40)</f>
        <v>0</v>
      </c>
      <c r="X46" s="867">
        <f>MIN(X10:X39)</f>
        <v>0</v>
      </c>
      <c r="Y46" s="1554">
        <f>MIN(Y10:Y39)</f>
        <v>0.61880614113165366</v>
      </c>
      <c r="AB46" s="433" t="str">
        <f ca="1">IF(K48&lt;&gt;K50,"Check","")</f>
        <v/>
      </c>
    </row>
    <row r="47" spans="2:35" ht="14.85" customHeight="1">
      <c r="AB47" s="1104" t="str">
        <f ca="1">IF(AND(AB44=$AF$45,AB46=$AF$45,AB45=$AF$45),"","Check")</f>
        <v>Check</v>
      </c>
    </row>
    <row r="48" spans="2:35" ht="14.85" customHeight="1">
      <c r="B48" s="1555" t="str">
        <f>B2</f>
        <v>ABC, Inc.</v>
      </c>
      <c r="C48" s="1556" t="s">
        <v>269</v>
      </c>
      <c r="D48" s="1557"/>
      <c r="E48" s="1557"/>
      <c r="F48" s="1557"/>
      <c r="G48" s="1557"/>
      <c r="H48" s="1558">
        <f ca="1">-'Val Summ'!$H$20/1000</f>
        <v>2.0379999999999998</v>
      </c>
      <c r="I48" s="1559">
        <f t="shared" ref="I48" si="36">SUM(D48:G48)</f>
        <v>0</v>
      </c>
      <c r="J48" s="1557"/>
      <c r="K48" s="1558">
        <f ca="1">'Val Summ'!$H$17/1000</f>
        <v>61.23</v>
      </c>
      <c r="L48" s="1557"/>
      <c r="M48" s="1560">
        <f>'OPM 1'!D13</f>
        <v>0</v>
      </c>
      <c r="N48" s="1561">
        <f>N$6</f>
        <v>2</v>
      </c>
      <c r="O48" s="1562">
        <f>O$6</f>
        <v>1.11E-2</v>
      </c>
      <c r="P48" s="1563"/>
      <c r="Q48" s="1564">
        <v>0.31</v>
      </c>
      <c r="R48" s="1557"/>
      <c r="S48" s="1565">
        <f>IF(Q48="n/a","n/a",Q48^2)</f>
        <v>9.6100000000000005E-2</v>
      </c>
      <c r="T48" s="1565">
        <f ca="1">IF(OR(K48="n/a",S48="n/a"),"n/a",IF(H48=0,0,IF(M48=0,(LN(K48/H48)+((O48+(S48/2))*N48))/((S48*N48)^0.5),(LN(K48/H48)+((O48-M48+(S48/2))*N48))/((S48*N48)^0.5))))</f>
        <v>8.0312922031403335</v>
      </c>
      <c r="U48" s="1566">
        <f ca="1">IF(T48="n/a","n/a",IF(H48=0,0,T48-(S48*N48)^0.5))</f>
        <v>7.5928859988046744</v>
      </c>
      <c r="V48" s="1566">
        <f ca="1">IF(OR(T48="n/a",S48="n/a"),"n/a",IF(H48=0,0,NORMSDIST(T48)))</f>
        <v>0.99999999999999956</v>
      </c>
      <c r="W48" s="1566">
        <f ca="1">IF(OR(U48="n/a",S48="n/a"),"n/a",IF(H48=0,0,NORMSDIST(U48)))</f>
        <v>0.99999999999998435</v>
      </c>
      <c r="X48" s="1566">
        <f ca="1">IF(OR(K48="n/a",S48="n/a"),"n/a",IF(M48=0,(K48*V48)-((H48*EXP(1)^(-O48*N48))*W48),(K48*(2.718^(-M48*N48))*V48)-(H48*(2.718^(-O48*N48))*W48)))</f>
        <v>59.236745091815024</v>
      </c>
      <c r="Y48" s="1567">
        <f ca="1">IF(LEN(B48)&gt;0,IF(H48=0,Q48,IF(ISERROR(Q48/((K48/X48)*V48)),"n/a",Q48/((K48/X48)*V48))))</f>
        <v>0.29990839422607651</v>
      </c>
    </row>
    <row r="49" spans="1:25" ht="14.85" customHeight="1">
      <c r="C49" s="414"/>
      <c r="D49" s="414"/>
      <c r="E49" s="414"/>
      <c r="F49" s="414"/>
      <c r="G49" s="414"/>
      <c r="H49" s="414"/>
      <c r="I49" s="414"/>
      <c r="J49" s="414"/>
    </row>
    <row r="50" spans="1:25" ht="14.85" customHeight="1">
      <c r="B50" s="1555" t="str">
        <f>B48</f>
        <v>ABC, Inc.</v>
      </c>
      <c r="C50" s="1556" t="s">
        <v>308</v>
      </c>
      <c r="D50" s="1557"/>
      <c r="E50" s="1557"/>
      <c r="F50" s="1557"/>
      <c r="G50" s="1557"/>
      <c r="H50" s="1558"/>
      <c r="I50" s="1559">
        <f ca="1">K50+J50</f>
        <v>61.23</v>
      </c>
      <c r="J50" s="1557"/>
      <c r="K50" s="1568">
        <f ca="1">K48</f>
        <v>61.23</v>
      </c>
      <c r="L50" s="1557"/>
      <c r="M50" s="1569">
        <f>M48</f>
        <v>0</v>
      </c>
      <c r="N50" s="1561">
        <f>N$6</f>
        <v>2</v>
      </c>
      <c r="O50" s="1562">
        <f>O$6</f>
        <v>1.11E-2</v>
      </c>
      <c r="P50" s="1563"/>
      <c r="Q50" s="1564">
        <v>0.31</v>
      </c>
      <c r="R50" s="1557"/>
      <c r="S50" s="1565">
        <f>IF(Q50="n/a","n/a",Q50^2)</f>
        <v>9.6100000000000005E-2</v>
      </c>
      <c r="T50" s="1565">
        <f ca="1">IF(OR(K50="n/a",S50="n/a"),"n/a",IF(H50=0,0,IF(M50=0,(LN(K50/H50)+((O50+(S50/2))*N50))/((S50*N50)^0.5),(LN(K50/H50)+((O50-M50+(S50/2))*N50))/((S50*N50)^0.5))))</f>
        <v>0</v>
      </c>
      <c r="U50" s="1566">
        <f ca="1">IF(T50="n/a","n/a",IF(H50=0,0,T50-(S50*N50)^0.5))</f>
        <v>0</v>
      </c>
      <c r="V50" s="1566">
        <f ca="1">IF(OR(T50="n/a",S50="n/a"),"n/a",IF(H50=0,0,NORMSDIST(T50)))</f>
        <v>0</v>
      </c>
      <c r="W50" s="1566">
        <f ca="1">IF(OR(U50="n/a",S50="n/a"),"n/a",IF(H50=0,0,NORMSDIST(U50)))</f>
        <v>0</v>
      </c>
      <c r="X50" s="1566">
        <f ca="1">IF(OR(K50="n/a",S50="n/a"),"n/a",IF(M50=0,(K50*V50)-((H50*EXP(1)^(-O50*N50))*W50),(K50*(2.718^(-M50*N50))*V50)-(H50*(2.718^(-O50*N50))*W50)))</f>
        <v>0</v>
      </c>
      <c r="Y50" s="1567">
        <f>IF(LEN(B50)&gt;0,IF(H50=0,Q50,IF(ISERROR(Q50/((K50/X50)*V50)),"n/a",Q50/((K50/X50)*V50))))</f>
        <v>0.31</v>
      </c>
    </row>
    <row r="51" spans="1:25" ht="14.85" customHeight="1"/>
    <row r="52" spans="1:25" ht="14.85" customHeight="1">
      <c r="B52" s="356" t="s">
        <v>86</v>
      </c>
    </row>
    <row r="53" spans="1:25" ht="14.85" customHeight="1">
      <c r="A53" s="357" t="s">
        <v>270</v>
      </c>
      <c r="B53" s="274" t="s">
        <v>3513</v>
      </c>
    </row>
    <row r="54" spans="1:25" s="359" customFormat="1" ht="14.85" customHeight="1">
      <c r="A54" s="1570" t="s">
        <v>269</v>
      </c>
      <c r="B54" s="1571" t="s">
        <v>1140</v>
      </c>
      <c r="P54" s="1572"/>
    </row>
    <row r="55" spans="1:25" s="359" customFormat="1" ht="14.85" customHeight="1">
      <c r="A55" s="1570" t="s">
        <v>308</v>
      </c>
      <c r="B55" s="1571" t="s">
        <v>1141</v>
      </c>
      <c r="P55" s="1572"/>
    </row>
    <row r="56" spans="1:25" ht="14.85" customHeight="1"/>
    <row r="57" spans="1:25" ht="14.85" customHeight="1">
      <c r="B57" s="356" t="s">
        <v>116</v>
      </c>
    </row>
    <row r="58" spans="1:25" ht="14.85" customHeight="1"/>
    <row r="59" spans="1:25" ht="14.85" customHeight="1">
      <c r="B59" s="250" t="s">
        <v>1844</v>
      </c>
    </row>
    <row r="60" spans="1:25" ht="14.85" customHeight="1">
      <c r="B60" s="250" t="s">
        <v>1845</v>
      </c>
    </row>
    <row r="61" spans="1:25" ht="14.85" customHeight="1">
      <c r="B61" s="250" t="s">
        <v>1846</v>
      </c>
    </row>
    <row r="62" spans="1:25" ht="14.85" customHeight="1">
      <c r="B62" s="250" t="s">
        <v>1847</v>
      </c>
    </row>
    <row r="63" spans="1:25" ht="14.85" customHeight="1">
      <c r="B63" s="250" t="s">
        <v>1848</v>
      </c>
    </row>
    <row r="64" spans="1:25" ht="14.85" customHeight="1">
      <c r="B64" s="250" t="s">
        <v>1849</v>
      </c>
    </row>
    <row r="65" spans="2:2" ht="14.85" customHeight="1">
      <c r="B65" s="250" t="s">
        <v>1850</v>
      </c>
    </row>
    <row r="66" spans="2:2" ht="14.85" customHeight="1"/>
    <row r="67" spans="2:2" ht="14.85" customHeight="1">
      <c r="B67" s="250" t="s">
        <v>1851</v>
      </c>
    </row>
    <row r="68" spans="2:2" ht="14.85" customHeight="1">
      <c r="B68" s="250" t="s">
        <v>1852</v>
      </c>
    </row>
    <row r="69" spans="2:2" ht="14.85" customHeight="1">
      <c r="B69" s="250" t="s">
        <v>1853</v>
      </c>
    </row>
    <row r="70" spans="2:2" ht="14.85" customHeight="1">
      <c r="B70" s="250" t="s">
        <v>1854</v>
      </c>
    </row>
    <row r="71" spans="2:2" ht="14.85" customHeight="1">
      <c r="B71" s="250" t="s">
        <v>1855</v>
      </c>
    </row>
    <row r="72" spans="2:2" ht="14.85" customHeight="1">
      <c r="B72" s="250" t="s">
        <v>1856</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77" priority="8" operator="equal">
      <formula>"(Invalid Identifier)"</formula>
    </cfRule>
  </conditionalFormatting>
  <conditionalFormatting sqref="B4:I4">
    <cfRule type="cellIs" dxfId="176" priority="7" stopIfTrue="1" operator="equal">
      <formula>"input"</formula>
    </cfRule>
  </conditionalFormatting>
  <conditionalFormatting sqref="J4">
    <cfRule type="cellIs" dxfId="175" priority="5" stopIfTrue="1" operator="equal">
      <formula>"input"</formula>
    </cfRule>
  </conditionalFormatting>
  <conditionalFormatting sqref="J4">
    <cfRule type="cellIs" dxfId="174" priority="6" stopIfTrue="1" operator="equal">
      <formula>"input"</formula>
    </cfRule>
  </conditionalFormatting>
  <conditionalFormatting sqref="K4:X4">
    <cfRule type="cellIs" dxfId="173" priority="3" stopIfTrue="1" operator="equal">
      <formula>"input"</formula>
    </cfRule>
  </conditionalFormatting>
  <conditionalFormatting sqref="K4:X4">
    <cfRule type="cellIs" dxfId="172" priority="4" stopIfTrue="1" operator="equal">
      <formula>"input"</formula>
    </cfRule>
  </conditionalFormatting>
  <conditionalFormatting sqref="Y4">
    <cfRule type="cellIs" dxfId="171" priority="1" stopIfTrue="1" operator="equal">
      <formula>"input"</formula>
    </cfRule>
  </conditionalFormatting>
  <conditionalFormatting sqref="Y4">
    <cfRule type="cellIs" dxfId="170" priority="2" stopIfTrue="1" operator="equal">
      <formula>"input"</formula>
    </cfRule>
  </conditionalFormatting>
  <pageMargins left="0.5" right="0.5" top="0.5" bottom="0.5" header="0.5" footer="0.5"/>
  <pageSetup scale="74" fitToWidth="0" fitToHeight="0" orientation="landscape" r:id="rId1"/>
  <legacyDrawing r:id="rId2"/>
  <legacyDrawingHF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73"/>
  <dimension ref="A1:AI764"/>
  <sheetViews>
    <sheetView showGridLines="0" view="pageBreakPreview" zoomScale="80" zoomScaleNormal="100" zoomScaleSheetLayoutView="80" workbookViewId="0"/>
  </sheetViews>
  <sheetFormatPr defaultRowHeight="12.75" outlineLevelRow="1" outlineLevelCol="1"/>
  <cols>
    <col min="1" max="1" width="4.5" style="250" customWidth="1"/>
    <col min="2" max="2" width="42.1640625" style="250" customWidth="1"/>
    <col min="3" max="3" width="3.5" style="250" customWidth="1"/>
    <col min="4" max="4" width="13.33203125" style="250" customWidth="1"/>
    <col min="5" max="5" width="10.83203125" style="250" hidden="1" customWidth="1" outlineLevel="1"/>
    <col min="6" max="7" width="9.83203125" style="250" hidden="1" customWidth="1" outlineLevel="1"/>
    <col min="8" max="8" width="12.83203125" style="250" customWidth="1" collapsed="1"/>
    <col min="9" max="11" width="12.83203125" style="250" customWidth="1"/>
    <col min="12" max="12" width="2.83203125" style="250" customWidth="1"/>
    <col min="13" max="15" width="12.83203125" style="250" customWidth="1"/>
    <col min="16" max="16" width="2.83203125" style="724" customWidth="1"/>
    <col min="17" max="17" width="12.83203125" style="250" customWidth="1"/>
    <col min="18" max="18" width="2.83203125" style="250" customWidth="1"/>
    <col min="19" max="19" width="11.6640625" style="250" hidden="1" customWidth="1" outlineLevel="1"/>
    <col min="20" max="23" width="8.83203125" style="250" hidden="1" customWidth="1" outlineLevel="1"/>
    <col min="24" max="24" width="12.83203125" style="250" customWidth="1" collapsed="1"/>
    <col min="25" max="25" width="12.83203125" style="250" customWidth="1"/>
    <col min="26" max="26" width="4.5" style="250" customWidth="1"/>
    <col min="27" max="27" width="17.5" style="250" bestFit="1" customWidth="1"/>
    <col min="28" max="28" width="14.33203125" style="250" bestFit="1" customWidth="1"/>
    <col min="29" max="29" width="9.6640625" style="250" bestFit="1" customWidth="1"/>
    <col min="30" max="30" width="10.1640625" style="250" bestFit="1" customWidth="1"/>
    <col min="31" max="16384" width="9.33203125" style="250"/>
  </cols>
  <sheetData>
    <row r="1" spans="2:35" ht="10.7" customHeight="1" thickBot="1">
      <c r="P1" s="250"/>
    </row>
    <row r="2" spans="2:35" ht="16.5" customHeight="1" thickTop="1">
      <c r="B2" s="258" t="str">
        <f>'MASTER PubCo Inputs'!$C$5</f>
        <v>ABC, Inc.</v>
      </c>
      <c r="C2" s="258"/>
      <c r="D2" s="258"/>
      <c r="E2" s="258"/>
      <c r="F2" s="258"/>
      <c r="G2" s="258"/>
      <c r="H2" s="258"/>
      <c r="I2" s="258"/>
      <c r="J2" s="258"/>
      <c r="K2" s="258"/>
      <c r="L2" s="258"/>
      <c r="M2" s="258"/>
      <c r="N2" s="258"/>
      <c r="O2" s="258"/>
      <c r="P2" s="258"/>
      <c r="Q2" s="258"/>
      <c r="R2" s="258"/>
      <c r="S2" s="258"/>
      <c r="T2" s="258"/>
      <c r="U2" s="258"/>
      <c r="V2" s="258"/>
      <c r="W2" s="258"/>
      <c r="X2" s="258"/>
      <c r="Y2" s="258"/>
      <c r="AA2" s="1151" t="s">
        <v>87</v>
      </c>
      <c r="AB2" s="1152">
        <f>+'Comp.1'!$AL$2</f>
        <v>42735</v>
      </c>
    </row>
    <row r="3" spans="2:35" ht="15.75" customHeight="1">
      <c r="B3" s="259" t="str">
        <f>VLOOKUP(B4,Outline!$E$8:$G$79,COLUMNS(Outline!$E$8:$G$8),FALSE)</f>
        <v>Exhibit H.3</v>
      </c>
      <c r="C3" s="259"/>
      <c r="D3" s="259"/>
      <c r="E3" s="259"/>
      <c r="F3" s="259"/>
      <c r="G3" s="259"/>
      <c r="H3" s="259"/>
      <c r="I3" s="259"/>
      <c r="J3" s="259"/>
      <c r="K3" s="259"/>
      <c r="L3" s="259"/>
      <c r="M3" s="259"/>
      <c r="N3" s="259"/>
      <c r="O3" s="259"/>
      <c r="P3" s="259"/>
      <c r="Q3" s="259"/>
      <c r="R3" s="259"/>
      <c r="S3" s="259"/>
      <c r="T3" s="259"/>
      <c r="U3" s="259"/>
      <c r="V3" s="259"/>
      <c r="W3" s="259"/>
      <c r="X3" s="259"/>
      <c r="Y3" s="259"/>
      <c r="AA3" s="1153" t="s">
        <v>489</v>
      </c>
      <c r="AB3" s="1154" t="str">
        <f>+'Comp.1'!$AL$3</f>
        <v>F</v>
      </c>
    </row>
    <row r="4" spans="2:35" ht="16.5" customHeight="1" thickBot="1">
      <c r="B4" s="924" t="s">
        <v>2310</v>
      </c>
      <c r="C4" s="924"/>
      <c r="D4" s="924"/>
      <c r="E4" s="924"/>
      <c r="F4" s="924"/>
      <c r="G4" s="924"/>
      <c r="H4" s="924"/>
      <c r="I4" s="924"/>
      <c r="J4" s="925"/>
      <c r="K4" s="925"/>
      <c r="L4" s="925"/>
      <c r="M4" s="925"/>
      <c r="N4" s="925"/>
      <c r="O4" s="925"/>
      <c r="P4" s="925"/>
      <c r="Q4" s="925"/>
      <c r="R4" s="925"/>
      <c r="S4" s="925"/>
      <c r="T4" s="925"/>
      <c r="U4" s="925"/>
      <c r="V4" s="925"/>
      <c r="W4" s="925"/>
      <c r="X4" s="925"/>
      <c r="Y4" s="925" t="str">
        <f>+'MASTER PubCo Inputs'!$C$24</f>
        <v>(in millions of USD)</v>
      </c>
      <c r="AA4" s="1153" t="s">
        <v>490</v>
      </c>
      <c r="AB4" s="1154" t="str">
        <f>+'Comp.1'!$AL$4</f>
        <v>USD</v>
      </c>
    </row>
    <row r="5" spans="2:35" ht="14.85" customHeight="1" thickTop="1">
      <c r="B5" s="724"/>
      <c r="AA5" s="518" t="s">
        <v>89</v>
      </c>
      <c r="AB5" s="1155" t="str">
        <f>+'Comp.1'!$AL$5</f>
        <v>H</v>
      </c>
    </row>
    <row r="6" spans="2:35" ht="14.85" customHeight="1" outlineLevel="1">
      <c r="N6" s="1506">
        <f>DLOM!D11</f>
        <v>3</v>
      </c>
      <c r="O6" s="1507">
        <f>'Risk-Free Rates'!E35</f>
        <v>1.3999999999999999E-2</v>
      </c>
      <c r="Q6" s="1508">
        <f>HLOOKUP(ROUND(N6,0),'Equity Vol'!$D$8:$K$8,1,TRUE)</f>
        <v>3</v>
      </c>
    </row>
    <row r="7" spans="2:35" ht="14.85" customHeight="1">
      <c r="D7" s="1509" t="s">
        <v>91</v>
      </c>
      <c r="E7" s="1510"/>
      <c r="F7" s="1510"/>
      <c r="G7" s="1510"/>
      <c r="H7" s="1510"/>
      <c r="I7" s="1510"/>
      <c r="J7" s="1510"/>
      <c r="K7" s="1511"/>
      <c r="M7" s="1509" t="s">
        <v>92</v>
      </c>
      <c r="N7" s="1510"/>
      <c r="O7" s="1510"/>
      <c r="P7" s="1512"/>
      <c r="Q7" s="1511"/>
      <c r="S7" s="1509" t="s">
        <v>93</v>
      </c>
      <c r="T7" s="1510"/>
      <c r="U7" s="1510"/>
      <c r="V7" s="1510"/>
      <c r="W7" s="1510"/>
      <c r="X7" s="1513" t="s">
        <v>93</v>
      </c>
      <c r="Y7" s="1514"/>
    </row>
    <row r="8" spans="2:35" s="272" customFormat="1" ht="43.5" customHeight="1">
      <c r="B8" s="1515" t="s">
        <v>815</v>
      </c>
      <c r="D8" s="1516" t="s">
        <v>94</v>
      </c>
      <c r="E8" s="1517" t="s">
        <v>95</v>
      </c>
      <c r="F8" s="1517" t="s">
        <v>96</v>
      </c>
      <c r="G8" s="1517" t="s">
        <v>97</v>
      </c>
      <c r="H8" s="1517" t="s">
        <v>98</v>
      </c>
      <c r="I8" s="1517" t="s">
        <v>99</v>
      </c>
      <c r="J8" s="1517" t="s">
        <v>100</v>
      </c>
      <c r="K8" s="1518" t="s">
        <v>101</v>
      </c>
      <c r="L8" s="347"/>
      <c r="M8" s="1516" t="s">
        <v>73</v>
      </c>
      <c r="N8" s="1517" t="s">
        <v>102</v>
      </c>
      <c r="O8" s="1518" t="s">
        <v>72</v>
      </c>
      <c r="P8" s="1292"/>
      <c r="Q8" s="1519" t="s">
        <v>103</v>
      </c>
      <c r="R8" s="1292"/>
      <c r="S8" s="1516" t="s">
        <v>104</v>
      </c>
      <c r="T8" s="1517" t="s">
        <v>84</v>
      </c>
      <c r="U8" s="1517" t="s">
        <v>85</v>
      </c>
      <c r="V8" s="1517" t="s">
        <v>105</v>
      </c>
      <c r="W8" s="1517" t="s">
        <v>106</v>
      </c>
      <c r="X8" s="1520" t="s">
        <v>107</v>
      </c>
      <c r="Y8" s="1518" t="s">
        <v>3512</v>
      </c>
      <c r="AA8" s="1170" t="s">
        <v>108</v>
      </c>
      <c r="AB8" s="1171" t="s">
        <v>109</v>
      </c>
      <c r="AC8" s="1171" t="s">
        <v>110</v>
      </c>
      <c r="AD8" s="1521"/>
    </row>
    <row r="9" spans="2:35" ht="14.85" customHeight="1">
      <c r="X9" s="275"/>
      <c r="Y9" s="275"/>
    </row>
    <row r="10" spans="2:35" ht="14.85" customHeight="1">
      <c r="B10" s="250" t="str">
        <f>'Comp.1'!B12</f>
        <v>Spark Therapeutics, Inc.</v>
      </c>
      <c r="D10" s="331">
        <f>'Beta Calc'!K10</f>
        <v>1692.82537</v>
      </c>
      <c r="E10" s="331">
        <f>'Beta Calc'!L10</f>
        <v>1.57541</v>
      </c>
      <c r="F10" s="331">
        <f>'Beta Calc'!M10</f>
        <v>0</v>
      </c>
      <c r="G10" s="331">
        <f>'Beta Calc'!N10</f>
        <v>0</v>
      </c>
      <c r="H10" s="331">
        <f>SUM(E10:G10)</f>
        <v>1.57541</v>
      </c>
      <c r="I10" s="331">
        <f>SUM(D10:G10)</f>
        <v>1694.4007799999999</v>
      </c>
      <c r="J10" s="331">
        <f>'Beta Calc'!Q10</f>
        <v>306.64877999999999</v>
      </c>
      <c r="K10" s="331">
        <f>I10-J10</f>
        <v>1387.752</v>
      </c>
      <c r="M10" s="1066">
        <f>IFERROR('Capital IQ Sheet-GPC'!AT13,"n/a")</f>
        <v>0</v>
      </c>
      <c r="N10" s="331">
        <f t="shared" ref="N10:O39" si="0">N$6</f>
        <v>3</v>
      </c>
      <c r="O10" s="1522">
        <f t="shared" si="0"/>
        <v>1.3999999999999999E-2</v>
      </c>
      <c r="P10" s="1523"/>
      <c r="Q10" s="1524" t="str">
        <f>IFERROR(HLOOKUP($Q$6,'Equity Vol'!$B$8:$K10,ROWS('Equity Vol'!$C$8:$C10),FALSE),"n/a")</f>
        <v>n/a</v>
      </c>
      <c r="R10" s="1525"/>
      <c r="S10" s="1526" t="str">
        <f>IFERROR(IF(Q10="n/a","n/a",Q10^2),"n/a")</f>
        <v>n/a</v>
      </c>
      <c r="T10" s="1526" t="str">
        <f t="shared" ref="T10:T39" si="1">IF(OR(K10="n/a",S10="n/a"),"n/a",IF(H10=0,0,IF(M10=0,(LN(K10/H10)+((O10+(S10/2))*N10))/((S10*N10)^0.5),(LN(K10/H10)+((O10-M10+(S10/2))*N10))/((S10*N10)^0.5))))</f>
        <v>n/a</v>
      </c>
      <c r="U10" s="1527" t="str">
        <f t="shared" ref="U10:U39" si="2">IF(T10="n/a","n/a",IF(H10=0,0,T10-(S10*N10)^0.5))</f>
        <v>n/a</v>
      </c>
      <c r="V10" s="1527" t="str">
        <f t="shared" ref="V10:V39" si="3">IF(OR(T10="n/a",S10="n/a"),"n/a",IF(H10=0,0,NORMSDIST(T10)))</f>
        <v>n/a</v>
      </c>
      <c r="W10" s="1527" t="str">
        <f t="shared" ref="W10:W39" si="4">IF(OR(U10="n/a",S10="n/a"),"n/a",IF(H10=0,0,NORMSDIST(U10)))</f>
        <v>n/a</v>
      </c>
      <c r="X10" s="759" t="str">
        <f t="shared" ref="X10:X39" si="5">IF(OR(K10="n/a",S10="n/a"),"n/a",IF(M10=0,(K10*V10)-((H10*EXP(1)^(-O10*N10))*W10),(K10*(2.718^(-M10*N10))*V10)-(H10*(2.718^(-O10*N10))*W10)))</f>
        <v>n/a</v>
      </c>
      <c r="Y10" s="1524" t="str">
        <f>IFERROR(IF(LEN(B10)&gt;0,IF(H10=0,Q10,IF(ISERROR(Q10/((K10/X10)*V10)),"n/a",Q10/((K10/X10)*V10)))),"n/a")</f>
        <v>n/a</v>
      </c>
      <c r="AA10" s="1177" t="str">
        <f>IF('MASTER PubCo Inputs'!B28=0,"",'MASTER PubCo Inputs'!B28)</f>
        <v>NasdaqGS:ONCE</v>
      </c>
      <c r="AB10" s="331">
        <f>'Beta Calc'!Z10</f>
        <v>1387.752</v>
      </c>
      <c r="AC10" s="1178">
        <f t="shared" ref="AC10:AC39" si="6">K10-AB10</f>
        <v>0</v>
      </c>
      <c r="AI10" s="1179"/>
    </row>
    <row r="11" spans="2:35" ht="14.85" customHeight="1">
      <c r="B11" s="250" t="str">
        <f>'Comp.1'!B13</f>
        <v>CRISPR Therapeutics AG</v>
      </c>
      <c r="D11" s="331">
        <f>'Beta Calc'!K11</f>
        <v>868.62804000000006</v>
      </c>
      <c r="E11" s="331">
        <f>'Beta Calc'!L11</f>
        <v>0</v>
      </c>
      <c r="F11" s="331">
        <f>'Beta Calc'!M11</f>
        <v>185.565</v>
      </c>
      <c r="G11" s="331">
        <f>'Beta Calc'!N11</f>
        <v>-5.0999999999999997E-2</v>
      </c>
      <c r="H11" s="331">
        <f t="shared" ref="H11:H39" si="7">SUM(E11:G11)</f>
        <v>185.51400000000001</v>
      </c>
      <c r="I11" s="331">
        <f t="shared" ref="I11:I39" si="8">SUM(D11:G11)</f>
        <v>1054.1420400000002</v>
      </c>
      <c r="J11" s="331">
        <f>'Beta Calc'!Q11</f>
        <v>228.613</v>
      </c>
      <c r="K11" s="331">
        <f t="shared" ref="K11:K39" si="9">I11-J11</f>
        <v>825.52904000000012</v>
      </c>
      <c r="M11" s="1066">
        <f>IFERROR('Capital IQ Sheet-GPC'!AT14,"n/a")</f>
        <v>0</v>
      </c>
      <c r="N11" s="331">
        <f t="shared" si="0"/>
        <v>3</v>
      </c>
      <c r="O11" s="1522">
        <f t="shared" si="0"/>
        <v>1.3999999999999999E-2</v>
      </c>
      <c r="P11" s="1523"/>
      <c r="Q11" s="1524" t="str">
        <f>IFERROR(HLOOKUP($Q$6,'Equity Vol'!$B$8:$K11,ROWS('Equity Vol'!$C$8:$C11),FALSE),"n/a")</f>
        <v>n/a</v>
      </c>
      <c r="R11" s="1525"/>
      <c r="S11" s="1526" t="str">
        <f t="shared" ref="S11:S39" si="10">IFERROR(IF(Q11="n/a","n/a",Q11^2),"n/a")</f>
        <v>n/a</v>
      </c>
      <c r="T11" s="1526" t="str">
        <f t="shared" si="1"/>
        <v>n/a</v>
      </c>
      <c r="U11" s="1527" t="str">
        <f t="shared" si="2"/>
        <v>n/a</v>
      </c>
      <c r="V11" s="1527" t="str">
        <f t="shared" si="3"/>
        <v>n/a</v>
      </c>
      <c r="W11" s="1527" t="str">
        <f t="shared" si="4"/>
        <v>n/a</v>
      </c>
      <c r="X11" s="759" t="str">
        <f t="shared" si="5"/>
        <v>n/a</v>
      </c>
      <c r="Y11" s="1524" t="str">
        <f t="shared" ref="Y11:Y39" si="11">IFERROR(IF(LEN(B11)&gt;0,IF(H11=0,Q11,IF(ISERROR(Q11/((K11/X11)*V11)),"n/a",Q11/((K11/X11)*V11)))),"n/a")</f>
        <v>n/a</v>
      </c>
      <c r="AA11" s="1177" t="str">
        <f>IF('MASTER PubCo Inputs'!B29=0,"",'MASTER PubCo Inputs'!B29)</f>
        <v>NasdaqGM:CRSP</v>
      </c>
      <c r="AB11" s="331">
        <f>'Beta Calc'!Z11</f>
        <v>825.52904000000001</v>
      </c>
      <c r="AC11" s="1178">
        <f t="shared" si="6"/>
        <v>0</v>
      </c>
      <c r="AI11" s="1179"/>
    </row>
    <row r="12" spans="2:35" ht="14.85" customHeight="1">
      <c r="B12" s="250" t="str">
        <f>'Comp.1'!B14</f>
        <v>WAVE Life Sciences Ltd.</v>
      </c>
      <c r="D12" s="331">
        <f>'Beta Calc'!K12</f>
        <v>835.72670000000005</v>
      </c>
      <c r="E12" s="331">
        <f>'Beta Calc'!L12</f>
        <v>9.2999999999999999E-2</v>
      </c>
      <c r="F12" s="331">
        <f>'Beta Calc'!M12</f>
        <v>7.8739999999999997</v>
      </c>
      <c r="G12" s="331">
        <f>'Beta Calc'!N12</f>
        <v>0</v>
      </c>
      <c r="H12" s="331">
        <f t="shared" si="7"/>
        <v>7.9669999999999996</v>
      </c>
      <c r="I12" s="331">
        <f t="shared" si="8"/>
        <v>843.69370000000004</v>
      </c>
      <c r="J12" s="331">
        <f>'Beta Calc'!Q12</f>
        <v>169.01499999999999</v>
      </c>
      <c r="K12" s="331">
        <f t="shared" si="9"/>
        <v>674.67870000000005</v>
      </c>
      <c r="M12" s="1066">
        <f>IFERROR('Capital IQ Sheet-GPC'!AT15,"n/a")</f>
        <v>0</v>
      </c>
      <c r="N12" s="331">
        <f t="shared" si="0"/>
        <v>3</v>
      </c>
      <c r="O12" s="1522">
        <f t="shared" si="0"/>
        <v>1.3999999999999999E-2</v>
      </c>
      <c r="P12" s="1523"/>
      <c r="Q12" s="1524" t="str">
        <f>IFERROR(HLOOKUP($Q$6,'Equity Vol'!$B$8:$K12,ROWS('Equity Vol'!$C$8:$C12),FALSE),"n/a")</f>
        <v>n/a</v>
      </c>
      <c r="R12" s="1525"/>
      <c r="S12" s="1526" t="str">
        <f t="shared" si="10"/>
        <v>n/a</v>
      </c>
      <c r="T12" s="1526" t="str">
        <f t="shared" si="1"/>
        <v>n/a</v>
      </c>
      <c r="U12" s="1527" t="str">
        <f t="shared" si="2"/>
        <v>n/a</v>
      </c>
      <c r="V12" s="1527" t="str">
        <f t="shared" si="3"/>
        <v>n/a</v>
      </c>
      <c r="W12" s="1527" t="str">
        <f t="shared" si="4"/>
        <v>n/a</v>
      </c>
      <c r="X12" s="759" t="str">
        <f t="shared" si="5"/>
        <v>n/a</v>
      </c>
      <c r="Y12" s="1524" t="str">
        <f t="shared" si="11"/>
        <v>n/a</v>
      </c>
      <c r="AA12" s="1177" t="str">
        <f>IF('MASTER PubCo Inputs'!B30=0,"",'MASTER PubCo Inputs'!B30)</f>
        <v>NasdaqGM:WVE</v>
      </c>
      <c r="AB12" s="331">
        <f>'Beta Calc'!Z12</f>
        <v>674.67870000000005</v>
      </c>
      <c r="AC12" s="1178">
        <f t="shared" si="6"/>
        <v>0</v>
      </c>
      <c r="AI12" s="1179"/>
    </row>
    <row r="13" spans="2:35" ht="14.85" customHeight="1">
      <c r="B13" s="250" t="str">
        <f>'Comp.1'!B15</f>
        <v>Regenxbio Inc.</v>
      </c>
      <c r="D13" s="331">
        <f>'Beta Calc'!K13</f>
        <v>589.07718</v>
      </c>
      <c r="E13" s="331">
        <f>'Beta Calc'!L13</f>
        <v>0</v>
      </c>
      <c r="F13" s="331">
        <f>'Beta Calc'!M13</f>
        <v>0</v>
      </c>
      <c r="G13" s="331">
        <f>'Beta Calc'!N13</f>
        <v>0</v>
      </c>
      <c r="H13" s="331">
        <f t="shared" si="7"/>
        <v>0</v>
      </c>
      <c r="I13" s="331">
        <f t="shared" si="8"/>
        <v>589.07718</v>
      </c>
      <c r="J13" s="331">
        <f>'Beta Calc'!Q13</f>
        <v>91.77</v>
      </c>
      <c r="K13" s="331">
        <f t="shared" si="9"/>
        <v>497.30718000000002</v>
      </c>
      <c r="M13" s="1066">
        <f>IFERROR('Capital IQ Sheet-GPC'!AT16,"n/a")</f>
        <v>0</v>
      </c>
      <c r="N13" s="331">
        <f t="shared" si="0"/>
        <v>3</v>
      </c>
      <c r="O13" s="1522">
        <f t="shared" si="0"/>
        <v>1.3999999999999999E-2</v>
      </c>
      <c r="P13" s="1523"/>
      <c r="Q13" s="1524" t="str">
        <f>IFERROR(HLOOKUP($Q$6,'Equity Vol'!$B$8:$K13,ROWS('Equity Vol'!$C$8:$C13),FALSE),"n/a")</f>
        <v>n/a</v>
      </c>
      <c r="R13" s="1525"/>
      <c r="S13" s="1526" t="str">
        <f t="shared" si="10"/>
        <v>n/a</v>
      </c>
      <c r="T13" s="1526" t="str">
        <f t="shared" si="1"/>
        <v>n/a</v>
      </c>
      <c r="U13" s="1527" t="str">
        <f t="shared" si="2"/>
        <v>n/a</v>
      </c>
      <c r="V13" s="1527" t="str">
        <f t="shared" si="3"/>
        <v>n/a</v>
      </c>
      <c r="W13" s="1527" t="str">
        <f t="shared" si="4"/>
        <v>n/a</v>
      </c>
      <c r="X13" s="759" t="str">
        <f t="shared" si="5"/>
        <v>n/a</v>
      </c>
      <c r="Y13" s="1524" t="str">
        <f t="shared" si="11"/>
        <v>n/a</v>
      </c>
      <c r="AA13" s="1177" t="str">
        <f>IF('MASTER PubCo Inputs'!B31=0,"",'MASTER PubCo Inputs'!B31)</f>
        <v>NasdaqGS:RGNX</v>
      </c>
      <c r="AB13" s="331">
        <f>'Beta Calc'!Z13</f>
        <v>497.30718000000002</v>
      </c>
      <c r="AC13" s="1178">
        <f t="shared" si="6"/>
        <v>0</v>
      </c>
      <c r="AI13" s="1179"/>
    </row>
    <row r="14" spans="2:35" ht="14.85" customHeight="1">
      <c r="B14" s="250" t="str">
        <f>'Comp.1'!B16</f>
        <v>Inovio Pharmaceuticals, Inc.</v>
      </c>
      <c r="D14" s="331">
        <f>'Beta Calc'!K14</f>
        <v>524.34855000000005</v>
      </c>
      <c r="E14" s="331">
        <f>'Beta Calc'!L14</f>
        <v>0</v>
      </c>
      <c r="F14" s="331">
        <f>'Beta Calc'!M14</f>
        <v>0</v>
      </c>
      <c r="G14" s="331">
        <f>'Beta Calc'!N14</f>
        <v>9.6269999999999994E-2</v>
      </c>
      <c r="H14" s="331">
        <f t="shared" si="7"/>
        <v>9.6269999999999994E-2</v>
      </c>
      <c r="I14" s="331">
        <f t="shared" si="8"/>
        <v>524.44482000000005</v>
      </c>
      <c r="J14" s="331">
        <f>'Beta Calc'!Q14</f>
        <v>119.68635</v>
      </c>
      <c r="K14" s="331">
        <f t="shared" si="9"/>
        <v>404.75847000000005</v>
      </c>
      <c r="M14" s="1066">
        <f>IFERROR('Capital IQ Sheet-GPC'!AT17,"n/a")</f>
        <v>0</v>
      </c>
      <c r="N14" s="331">
        <f t="shared" si="0"/>
        <v>3</v>
      </c>
      <c r="O14" s="1522">
        <f t="shared" si="0"/>
        <v>1.3999999999999999E-2</v>
      </c>
      <c r="P14" s="1523"/>
      <c r="Q14" s="1524">
        <f>IFERROR(HLOOKUP($Q$6,'Equity Vol'!$B$8:$K14,ROWS('Equity Vol'!$C$8:$C14),FALSE),"n/a")</f>
        <v>0.65354069738568776</v>
      </c>
      <c r="R14" s="1525"/>
      <c r="S14" s="1526">
        <f t="shared" si="10"/>
        <v>0.42711544313937111</v>
      </c>
      <c r="T14" s="1526">
        <f t="shared" si="1"/>
        <v>7.9742365665862929</v>
      </c>
      <c r="U14" s="1527">
        <f t="shared" si="2"/>
        <v>6.8422708739002847</v>
      </c>
      <c r="V14" s="1527">
        <f t="shared" si="3"/>
        <v>0.99999999999999922</v>
      </c>
      <c r="W14" s="1527">
        <f t="shared" si="4"/>
        <v>0.99999999999610267</v>
      </c>
      <c r="X14" s="759">
        <f t="shared" si="5"/>
        <v>404.66615960622437</v>
      </c>
      <c r="Y14" s="1524">
        <f t="shared" si="11"/>
        <v>0.65339164899363344</v>
      </c>
      <c r="AA14" s="1177" t="str">
        <f>IF('MASTER PubCo Inputs'!B32=0,"",'MASTER PubCo Inputs'!B32)</f>
        <v>NasdaqGS:INO</v>
      </c>
      <c r="AB14" s="331">
        <f>'Beta Calc'!Z14</f>
        <v>404.75846999999999</v>
      </c>
      <c r="AC14" s="1178">
        <f t="shared" si="6"/>
        <v>0</v>
      </c>
      <c r="AI14" s="1179"/>
    </row>
    <row r="15" spans="2:35" ht="14.85" customHeight="1">
      <c r="B15" s="250" t="str">
        <f>'Comp.1'!B17</f>
        <v>Enanta Pharmaceuticals, Inc.</v>
      </c>
      <c r="D15" s="331">
        <f>'Beta Calc'!K15</f>
        <v>598.48901000000001</v>
      </c>
      <c r="E15" s="331">
        <f>'Beta Calc'!L15</f>
        <v>0.70699999999999996</v>
      </c>
      <c r="F15" s="331">
        <f>'Beta Calc'!M15</f>
        <v>1.2370000000000001</v>
      </c>
      <c r="G15" s="331">
        <f>'Beta Calc'!N15</f>
        <v>0</v>
      </c>
      <c r="H15" s="331">
        <f t="shared" si="7"/>
        <v>1.944</v>
      </c>
      <c r="I15" s="331">
        <f t="shared" si="8"/>
        <v>600.43300999999997</v>
      </c>
      <c r="J15" s="331">
        <f>'Beta Calc'!Q15</f>
        <v>218.465</v>
      </c>
      <c r="K15" s="331">
        <f t="shared" si="9"/>
        <v>381.96800999999994</v>
      </c>
      <c r="M15" s="1066">
        <f>IFERROR('Capital IQ Sheet-GPC'!AT18,"n/a")</f>
        <v>0</v>
      </c>
      <c r="N15" s="331">
        <f t="shared" si="0"/>
        <v>3</v>
      </c>
      <c r="O15" s="1522">
        <f t="shared" si="0"/>
        <v>1.3999999999999999E-2</v>
      </c>
      <c r="P15" s="1523"/>
      <c r="Q15" s="1524">
        <f>IFERROR(HLOOKUP($Q$6,'Equity Vol'!$B$8:$K15,ROWS('Equity Vol'!$C$8:$C15),FALSE),"n/a")</f>
        <v>0.61508994844412945</v>
      </c>
      <c r="R15" s="1525"/>
      <c r="S15" s="1526">
        <f t="shared" si="10"/>
        <v>0.37833564467700181</v>
      </c>
      <c r="T15" s="1526">
        <f t="shared" si="1"/>
        <v>5.5286979893337209</v>
      </c>
      <c r="U15" s="1527">
        <f t="shared" si="2"/>
        <v>4.4633309474035672</v>
      </c>
      <c r="V15" s="1527">
        <f t="shared" si="3"/>
        <v>0.99999998386919076</v>
      </c>
      <c r="W15" s="1527">
        <f t="shared" si="4"/>
        <v>0.99999596523655854</v>
      </c>
      <c r="X15" s="759">
        <f t="shared" si="5"/>
        <v>380.10396850608589</v>
      </c>
      <c r="Y15" s="1524">
        <f t="shared" si="11"/>
        <v>0.61208825881301032</v>
      </c>
      <c r="AA15" s="1177" t="str">
        <f>IF('MASTER PubCo Inputs'!B33=0,"",'MASTER PubCo Inputs'!B33)</f>
        <v>NasdaqGS:ENTA</v>
      </c>
      <c r="AB15" s="331">
        <f>'Beta Calc'!Z15</f>
        <v>389.81500999999997</v>
      </c>
      <c r="AC15" s="1178">
        <f t="shared" si="6"/>
        <v>-7.8470000000000368</v>
      </c>
      <c r="AI15" s="1179"/>
    </row>
    <row r="16" spans="2:35" ht="14.85" customHeight="1">
      <c r="B16" s="250" t="str">
        <f>'Comp.1'!B18</f>
        <v>Editas Medicine, Inc.</v>
      </c>
      <c r="D16" s="331">
        <f>'Beta Calc'!K16</f>
        <v>508.51056999999997</v>
      </c>
      <c r="E16" s="331">
        <f>'Beta Calc'!L16</f>
        <v>32.048000000000002</v>
      </c>
      <c r="F16" s="331">
        <f>'Beta Calc'!M16</f>
        <v>0</v>
      </c>
      <c r="G16" s="331">
        <f>'Beta Calc'!N16</f>
        <v>0</v>
      </c>
      <c r="H16" s="331">
        <f t="shared" si="7"/>
        <v>32.048000000000002</v>
      </c>
      <c r="I16" s="331">
        <f t="shared" si="8"/>
        <v>540.55856999999992</v>
      </c>
      <c r="J16" s="331">
        <f>'Beta Calc'!Q16</f>
        <v>199.874</v>
      </c>
      <c r="K16" s="331">
        <f t="shared" si="9"/>
        <v>340.68456999999989</v>
      </c>
      <c r="M16" s="1066">
        <f>IFERROR('Capital IQ Sheet-GPC'!AT19,"n/a")</f>
        <v>0</v>
      </c>
      <c r="N16" s="331">
        <f t="shared" si="0"/>
        <v>3</v>
      </c>
      <c r="O16" s="1522">
        <f t="shared" si="0"/>
        <v>1.3999999999999999E-2</v>
      </c>
      <c r="P16" s="1523"/>
      <c r="Q16" s="1524" t="str">
        <f>IFERROR(HLOOKUP($Q$6,'Equity Vol'!$B$8:$K16,ROWS('Equity Vol'!$C$8:$C16),FALSE),"n/a")</f>
        <v>n/a</v>
      </c>
      <c r="R16" s="1525"/>
      <c r="S16" s="1526" t="str">
        <f t="shared" si="10"/>
        <v>n/a</v>
      </c>
      <c r="T16" s="1526" t="str">
        <f t="shared" si="1"/>
        <v>n/a</v>
      </c>
      <c r="U16" s="1527" t="str">
        <f t="shared" si="2"/>
        <v>n/a</v>
      </c>
      <c r="V16" s="1527" t="str">
        <f t="shared" si="3"/>
        <v>n/a</v>
      </c>
      <c r="W16" s="1527" t="str">
        <f t="shared" si="4"/>
        <v>n/a</v>
      </c>
      <c r="X16" s="759" t="str">
        <f t="shared" si="5"/>
        <v>n/a</v>
      </c>
      <c r="Y16" s="1524" t="str">
        <f t="shared" si="11"/>
        <v>n/a</v>
      </c>
      <c r="AA16" s="1177" t="str">
        <f>IF('MASTER PubCo Inputs'!B34=0,"",'MASTER PubCo Inputs'!B34)</f>
        <v>NasdaqGS:EDIT</v>
      </c>
      <c r="AB16" s="331">
        <f>'Beta Calc'!Z16</f>
        <v>340.68457000000001</v>
      </c>
      <c r="AC16" s="1178">
        <f t="shared" si="6"/>
        <v>0</v>
      </c>
      <c r="AI16" s="1179"/>
    </row>
    <row r="17" spans="2:35" ht="14.85" customHeight="1">
      <c r="B17" s="250" t="str">
        <f>'Comp.1'!B19</f>
        <v>NantKwest, Inc.</v>
      </c>
      <c r="D17" s="331">
        <f>'Beta Calc'!K17</f>
        <v>538.73569999999995</v>
      </c>
      <c r="E17" s="331">
        <f>'Beta Calc'!L17</f>
        <v>7.7030000000000003</v>
      </c>
      <c r="F17" s="331">
        <f>'Beta Calc'!M17</f>
        <v>0</v>
      </c>
      <c r="G17" s="331">
        <f>'Beta Calc'!N17</f>
        <v>0</v>
      </c>
      <c r="H17" s="331">
        <f t="shared" si="7"/>
        <v>7.7030000000000003</v>
      </c>
      <c r="I17" s="331">
        <f t="shared" si="8"/>
        <v>546.43869999999993</v>
      </c>
      <c r="J17" s="331">
        <f>'Beta Calc'!Q17</f>
        <v>209.256</v>
      </c>
      <c r="K17" s="331">
        <f t="shared" si="9"/>
        <v>337.18269999999995</v>
      </c>
      <c r="M17" s="1066">
        <f>IFERROR('Capital IQ Sheet-GPC'!AT20,"n/a")</f>
        <v>0</v>
      </c>
      <c r="N17" s="331">
        <f t="shared" si="0"/>
        <v>3</v>
      </c>
      <c r="O17" s="1522">
        <f t="shared" si="0"/>
        <v>1.3999999999999999E-2</v>
      </c>
      <c r="P17" s="1523"/>
      <c r="Q17" s="1524" t="str">
        <f>IFERROR(HLOOKUP($Q$6,'Equity Vol'!$B$8:$K17,ROWS('Equity Vol'!$C$8:$C17),FALSE),"n/a")</f>
        <v>n/a</v>
      </c>
      <c r="R17" s="1525"/>
      <c r="S17" s="1526" t="str">
        <f t="shared" si="10"/>
        <v>n/a</v>
      </c>
      <c r="T17" s="1526" t="str">
        <f t="shared" si="1"/>
        <v>n/a</v>
      </c>
      <c r="U17" s="1527" t="str">
        <f t="shared" si="2"/>
        <v>n/a</v>
      </c>
      <c r="V17" s="1527" t="str">
        <f t="shared" si="3"/>
        <v>n/a</v>
      </c>
      <c r="W17" s="1527" t="str">
        <f t="shared" si="4"/>
        <v>n/a</v>
      </c>
      <c r="X17" s="759" t="str">
        <f t="shared" si="5"/>
        <v>n/a</v>
      </c>
      <c r="Y17" s="1524" t="str">
        <f t="shared" si="11"/>
        <v>n/a</v>
      </c>
      <c r="AA17" s="1177" t="str">
        <f>IF('MASTER PubCo Inputs'!B35=0,"",'MASTER PubCo Inputs'!B35)</f>
        <v>NasdaqGS:NK</v>
      </c>
      <c r="AB17" s="331">
        <f>'Beta Calc'!Z17</f>
        <v>337.18270000000001</v>
      </c>
      <c r="AC17" s="1178">
        <f t="shared" si="6"/>
        <v>0</v>
      </c>
      <c r="AI17" s="1179"/>
    </row>
    <row r="18" spans="2:35" ht="14.85" customHeight="1">
      <c r="B18" s="250" t="str">
        <f>'Comp.1'!B20</f>
        <v>Cocrystal Pharma, Inc.</v>
      </c>
      <c r="D18" s="331">
        <f>'Beta Calc'!K18</f>
        <v>317.20850000000002</v>
      </c>
      <c r="E18" s="331">
        <f>'Beta Calc'!L18</f>
        <v>0</v>
      </c>
      <c r="F18" s="331">
        <f>'Beta Calc'!M18</f>
        <v>0</v>
      </c>
      <c r="G18" s="331">
        <f>'Beta Calc'!N18</f>
        <v>0</v>
      </c>
      <c r="H18" s="331">
        <f t="shared" si="7"/>
        <v>0</v>
      </c>
      <c r="I18" s="331">
        <f t="shared" si="8"/>
        <v>317.20850000000002</v>
      </c>
      <c r="J18" s="331">
        <f>'Beta Calc'!Q18</f>
        <v>5.9059999999999997</v>
      </c>
      <c r="K18" s="331">
        <f t="shared" si="9"/>
        <v>311.30250000000001</v>
      </c>
      <c r="M18" s="1066">
        <f>IFERROR('Capital IQ Sheet-GPC'!AT21,"n/a")</f>
        <v>0</v>
      </c>
      <c r="N18" s="331">
        <f t="shared" si="0"/>
        <v>3</v>
      </c>
      <c r="O18" s="1522">
        <f t="shared" si="0"/>
        <v>1.3999999999999999E-2</v>
      </c>
      <c r="P18" s="1523"/>
      <c r="Q18" s="1524">
        <f>IFERROR(HLOOKUP($Q$6,'Equity Vol'!$B$8:$K18,ROWS('Equity Vol'!$C$8:$C18),FALSE),"n/a")</f>
        <v>0.8052399960875728</v>
      </c>
      <c r="R18" s="1525"/>
      <c r="S18" s="1526">
        <f t="shared" si="10"/>
        <v>0.64841145129911426</v>
      </c>
      <c r="T18" s="1526">
        <f t="shared" si="1"/>
        <v>0</v>
      </c>
      <c r="U18" s="1527">
        <f t="shared" si="2"/>
        <v>0</v>
      </c>
      <c r="V18" s="1527">
        <f t="shared" si="3"/>
        <v>0</v>
      </c>
      <c r="W18" s="1527">
        <f t="shared" si="4"/>
        <v>0</v>
      </c>
      <c r="X18" s="759">
        <f t="shared" si="5"/>
        <v>0</v>
      </c>
      <c r="Y18" s="1524">
        <f t="shared" si="11"/>
        <v>0.8052399960875728</v>
      </c>
      <c r="AA18" s="1177" t="str">
        <f>IF('MASTER PubCo Inputs'!B36=0,"",'MASTER PubCo Inputs'!B36)</f>
        <v>OTCBB:COCP</v>
      </c>
      <c r="AB18" s="331">
        <f>'Beta Calc'!Z18</f>
        <v>311.30250000000001</v>
      </c>
      <c r="AC18" s="1178">
        <f t="shared" si="6"/>
        <v>0</v>
      </c>
      <c r="AI18" s="1179"/>
    </row>
    <row r="19" spans="2:35" ht="14.85" customHeight="1">
      <c r="B19" s="250" t="str">
        <f>'Comp.1'!B21</f>
        <v>Intellia Therapeutics Inc.</v>
      </c>
      <c r="D19" s="331">
        <f>'Beta Calc'!K19</f>
        <v>566.92646000000002</v>
      </c>
      <c r="E19" s="331">
        <f>'Beta Calc'!L19</f>
        <v>0</v>
      </c>
      <c r="F19" s="331">
        <f>'Beta Calc'!M19</f>
        <v>0</v>
      </c>
      <c r="G19" s="331">
        <f>'Beta Calc'!N19</f>
        <v>0</v>
      </c>
      <c r="H19" s="331">
        <f t="shared" si="7"/>
        <v>0</v>
      </c>
      <c r="I19" s="331">
        <f t="shared" si="8"/>
        <v>566.92646000000002</v>
      </c>
      <c r="J19" s="331">
        <f>'Beta Calc'!Q19</f>
        <v>290.61799999999999</v>
      </c>
      <c r="K19" s="331">
        <f t="shared" si="9"/>
        <v>276.30846000000003</v>
      </c>
      <c r="M19" s="1066">
        <f>IFERROR('Capital IQ Sheet-GPC'!AT22,"n/a")</f>
        <v>0</v>
      </c>
      <c r="N19" s="331">
        <f t="shared" si="0"/>
        <v>3</v>
      </c>
      <c r="O19" s="1522">
        <f t="shared" si="0"/>
        <v>1.3999999999999999E-2</v>
      </c>
      <c r="P19" s="1523"/>
      <c r="Q19" s="1524" t="str">
        <f>IFERROR(HLOOKUP($Q$6,'Equity Vol'!$B$8:$K19,ROWS('Equity Vol'!$C$8:$C19),FALSE),"n/a")</f>
        <v>n/a</v>
      </c>
      <c r="R19" s="1525"/>
      <c r="S19" s="1526" t="str">
        <f t="shared" si="10"/>
        <v>n/a</v>
      </c>
      <c r="T19" s="1526" t="str">
        <f t="shared" si="1"/>
        <v>n/a</v>
      </c>
      <c r="U19" s="1527" t="str">
        <f t="shared" si="2"/>
        <v>n/a</v>
      </c>
      <c r="V19" s="1527" t="str">
        <f t="shared" si="3"/>
        <v>n/a</v>
      </c>
      <c r="W19" s="1527" t="str">
        <f t="shared" si="4"/>
        <v>n/a</v>
      </c>
      <c r="X19" s="759" t="str">
        <f t="shared" si="5"/>
        <v>n/a</v>
      </c>
      <c r="Y19" s="1524" t="str">
        <f t="shared" si="11"/>
        <v>n/a</v>
      </c>
      <c r="AA19" s="1177" t="str">
        <f>IF('MASTER PubCo Inputs'!B37=0,"",'MASTER PubCo Inputs'!B37)</f>
        <v>NasdaqGM:NTLA</v>
      </c>
      <c r="AB19" s="331">
        <f>'Beta Calc'!Z19</f>
        <v>276.30846000000003</v>
      </c>
      <c r="AC19" s="1178">
        <f t="shared" si="6"/>
        <v>0</v>
      </c>
      <c r="AI19" s="1179"/>
    </row>
    <row r="20" spans="2:35" ht="14.85" customHeight="1">
      <c r="B20" s="250" t="str">
        <f>'Comp.1'!B22</f>
        <v>GenSight Biologics S.A.</v>
      </c>
      <c r="D20" s="331">
        <f>'Beta Calc'!K20</f>
        <v>256.04862000000003</v>
      </c>
      <c r="E20" s="331">
        <f>'Beta Calc'!L20</f>
        <v>0.67574000000000001</v>
      </c>
      <c r="F20" s="331">
        <f>'Beta Calc'!M20</f>
        <v>0</v>
      </c>
      <c r="G20" s="331">
        <f>'Beta Calc'!N20</f>
        <v>0</v>
      </c>
      <c r="H20" s="331">
        <f t="shared" si="7"/>
        <v>0.67574000000000001</v>
      </c>
      <c r="I20" s="331">
        <f t="shared" si="8"/>
        <v>256.72436000000005</v>
      </c>
      <c r="J20" s="331">
        <f>'Beta Calc'!Q20</f>
        <v>32.647199999999998</v>
      </c>
      <c r="K20" s="331">
        <f t="shared" si="9"/>
        <v>224.07716000000005</v>
      </c>
      <c r="M20" s="1066">
        <f>IFERROR('Capital IQ Sheet-GPC'!AT23,"n/a")</f>
        <v>0</v>
      </c>
      <c r="N20" s="331">
        <f t="shared" si="0"/>
        <v>3</v>
      </c>
      <c r="O20" s="1522">
        <f t="shared" si="0"/>
        <v>1.3999999999999999E-2</v>
      </c>
      <c r="P20" s="1523"/>
      <c r="Q20" s="1524" t="str">
        <f>IFERROR(HLOOKUP($Q$6,'Equity Vol'!$B$8:$K20,ROWS('Equity Vol'!$C$8:$C20),FALSE),"n/a")</f>
        <v>n/a</v>
      </c>
      <c r="R20" s="1525"/>
      <c r="S20" s="1526" t="str">
        <f t="shared" si="10"/>
        <v>n/a</v>
      </c>
      <c r="T20" s="1526" t="str">
        <f t="shared" si="1"/>
        <v>n/a</v>
      </c>
      <c r="U20" s="1527" t="str">
        <f t="shared" si="2"/>
        <v>n/a</v>
      </c>
      <c r="V20" s="1527" t="str">
        <f t="shared" si="3"/>
        <v>n/a</v>
      </c>
      <c r="W20" s="1527" t="str">
        <f t="shared" si="4"/>
        <v>n/a</v>
      </c>
      <c r="X20" s="759" t="str">
        <f t="shared" si="5"/>
        <v>n/a</v>
      </c>
      <c r="Y20" s="1524" t="str">
        <f t="shared" si="11"/>
        <v>n/a</v>
      </c>
      <c r="AA20" s="1177" t="str">
        <f>IF('MASTER PubCo Inputs'!B38=0,"",'MASTER PubCo Inputs'!B38)</f>
        <v>ENXTPA:SIGHT</v>
      </c>
      <c r="AB20" s="331">
        <f>'Beta Calc'!Z20</f>
        <v>224.93052</v>
      </c>
      <c r="AC20" s="1178">
        <f t="shared" si="6"/>
        <v>-0.85335999999995238</v>
      </c>
      <c r="AI20" s="1179"/>
    </row>
    <row r="21" spans="2:35" ht="14.85" customHeight="1">
      <c r="B21" s="250" t="str">
        <f>'Comp.1'!B23</f>
        <v>Advaxis, Inc.</v>
      </c>
      <c r="D21" s="331">
        <f>'Beta Calc'!K21</f>
        <v>331.10462000000001</v>
      </c>
      <c r="E21" s="331">
        <f>'Beta Calc'!L21</f>
        <v>0</v>
      </c>
      <c r="F21" s="331">
        <f>'Beta Calc'!M21</f>
        <v>0</v>
      </c>
      <c r="G21" s="331">
        <f>'Beta Calc'!N21</f>
        <v>0</v>
      </c>
      <c r="H21" s="331">
        <f t="shared" si="7"/>
        <v>0</v>
      </c>
      <c r="I21" s="331">
        <f t="shared" si="8"/>
        <v>331.10462000000001</v>
      </c>
      <c r="J21" s="331">
        <f>'Beta Calc'!Q21</f>
        <v>78.717920000000007</v>
      </c>
      <c r="K21" s="331">
        <f t="shared" si="9"/>
        <v>252.38670000000002</v>
      </c>
      <c r="M21" s="1066">
        <f>IFERROR('Capital IQ Sheet-GPC'!AT24,"n/a")</f>
        <v>0</v>
      </c>
      <c r="N21" s="331">
        <f t="shared" si="0"/>
        <v>3</v>
      </c>
      <c r="O21" s="1522">
        <f t="shared" si="0"/>
        <v>1.3999999999999999E-2</v>
      </c>
      <c r="P21" s="1523"/>
      <c r="Q21" s="1524">
        <f>IFERROR(HLOOKUP($Q$6,'Equity Vol'!$B$8:$K21,ROWS('Equity Vol'!$C$8:$C21),FALSE),"n/a")</f>
        <v>0.90964738135601619</v>
      </c>
      <c r="R21" s="1525"/>
      <c r="S21" s="1526">
        <f t="shared" si="10"/>
        <v>0.82745835840785753</v>
      </c>
      <c r="T21" s="1526">
        <f t="shared" si="1"/>
        <v>0</v>
      </c>
      <c r="U21" s="1527">
        <f t="shared" si="2"/>
        <v>0</v>
      </c>
      <c r="V21" s="1527">
        <f t="shared" si="3"/>
        <v>0</v>
      </c>
      <c r="W21" s="1527">
        <f t="shared" si="4"/>
        <v>0</v>
      </c>
      <c r="X21" s="759">
        <f t="shared" si="5"/>
        <v>0</v>
      </c>
      <c r="Y21" s="1524">
        <f t="shared" si="11"/>
        <v>0.90964738135601619</v>
      </c>
      <c r="AA21" s="1177" t="str">
        <f>IF('MASTER PubCo Inputs'!B39=0,"",'MASTER PubCo Inputs'!B39)</f>
        <v>NasdaqCM:ADXS</v>
      </c>
      <c r="AB21" s="331">
        <f>'Beta Calc'!Z21</f>
        <v>252.38669999999999</v>
      </c>
      <c r="AC21" s="1178">
        <f t="shared" si="6"/>
        <v>0</v>
      </c>
      <c r="AI21" s="1179"/>
    </row>
    <row r="22" spans="2:35" ht="14.85" customHeight="1">
      <c r="B22" s="250" t="str">
        <f>'Comp.1'!B24</f>
        <v>Audentes Therapeutics, Inc.</v>
      </c>
      <c r="D22" s="331">
        <f>'Beta Calc'!K22</f>
        <v>356.94443000000001</v>
      </c>
      <c r="E22" s="331">
        <f>'Beta Calc'!L22</f>
        <v>0</v>
      </c>
      <c r="F22" s="331">
        <f>'Beta Calc'!M22</f>
        <v>0</v>
      </c>
      <c r="G22" s="331">
        <f>'Beta Calc'!N22</f>
        <v>0</v>
      </c>
      <c r="H22" s="331">
        <f t="shared" si="7"/>
        <v>0</v>
      </c>
      <c r="I22" s="331">
        <f t="shared" si="8"/>
        <v>356.94443000000001</v>
      </c>
      <c r="J22" s="331">
        <f>'Beta Calc'!Q22</f>
        <v>119.18</v>
      </c>
      <c r="K22" s="331">
        <f t="shared" si="9"/>
        <v>237.76443</v>
      </c>
      <c r="M22" s="1066">
        <f>IFERROR('Capital IQ Sheet-GPC'!AT25,"n/a")</f>
        <v>0</v>
      </c>
      <c r="N22" s="331">
        <f t="shared" si="0"/>
        <v>3</v>
      </c>
      <c r="O22" s="1522">
        <f t="shared" si="0"/>
        <v>1.3999999999999999E-2</v>
      </c>
      <c r="P22" s="1523"/>
      <c r="Q22" s="1524" t="str">
        <f>IFERROR(HLOOKUP($Q$6,'Equity Vol'!$B$8:$K22,ROWS('Equity Vol'!$C$8:$C22),FALSE),"n/a")</f>
        <v>n/a</v>
      </c>
      <c r="R22" s="1525"/>
      <c r="S22" s="1526" t="str">
        <f t="shared" si="10"/>
        <v>n/a</v>
      </c>
      <c r="T22" s="1526" t="str">
        <f t="shared" si="1"/>
        <v>n/a</v>
      </c>
      <c r="U22" s="1527" t="str">
        <f t="shared" si="2"/>
        <v>n/a</v>
      </c>
      <c r="V22" s="1527" t="str">
        <f t="shared" si="3"/>
        <v>n/a</v>
      </c>
      <c r="W22" s="1527" t="str">
        <f t="shared" si="4"/>
        <v>n/a</v>
      </c>
      <c r="X22" s="759" t="str">
        <f t="shared" si="5"/>
        <v>n/a</v>
      </c>
      <c r="Y22" s="1524" t="str">
        <f t="shared" si="11"/>
        <v>n/a</v>
      </c>
      <c r="AA22" s="1177" t="str">
        <f>IF('MASTER PubCo Inputs'!B40=0,"",'MASTER PubCo Inputs'!B40)</f>
        <v>NasdaqGM:BOLD</v>
      </c>
      <c r="AB22" s="331">
        <f>'Beta Calc'!Z22</f>
        <v>237.76443</v>
      </c>
      <c r="AC22" s="1178">
        <f t="shared" si="6"/>
        <v>0</v>
      </c>
      <c r="AI22" s="1179"/>
    </row>
    <row r="23" spans="2:35" ht="14.85" customHeight="1">
      <c r="B23" s="250" t="str">
        <f>'Comp.1'!B25</f>
        <v>Syros Pharmaceuticals, Inc.</v>
      </c>
      <c r="D23" s="331">
        <f>'Beta Calc'!K23</f>
        <v>317.50677000000002</v>
      </c>
      <c r="E23" s="331">
        <f>'Beta Calc'!L23</f>
        <v>0.26100000000000001</v>
      </c>
      <c r="F23" s="331">
        <f>'Beta Calc'!M23</f>
        <v>0</v>
      </c>
      <c r="G23" s="331">
        <f>'Beta Calc'!N23</f>
        <v>0</v>
      </c>
      <c r="H23" s="331">
        <f t="shared" si="7"/>
        <v>0.26100000000000001</v>
      </c>
      <c r="I23" s="331">
        <f t="shared" si="8"/>
        <v>317.76777000000004</v>
      </c>
      <c r="J23" s="331">
        <f>'Beta Calc'!Q23</f>
        <v>93.494</v>
      </c>
      <c r="K23" s="331">
        <f t="shared" si="9"/>
        <v>224.27377000000004</v>
      </c>
      <c r="M23" s="1066">
        <f>IFERROR('Capital IQ Sheet-GPC'!AT26,"n/a")</f>
        <v>0</v>
      </c>
      <c r="N23" s="331">
        <f t="shared" si="0"/>
        <v>3</v>
      </c>
      <c r="O23" s="1522">
        <f t="shared" si="0"/>
        <v>1.3999999999999999E-2</v>
      </c>
      <c r="P23" s="1523"/>
      <c r="Q23" s="1524" t="str">
        <f>IFERROR(HLOOKUP($Q$6,'Equity Vol'!$B$8:$K23,ROWS('Equity Vol'!$C$8:$C23),FALSE),"n/a")</f>
        <v>n/a</v>
      </c>
      <c r="R23" s="1525"/>
      <c r="S23" s="1526" t="str">
        <f t="shared" si="10"/>
        <v>n/a</v>
      </c>
      <c r="T23" s="1526" t="str">
        <f t="shared" si="1"/>
        <v>n/a</v>
      </c>
      <c r="U23" s="1527" t="str">
        <f t="shared" si="2"/>
        <v>n/a</v>
      </c>
      <c r="V23" s="1527" t="str">
        <f t="shared" si="3"/>
        <v>n/a</v>
      </c>
      <c r="W23" s="1527" t="str">
        <f t="shared" si="4"/>
        <v>n/a</v>
      </c>
      <c r="X23" s="759" t="str">
        <f t="shared" si="5"/>
        <v>n/a</v>
      </c>
      <c r="Y23" s="1524" t="str">
        <f t="shared" si="11"/>
        <v>n/a</v>
      </c>
      <c r="AA23" s="1177" t="str">
        <f>IF('MASTER PubCo Inputs'!B41=0,"",'MASTER PubCo Inputs'!B41)</f>
        <v>NasdaqGS:SYRS</v>
      </c>
      <c r="AB23" s="331">
        <f>'Beta Calc'!Z23</f>
        <v>224.27377000000001</v>
      </c>
      <c r="AC23" s="1178">
        <f t="shared" si="6"/>
        <v>0</v>
      </c>
      <c r="AI23" s="1179"/>
    </row>
    <row r="24" spans="2:35" ht="14.85" customHeight="1">
      <c r="B24" s="250" t="str">
        <f>'Comp.1'!B26</f>
        <v>Abeona Therapeutics Inc.</v>
      </c>
      <c r="D24" s="331">
        <f>'Beta Calc'!K24</f>
        <v>249.7473</v>
      </c>
      <c r="E24" s="331">
        <f>'Beta Calc'!L24</f>
        <v>0</v>
      </c>
      <c r="F24" s="331">
        <f>'Beta Calc'!M24</f>
        <v>0</v>
      </c>
      <c r="G24" s="331">
        <f>'Beta Calc'!N24</f>
        <v>0</v>
      </c>
      <c r="H24" s="331">
        <f t="shared" si="7"/>
        <v>0</v>
      </c>
      <c r="I24" s="331">
        <f t="shared" si="8"/>
        <v>249.7473</v>
      </c>
      <c r="J24" s="331">
        <f>'Beta Calc'!Q24</f>
        <v>31.184999999999999</v>
      </c>
      <c r="K24" s="331">
        <f t="shared" si="9"/>
        <v>218.56229999999999</v>
      </c>
      <c r="M24" s="1066">
        <f>IFERROR('Capital IQ Sheet-GPC'!AT27,"n/a")</f>
        <v>0</v>
      </c>
      <c r="N24" s="331">
        <f t="shared" si="0"/>
        <v>3</v>
      </c>
      <c r="O24" s="1522">
        <f t="shared" si="0"/>
        <v>1.3999999999999999E-2</v>
      </c>
      <c r="P24" s="1523"/>
      <c r="Q24" s="1524">
        <f>IFERROR(HLOOKUP($Q$6,'Equity Vol'!$B$8:$K24,ROWS('Equity Vol'!$C$8:$C24),FALSE),"n/a")</f>
        <v>0.99599672896108482</v>
      </c>
      <c r="R24" s="1525"/>
      <c r="S24" s="1526">
        <f t="shared" si="10"/>
        <v>0.99200948410118062</v>
      </c>
      <c r="T24" s="1526">
        <f t="shared" si="1"/>
        <v>0</v>
      </c>
      <c r="U24" s="1527">
        <f t="shared" si="2"/>
        <v>0</v>
      </c>
      <c r="V24" s="1527">
        <f t="shared" si="3"/>
        <v>0</v>
      </c>
      <c r="W24" s="1527">
        <f t="shared" si="4"/>
        <v>0</v>
      </c>
      <c r="X24" s="759">
        <f t="shared" si="5"/>
        <v>0</v>
      </c>
      <c r="Y24" s="1524">
        <f t="shared" si="11"/>
        <v>0.99599672896108482</v>
      </c>
      <c r="AA24" s="1177" t="str">
        <f>IF('MASTER PubCo Inputs'!B42=0,"",'MASTER PubCo Inputs'!B42)</f>
        <v>NasdaqCM:ABEO</v>
      </c>
      <c r="AB24" s="331">
        <f>'Beta Calc'!Z24</f>
        <v>218.56229999999999</v>
      </c>
      <c r="AC24" s="1178">
        <f t="shared" si="6"/>
        <v>0</v>
      </c>
      <c r="AI24" s="1179"/>
    </row>
    <row r="25" spans="2:35" ht="14.85" customHeight="1">
      <c r="B25" s="250" t="str">
        <f>'Comp.1'!B27</f>
        <v>Idera Pharmaceuticals, Inc.</v>
      </c>
      <c r="D25" s="331">
        <f>'Beta Calc'!K25</f>
        <v>249.53377</v>
      </c>
      <c r="E25" s="331">
        <f>'Beta Calc'!L25</f>
        <v>0.56899999999999995</v>
      </c>
      <c r="F25" s="331">
        <f>'Beta Calc'!M25</f>
        <v>0</v>
      </c>
      <c r="G25" s="331">
        <f>'Beta Calc'!N25</f>
        <v>0</v>
      </c>
      <c r="H25" s="331">
        <f t="shared" si="7"/>
        <v>0.56899999999999995</v>
      </c>
      <c r="I25" s="331">
        <f t="shared" si="8"/>
        <v>250.10276999999999</v>
      </c>
      <c r="J25" s="331">
        <f>'Beta Calc'!Q25</f>
        <v>52.01</v>
      </c>
      <c r="K25" s="331">
        <f t="shared" si="9"/>
        <v>198.09277</v>
      </c>
      <c r="M25" s="1066">
        <f>IFERROR('Capital IQ Sheet-GPC'!AT28,"n/a")</f>
        <v>0</v>
      </c>
      <c r="N25" s="331">
        <f t="shared" si="0"/>
        <v>3</v>
      </c>
      <c r="O25" s="1522">
        <f t="shared" si="0"/>
        <v>1.3999999999999999E-2</v>
      </c>
      <c r="P25" s="1523"/>
      <c r="Q25" s="1524">
        <f>IFERROR(HLOOKUP($Q$6,'Equity Vol'!$B$8:$K25,ROWS('Equity Vol'!$C$8:$C25),FALSE),"n/a")</f>
        <v>0.80520266549599839</v>
      </c>
      <c r="R25" s="1525"/>
      <c r="S25" s="1526">
        <f t="shared" si="10"/>
        <v>0.64835133252186072</v>
      </c>
      <c r="T25" s="1526">
        <f t="shared" si="1"/>
        <v>4.9239076552867171</v>
      </c>
      <c r="U25" s="1527">
        <f t="shared" si="2"/>
        <v>3.5292557282577608</v>
      </c>
      <c r="V25" s="1527">
        <f t="shared" si="3"/>
        <v>0.99999957583559518</v>
      </c>
      <c r="W25" s="1527">
        <f t="shared" si="4"/>
        <v>0.99979163488860967</v>
      </c>
      <c r="X25" s="759">
        <f t="shared" si="5"/>
        <v>197.54720275431231</v>
      </c>
      <c r="Y25" s="1524">
        <f t="shared" si="11"/>
        <v>0.80298539764483567</v>
      </c>
      <c r="AA25" s="1177" t="str">
        <f>IF('MASTER PubCo Inputs'!B43=0,"",'MASTER PubCo Inputs'!B43)</f>
        <v>NasdaqCM:IDRA</v>
      </c>
      <c r="AB25" s="331">
        <f>'Beta Calc'!Z25</f>
        <v>198.09277</v>
      </c>
      <c r="AC25" s="1178">
        <f t="shared" si="6"/>
        <v>0</v>
      </c>
      <c r="AI25" s="1179"/>
    </row>
    <row r="26" spans="2:35" ht="14.85" customHeight="1">
      <c r="B26" s="250" t="str">
        <f>'Comp.1'!B28</f>
        <v>Achillion Pharmaceuticals, Inc.</v>
      </c>
      <c r="D26" s="331">
        <f>'Beta Calc'!K26</f>
        <v>565.85888</v>
      </c>
      <c r="E26" s="331">
        <f>'Beta Calc'!L26</f>
        <v>0.28899999999999998</v>
      </c>
      <c r="F26" s="331">
        <f>'Beta Calc'!M26</f>
        <v>0</v>
      </c>
      <c r="G26" s="331">
        <f>'Beta Calc'!N26</f>
        <v>0</v>
      </c>
      <c r="H26" s="331">
        <f t="shared" si="7"/>
        <v>0.28899999999999998</v>
      </c>
      <c r="I26" s="331">
        <f t="shared" si="8"/>
        <v>566.14787999999999</v>
      </c>
      <c r="J26" s="331">
        <f>'Beta Calc'!Q26</f>
        <v>408.70499999999998</v>
      </c>
      <c r="K26" s="331">
        <f t="shared" si="9"/>
        <v>157.44288</v>
      </c>
      <c r="M26" s="1066">
        <f>IFERROR('Capital IQ Sheet-GPC'!AT29,"n/a")</f>
        <v>0</v>
      </c>
      <c r="N26" s="331">
        <f t="shared" si="0"/>
        <v>3</v>
      </c>
      <c r="O26" s="1522">
        <f t="shared" si="0"/>
        <v>1.3999999999999999E-2</v>
      </c>
      <c r="P26" s="1523"/>
      <c r="Q26" s="1524">
        <f>IFERROR(HLOOKUP($Q$6,'Equity Vol'!$B$8:$K26,ROWS('Equity Vol'!$C$8:$C26),FALSE),"n/a")</f>
        <v>0.80172115434392432</v>
      </c>
      <c r="R26" s="1525"/>
      <c r="S26" s="1526">
        <f t="shared" si="10"/>
        <v>0.64275680932255452</v>
      </c>
      <c r="T26" s="1526">
        <f t="shared" si="1"/>
        <v>5.2617110531121467</v>
      </c>
      <c r="U26" s="1527">
        <f t="shared" si="2"/>
        <v>3.8730892802857002</v>
      </c>
      <c r="V26" s="1527">
        <f t="shared" si="3"/>
        <v>0.99999992863953213</v>
      </c>
      <c r="W26" s="1527">
        <f t="shared" si="4"/>
        <v>0.99994626778106177</v>
      </c>
      <c r="X26" s="759">
        <f t="shared" si="5"/>
        <v>157.16577028813307</v>
      </c>
      <c r="Y26" s="1524">
        <f t="shared" si="11"/>
        <v>0.80031013006365581</v>
      </c>
      <c r="AA26" s="1177" t="str">
        <f>IF('MASTER PubCo Inputs'!B44=0,"",'MASTER PubCo Inputs'!B44)</f>
        <v>NasdaqGS:ACHN</v>
      </c>
      <c r="AB26" s="331">
        <f>'Beta Calc'!Z26</f>
        <v>157.44288</v>
      </c>
      <c r="AC26" s="1178">
        <f t="shared" si="6"/>
        <v>0</v>
      </c>
      <c r="AI26" s="1179"/>
    </row>
    <row r="27" spans="2:35" ht="14.85" customHeight="1">
      <c r="B27" s="250" t="str">
        <f>'Comp.1'!B29</f>
        <v>ContraVir Pharmaceuticals, Inc.</v>
      </c>
      <c r="D27" s="331">
        <f>'Beta Calc'!K27</f>
        <v>118.69085</v>
      </c>
      <c r="E27" s="331">
        <f>'Beta Calc'!L27</f>
        <v>0</v>
      </c>
      <c r="F27" s="331">
        <f>'Beta Calc'!M27</f>
        <v>1.83091</v>
      </c>
      <c r="G27" s="331">
        <f>'Beta Calc'!N27</f>
        <v>0</v>
      </c>
      <c r="H27" s="331">
        <f t="shared" si="7"/>
        <v>1.83091</v>
      </c>
      <c r="I27" s="331">
        <f t="shared" si="8"/>
        <v>120.52176</v>
      </c>
      <c r="J27" s="331">
        <f>'Beta Calc'!Q27</f>
        <v>3.0281600000000002</v>
      </c>
      <c r="K27" s="331">
        <f t="shared" si="9"/>
        <v>117.4936</v>
      </c>
      <c r="M27" s="1066">
        <f>IFERROR('Capital IQ Sheet-GPC'!AT30,"n/a")</f>
        <v>0</v>
      </c>
      <c r="N27" s="331">
        <f t="shared" si="0"/>
        <v>3</v>
      </c>
      <c r="O27" s="1522">
        <f t="shared" si="0"/>
        <v>1.3999999999999999E-2</v>
      </c>
      <c r="P27" s="1523"/>
      <c r="Q27" s="1524">
        <f>IFERROR(HLOOKUP($Q$6,'Equity Vol'!$B$8:$K27,ROWS('Equity Vol'!$C$8:$C27),FALSE),"n/a")</f>
        <v>1.396853832524193</v>
      </c>
      <c r="R27" s="1525"/>
      <c r="S27" s="1526">
        <f t="shared" si="10"/>
        <v>1.9512006294375264</v>
      </c>
      <c r="T27" s="1526">
        <f t="shared" si="1"/>
        <v>2.9471387219776508</v>
      </c>
      <c r="U27" s="1527">
        <f t="shared" si="2"/>
        <v>0.52771691329844073</v>
      </c>
      <c r="V27" s="1527">
        <f t="shared" si="3"/>
        <v>0.99839635357133072</v>
      </c>
      <c r="W27" s="1527">
        <f t="shared" si="4"/>
        <v>0.70115208378062466</v>
      </c>
      <c r="X27" s="759">
        <f t="shared" si="5"/>
        <v>116.07423621580033</v>
      </c>
      <c r="Y27" s="1524">
        <f t="shared" si="11"/>
        <v>1.3821959031680655</v>
      </c>
      <c r="AA27" s="1177" t="str">
        <f>IF('MASTER PubCo Inputs'!B45=0,"",'MASTER PubCo Inputs'!B45)</f>
        <v>NasdaqCM:CTRV</v>
      </c>
      <c r="AB27" s="331">
        <f>'Beta Calc'!Z27</f>
        <v>117.4936</v>
      </c>
      <c r="AC27" s="1178">
        <f t="shared" si="6"/>
        <v>0</v>
      </c>
      <c r="AI27" s="1179"/>
    </row>
    <row r="28" spans="2:35" ht="14.85" customHeight="1">
      <c r="B28" s="250" t="str">
        <f>'Comp.1'!B30</f>
        <v>Sangamo Therapeutics, Inc.</v>
      </c>
      <c r="D28" s="331">
        <f>'Beta Calc'!K28</f>
        <v>225.99635000000001</v>
      </c>
      <c r="E28" s="331">
        <f>'Beta Calc'!L28</f>
        <v>0</v>
      </c>
      <c r="F28" s="331">
        <f>'Beta Calc'!M28</f>
        <v>0</v>
      </c>
      <c r="G28" s="331">
        <f>'Beta Calc'!N28</f>
        <v>0</v>
      </c>
      <c r="H28" s="331">
        <f t="shared" si="7"/>
        <v>0</v>
      </c>
      <c r="I28" s="331">
        <f t="shared" si="8"/>
        <v>225.99635000000001</v>
      </c>
      <c r="J28" s="331">
        <f>'Beta Calc'!Q28</f>
        <v>145.58099999999999</v>
      </c>
      <c r="K28" s="331">
        <f t="shared" si="9"/>
        <v>80.415350000000018</v>
      </c>
      <c r="M28" s="1066">
        <f>IFERROR('Capital IQ Sheet-GPC'!AT31,"n/a")</f>
        <v>0</v>
      </c>
      <c r="N28" s="331">
        <f t="shared" si="0"/>
        <v>3</v>
      </c>
      <c r="O28" s="1522">
        <f t="shared" si="0"/>
        <v>1.3999999999999999E-2</v>
      </c>
      <c r="P28" s="1523"/>
      <c r="Q28" s="1524">
        <f>IFERROR(HLOOKUP($Q$6,'Equity Vol'!$B$8:$K28,ROWS('Equity Vol'!$C$8:$C28),FALSE),"n/a")</f>
        <v>0.72988664995178043</v>
      </c>
      <c r="R28" s="1525"/>
      <c r="S28" s="1526">
        <f t="shared" si="10"/>
        <v>0.53273452177783287</v>
      </c>
      <c r="T28" s="1526">
        <f t="shared" si="1"/>
        <v>0</v>
      </c>
      <c r="U28" s="1527">
        <f t="shared" si="2"/>
        <v>0</v>
      </c>
      <c r="V28" s="1527">
        <f t="shared" si="3"/>
        <v>0</v>
      </c>
      <c r="W28" s="1527">
        <f t="shared" si="4"/>
        <v>0</v>
      </c>
      <c r="X28" s="759">
        <f t="shared" si="5"/>
        <v>0</v>
      </c>
      <c r="Y28" s="1524">
        <f t="shared" si="11"/>
        <v>0.72988664995178043</v>
      </c>
      <c r="AA28" s="1177" t="str">
        <f>IF('MASTER PubCo Inputs'!B46=0,"",'MASTER PubCo Inputs'!B46)</f>
        <v>NasdaqGS:SGMO</v>
      </c>
      <c r="AB28" s="331">
        <f>'Beta Calc'!Z28</f>
        <v>80.415350000000004</v>
      </c>
      <c r="AC28" s="1178">
        <f t="shared" si="6"/>
        <v>0</v>
      </c>
      <c r="AI28" s="1179"/>
    </row>
    <row r="29" spans="2:35" ht="14.85" customHeight="1">
      <c r="B29" s="250" t="str">
        <f>'Comp.1'!B31</f>
        <v>Immune Design Corp.</v>
      </c>
      <c r="D29" s="331">
        <f>'Beta Calc'!K29</f>
        <v>186.75745000000001</v>
      </c>
      <c r="E29" s="331">
        <f>'Beta Calc'!L29</f>
        <v>0</v>
      </c>
      <c r="F29" s="331">
        <f>'Beta Calc'!M29</f>
        <v>0</v>
      </c>
      <c r="G29" s="331">
        <f>'Beta Calc'!N29</f>
        <v>0</v>
      </c>
      <c r="H29" s="331">
        <f t="shared" si="7"/>
        <v>0</v>
      </c>
      <c r="I29" s="331">
        <f t="shared" si="8"/>
        <v>186.75745000000001</v>
      </c>
      <c r="J29" s="331">
        <f>'Beta Calc'!Q29</f>
        <v>112.471</v>
      </c>
      <c r="K29" s="331">
        <f t="shared" si="9"/>
        <v>74.286450000000002</v>
      </c>
      <c r="M29" s="1066">
        <f>IFERROR('Capital IQ Sheet-GPC'!AT32,"n/a")</f>
        <v>0</v>
      </c>
      <c r="N29" s="331">
        <f t="shared" si="0"/>
        <v>3</v>
      </c>
      <c r="O29" s="1522">
        <f t="shared" si="0"/>
        <v>1.3999999999999999E-2</v>
      </c>
      <c r="P29" s="1523"/>
      <c r="Q29" s="1524">
        <f>IFERROR(HLOOKUP($Q$6,'Equity Vol'!$B$8:$K29,ROWS('Equity Vol'!$C$8:$C29),FALSE),"n/a")</f>
        <v>0.87802203473928597</v>
      </c>
      <c r="R29" s="1525"/>
      <c r="S29" s="1526">
        <f t="shared" si="10"/>
        <v>0.77092269348771592</v>
      </c>
      <c r="T29" s="1526">
        <f t="shared" si="1"/>
        <v>0</v>
      </c>
      <c r="U29" s="1527">
        <f t="shared" si="2"/>
        <v>0</v>
      </c>
      <c r="V29" s="1527">
        <f t="shared" si="3"/>
        <v>0</v>
      </c>
      <c r="W29" s="1527">
        <f t="shared" si="4"/>
        <v>0</v>
      </c>
      <c r="X29" s="759">
        <f t="shared" si="5"/>
        <v>0</v>
      </c>
      <c r="Y29" s="1524">
        <f t="shared" si="11"/>
        <v>0.87802203473928597</v>
      </c>
      <c r="AA29" s="1177" t="str">
        <f>IF('MASTER PubCo Inputs'!B47=0,"",'MASTER PubCo Inputs'!B47)</f>
        <v>NasdaqGM:IMDZ</v>
      </c>
      <c r="AB29" s="331">
        <f>'Beta Calc'!Z29</f>
        <v>74.286450000000002</v>
      </c>
      <c r="AC29" s="1178">
        <f t="shared" si="6"/>
        <v>0</v>
      </c>
      <c r="AI29" s="1179"/>
    </row>
    <row r="30" spans="2:35" ht="14.85" customHeight="1">
      <c r="B30" s="250" t="str">
        <f>'Comp.1'!B32</f>
        <v>Fate Therapeutics, Inc.</v>
      </c>
      <c r="D30" s="331">
        <f>'Beta Calc'!K30</f>
        <v>100.39557000000001</v>
      </c>
      <c r="E30" s="331">
        <f>'Beta Calc'!L30</f>
        <v>12.635</v>
      </c>
      <c r="F30" s="331">
        <f>'Beta Calc'!M30</f>
        <v>0</v>
      </c>
      <c r="G30" s="331">
        <f>'Beta Calc'!N30</f>
        <v>0</v>
      </c>
      <c r="H30" s="331">
        <f t="shared" si="7"/>
        <v>12.635</v>
      </c>
      <c r="I30" s="331">
        <f t="shared" si="8"/>
        <v>113.03057000000001</v>
      </c>
      <c r="J30" s="331">
        <f>'Beta Calc'!Q30</f>
        <v>46.619</v>
      </c>
      <c r="K30" s="331">
        <f t="shared" si="9"/>
        <v>66.411570000000012</v>
      </c>
      <c r="M30" s="1066">
        <f>IFERROR('Capital IQ Sheet-GPC'!AT33,"n/a")</f>
        <v>0</v>
      </c>
      <c r="N30" s="331">
        <f t="shared" si="0"/>
        <v>3</v>
      </c>
      <c r="O30" s="1522">
        <f t="shared" si="0"/>
        <v>1.3999999999999999E-2</v>
      </c>
      <c r="P30" s="1523"/>
      <c r="Q30" s="1524">
        <f>IFERROR(HLOOKUP($Q$6,'Equity Vol'!$B$8:$K30,ROWS('Equity Vol'!$C$8:$C30),FALSE),"n/a")</f>
        <v>0.81948065839335027</v>
      </c>
      <c r="R30" s="1525"/>
      <c r="S30" s="1526">
        <f t="shared" si="10"/>
        <v>0.6715485494807989</v>
      </c>
      <c r="T30" s="1526">
        <f t="shared" si="1"/>
        <v>1.9083820365708704</v>
      </c>
      <c r="U30" s="1527">
        <f t="shared" si="2"/>
        <v>0.48899990041359276</v>
      </c>
      <c r="V30" s="1527">
        <f t="shared" si="3"/>
        <v>0.97182907156887777</v>
      </c>
      <c r="W30" s="1527">
        <f t="shared" si="4"/>
        <v>0.68757911632075586</v>
      </c>
      <c r="X30" s="759">
        <f t="shared" si="5"/>
        <v>56.210453616709707</v>
      </c>
      <c r="Y30" s="1524">
        <f t="shared" si="11"/>
        <v>0.71371062794203266</v>
      </c>
      <c r="AA30" s="1177" t="str">
        <f>IF('MASTER PubCo Inputs'!B48=0,"",'MASTER PubCo Inputs'!B48)</f>
        <v>NasdaqGM:FATE</v>
      </c>
      <c r="AB30" s="331">
        <f>'Beta Calc'!Z30</f>
        <v>66.411569999999998</v>
      </c>
      <c r="AC30" s="1178">
        <f t="shared" si="6"/>
        <v>0</v>
      </c>
      <c r="AI30" s="1179"/>
    </row>
    <row r="31" spans="2:35" ht="14.85" customHeight="1">
      <c r="B31" s="250" t="str">
        <f>'Comp.1'!B33</f>
        <v>Arrowhead Pharmaceuticals, Inc.</v>
      </c>
      <c r="D31" s="331">
        <f>'Beta Calc'!K31</f>
        <v>102.94919</v>
      </c>
      <c r="E31" s="331">
        <f>'Beta Calc'!L31</f>
        <v>3.32328</v>
      </c>
      <c r="F31" s="331">
        <f>'Beta Calc'!M31</f>
        <v>2.0000000000000002E-5</v>
      </c>
      <c r="G31" s="331">
        <f>'Beta Calc'!N31</f>
        <v>-0.55518999999999996</v>
      </c>
      <c r="H31" s="331">
        <f t="shared" si="7"/>
        <v>2.7681100000000001</v>
      </c>
      <c r="I31" s="331">
        <f t="shared" si="8"/>
        <v>105.71730000000001</v>
      </c>
      <c r="J31" s="331">
        <f>'Beta Calc'!Q31</f>
        <v>44.647100000000002</v>
      </c>
      <c r="K31" s="331">
        <f t="shared" si="9"/>
        <v>61.070200000000007</v>
      </c>
      <c r="M31" s="1066">
        <f>IFERROR('Capital IQ Sheet-GPC'!AT34,"n/a")</f>
        <v>0</v>
      </c>
      <c r="N31" s="331">
        <f t="shared" si="0"/>
        <v>3</v>
      </c>
      <c r="O31" s="1522">
        <f t="shared" si="0"/>
        <v>1.3999999999999999E-2</v>
      </c>
      <c r="P31" s="1523"/>
      <c r="Q31" s="1524">
        <f>IFERROR(HLOOKUP($Q$6,'Equity Vol'!$B$8:$K31,ROWS('Equity Vol'!$C$8:$C31),FALSE),"n/a")</f>
        <v>0.83310850932360714</v>
      </c>
      <c r="R31" s="1525"/>
      <c r="S31" s="1526">
        <f t="shared" si="10"/>
        <v>0.69406978830740285</v>
      </c>
      <c r="T31" s="1526">
        <f t="shared" si="1"/>
        <v>2.894666446333463</v>
      </c>
      <c r="U31" s="1527">
        <f t="shared" si="2"/>
        <v>1.4516801799670056</v>
      </c>
      <c r="V31" s="1527">
        <f t="shared" si="3"/>
        <v>0.99810219190080174</v>
      </c>
      <c r="W31" s="1527">
        <f t="shared" si="4"/>
        <v>0.92670472358693112</v>
      </c>
      <c r="X31" s="759">
        <f t="shared" si="5"/>
        <v>58.494587954080465</v>
      </c>
      <c r="Y31" s="1524">
        <f t="shared" si="11"/>
        <v>0.79948975856192495</v>
      </c>
      <c r="AA31" s="1177" t="str">
        <f>IF('MASTER PubCo Inputs'!B49=0,"",'MASTER PubCo Inputs'!B49)</f>
        <v>NasdaqGS:ARWR</v>
      </c>
      <c r="AB31" s="331">
        <f>'Beta Calc'!Z31</f>
        <v>61.0702</v>
      </c>
      <c r="AC31" s="1178">
        <f t="shared" si="6"/>
        <v>0</v>
      </c>
      <c r="AI31" s="1179"/>
    </row>
    <row r="32" spans="2:35" ht="14.85" customHeight="1">
      <c r="B32" s="250" t="str">
        <f>'Comp.1'!B34</f>
        <v>Regulus Therapeutics Inc.</v>
      </c>
      <c r="D32" s="331">
        <f>'Beta Calc'!K32</f>
        <v>129.66210000000001</v>
      </c>
      <c r="E32" s="331">
        <f>'Beta Calc'!L32</f>
        <v>19.786999999999999</v>
      </c>
      <c r="F32" s="331">
        <f>'Beta Calc'!M32</f>
        <v>0</v>
      </c>
      <c r="G32" s="331">
        <f>'Beta Calc'!N32</f>
        <v>0</v>
      </c>
      <c r="H32" s="331">
        <f t="shared" si="7"/>
        <v>19.786999999999999</v>
      </c>
      <c r="I32" s="331">
        <f t="shared" si="8"/>
        <v>149.44910000000002</v>
      </c>
      <c r="J32" s="331">
        <f>'Beta Calc'!Q32</f>
        <v>91.582999999999998</v>
      </c>
      <c r="K32" s="331">
        <f t="shared" si="9"/>
        <v>57.866100000000017</v>
      </c>
      <c r="M32" s="1066">
        <f>IFERROR('Capital IQ Sheet-GPC'!AT35,"n/a")</f>
        <v>0</v>
      </c>
      <c r="N32" s="331">
        <f t="shared" si="0"/>
        <v>3</v>
      </c>
      <c r="O32" s="1522">
        <f t="shared" si="0"/>
        <v>1.3999999999999999E-2</v>
      </c>
      <c r="P32" s="1523"/>
      <c r="Q32" s="1524">
        <f>IFERROR(HLOOKUP($Q$6,'Equity Vol'!$B$8:$K32,ROWS('Equity Vol'!$C$8:$C32),FALSE),"n/a")</f>
        <v>0.94732611198066297</v>
      </c>
      <c r="R32" s="1525"/>
      <c r="S32" s="1526">
        <f t="shared" si="10"/>
        <v>0.89742676244039954</v>
      </c>
      <c r="T32" s="1526">
        <f t="shared" si="1"/>
        <v>1.5000129643973255</v>
      </c>
      <c r="U32" s="1527">
        <f t="shared" si="2"/>
        <v>-0.14080399288986656</v>
      </c>
      <c r="V32" s="1527">
        <f t="shared" si="3"/>
        <v>0.93319447783238629</v>
      </c>
      <c r="W32" s="1527">
        <f t="shared" si="4"/>
        <v>0.44401239431230538</v>
      </c>
      <c r="X32" s="759">
        <f t="shared" si="5"/>
        <v>45.576008395876102</v>
      </c>
      <c r="Y32" s="1524">
        <f t="shared" si="11"/>
        <v>0.79953857415291274</v>
      </c>
      <c r="AA32" s="1177" t="str">
        <f>IF('MASTER PubCo Inputs'!B50=0,"",'MASTER PubCo Inputs'!B50)</f>
        <v>NasdaqGM:RGLS</v>
      </c>
      <c r="AB32" s="331">
        <f>'Beta Calc'!Z32</f>
        <v>57.866100000000003</v>
      </c>
      <c r="AC32" s="1178">
        <f t="shared" si="6"/>
        <v>0</v>
      </c>
      <c r="AI32" s="1179"/>
    </row>
    <row r="33" spans="2:35" ht="14.85" customHeight="1">
      <c r="B33" s="250" t="str">
        <f>'Comp.1'!B35</f>
        <v>CEL-SCI Corporation</v>
      </c>
      <c r="D33" s="331">
        <f>'Beta Calc'!K33</f>
        <v>32.817689999999999</v>
      </c>
      <c r="E33" s="331">
        <f>'Beta Calc'!L33</f>
        <v>2.31E-3</v>
      </c>
      <c r="F33" s="331">
        <f>'Beta Calc'!M33</f>
        <v>0</v>
      </c>
      <c r="G33" s="331">
        <f>'Beta Calc'!N33</f>
        <v>0</v>
      </c>
      <c r="H33" s="331">
        <f t="shared" si="7"/>
        <v>2.31E-3</v>
      </c>
      <c r="I33" s="331">
        <f t="shared" si="8"/>
        <v>32.82</v>
      </c>
      <c r="J33" s="331">
        <f>'Beta Calc'!Q33</f>
        <v>5.21896</v>
      </c>
      <c r="K33" s="331">
        <f t="shared" si="9"/>
        <v>27.601040000000001</v>
      </c>
      <c r="M33" s="1066">
        <f>IFERROR('Capital IQ Sheet-GPC'!AT36,"n/a")</f>
        <v>0</v>
      </c>
      <c r="N33" s="331">
        <f t="shared" si="0"/>
        <v>3</v>
      </c>
      <c r="O33" s="1522">
        <f t="shared" si="0"/>
        <v>1.3999999999999999E-2</v>
      </c>
      <c r="P33" s="1523"/>
      <c r="Q33" s="1524">
        <f>IFERROR(HLOOKUP($Q$6,'Equity Vol'!$B$8:$K33,ROWS('Equity Vol'!$C$8:$C33),FALSE),"n/a")</f>
        <v>0.79750368267574068</v>
      </c>
      <c r="R33" s="1525"/>
      <c r="S33" s="1526">
        <f t="shared" si="10"/>
        <v>0.63601212388136852</v>
      </c>
      <c r="T33" s="1526">
        <f t="shared" si="1"/>
        <v>7.517738624172936</v>
      </c>
      <c r="U33" s="1527">
        <f t="shared" si="2"/>
        <v>6.1364217265552661</v>
      </c>
      <c r="V33" s="1527">
        <f t="shared" si="3"/>
        <v>0.99999999999997213</v>
      </c>
      <c r="W33" s="1527">
        <f t="shared" si="4"/>
        <v>0.99999999957799546</v>
      </c>
      <c r="X33" s="759">
        <f t="shared" si="5"/>
        <v>27.598825010807047</v>
      </c>
      <c r="Y33" s="1524">
        <f t="shared" si="11"/>
        <v>0.79743968283958033</v>
      </c>
      <c r="AA33" s="1177" t="str">
        <f>IF('MASTER PubCo Inputs'!B51=0,"",'MASTER PubCo Inputs'!B51)</f>
        <v>AMEX:CVM</v>
      </c>
      <c r="AB33" s="331">
        <f>'Beta Calc'!Z33</f>
        <v>27.601040000000001</v>
      </c>
      <c r="AC33" s="1178">
        <f t="shared" si="6"/>
        <v>0</v>
      </c>
      <c r="AI33" s="1179"/>
    </row>
    <row r="34" spans="2:35" ht="14.85" customHeight="1">
      <c r="B34" s="250" t="str">
        <f>'Comp.1'!B36</f>
        <v>PhaseRx, Inc.</v>
      </c>
      <c r="D34" s="331">
        <f>'Beta Calc'!K34</f>
        <v>24.549689999999998</v>
      </c>
      <c r="E34" s="331">
        <f>'Beta Calc'!L34</f>
        <v>5.6109999999999998</v>
      </c>
      <c r="F34" s="331">
        <f>'Beta Calc'!M34</f>
        <v>0</v>
      </c>
      <c r="G34" s="331">
        <f>'Beta Calc'!N34</f>
        <v>0</v>
      </c>
      <c r="H34" s="331">
        <f t="shared" si="7"/>
        <v>5.6109999999999998</v>
      </c>
      <c r="I34" s="331">
        <f t="shared" si="8"/>
        <v>30.160689999999999</v>
      </c>
      <c r="J34" s="331">
        <f>'Beta Calc'!Q34</f>
        <v>18.635000000000002</v>
      </c>
      <c r="K34" s="331">
        <f t="shared" si="9"/>
        <v>11.525689999999997</v>
      </c>
      <c r="M34" s="1066">
        <f>IFERROR('Capital IQ Sheet-GPC'!AT37,"n/a")</f>
        <v>0</v>
      </c>
      <c r="N34" s="331">
        <f t="shared" si="0"/>
        <v>3</v>
      </c>
      <c r="O34" s="1522">
        <f t="shared" si="0"/>
        <v>1.3999999999999999E-2</v>
      </c>
      <c r="P34" s="1523"/>
      <c r="Q34" s="1524" t="str">
        <f>IFERROR(HLOOKUP($Q$6,'Equity Vol'!$B$8:$K34,ROWS('Equity Vol'!$C$8:$C34),FALSE),"n/a")</f>
        <v>n/a</v>
      </c>
      <c r="R34" s="1525"/>
      <c r="S34" s="1526" t="str">
        <f t="shared" si="10"/>
        <v>n/a</v>
      </c>
      <c r="T34" s="1526" t="str">
        <f t="shared" si="1"/>
        <v>n/a</v>
      </c>
      <c r="U34" s="1527" t="str">
        <f t="shared" si="2"/>
        <v>n/a</v>
      </c>
      <c r="V34" s="1527" t="str">
        <f t="shared" si="3"/>
        <v>n/a</v>
      </c>
      <c r="W34" s="1527" t="str">
        <f t="shared" si="4"/>
        <v>n/a</v>
      </c>
      <c r="X34" s="759" t="str">
        <f t="shared" si="5"/>
        <v>n/a</v>
      </c>
      <c r="Y34" s="1524" t="str">
        <f t="shared" si="11"/>
        <v>n/a</v>
      </c>
      <c r="AA34" s="1177" t="str">
        <f>IF('MASTER PubCo Inputs'!B52=0,"",'MASTER PubCo Inputs'!B52)</f>
        <v>NasdaqCM:PZRX</v>
      </c>
      <c r="AB34" s="331">
        <f>'Beta Calc'!Z34</f>
        <v>11.525690000000001</v>
      </c>
      <c r="AC34" s="1178">
        <f t="shared" si="6"/>
        <v>0</v>
      </c>
      <c r="AI34" s="1179"/>
    </row>
    <row r="35" spans="2:35" ht="14.85" customHeight="1">
      <c r="B35" s="250" t="str">
        <f>'Comp.1'!B37</f>
        <v>Marina Biotech, Inc.</v>
      </c>
      <c r="D35" s="331">
        <f>'Beta Calc'!K35</f>
        <v>9.8748500000000003</v>
      </c>
      <c r="E35" s="331">
        <f>'Beta Calc'!L35</f>
        <v>0</v>
      </c>
      <c r="F35" s="331">
        <f>'Beta Calc'!M35</f>
        <v>0</v>
      </c>
      <c r="G35" s="331">
        <f>'Beta Calc'!N35</f>
        <v>0</v>
      </c>
      <c r="H35" s="331">
        <f t="shared" si="7"/>
        <v>0</v>
      </c>
      <c r="I35" s="331">
        <f t="shared" si="8"/>
        <v>9.8748500000000003</v>
      </c>
      <c r="J35" s="331">
        <f>'Beta Calc'!Q35</f>
        <v>0</v>
      </c>
      <c r="K35" s="331">
        <f t="shared" si="9"/>
        <v>9.8748500000000003</v>
      </c>
      <c r="M35" s="1066">
        <f>IFERROR('Capital IQ Sheet-GPC'!AT38,"n/a")</f>
        <v>0</v>
      </c>
      <c r="N35" s="331">
        <f t="shared" si="0"/>
        <v>3</v>
      </c>
      <c r="O35" s="1522">
        <f t="shared" si="0"/>
        <v>1.3999999999999999E-2</v>
      </c>
      <c r="P35" s="1523"/>
      <c r="Q35" s="1524" t="str">
        <f>IFERROR(HLOOKUP($Q$6,'Equity Vol'!$B$8:$K35,ROWS('Equity Vol'!$C$8:$C35),FALSE),"n/a")</f>
        <v>n/a</v>
      </c>
      <c r="R35" s="1525"/>
      <c r="S35" s="1526" t="str">
        <f t="shared" si="10"/>
        <v>n/a</v>
      </c>
      <c r="T35" s="1526" t="str">
        <f t="shared" si="1"/>
        <v>n/a</v>
      </c>
      <c r="U35" s="1527" t="str">
        <f t="shared" si="2"/>
        <v>n/a</v>
      </c>
      <c r="V35" s="1527" t="str">
        <f t="shared" si="3"/>
        <v>n/a</v>
      </c>
      <c r="W35" s="1527" t="str">
        <f t="shared" si="4"/>
        <v>n/a</v>
      </c>
      <c r="X35" s="759" t="str">
        <f t="shared" si="5"/>
        <v>n/a</v>
      </c>
      <c r="Y35" s="1524" t="str">
        <f t="shared" si="11"/>
        <v>n/a</v>
      </c>
      <c r="AA35" s="1177" t="str">
        <f>IF('MASTER PubCo Inputs'!B53=0,"",'MASTER PubCo Inputs'!B53)</f>
        <v>OTCPK:MRNA</v>
      </c>
      <c r="AB35" s="331">
        <f>'Beta Calc'!Z35</f>
        <v>0</v>
      </c>
      <c r="AC35" s="1178">
        <f t="shared" si="6"/>
        <v>9.8748500000000003</v>
      </c>
      <c r="AI35" s="1179"/>
    </row>
    <row r="36" spans="2:35" ht="14.85" customHeight="1">
      <c r="B36" s="250" t="str">
        <f>'Comp.1'!B38</f>
        <v>RXi Pharmaceuticals Corporation</v>
      </c>
      <c r="D36" s="331">
        <f>'Beta Calc'!K36</f>
        <v>9.9657699999999991</v>
      </c>
      <c r="E36" s="331">
        <f>'Beta Calc'!L36</f>
        <v>0</v>
      </c>
      <c r="F36" s="331">
        <f>'Beta Calc'!M36</f>
        <v>0</v>
      </c>
      <c r="G36" s="331">
        <f>'Beta Calc'!N36</f>
        <v>0</v>
      </c>
      <c r="H36" s="331">
        <f t="shared" si="7"/>
        <v>0</v>
      </c>
      <c r="I36" s="331">
        <f t="shared" si="8"/>
        <v>9.9657699999999991</v>
      </c>
      <c r="J36" s="331">
        <f>'Beta Calc'!Q36</f>
        <v>4.3789999999999996</v>
      </c>
      <c r="K36" s="331">
        <f t="shared" si="9"/>
        <v>5.5867699999999996</v>
      </c>
      <c r="M36" s="1066">
        <f>IFERROR('Capital IQ Sheet-GPC'!AT39,"n/a")</f>
        <v>0</v>
      </c>
      <c r="N36" s="331">
        <f t="shared" si="0"/>
        <v>3</v>
      </c>
      <c r="O36" s="1522">
        <f t="shared" si="0"/>
        <v>1.3999999999999999E-2</v>
      </c>
      <c r="P36" s="1523"/>
      <c r="Q36" s="1524">
        <f>IFERROR(HLOOKUP($Q$6,'Equity Vol'!$B$8:$K36,ROWS('Equity Vol'!$C$8:$C36),FALSE),"n/a")</f>
        <v>0.9097061604101625</v>
      </c>
      <c r="R36" s="1525"/>
      <c r="S36" s="1526">
        <f t="shared" si="10"/>
        <v>0.82756529828820036</v>
      </c>
      <c r="T36" s="1526">
        <f t="shared" si="1"/>
        <v>0</v>
      </c>
      <c r="U36" s="1527">
        <f t="shared" si="2"/>
        <v>0</v>
      </c>
      <c r="V36" s="1527">
        <f t="shared" si="3"/>
        <v>0</v>
      </c>
      <c r="W36" s="1527">
        <f t="shared" si="4"/>
        <v>0</v>
      </c>
      <c r="X36" s="759">
        <f t="shared" si="5"/>
        <v>0</v>
      </c>
      <c r="Y36" s="1524">
        <f t="shared" si="11"/>
        <v>0.9097061604101625</v>
      </c>
      <c r="AA36" s="1177" t="str">
        <f>IF('MASTER PubCo Inputs'!B54=0,"",'MASTER PubCo Inputs'!B54)</f>
        <v>NasdaqCM:RXII</v>
      </c>
      <c r="AB36" s="331">
        <f>'Beta Calc'!Z36</f>
        <v>5.5867699999999996</v>
      </c>
      <c r="AC36" s="1178">
        <f t="shared" si="6"/>
        <v>0</v>
      </c>
      <c r="AI36" s="1179"/>
    </row>
    <row r="37" spans="2:35" ht="14.85" customHeight="1">
      <c r="B37" s="250" t="str">
        <f>'Comp.1'!B39</f>
        <v>Benitec Biopharma Limited</v>
      </c>
      <c r="D37" s="331">
        <f>'Beta Calc'!K37</f>
        <v>12.459519999999999</v>
      </c>
      <c r="E37" s="331">
        <f>'Beta Calc'!L37</f>
        <v>0</v>
      </c>
      <c r="F37" s="331">
        <f>'Beta Calc'!M37</f>
        <v>0</v>
      </c>
      <c r="G37" s="331">
        <f>'Beta Calc'!N37</f>
        <v>0</v>
      </c>
      <c r="H37" s="331">
        <f t="shared" si="7"/>
        <v>0</v>
      </c>
      <c r="I37" s="331">
        <f t="shared" si="8"/>
        <v>12.459519999999999</v>
      </c>
      <c r="J37" s="331">
        <f>'Beta Calc'!Q37</f>
        <v>10.266360000000001</v>
      </c>
      <c r="K37" s="331">
        <f t="shared" si="9"/>
        <v>2.1931599999999989</v>
      </c>
      <c r="M37" s="1066">
        <f>IFERROR('Capital IQ Sheet-GPC'!AT40,"n/a")</f>
        <v>0</v>
      </c>
      <c r="N37" s="331">
        <f t="shared" si="0"/>
        <v>3</v>
      </c>
      <c r="O37" s="1522">
        <f t="shared" si="0"/>
        <v>1.3999999999999999E-2</v>
      </c>
      <c r="P37" s="1523"/>
      <c r="Q37" s="1524">
        <f>IFERROR(HLOOKUP($Q$6,'Equity Vol'!$B$8:$K37,ROWS('Equity Vol'!$C$8:$C37),FALSE),"n/a")</f>
        <v>0.98094228131580063</v>
      </c>
      <c r="R37" s="1525"/>
      <c r="S37" s="1526">
        <f t="shared" si="10"/>
        <v>0.9622477592730474</v>
      </c>
      <c r="T37" s="1526">
        <f t="shared" si="1"/>
        <v>0</v>
      </c>
      <c r="U37" s="1527">
        <f t="shared" si="2"/>
        <v>0</v>
      </c>
      <c r="V37" s="1527">
        <f t="shared" si="3"/>
        <v>0</v>
      </c>
      <c r="W37" s="1527">
        <f t="shared" si="4"/>
        <v>0</v>
      </c>
      <c r="X37" s="759">
        <f t="shared" si="5"/>
        <v>0</v>
      </c>
      <c r="Y37" s="1524">
        <f t="shared" si="11"/>
        <v>0.98094228131580063</v>
      </c>
      <c r="AA37" s="1177" t="str">
        <f>IF('MASTER PubCo Inputs'!B55=0,"",'MASTER PubCo Inputs'!B55)</f>
        <v>ASX:BLT</v>
      </c>
      <c r="AB37" s="331">
        <f>'Beta Calc'!Z37</f>
        <v>2.5731899999999999</v>
      </c>
      <c r="AC37" s="1178">
        <f t="shared" si="6"/>
        <v>-0.38003000000000098</v>
      </c>
      <c r="AI37" s="1179"/>
    </row>
    <row r="38" spans="2:35" ht="14.85" customHeight="1">
      <c r="B38" s="250" t="str">
        <f>'Comp.1'!B40</f>
        <v>GenVec, Inc.</v>
      </c>
      <c r="D38" s="331">
        <f>'Beta Calc'!K38</f>
        <v>7.33019</v>
      </c>
      <c r="E38" s="331">
        <f>'Beta Calc'!L38</f>
        <v>0</v>
      </c>
      <c r="F38" s="331">
        <f>'Beta Calc'!M38</f>
        <v>0</v>
      </c>
      <c r="G38" s="331">
        <f>'Beta Calc'!N38</f>
        <v>0</v>
      </c>
      <c r="H38" s="331">
        <f t="shared" si="7"/>
        <v>0</v>
      </c>
      <c r="I38" s="331">
        <f t="shared" si="8"/>
        <v>7.33019</v>
      </c>
      <c r="J38" s="331">
        <f>'Beta Calc'!Q38</f>
        <v>8.3960000000000008</v>
      </c>
      <c r="K38" s="331">
        <f t="shared" si="9"/>
        <v>-1.0658100000000008</v>
      </c>
      <c r="M38" s="1066">
        <f>IFERROR('Capital IQ Sheet-GPC'!AT41,"n/a")</f>
        <v>0</v>
      </c>
      <c r="N38" s="331">
        <f t="shared" si="0"/>
        <v>3</v>
      </c>
      <c r="O38" s="1522">
        <f t="shared" si="0"/>
        <v>1.3999999999999999E-2</v>
      </c>
      <c r="P38" s="1523"/>
      <c r="Q38" s="1524">
        <f>IFERROR(HLOOKUP($Q$6,'Equity Vol'!$B$8:$K38,ROWS('Equity Vol'!$C$8:$C38),FALSE),"n/a")</f>
        <v>0.99510388967342045</v>
      </c>
      <c r="R38" s="1525"/>
      <c r="S38" s="1526">
        <f t="shared" si="10"/>
        <v>0.99023175124317098</v>
      </c>
      <c r="T38" s="1526">
        <f t="shared" si="1"/>
        <v>0</v>
      </c>
      <c r="U38" s="1527">
        <f t="shared" si="2"/>
        <v>0</v>
      </c>
      <c r="V38" s="1527">
        <f t="shared" si="3"/>
        <v>0</v>
      </c>
      <c r="W38" s="1527">
        <f t="shared" si="4"/>
        <v>0</v>
      </c>
      <c r="X38" s="759">
        <f t="shared" si="5"/>
        <v>0</v>
      </c>
      <c r="Y38" s="1524">
        <f t="shared" si="11"/>
        <v>0.99510388967342045</v>
      </c>
      <c r="AA38" s="1177" t="str">
        <f>IF('MASTER PubCo Inputs'!B56=0,"",'MASTER PubCo Inputs'!B56)</f>
        <v>NasdaqCM:GNVC</v>
      </c>
      <c r="AB38" s="331">
        <f>'Beta Calc'!Z38</f>
        <v>-1.0658099999999999</v>
      </c>
      <c r="AC38" s="1178">
        <f t="shared" si="6"/>
        <v>0</v>
      </c>
      <c r="AI38" s="1179"/>
    </row>
    <row r="39" spans="2:35" ht="14.85" customHeight="1">
      <c r="B39" s="250" t="str">
        <f>'Comp.1'!B41</f>
        <v>Arbutus Biopharma Corporation</v>
      </c>
      <c r="D39" s="331">
        <f>'Beta Calc'!K39</f>
        <v>145.32996</v>
      </c>
      <c r="E39" s="331">
        <f>'Beta Calc'!L39</f>
        <v>0</v>
      </c>
      <c r="F39" s="331">
        <f>'Beta Calc'!M39</f>
        <v>0</v>
      </c>
      <c r="G39" s="331">
        <f>'Beta Calc'!N39</f>
        <v>0</v>
      </c>
      <c r="H39" s="331">
        <f t="shared" si="7"/>
        <v>0</v>
      </c>
      <c r="I39" s="331">
        <f t="shared" si="8"/>
        <v>145.32996</v>
      </c>
      <c r="J39" s="331">
        <f>'Beta Calc'!Q39</f>
        <v>149.68199999999999</v>
      </c>
      <c r="K39" s="331">
        <f t="shared" si="9"/>
        <v>-4.3520399999999881</v>
      </c>
      <c r="M39" s="1066">
        <f>IFERROR('Capital IQ Sheet-GPC'!AT42,"n/a")</f>
        <v>0</v>
      </c>
      <c r="N39" s="331">
        <f t="shared" si="0"/>
        <v>3</v>
      </c>
      <c r="O39" s="1522">
        <f t="shared" si="0"/>
        <v>1.3999999999999999E-2</v>
      </c>
      <c r="P39" s="1523"/>
      <c r="Q39" s="1524">
        <f>IFERROR(HLOOKUP($Q$6,'Equity Vol'!$B$8:$K39,ROWS('Equity Vol'!$C$8:$C39),FALSE),"n/a")</f>
        <v>0.8118930978537976</v>
      </c>
      <c r="R39" s="1525"/>
      <c r="S39" s="1526">
        <f t="shared" si="10"/>
        <v>0.65917040234263613</v>
      </c>
      <c r="T39" s="1526">
        <f t="shared" si="1"/>
        <v>0</v>
      </c>
      <c r="U39" s="1527">
        <f t="shared" si="2"/>
        <v>0</v>
      </c>
      <c r="V39" s="1527">
        <f t="shared" si="3"/>
        <v>0</v>
      </c>
      <c r="W39" s="1527">
        <f t="shared" si="4"/>
        <v>0</v>
      </c>
      <c r="X39" s="759">
        <f t="shared" si="5"/>
        <v>0</v>
      </c>
      <c r="Y39" s="1524">
        <f t="shared" si="11"/>
        <v>0.8118930978537976</v>
      </c>
      <c r="AA39" s="1177" t="str">
        <f>IF('MASTER PubCo Inputs'!B57=0,"",'MASTER PubCo Inputs'!B57)</f>
        <v>NasdaqGS:ABUS</v>
      </c>
      <c r="AB39" s="331">
        <f>'Beta Calc'!Z39</f>
        <v>-4.3520399999999997</v>
      </c>
      <c r="AC39" s="1178">
        <f t="shared" si="6"/>
        <v>1.1546319456101628E-14</v>
      </c>
      <c r="AI39" s="1179"/>
    </row>
    <row r="40" spans="2:35" ht="14.85" customHeight="1">
      <c r="D40" s="331"/>
      <c r="E40" s="331"/>
      <c r="F40" s="331"/>
      <c r="G40" s="331"/>
      <c r="H40" s="331"/>
      <c r="I40" s="331"/>
      <c r="J40" s="331"/>
      <c r="K40" s="331"/>
      <c r="R40" s="724"/>
    </row>
    <row r="41" spans="2:35" ht="14.85" customHeight="1">
      <c r="B41" s="1181" t="s">
        <v>111</v>
      </c>
      <c r="C41" s="1182"/>
      <c r="D41" s="1184">
        <f>MAX(D10:D39)</f>
        <v>1692.82537</v>
      </c>
      <c r="E41" s="1184">
        <f t="shared" ref="E41:K41" si="12">MAX(E10:E39)</f>
        <v>32.048000000000002</v>
      </c>
      <c r="F41" s="1184">
        <f t="shared" si="12"/>
        <v>185.565</v>
      </c>
      <c r="G41" s="1184">
        <f t="shared" si="12"/>
        <v>9.6269999999999994E-2</v>
      </c>
      <c r="H41" s="1184">
        <f t="shared" si="12"/>
        <v>185.51400000000001</v>
      </c>
      <c r="I41" s="1184">
        <f t="shared" si="12"/>
        <v>1694.4007799999999</v>
      </c>
      <c r="J41" s="1184">
        <f t="shared" si="12"/>
        <v>408.70499999999998</v>
      </c>
      <c r="K41" s="1184">
        <f t="shared" si="12"/>
        <v>1387.752</v>
      </c>
      <c r="L41" s="1182"/>
      <c r="M41" s="1326">
        <f t="shared" ref="M41:O41" si="13">MAX(M10:M39)</f>
        <v>0</v>
      </c>
      <c r="N41" s="1184">
        <f t="shared" si="13"/>
        <v>3</v>
      </c>
      <c r="O41" s="1528">
        <f t="shared" si="13"/>
        <v>1.3999999999999999E-2</v>
      </c>
      <c r="P41" s="1529"/>
      <c r="Q41" s="1530">
        <f>MAX(Q10:Q39)</f>
        <v>1.396853832524193</v>
      </c>
      <c r="R41" s="1531"/>
      <c r="S41" s="1532">
        <f t="shared" ref="S41:W41" si="14">MAX(S10:S40)</f>
        <v>1.9512006294375264</v>
      </c>
      <c r="T41" s="1532">
        <f t="shared" si="14"/>
        <v>7.9742365665862929</v>
      </c>
      <c r="U41" s="1533">
        <f t="shared" si="14"/>
        <v>6.8422708739002847</v>
      </c>
      <c r="V41" s="1533">
        <f t="shared" si="14"/>
        <v>0.99999999999999922</v>
      </c>
      <c r="W41" s="1533">
        <f t="shared" si="14"/>
        <v>0.99999999999610267</v>
      </c>
      <c r="X41" s="1184">
        <f t="shared" ref="X41:Y41" si="15">MAX(X10:X39)</f>
        <v>404.66615960622437</v>
      </c>
      <c r="Y41" s="1534">
        <f t="shared" si="15"/>
        <v>1.3821959031680655</v>
      </c>
      <c r="AB41" s="1535">
        <f ca="1">+'Asset Vol_DLOM'!Y48</f>
        <v>0.30010624285909054</v>
      </c>
      <c r="AC41" s="1536" t="s">
        <v>1815</v>
      </c>
      <c r="AD41" s="1536"/>
      <c r="AE41" s="1536"/>
      <c r="AF41" s="775"/>
    </row>
    <row r="42" spans="2:35" ht="14.85" customHeight="1">
      <c r="B42" s="1187" t="s">
        <v>115</v>
      </c>
      <c r="C42" s="1188"/>
      <c r="D42" s="1190">
        <f t="shared" ref="D42:K42" si="16">QUARTILE(D10:D39,3)</f>
        <v>535.13891249999995</v>
      </c>
      <c r="E42" s="1190">
        <f t="shared" si="16"/>
        <v>0.69918499999999995</v>
      </c>
      <c r="F42" s="1190">
        <f t="shared" si="16"/>
        <v>0</v>
      </c>
      <c r="G42" s="1190">
        <f t="shared" si="16"/>
        <v>0</v>
      </c>
      <c r="H42" s="1190">
        <f t="shared" si="16"/>
        <v>2.5620824999999998</v>
      </c>
      <c r="I42" s="1190">
        <f t="shared" si="16"/>
        <v>544.96866749999992</v>
      </c>
      <c r="J42" s="1190">
        <f t="shared" si="16"/>
        <v>164.18174999999999</v>
      </c>
      <c r="K42" s="1190">
        <f t="shared" si="16"/>
        <v>330.71264999999994</v>
      </c>
      <c r="L42" s="1188"/>
      <c r="M42" s="1328">
        <f>QUARTILE(M10:M39,3)</f>
        <v>0</v>
      </c>
      <c r="N42" s="1190">
        <f>QUARTILE(N10:N39,3)</f>
        <v>3</v>
      </c>
      <c r="O42" s="1537">
        <f>QUARTILE(O10:O39,3)</f>
        <v>1.3999999999999999E-2</v>
      </c>
      <c r="P42" s="1538"/>
      <c r="Q42" s="1539">
        <f>QUARTILE(Q10:Q39,3)</f>
        <v>0.93792112408803785</v>
      </c>
      <c r="R42" s="1540"/>
      <c r="S42" s="1541">
        <f>QUARTILE(S10:S40,3)</f>
        <v>0.87996139640234972</v>
      </c>
      <c r="T42" s="1541">
        <f>QUARTILE(T10:T40,3)</f>
        <v>4.4297154219594503</v>
      </c>
      <c r="U42" s="1542">
        <f>QUARTILE(U10:U40,3)</f>
        <v>3.0098618411850722</v>
      </c>
      <c r="V42" s="1542">
        <f>QUARTILE(V10:V40,3)</f>
        <v>0.99959877026952904</v>
      </c>
      <c r="W42" s="1542">
        <f>QUARTILE(W10:W40,3)</f>
        <v>0.98151990706319003</v>
      </c>
      <c r="X42" s="1190">
        <f>QUARTILE(X10:X39,3)</f>
        <v>101.67932415037036</v>
      </c>
      <c r="Y42" s="1543">
        <f>QUARTILE(Y10:Y39,3)</f>
        <v>0.90969146564662595</v>
      </c>
      <c r="AB42" s="1544">
        <f>+'Asset Vol_DLOM'!Y50</f>
        <v>0.31</v>
      </c>
      <c r="AC42" s="467" t="s">
        <v>1816</v>
      </c>
      <c r="AD42" s="467"/>
      <c r="AE42" s="467"/>
      <c r="AF42" s="468"/>
    </row>
    <row r="43" spans="2:35" ht="14.85" customHeight="1">
      <c r="B43" s="1187" t="s">
        <v>113</v>
      </c>
      <c r="C43" s="1188"/>
      <c r="D43" s="1190">
        <f>AVERAGE(D10:D39)</f>
        <v>349.13332166666657</v>
      </c>
      <c r="E43" s="1190">
        <f t="shared" ref="E43:K43" si="17">AVERAGE(E10:E39)</f>
        <v>2.8426580000000001</v>
      </c>
      <c r="F43" s="1190">
        <f t="shared" si="17"/>
        <v>6.5502309999999992</v>
      </c>
      <c r="G43" s="1190">
        <f t="shared" si="17"/>
        <v>-1.699733333333333E-2</v>
      </c>
      <c r="H43" s="1190">
        <f t="shared" si="17"/>
        <v>9.3758916666666661</v>
      </c>
      <c r="I43" s="1190">
        <f t="shared" si="17"/>
        <v>358.50921333333332</v>
      </c>
      <c r="J43" s="1190">
        <f t="shared" si="17"/>
        <v>109.87659433333336</v>
      </c>
      <c r="K43" s="1190">
        <f t="shared" si="17"/>
        <v>248.63261900000001</v>
      </c>
      <c r="L43" s="1188"/>
      <c r="M43" s="1328">
        <f t="shared" ref="M43:O43" si="18">AVERAGE(M10:M39)</f>
        <v>0</v>
      </c>
      <c r="N43" s="1190">
        <f t="shared" si="18"/>
        <v>3</v>
      </c>
      <c r="O43" s="1537">
        <f t="shared" si="18"/>
        <v>1.4000000000000009E-2</v>
      </c>
      <c r="P43" s="1538"/>
      <c r="Q43" s="1539">
        <f>AVERAGE(Q10:Q39)</f>
        <v>0.87145919338423417</v>
      </c>
      <c r="R43" s="1540"/>
      <c r="S43" s="1541">
        <f t="shared" ref="S43:W43" si="19">AVERAGE(S10:S40)</f>
        <v>0.78653160019050228</v>
      </c>
      <c r="T43" s="1541">
        <f t="shared" si="19"/>
        <v>2.247582892098396</v>
      </c>
      <c r="U43" s="1542">
        <f t="shared" si="19"/>
        <v>1.5095534198439862</v>
      </c>
      <c r="V43" s="1542">
        <f t="shared" si="19"/>
        <v>0.49452897684542702</v>
      </c>
      <c r="W43" s="1542">
        <f t="shared" si="19"/>
        <v>0.4310656769711636</v>
      </c>
      <c r="X43" s="1190">
        <f t="shared" ref="X43:Y43" si="20">AVERAGE(X10:X39)</f>
        <v>80.190956241557188</v>
      </c>
      <c r="Y43" s="1543">
        <f t="shared" si="20"/>
        <v>0.85431045569603192</v>
      </c>
      <c r="AB43" s="1544">
        <f>+'Asset Vol_DLOM'!Y44</f>
        <v>0.80411269686620424</v>
      </c>
      <c r="AC43" s="467" t="s">
        <v>1814</v>
      </c>
      <c r="AD43" s="467"/>
      <c r="AE43" s="467"/>
      <c r="AF43" s="1545" t="s">
        <v>2280</v>
      </c>
    </row>
    <row r="44" spans="2:35" ht="14.85" customHeight="1">
      <c r="B44" s="1187" t="s">
        <v>44</v>
      </c>
      <c r="C44" s="1188"/>
      <c r="D44" s="1190">
        <f>MEDIAN(D10:D39)</f>
        <v>252.89796000000001</v>
      </c>
      <c r="E44" s="1190">
        <f t="shared" ref="E44:K44" si="21">MEDIAN(E10:E39)</f>
        <v>0</v>
      </c>
      <c r="F44" s="1190">
        <f t="shared" si="21"/>
        <v>0</v>
      </c>
      <c r="G44" s="1190">
        <f t="shared" si="21"/>
        <v>0</v>
      </c>
      <c r="H44" s="1190">
        <f t="shared" si="21"/>
        <v>0.17863499999999999</v>
      </c>
      <c r="I44" s="1190">
        <f t="shared" si="21"/>
        <v>253.41356500000001</v>
      </c>
      <c r="J44" s="1190">
        <f t="shared" si="21"/>
        <v>91.676500000000004</v>
      </c>
      <c r="K44" s="1190">
        <f t="shared" si="21"/>
        <v>208.32753500000001</v>
      </c>
      <c r="L44" s="1188"/>
      <c r="M44" s="1328">
        <f t="shared" ref="M44:O44" si="22">MEDIAN(M10:M39)</f>
        <v>0</v>
      </c>
      <c r="N44" s="1190">
        <f t="shared" si="22"/>
        <v>3</v>
      </c>
      <c r="O44" s="1537">
        <f t="shared" si="22"/>
        <v>1.3999999999999999E-2</v>
      </c>
      <c r="P44" s="1538"/>
      <c r="Q44" s="1539">
        <f>MEDIAN(Q10:Q39)</f>
        <v>0.82629458385847876</v>
      </c>
      <c r="R44" s="1540"/>
      <c r="S44" s="1541">
        <f t="shared" ref="S44:W44" si="23">MEDIAN(S10:S40)</f>
        <v>0.68280916889410093</v>
      </c>
      <c r="T44" s="1541">
        <f t="shared" si="23"/>
        <v>0.75000648219866273</v>
      </c>
      <c r="U44" s="1542">
        <f t="shared" si="23"/>
        <v>0</v>
      </c>
      <c r="V44" s="1542">
        <f t="shared" si="23"/>
        <v>0.46659723891619315</v>
      </c>
      <c r="W44" s="1542">
        <f t="shared" si="23"/>
        <v>0.22200619715615269</v>
      </c>
      <c r="X44" s="1190">
        <f t="shared" ref="X44:Y44" si="24">MEDIAN(X10:X39)</f>
        <v>13.799412505403524</v>
      </c>
      <c r="Y44" s="1543">
        <f t="shared" si="24"/>
        <v>0.80411269686620424</v>
      </c>
      <c r="AB44" s="1546" t="str">
        <f ca="1">IF(ROUND(AB41,3)=ROUND(AB43,3),"","Update Volatility - OPM")</f>
        <v>Update Volatility - OPM</v>
      </c>
      <c r="AC44" s="467"/>
      <c r="AD44" s="467"/>
      <c r="AE44" s="467"/>
      <c r="AF44" s="468"/>
    </row>
    <row r="45" spans="2:35" ht="14.85" customHeight="1">
      <c r="B45" s="1187" t="s">
        <v>114</v>
      </c>
      <c r="C45" s="1188"/>
      <c r="D45" s="1190">
        <f>QUARTILE(D10:D39,1)</f>
        <v>106.88460499999999</v>
      </c>
      <c r="E45" s="1190">
        <f t="shared" ref="E45:K45" si="25">QUARTILE(E10:E39,1)</f>
        <v>0</v>
      </c>
      <c r="F45" s="1190">
        <f t="shared" si="25"/>
        <v>0</v>
      </c>
      <c r="G45" s="1190">
        <f t="shared" si="25"/>
        <v>0</v>
      </c>
      <c r="H45" s="1190">
        <f t="shared" si="25"/>
        <v>0</v>
      </c>
      <c r="I45" s="1190">
        <f t="shared" si="25"/>
        <v>114.9033675</v>
      </c>
      <c r="J45" s="1190">
        <f t="shared" si="25"/>
        <v>21.772500000000001</v>
      </c>
      <c r="K45" s="1190">
        <f t="shared" si="25"/>
        <v>58.667125000000013</v>
      </c>
      <c r="L45" s="1188"/>
      <c r="M45" s="1328">
        <f t="shared" ref="M45:O45" si="26">QUARTILE(M10:M39,1)</f>
        <v>0</v>
      </c>
      <c r="N45" s="1190">
        <f t="shared" si="26"/>
        <v>3</v>
      </c>
      <c r="O45" s="1537">
        <f t="shared" si="26"/>
        <v>1.3999999999999999E-2</v>
      </c>
      <c r="P45" s="1538"/>
      <c r="Q45" s="1539">
        <f>QUARTILE(Q10:Q39,1)</f>
        <v>0.80259153213194279</v>
      </c>
      <c r="R45" s="1540"/>
      <c r="S45" s="1541">
        <f t="shared" ref="S45:W45" si="27">QUARTILE(S10:S40,1)</f>
        <v>0.64415544012238102</v>
      </c>
      <c r="T45" s="1541">
        <f t="shared" si="27"/>
        <v>0</v>
      </c>
      <c r="U45" s="1542">
        <f t="shared" si="27"/>
        <v>0</v>
      </c>
      <c r="V45" s="1542">
        <f t="shared" si="27"/>
        <v>0</v>
      </c>
      <c r="W45" s="1542">
        <f t="shared" si="27"/>
        <v>0</v>
      </c>
      <c r="X45" s="1190">
        <f t="shared" ref="X45:Y45" si="28">QUARTILE(X10:X39,1)</f>
        <v>0</v>
      </c>
      <c r="Y45" s="1543">
        <f t="shared" si="28"/>
        <v>0.79795220177016646</v>
      </c>
      <c r="AB45" s="1547" t="str">
        <f>IF(ROUND(AB42,3)=ROUND(AB43,3),"","Update Volatility - DLOM")</f>
        <v>Update Volatility - DLOM</v>
      </c>
      <c r="AC45" s="346"/>
      <c r="AD45" s="346"/>
      <c r="AE45" s="346"/>
      <c r="AF45" s="897"/>
    </row>
    <row r="46" spans="2:35" ht="14.85" customHeight="1">
      <c r="B46" s="1192" t="s">
        <v>112</v>
      </c>
      <c r="C46" s="858"/>
      <c r="D46" s="867">
        <f t="shared" ref="D46:K46" si="29">MIN(D10:D39)</f>
        <v>7.33019</v>
      </c>
      <c r="E46" s="867">
        <f t="shared" si="29"/>
        <v>0</v>
      </c>
      <c r="F46" s="867">
        <f t="shared" si="29"/>
        <v>0</v>
      </c>
      <c r="G46" s="867">
        <f t="shared" si="29"/>
        <v>-0.55518999999999996</v>
      </c>
      <c r="H46" s="867">
        <f t="shared" si="29"/>
        <v>0</v>
      </c>
      <c r="I46" s="867">
        <f t="shared" si="29"/>
        <v>7.33019</v>
      </c>
      <c r="J46" s="867">
        <f t="shared" si="29"/>
        <v>0</v>
      </c>
      <c r="K46" s="867">
        <f t="shared" si="29"/>
        <v>-4.3520399999999881</v>
      </c>
      <c r="L46" s="858"/>
      <c r="M46" s="1330">
        <f>MIN(M10:M39)</f>
        <v>0</v>
      </c>
      <c r="N46" s="867">
        <f>MIN(N10:N39)</f>
        <v>3</v>
      </c>
      <c r="O46" s="1548">
        <f>MIN(O10:O39)</f>
        <v>1.3999999999999999E-2</v>
      </c>
      <c r="P46" s="1549"/>
      <c r="Q46" s="1550">
        <f>MIN(Q10:Q39)</f>
        <v>0.61508994844412945</v>
      </c>
      <c r="R46" s="1551"/>
      <c r="S46" s="1552">
        <f>MIN(S10:S40)</f>
        <v>0.37833564467700181</v>
      </c>
      <c r="T46" s="1552">
        <f>MIN(T10:T40)</f>
        <v>0</v>
      </c>
      <c r="U46" s="1553">
        <f>MIN(U10:U40)</f>
        <v>-0.14080399288986656</v>
      </c>
      <c r="V46" s="1553">
        <f>MIN(V10:V40)</f>
        <v>0</v>
      </c>
      <c r="W46" s="1553">
        <f>MIN(W10:W40)</f>
        <v>0</v>
      </c>
      <c r="X46" s="867">
        <f>MIN(X10:X39)</f>
        <v>0</v>
      </c>
      <c r="Y46" s="1554">
        <f>MIN(Y10:Y39)</f>
        <v>0.61208825881301032</v>
      </c>
      <c r="AB46" s="433" t="str">
        <f ca="1">IF(K48&lt;&gt;K50,"Check","")</f>
        <v/>
      </c>
    </row>
    <row r="47" spans="2:35" ht="14.85" customHeight="1">
      <c r="AB47" s="1104" t="str">
        <f ca="1">IF(AND(AB44=$AF$45,AB46=$AF$45,AB45=$AF$45),"","Check")</f>
        <v>Check</v>
      </c>
    </row>
    <row r="48" spans="2:35" ht="14.85" customHeight="1">
      <c r="B48" s="1555" t="str">
        <f>B2</f>
        <v>ABC, Inc.</v>
      </c>
      <c r="C48" s="1556" t="s">
        <v>269</v>
      </c>
      <c r="D48" s="1557"/>
      <c r="E48" s="1557"/>
      <c r="F48" s="1557"/>
      <c r="G48" s="1557"/>
      <c r="H48" s="1558">
        <f ca="1">-'Val Summ'!$H$20/1000</f>
        <v>2.0379999999999998</v>
      </c>
      <c r="I48" s="1559">
        <f t="shared" ref="I48" si="30">SUM(D48:G48)</f>
        <v>0</v>
      </c>
      <c r="J48" s="1557"/>
      <c r="K48" s="1558">
        <f ca="1">'Val Summ'!$H$17/1000</f>
        <v>61.23</v>
      </c>
      <c r="L48" s="1557"/>
      <c r="M48" s="1560">
        <f>DLOM!D17</f>
        <v>0</v>
      </c>
      <c r="N48" s="1561">
        <f>N$6</f>
        <v>3</v>
      </c>
      <c r="O48" s="1562">
        <f>O$6</f>
        <v>1.3999999999999999E-2</v>
      </c>
      <c r="P48" s="1563"/>
      <c r="Q48" s="1564">
        <v>0.31</v>
      </c>
      <c r="R48" s="1557"/>
      <c r="S48" s="1565">
        <f>IF(Q48="n/a","n/a",Q48^2)</f>
        <v>9.6100000000000005E-2</v>
      </c>
      <c r="T48" s="1565">
        <f ca="1">IF(OR(K48="n/a",S48="n/a"),"n/a",IF(H48=0,0,IF(M48=0,(LN(K48/H48)+((O48+(S48/2))*N48))/((S48*N48)^0.5),(LN(K48/H48)+((O48-M48+(S48/2))*N48))/((S48*N48)^0.5))))</f>
        <v>6.6838878364391867</v>
      </c>
      <c r="U48" s="1566">
        <f ca="1">IF(T48="n/a","n/a",IF(H48=0,0,T48-(S48*N48)^0.5))</f>
        <v>6.1469520860928348</v>
      </c>
      <c r="V48" s="1566">
        <f ca="1">IF(OR(T48="n/a",S48="n/a"),"n/a",IF(H48=0,0,NORMSDIST(T48)))</f>
        <v>0.99999999998836575</v>
      </c>
      <c r="W48" s="1566">
        <f ca="1">IF(OR(U48="n/a",S48="n/a"),"n/a",IF(H48=0,0,NORMSDIST(U48)))</f>
        <v>0.99999999960507013</v>
      </c>
      <c r="X48" s="1566">
        <f ca="1">IF(OR(K48="n/a",S48="n/a"),"n/a",IF(M48=0,(K48*V48)-((H48*EXP(1)^(-O48*N48))*W48),(K48*(2.718^(-M48*N48))*V48)-(H48*(2.718^(-O48*N48))*W48)))</f>
        <v>59.275823387252672</v>
      </c>
      <c r="Y48" s="1567">
        <f ca="1">IF(LEN(B48)&gt;0,IF(H48=0,Q48,IF(ISERROR(Q48/((K48/X48)*V48)),"n/a",Q48/((K48/X48)*V48))))</f>
        <v>0.30010624285909054</v>
      </c>
    </row>
    <row r="49" spans="1:25" ht="14.85" customHeight="1">
      <c r="C49" s="414"/>
      <c r="D49" s="414"/>
      <c r="E49" s="414"/>
      <c r="F49" s="414"/>
      <c r="G49" s="414"/>
      <c r="H49" s="414"/>
      <c r="I49" s="414"/>
      <c r="J49" s="414"/>
    </row>
    <row r="50" spans="1:25" ht="14.85" customHeight="1">
      <c r="B50" s="1555" t="str">
        <f>B48</f>
        <v>ABC, Inc.</v>
      </c>
      <c r="C50" s="1556" t="s">
        <v>308</v>
      </c>
      <c r="D50" s="1557"/>
      <c r="E50" s="1557"/>
      <c r="F50" s="1557"/>
      <c r="G50" s="1557"/>
      <c r="H50" s="1558"/>
      <c r="I50" s="1559">
        <f ca="1">K50+J50</f>
        <v>61.23</v>
      </c>
      <c r="J50" s="1557"/>
      <c r="K50" s="1568">
        <f ca="1">K48</f>
        <v>61.23</v>
      </c>
      <c r="L50" s="1557"/>
      <c r="M50" s="1569">
        <f>M48</f>
        <v>0</v>
      </c>
      <c r="N50" s="1561">
        <f>N$6</f>
        <v>3</v>
      </c>
      <c r="O50" s="1562">
        <f>O$6</f>
        <v>1.3999999999999999E-2</v>
      </c>
      <c r="P50" s="1563"/>
      <c r="Q50" s="1564">
        <v>0.31</v>
      </c>
      <c r="R50" s="1557"/>
      <c r="S50" s="1565">
        <f>IF(Q50="n/a","n/a",Q50^2)</f>
        <v>9.6100000000000005E-2</v>
      </c>
      <c r="T50" s="1565">
        <f ca="1">IF(OR(K50="n/a",S50="n/a"),"n/a",IF(H50=0,0,IF(M50=0,(LN(K50/H50)+((O50+(S50/2))*N50))/((S50*N50)^0.5),(LN(K50/H50)+((O50-M50+(S50/2))*N50))/((S50*N50)^0.5))))</f>
        <v>0</v>
      </c>
      <c r="U50" s="1566">
        <f ca="1">IF(T50="n/a","n/a",IF(H50=0,0,T50-(S50*N50)^0.5))</f>
        <v>0</v>
      </c>
      <c r="V50" s="1566">
        <f ca="1">IF(OR(T50="n/a",S50="n/a"),"n/a",IF(H50=0,0,NORMSDIST(T50)))</f>
        <v>0</v>
      </c>
      <c r="W50" s="1566">
        <f ca="1">IF(OR(U50="n/a",S50="n/a"),"n/a",IF(H50=0,0,NORMSDIST(U50)))</f>
        <v>0</v>
      </c>
      <c r="X50" s="1566">
        <f ca="1">IF(OR(K50="n/a",S50="n/a"),"n/a",IF(M50=0,(K50*V50)-((H50*EXP(1)^(-O50*N50))*W50),(K50*(2.718^(-M50*N50))*V50)-(H50*(2.718^(-O50*N50))*W50)))</f>
        <v>0</v>
      </c>
      <c r="Y50" s="1567">
        <f>IF(LEN(B50)&gt;0,IF(H50=0,Q50,IF(ISERROR(Q50/((K50/X50)*V50)),"n/a",Q50/((K50/X50)*V50))))</f>
        <v>0.31</v>
      </c>
    </row>
    <row r="51" spans="1:25" ht="14.85" customHeight="1"/>
    <row r="52" spans="1:25" ht="14.85" customHeight="1">
      <c r="B52" s="356" t="s">
        <v>86</v>
      </c>
    </row>
    <row r="53" spans="1:25" ht="14.85" customHeight="1">
      <c r="A53" s="357" t="s">
        <v>270</v>
      </c>
      <c r="B53" s="274" t="s">
        <v>3513</v>
      </c>
    </row>
    <row r="54" spans="1:25" s="359" customFormat="1" ht="14.85" customHeight="1">
      <c r="A54" s="1570" t="s">
        <v>269</v>
      </c>
      <c r="B54" s="1571" t="s">
        <v>1140</v>
      </c>
      <c r="P54" s="1572"/>
    </row>
    <row r="55" spans="1:25" s="359" customFormat="1" ht="14.85" customHeight="1">
      <c r="A55" s="1570" t="s">
        <v>308</v>
      </c>
      <c r="B55" s="1571" t="s">
        <v>1141</v>
      </c>
      <c r="P55" s="1572"/>
    </row>
    <row r="56" spans="1:25" ht="14.85" customHeight="1"/>
    <row r="57" spans="1:25" ht="14.85" customHeight="1">
      <c r="B57" s="356" t="s">
        <v>116</v>
      </c>
    </row>
    <row r="58" spans="1:25" ht="14.85" customHeight="1"/>
    <row r="59" spans="1:25" ht="14.85" customHeight="1">
      <c r="B59" s="250" t="s">
        <v>1844</v>
      </c>
    </row>
    <row r="60" spans="1:25" ht="14.85" customHeight="1">
      <c r="B60" s="250" t="s">
        <v>1845</v>
      </c>
    </row>
    <row r="61" spans="1:25" ht="14.85" customHeight="1">
      <c r="B61" s="250" t="s">
        <v>1846</v>
      </c>
    </row>
    <row r="62" spans="1:25" ht="14.85" customHeight="1">
      <c r="B62" s="250" t="s">
        <v>1847</v>
      </c>
    </row>
    <row r="63" spans="1:25" ht="14.85" customHeight="1">
      <c r="B63" s="250" t="s">
        <v>1848</v>
      </c>
    </row>
    <row r="64" spans="1:25" ht="14.85" customHeight="1">
      <c r="B64" s="250" t="s">
        <v>1849</v>
      </c>
    </row>
    <row r="65" spans="2:2" ht="14.85" customHeight="1">
      <c r="B65" s="250" t="s">
        <v>1850</v>
      </c>
    </row>
    <row r="66" spans="2:2" ht="14.85" customHeight="1"/>
    <row r="67" spans="2:2" ht="14.85" customHeight="1">
      <c r="B67" s="250" t="s">
        <v>1851</v>
      </c>
    </row>
    <row r="68" spans="2:2" ht="14.85" customHeight="1">
      <c r="B68" s="250" t="s">
        <v>1852</v>
      </c>
    </row>
    <row r="69" spans="2:2" ht="14.85" customHeight="1">
      <c r="B69" s="250" t="s">
        <v>1853</v>
      </c>
    </row>
    <row r="70" spans="2:2" ht="14.85" customHeight="1">
      <c r="B70" s="250" t="s">
        <v>1854</v>
      </c>
    </row>
    <row r="71" spans="2:2" ht="14.85" customHeight="1">
      <c r="B71" s="250" t="s">
        <v>1855</v>
      </c>
    </row>
    <row r="72" spans="2:2" ht="14.85" customHeight="1">
      <c r="B72" s="250" t="s">
        <v>1856</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69" priority="8" operator="equal">
      <formula>"(Invalid Identifier)"</formula>
    </cfRule>
  </conditionalFormatting>
  <conditionalFormatting sqref="B4:I4">
    <cfRule type="cellIs" dxfId="168" priority="7" stopIfTrue="1" operator="equal">
      <formula>"input"</formula>
    </cfRule>
  </conditionalFormatting>
  <conditionalFormatting sqref="J4">
    <cfRule type="cellIs" dxfId="167" priority="5" stopIfTrue="1" operator="equal">
      <formula>"input"</formula>
    </cfRule>
  </conditionalFormatting>
  <conditionalFormatting sqref="J4">
    <cfRule type="cellIs" dxfId="166" priority="6" stopIfTrue="1" operator="equal">
      <formula>"input"</formula>
    </cfRule>
  </conditionalFormatting>
  <conditionalFormatting sqref="K4:X4">
    <cfRule type="cellIs" dxfId="165" priority="3" stopIfTrue="1" operator="equal">
      <formula>"input"</formula>
    </cfRule>
  </conditionalFormatting>
  <conditionalFormatting sqref="K4:X4">
    <cfRule type="cellIs" dxfId="164" priority="4" stopIfTrue="1" operator="equal">
      <formula>"input"</formula>
    </cfRule>
  </conditionalFormatting>
  <conditionalFormatting sqref="Y4">
    <cfRule type="cellIs" dxfId="163" priority="1" stopIfTrue="1" operator="equal">
      <formula>"input"</formula>
    </cfRule>
  </conditionalFormatting>
  <conditionalFormatting sqref="Y4">
    <cfRule type="cellIs" dxfId="162" priority="2" stopIfTrue="1" operator="equal">
      <formula>"input"</formula>
    </cfRule>
  </conditionalFormatting>
  <pageMargins left="0.5" right="0.5" top="0.5" bottom="0.5" header="0.5" footer="0.5"/>
  <pageSetup scale="74" fitToWidth="0" fitToHeight="0" orientation="landscape" r:id="rId1"/>
  <legacyDrawing r:id="rId2"/>
  <legacyDrawingHF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77"/>
  <dimension ref="A1:AI764"/>
  <sheetViews>
    <sheetView showGridLines="0" view="pageBreakPreview" zoomScale="80" zoomScaleNormal="100" zoomScaleSheetLayoutView="80" workbookViewId="0"/>
  </sheetViews>
  <sheetFormatPr defaultRowHeight="12.75" outlineLevelRow="1" outlineLevelCol="1"/>
  <cols>
    <col min="1" max="1" width="4.5" style="250" customWidth="1"/>
    <col min="2" max="2" width="42.1640625" style="250" customWidth="1"/>
    <col min="3" max="3" width="3.5" style="250" customWidth="1"/>
    <col min="4" max="4" width="13.1640625" style="250" customWidth="1"/>
    <col min="5" max="5" width="10.83203125" style="250" hidden="1" customWidth="1" outlineLevel="1"/>
    <col min="6" max="7" width="9.83203125" style="250" hidden="1" customWidth="1" outlineLevel="1"/>
    <col min="8" max="8" width="12.83203125" style="250" customWidth="1" collapsed="1"/>
    <col min="9" max="11" width="12.83203125" style="250" customWidth="1"/>
    <col min="12" max="12" width="2.83203125" style="250" customWidth="1"/>
    <col min="13" max="15" width="12.83203125" style="250" customWidth="1"/>
    <col min="16" max="16" width="2.83203125" style="724" customWidth="1"/>
    <col min="17" max="17" width="12.83203125" style="250" customWidth="1"/>
    <col min="18" max="18" width="2.83203125" style="250" customWidth="1"/>
    <col min="19" max="19" width="11.6640625" style="250" hidden="1" customWidth="1" outlineLevel="1"/>
    <col min="20" max="23" width="8.83203125" style="250" hidden="1" customWidth="1" outlineLevel="1"/>
    <col min="24" max="24" width="12.83203125" style="250" customWidth="1" collapsed="1"/>
    <col min="25" max="25" width="12.83203125" style="250" customWidth="1"/>
    <col min="26" max="26" width="4.5" style="250" customWidth="1"/>
    <col min="27" max="27" width="17.5" style="250" bestFit="1" customWidth="1"/>
    <col min="28" max="28" width="14.33203125" style="250" bestFit="1" customWidth="1"/>
    <col min="29" max="29" width="9.6640625" style="250" bestFit="1" customWidth="1"/>
    <col min="30" max="30" width="10.1640625" style="250" bestFit="1" customWidth="1"/>
    <col min="31" max="16384" width="9.33203125" style="250"/>
  </cols>
  <sheetData>
    <row r="1" spans="2:35" ht="10.7" customHeight="1" thickBot="1">
      <c r="P1" s="250"/>
    </row>
    <row r="2" spans="2:35" ht="16.5" customHeight="1" thickTop="1">
      <c r="B2" s="258" t="str">
        <f>'MASTER PubCo Inputs'!$C$5</f>
        <v>ABC, Inc.</v>
      </c>
      <c r="C2" s="258"/>
      <c r="D2" s="258"/>
      <c r="E2" s="258"/>
      <c r="F2" s="258"/>
      <c r="G2" s="258"/>
      <c r="H2" s="258"/>
      <c r="I2" s="258"/>
      <c r="J2" s="258"/>
      <c r="K2" s="258"/>
      <c r="L2" s="258"/>
      <c r="M2" s="258"/>
      <c r="N2" s="258"/>
      <c r="O2" s="258"/>
      <c r="P2" s="258"/>
      <c r="Q2" s="258"/>
      <c r="R2" s="258"/>
      <c r="S2" s="258"/>
      <c r="T2" s="258"/>
      <c r="U2" s="258"/>
      <c r="V2" s="258"/>
      <c r="W2" s="258"/>
      <c r="X2" s="258"/>
      <c r="Y2" s="258"/>
      <c r="AA2" s="1151" t="s">
        <v>87</v>
      </c>
      <c r="AB2" s="1152">
        <f>+'Comp.1'!$AL$2</f>
        <v>42735</v>
      </c>
    </row>
    <row r="3" spans="2:35" ht="15.75" customHeight="1">
      <c r="B3" s="259" t="str">
        <f>VLOOKUP(B4,Outline!$E$8:$G$79,COLUMNS(Outline!$E$8:$G$8),FALSE)</f>
        <v>Exhibit H.4</v>
      </c>
      <c r="C3" s="259"/>
      <c r="D3" s="259"/>
      <c r="E3" s="259"/>
      <c r="F3" s="259"/>
      <c r="G3" s="259"/>
      <c r="H3" s="259"/>
      <c r="I3" s="259"/>
      <c r="J3" s="259"/>
      <c r="K3" s="259"/>
      <c r="L3" s="259"/>
      <c r="M3" s="259"/>
      <c r="N3" s="259"/>
      <c r="O3" s="259"/>
      <c r="P3" s="259"/>
      <c r="Q3" s="259"/>
      <c r="R3" s="259"/>
      <c r="S3" s="259"/>
      <c r="T3" s="259"/>
      <c r="U3" s="259"/>
      <c r="V3" s="259"/>
      <c r="W3" s="259"/>
      <c r="X3" s="259"/>
      <c r="Y3" s="259"/>
      <c r="AA3" s="1153" t="s">
        <v>489</v>
      </c>
      <c r="AB3" s="1154" t="str">
        <f>+'Comp.1'!$AL$3</f>
        <v>F</v>
      </c>
    </row>
    <row r="4" spans="2:35" ht="16.5" customHeight="1" thickBot="1">
      <c r="B4" s="924" t="str">
        <f>"Asset Volatility - "&amp;TEXT(DLOM!E6,"")</f>
        <v>Asset Volatility - IPO Early</v>
      </c>
      <c r="C4" s="924"/>
      <c r="D4" s="924"/>
      <c r="E4" s="924"/>
      <c r="F4" s="924"/>
      <c r="G4" s="924"/>
      <c r="H4" s="924"/>
      <c r="I4" s="924"/>
      <c r="J4" s="925"/>
      <c r="K4" s="925"/>
      <c r="L4" s="925"/>
      <c r="M4" s="925"/>
      <c r="N4" s="925"/>
      <c r="O4" s="925"/>
      <c r="P4" s="925"/>
      <c r="Q4" s="925"/>
      <c r="R4" s="925"/>
      <c r="S4" s="925"/>
      <c r="T4" s="925"/>
      <c r="U4" s="925"/>
      <c r="V4" s="925"/>
      <c r="W4" s="925"/>
      <c r="X4" s="925"/>
      <c r="Y4" s="925" t="str">
        <f>+'MASTER PubCo Inputs'!$C$24</f>
        <v>(in millions of USD)</v>
      </c>
      <c r="AA4" s="1153" t="s">
        <v>490</v>
      </c>
      <c r="AB4" s="1154" t="str">
        <f>+'Comp.1'!$AL$4</f>
        <v>USD</v>
      </c>
    </row>
    <row r="5" spans="2:35" ht="14.85" customHeight="1" thickTop="1">
      <c r="B5" s="724"/>
      <c r="AA5" s="518" t="s">
        <v>89</v>
      </c>
      <c r="AB5" s="1155" t="str">
        <f>+'Comp.1'!$AL$5</f>
        <v>H</v>
      </c>
    </row>
    <row r="6" spans="2:35" ht="14.85" customHeight="1" outlineLevel="1">
      <c r="N6" s="1506">
        <f>DLOM!E11</f>
        <v>1.2465753424657535</v>
      </c>
      <c r="O6" s="1507">
        <f>'Risk-Free Rates'!E43</f>
        <v>8.7643835616438362E-3</v>
      </c>
      <c r="Q6" s="1508">
        <f>HLOOKUP(ROUND(N6,0),'Equity Vol'!$D$8:$K$8,1,TRUE)</f>
        <v>1</v>
      </c>
    </row>
    <row r="7" spans="2:35" ht="14.85" customHeight="1">
      <c r="D7" s="1509" t="s">
        <v>91</v>
      </c>
      <c r="E7" s="1510"/>
      <c r="F7" s="1510"/>
      <c r="G7" s="1510"/>
      <c r="H7" s="1510"/>
      <c r="I7" s="1510"/>
      <c r="J7" s="1510"/>
      <c r="K7" s="1511"/>
      <c r="M7" s="1509" t="s">
        <v>92</v>
      </c>
      <c r="N7" s="1510"/>
      <c r="O7" s="1510"/>
      <c r="P7" s="1512"/>
      <c r="Q7" s="1511"/>
      <c r="S7" s="1509" t="s">
        <v>93</v>
      </c>
      <c r="T7" s="1510"/>
      <c r="U7" s="1510"/>
      <c r="V7" s="1510"/>
      <c r="W7" s="1510"/>
      <c r="X7" s="1513" t="s">
        <v>93</v>
      </c>
      <c r="Y7" s="1514"/>
    </row>
    <row r="8" spans="2:35" s="272" customFormat="1" ht="44.25" customHeight="1">
      <c r="B8" s="1515" t="s">
        <v>815</v>
      </c>
      <c r="D8" s="1516" t="s">
        <v>94</v>
      </c>
      <c r="E8" s="1517" t="s">
        <v>95</v>
      </c>
      <c r="F8" s="1517" t="s">
        <v>96</v>
      </c>
      <c r="G8" s="1517" t="s">
        <v>97</v>
      </c>
      <c r="H8" s="1517" t="s">
        <v>98</v>
      </c>
      <c r="I8" s="1517" t="s">
        <v>99</v>
      </c>
      <c r="J8" s="1517" t="s">
        <v>100</v>
      </c>
      <c r="K8" s="1518" t="s">
        <v>101</v>
      </c>
      <c r="L8" s="347"/>
      <c r="M8" s="1516" t="s">
        <v>73</v>
      </c>
      <c r="N8" s="1517" t="s">
        <v>102</v>
      </c>
      <c r="O8" s="1518" t="s">
        <v>72</v>
      </c>
      <c r="P8" s="1292"/>
      <c r="Q8" s="1519" t="s">
        <v>103</v>
      </c>
      <c r="R8" s="1292"/>
      <c r="S8" s="1516" t="s">
        <v>104</v>
      </c>
      <c r="T8" s="1517" t="s">
        <v>84</v>
      </c>
      <c r="U8" s="1517" t="s">
        <v>85</v>
      </c>
      <c r="V8" s="1517" t="s">
        <v>105</v>
      </c>
      <c r="W8" s="1517" t="s">
        <v>106</v>
      </c>
      <c r="X8" s="1520" t="s">
        <v>107</v>
      </c>
      <c r="Y8" s="1518" t="s">
        <v>3512</v>
      </c>
      <c r="AA8" s="1170" t="s">
        <v>108</v>
      </c>
      <c r="AB8" s="1171" t="s">
        <v>109</v>
      </c>
      <c r="AC8" s="1171" t="s">
        <v>110</v>
      </c>
      <c r="AD8" s="1521"/>
    </row>
    <row r="9" spans="2:35" ht="14.85" customHeight="1"/>
    <row r="10" spans="2:35" ht="14.85" customHeight="1">
      <c r="B10" s="250" t="str">
        <f>'Comp.1'!B12</f>
        <v>Spark Therapeutics, Inc.</v>
      </c>
      <c r="D10" s="331">
        <f>'Beta Calc'!K10</f>
        <v>1692.82537</v>
      </c>
      <c r="E10" s="331">
        <f>'Beta Calc'!L10</f>
        <v>1.57541</v>
      </c>
      <c r="F10" s="331">
        <f>'Beta Calc'!M10</f>
        <v>0</v>
      </c>
      <c r="G10" s="331">
        <f>'Beta Calc'!N10</f>
        <v>0</v>
      </c>
      <c r="H10" s="331">
        <f>SUM(E10:G10)</f>
        <v>1.57541</v>
      </c>
      <c r="I10" s="331">
        <f>SUM(D10:G10)</f>
        <v>1694.4007799999999</v>
      </c>
      <c r="J10" s="331">
        <f>'Beta Calc'!Q10</f>
        <v>306.64877999999999</v>
      </c>
      <c r="K10" s="331">
        <f>I10-J10</f>
        <v>1387.752</v>
      </c>
      <c r="M10" s="1066">
        <f>IFERROR('Capital IQ Sheet-GPC'!AT13,"n/a")</f>
        <v>0</v>
      </c>
      <c r="N10" s="331">
        <f t="shared" ref="N10:O39" si="0">N$6</f>
        <v>1.2465753424657535</v>
      </c>
      <c r="O10" s="1522">
        <f t="shared" si="0"/>
        <v>8.7643835616438362E-3</v>
      </c>
      <c r="P10" s="1523"/>
      <c r="Q10" s="1524">
        <f>IFERROR(HLOOKUP($Q$6,'Equity Vol'!$B$8:$K10,ROWS('Equity Vol'!$C$8:$C10),FALSE),"n/a")</f>
        <v>0.77767472070583177</v>
      </c>
      <c r="R10" s="1525"/>
      <c r="S10" s="1526">
        <f>IFERROR(IF(Q10="n/a","n/a",Q10^2),"n/a")</f>
        <v>0.60477797122489341</v>
      </c>
      <c r="T10" s="1526">
        <f t="shared" ref="T10:T39" si="1">IF(OR(K10="n/a",S10="n/a"),"n/a",IF(H10=0,0,IF(M10=0,(LN(K10/H10)+((O10+(S10/2))*N10))/((S10*N10)^0.5),(LN(K10/H10)+((O10-M10+(S10/2))*N10))/((S10*N10)^0.5))))</f>
        <v>8.256372481383508</v>
      </c>
      <c r="U10" s="1527">
        <f t="shared" ref="U10:U39" si="2">IF(T10="n/a","n/a",IF(H10=0,0,T10-(S10*N10)^0.5))</f>
        <v>7.3880975787199477</v>
      </c>
      <c r="V10" s="1527">
        <f t="shared" ref="V10:V39" si="3">IF(OR(T10="n/a",S10="n/a"),"n/a",IF(H10=0,0,NORMSDIST(T10)))</f>
        <v>0.99999999999999989</v>
      </c>
      <c r="W10" s="1527">
        <f t="shared" ref="W10:W39" si="4">IF(OR(U10="n/a",S10="n/a"),"n/a",IF(H10=0,0,NORMSDIST(U10)))</f>
        <v>0.9999999999999255</v>
      </c>
      <c r="X10" s="759">
        <f t="shared" ref="X10:X39" si="5">IF(OR(K10="n/a",S10="n/a"),"n/a",IF(M10=0,(K10*V10)-((H10*EXP(1)^(-O10*N10))*W10),(K10*(2.718^(-M10*N10))*V10)-(H10*(2.718^(-O10*N10))*W10)))</f>
        <v>1386.1937084024057</v>
      </c>
      <c r="Y10" s="1524">
        <f>IFERROR(IF(LEN(B10)&gt;0,IF(H10=0,Q10,IF(ISERROR(Q10/((K10/X10)*V10)),"n/a",Q10/((K10/X10)*V10)))),"n/a")</f>
        <v>0.77680147823676171</v>
      </c>
      <c r="AA10" s="1177" t="str">
        <f>IF('MASTER PubCo Inputs'!B28=0,"",'MASTER PubCo Inputs'!B28)</f>
        <v>NasdaqGS:ONCE</v>
      </c>
      <c r="AB10" s="331">
        <f>'Beta Calc'!Z10</f>
        <v>1387.752</v>
      </c>
      <c r="AC10" s="1178">
        <f t="shared" ref="AC10:AC39" si="6">K10-AB10</f>
        <v>0</v>
      </c>
      <c r="AI10" s="1179"/>
    </row>
    <row r="11" spans="2:35" ht="14.85" customHeight="1">
      <c r="B11" s="250" t="str">
        <f>'Comp.1'!B13</f>
        <v>CRISPR Therapeutics AG</v>
      </c>
      <c r="D11" s="331">
        <f>'Beta Calc'!K11</f>
        <v>868.62804000000006</v>
      </c>
      <c r="E11" s="331">
        <f>'Beta Calc'!L11</f>
        <v>0</v>
      </c>
      <c r="F11" s="331">
        <f>'Beta Calc'!M11</f>
        <v>185.565</v>
      </c>
      <c r="G11" s="331">
        <f>'Beta Calc'!N11</f>
        <v>-5.0999999999999997E-2</v>
      </c>
      <c r="H11" s="331">
        <f t="shared" ref="H11:H39" si="7">SUM(E11:G11)</f>
        <v>185.51400000000001</v>
      </c>
      <c r="I11" s="331">
        <f t="shared" ref="I11:I39" si="8">SUM(D11:G11)</f>
        <v>1054.1420400000002</v>
      </c>
      <c r="J11" s="331">
        <f>'Beta Calc'!Q11</f>
        <v>228.613</v>
      </c>
      <c r="K11" s="331">
        <f t="shared" ref="K11:K39" si="9">I11-J11</f>
        <v>825.52904000000012</v>
      </c>
      <c r="M11" s="1066">
        <f>IFERROR('Capital IQ Sheet-GPC'!AT14,"n/a")</f>
        <v>0</v>
      </c>
      <c r="N11" s="331">
        <f t="shared" si="0"/>
        <v>1.2465753424657535</v>
      </c>
      <c r="O11" s="1522">
        <f t="shared" si="0"/>
        <v>8.7643835616438362E-3</v>
      </c>
      <c r="P11" s="1523"/>
      <c r="Q11" s="1524">
        <f>IFERROR(HLOOKUP($Q$6,'Equity Vol'!$B$8:$K11,ROWS('Equity Vol'!$C$8:$C11),FALSE),"n/a")</f>
        <v>0.92672097514187046</v>
      </c>
      <c r="R11" s="1525"/>
      <c r="S11" s="1526">
        <f t="shared" ref="S11:S39" si="10">IFERROR(IF(Q11="n/a","n/a",Q11^2),"n/a")</f>
        <v>0.8588117657678993</v>
      </c>
      <c r="T11" s="1526">
        <f t="shared" si="1"/>
        <v>1.9707503670611641</v>
      </c>
      <c r="U11" s="1527">
        <f t="shared" si="2"/>
        <v>0.93606511490680111</v>
      </c>
      <c r="V11" s="1527">
        <f t="shared" si="3"/>
        <v>0.97562378182611975</v>
      </c>
      <c r="W11" s="1527">
        <f t="shared" si="4"/>
        <v>0.82538016851351015</v>
      </c>
      <c r="X11" s="759">
        <f t="shared" si="5"/>
        <v>653.94998449164359</v>
      </c>
      <c r="Y11" s="1524">
        <f t="shared" ref="Y11:Y39" si="11">IFERROR(IF(LEN(B11)&gt;0,IF(H11=0,Q11,IF(ISERROR(Q11/((K11/X11)*V11)),"n/a",Q11/((K11/X11)*V11)))),"n/a")</f>
        <v>0.7524519868137084</v>
      </c>
      <c r="AA11" s="1177" t="str">
        <f>IF('MASTER PubCo Inputs'!B29=0,"",'MASTER PubCo Inputs'!B29)</f>
        <v>NasdaqGM:CRSP</v>
      </c>
      <c r="AB11" s="331">
        <f>'Beta Calc'!Z11</f>
        <v>825.52904000000001</v>
      </c>
      <c r="AC11" s="1178">
        <f t="shared" si="6"/>
        <v>0</v>
      </c>
      <c r="AI11" s="1179"/>
    </row>
    <row r="12" spans="2:35" ht="14.85" customHeight="1">
      <c r="B12" s="250" t="str">
        <f>'Comp.1'!B14</f>
        <v>WAVE Life Sciences Ltd.</v>
      </c>
      <c r="D12" s="331">
        <f>'Beta Calc'!K12</f>
        <v>835.72670000000005</v>
      </c>
      <c r="E12" s="331">
        <f>'Beta Calc'!L12</f>
        <v>9.2999999999999999E-2</v>
      </c>
      <c r="F12" s="331">
        <f>'Beta Calc'!M12</f>
        <v>7.8739999999999997</v>
      </c>
      <c r="G12" s="331">
        <f>'Beta Calc'!N12</f>
        <v>0</v>
      </c>
      <c r="H12" s="331">
        <f t="shared" si="7"/>
        <v>7.9669999999999996</v>
      </c>
      <c r="I12" s="331">
        <f t="shared" si="8"/>
        <v>843.69370000000004</v>
      </c>
      <c r="J12" s="331">
        <f>'Beta Calc'!Q12</f>
        <v>169.01499999999999</v>
      </c>
      <c r="K12" s="331">
        <f t="shared" si="9"/>
        <v>674.67870000000005</v>
      </c>
      <c r="M12" s="1066">
        <f>IFERROR('Capital IQ Sheet-GPC'!AT15,"n/a")</f>
        <v>0</v>
      </c>
      <c r="N12" s="331">
        <f t="shared" si="0"/>
        <v>1.2465753424657535</v>
      </c>
      <c r="O12" s="1522">
        <f t="shared" si="0"/>
        <v>8.7643835616438362E-3</v>
      </c>
      <c r="P12" s="1523"/>
      <c r="Q12" s="1524">
        <f>IFERROR(HLOOKUP($Q$6,'Equity Vol'!$B$8:$K12,ROWS('Equity Vol'!$C$8:$C12),FALSE),"n/a")</f>
        <v>0.81416033280155464</v>
      </c>
      <c r="R12" s="1525"/>
      <c r="S12" s="1526">
        <f t="shared" si="10"/>
        <v>0.66285704750753827</v>
      </c>
      <c r="T12" s="1526">
        <f t="shared" si="1"/>
        <v>5.3497745494317659</v>
      </c>
      <c r="U12" s="1527">
        <f t="shared" si="2"/>
        <v>4.4407634103346982</v>
      </c>
      <c r="V12" s="1527">
        <f t="shared" si="3"/>
        <v>0.99999995596806568</v>
      </c>
      <c r="W12" s="1527">
        <f t="shared" si="4"/>
        <v>0.99999551798474007</v>
      </c>
      <c r="X12" s="759">
        <f t="shared" si="5"/>
        <v>666.79827502137982</v>
      </c>
      <c r="Y12" s="1524">
        <f t="shared" si="11"/>
        <v>0.8046507610318776</v>
      </c>
      <c r="AA12" s="1177" t="str">
        <f>IF('MASTER PubCo Inputs'!B30=0,"",'MASTER PubCo Inputs'!B30)</f>
        <v>NasdaqGM:WVE</v>
      </c>
      <c r="AB12" s="331">
        <f>'Beta Calc'!Z12</f>
        <v>674.67870000000005</v>
      </c>
      <c r="AC12" s="1178">
        <f t="shared" si="6"/>
        <v>0</v>
      </c>
      <c r="AI12" s="1179"/>
    </row>
    <row r="13" spans="2:35" ht="14.85" customHeight="1">
      <c r="B13" s="250" t="str">
        <f>'Comp.1'!B15</f>
        <v>Regenxbio Inc.</v>
      </c>
      <c r="D13" s="331">
        <f>'Beta Calc'!K13</f>
        <v>589.07718</v>
      </c>
      <c r="E13" s="331">
        <f>'Beta Calc'!L13</f>
        <v>0</v>
      </c>
      <c r="F13" s="331">
        <f>'Beta Calc'!M13</f>
        <v>0</v>
      </c>
      <c r="G13" s="331">
        <f>'Beta Calc'!N13</f>
        <v>0</v>
      </c>
      <c r="H13" s="331">
        <f t="shared" si="7"/>
        <v>0</v>
      </c>
      <c r="I13" s="331">
        <f t="shared" si="8"/>
        <v>589.07718</v>
      </c>
      <c r="J13" s="331">
        <f>'Beta Calc'!Q13</f>
        <v>91.77</v>
      </c>
      <c r="K13" s="331">
        <f t="shared" si="9"/>
        <v>497.30718000000002</v>
      </c>
      <c r="M13" s="1066">
        <f>IFERROR('Capital IQ Sheet-GPC'!AT16,"n/a")</f>
        <v>0</v>
      </c>
      <c r="N13" s="331">
        <f t="shared" si="0"/>
        <v>1.2465753424657535</v>
      </c>
      <c r="O13" s="1522">
        <f t="shared" si="0"/>
        <v>8.7643835616438362E-3</v>
      </c>
      <c r="P13" s="1523"/>
      <c r="Q13" s="1524">
        <f>IFERROR(HLOOKUP($Q$6,'Equity Vol'!$B$8:$K13,ROWS('Equity Vol'!$C$8:$C13),FALSE),"n/a")</f>
        <v>0.66008168675338585</v>
      </c>
      <c r="R13" s="1525"/>
      <c r="S13" s="1526">
        <f t="shared" si="10"/>
        <v>0.43570783318719503</v>
      </c>
      <c r="T13" s="1526">
        <f t="shared" si="1"/>
        <v>0</v>
      </c>
      <c r="U13" s="1527">
        <f t="shared" si="2"/>
        <v>0</v>
      </c>
      <c r="V13" s="1527">
        <f t="shared" si="3"/>
        <v>0</v>
      </c>
      <c r="W13" s="1527">
        <f t="shared" si="4"/>
        <v>0</v>
      </c>
      <c r="X13" s="759">
        <f t="shared" si="5"/>
        <v>0</v>
      </c>
      <c r="Y13" s="1524">
        <f t="shared" si="11"/>
        <v>0.66008168675338585</v>
      </c>
      <c r="AA13" s="1177" t="str">
        <f>IF('MASTER PubCo Inputs'!B31=0,"",'MASTER PubCo Inputs'!B31)</f>
        <v>NasdaqGS:RGNX</v>
      </c>
      <c r="AB13" s="331">
        <f>'Beta Calc'!Z13</f>
        <v>497.30718000000002</v>
      </c>
      <c r="AC13" s="1178">
        <f t="shared" si="6"/>
        <v>0</v>
      </c>
      <c r="AI13" s="1179"/>
    </row>
    <row r="14" spans="2:35" ht="14.85" customHeight="1">
      <c r="B14" s="250" t="str">
        <f>'Comp.1'!B16</f>
        <v>Inovio Pharmaceuticals, Inc.</v>
      </c>
      <c r="D14" s="331">
        <f>'Beta Calc'!K14</f>
        <v>524.34855000000005</v>
      </c>
      <c r="E14" s="331">
        <f>'Beta Calc'!L14</f>
        <v>0</v>
      </c>
      <c r="F14" s="331">
        <f>'Beta Calc'!M14</f>
        <v>0</v>
      </c>
      <c r="G14" s="331">
        <f>'Beta Calc'!N14</f>
        <v>9.6269999999999994E-2</v>
      </c>
      <c r="H14" s="331">
        <f t="shared" si="7"/>
        <v>9.6269999999999994E-2</v>
      </c>
      <c r="I14" s="331">
        <f t="shared" si="8"/>
        <v>524.44482000000005</v>
      </c>
      <c r="J14" s="331">
        <f>'Beta Calc'!Q14</f>
        <v>119.68635</v>
      </c>
      <c r="K14" s="331">
        <f t="shared" si="9"/>
        <v>404.75847000000005</v>
      </c>
      <c r="M14" s="1066">
        <f>IFERROR('Capital IQ Sheet-GPC'!AT17,"n/a")</f>
        <v>0</v>
      </c>
      <c r="N14" s="331">
        <f t="shared" si="0"/>
        <v>1.2465753424657535</v>
      </c>
      <c r="O14" s="1522">
        <f t="shared" si="0"/>
        <v>8.7643835616438362E-3</v>
      </c>
      <c r="P14" s="1523"/>
      <c r="Q14" s="1524">
        <f>IFERROR(HLOOKUP($Q$6,'Equity Vol'!$B$8:$K14,ROWS('Equity Vol'!$C$8:$C14),FALSE),"n/a")</f>
        <v>0.62500700103077034</v>
      </c>
      <c r="R14" s="1525"/>
      <c r="S14" s="1526">
        <f t="shared" si="10"/>
        <v>0.39063375133747735</v>
      </c>
      <c r="T14" s="1526">
        <f t="shared" si="1"/>
        <v>12.321626139686465</v>
      </c>
      <c r="U14" s="1527">
        <f t="shared" si="2"/>
        <v>11.623804957468415</v>
      </c>
      <c r="V14" s="1527">
        <f t="shared" si="3"/>
        <v>1</v>
      </c>
      <c r="W14" s="1527">
        <f t="shared" si="4"/>
        <v>1</v>
      </c>
      <c r="X14" s="759">
        <f t="shared" si="5"/>
        <v>404.66324606965787</v>
      </c>
      <c r="Y14" s="1524">
        <f t="shared" si="11"/>
        <v>0.62485996118468745</v>
      </c>
      <c r="AA14" s="1177" t="str">
        <f>IF('MASTER PubCo Inputs'!B32=0,"",'MASTER PubCo Inputs'!B32)</f>
        <v>NasdaqGS:INO</v>
      </c>
      <c r="AB14" s="331">
        <f>'Beta Calc'!Z14</f>
        <v>404.75846999999999</v>
      </c>
      <c r="AC14" s="1178">
        <f t="shared" si="6"/>
        <v>0</v>
      </c>
      <c r="AI14" s="1179"/>
    </row>
    <row r="15" spans="2:35" ht="14.85" customHeight="1">
      <c r="B15" s="250" t="str">
        <f>'Comp.1'!B17</f>
        <v>Enanta Pharmaceuticals, Inc.</v>
      </c>
      <c r="D15" s="331">
        <f>'Beta Calc'!K15</f>
        <v>598.48901000000001</v>
      </c>
      <c r="E15" s="331">
        <f>'Beta Calc'!L15</f>
        <v>0.70699999999999996</v>
      </c>
      <c r="F15" s="331">
        <f>'Beta Calc'!M15</f>
        <v>1.2370000000000001</v>
      </c>
      <c r="G15" s="331">
        <f>'Beta Calc'!N15</f>
        <v>0</v>
      </c>
      <c r="H15" s="331">
        <f t="shared" si="7"/>
        <v>1.944</v>
      </c>
      <c r="I15" s="331">
        <f t="shared" si="8"/>
        <v>600.43300999999997</v>
      </c>
      <c r="J15" s="331">
        <f>'Beta Calc'!Q15</f>
        <v>218.465</v>
      </c>
      <c r="K15" s="331">
        <f t="shared" si="9"/>
        <v>381.96800999999994</v>
      </c>
      <c r="M15" s="1066">
        <f>IFERROR('Capital IQ Sheet-GPC'!AT18,"n/a")</f>
        <v>0</v>
      </c>
      <c r="N15" s="331">
        <f t="shared" si="0"/>
        <v>1.2465753424657535</v>
      </c>
      <c r="O15" s="1522">
        <f t="shared" si="0"/>
        <v>8.7643835616438362E-3</v>
      </c>
      <c r="P15" s="1523"/>
      <c r="Q15" s="1524">
        <f>IFERROR(HLOOKUP($Q$6,'Equity Vol'!$B$8:$K15,ROWS('Equity Vol'!$C$8:$C15),FALSE),"n/a")</f>
        <v>0.50325979341735505</v>
      </c>
      <c r="R15" s="1525"/>
      <c r="S15" s="1526">
        <f t="shared" si="10"/>
        <v>0.25327041967047886</v>
      </c>
      <c r="T15" s="1526">
        <f t="shared" si="1"/>
        <v>9.6982905272146631</v>
      </c>
      <c r="U15" s="1527">
        <f t="shared" si="2"/>
        <v>9.1364002709037244</v>
      </c>
      <c r="V15" s="1527">
        <f t="shared" si="3"/>
        <v>1</v>
      </c>
      <c r="W15" s="1527">
        <f t="shared" si="4"/>
        <v>1</v>
      </c>
      <c r="X15" s="759">
        <f t="shared" si="5"/>
        <v>380.04513350072483</v>
      </c>
      <c r="Y15" s="1524">
        <f t="shared" si="11"/>
        <v>0.50072631835018311</v>
      </c>
      <c r="AA15" s="1177" t="str">
        <f>IF('MASTER PubCo Inputs'!B33=0,"",'MASTER PubCo Inputs'!B33)</f>
        <v>NasdaqGS:ENTA</v>
      </c>
      <c r="AB15" s="331">
        <f>'Beta Calc'!Z15</f>
        <v>389.81500999999997</v>
      </c>
      <c r="AC15" s="1178">
        <f t="shared" si="6"/>
        <v>-7.8470000000000368</v>
      </c>
      <c r="AI15" s="1179"/>
    </row>
    <row r="16" spans="2:35" ht="14.85" customHeight="1">
      <c r="B16" s="250" t="str">
        <f>'Comp.1'!B18</f>
        <v>Editas Medicine, Inc.</v>
      </c>
      <c r="D16" s="331">
        <f>'Beta Calc'!K16</f>
        <v>508.51056999999997</v>
      </c>
      <c r="E16" s="331">
        <f>'Beta Calc'!L16</f>
        <v>32.048000000000002</v>
      </c>
      <c r="F16" s="331">
        <f>'Beta Calc'!M16</f>
        <v>0</v>
      </c>
      <c r="G16" s="331">
        <f>'Beta Calc'!N16</f>
        <v>0</v>
      </c>
      <c r="H16" s="331">
        <f t="shared" si="7"/>
        <v>32.048000000000002</v>
      </c>
      <c r="I16" s="331">
        <f t="shared" si="8"/>
        <v>540.55856999999992</v>
      </c>
      <c r="J16" s="331">
        <f>'Beta Calc'!Q16</f>
        <v>199.874</v>
      </c>
      <c r="K16" s="331">
        <f t="shared" si="9"/>
        <v>340.68456999999989</v>
      </c>
      <c r="M16" s="1066">
        <f>IFERROR('Capital IQ Sheet-GPC'!AT19,"n/a")</f>
        <v>0</v>
      </c>
      <c r="N16" s="331">
        <f t="shared" si="0"/>
        <v>1.2465753424657535</v>
      </c>
      <c r="O16" s="1522">
        <f t="shared" si="0"/>
        <v>8.7643835616438362E-3</v>
      </c>
      <c r="P16" s="1523"/>
      <c r="Q16" s="1524">
        <f>IFERROR(HLOOKUP($Q$6,'Equity Vol'!$B$8:$K16,ROWS('Equity Vol'!$C$8:$C16),FALSE),"n/a")</f>
        <v>0.89665359846864712</v>
      </c>
      <c r="R16" s="1525"/>
      <c r="S16" s="1526">
        <f t="shared" si="10"/>
        <v>0.80398767564677387</v>
      </c>
      <c r="T16" s="1526">
        <f t="shared" si="1"/>
        <v>2.8725604658249924</v>
      </c>
      <c r="U16" s="1527">
        <f t="shared" si="2"/>
        <v>1.8714454813663528</v>
      </c>
      <c r="V16" s="1527">
        <f t="shared" si="3"/>
        <v>0.99796419922814461</v>
      </c>
      <c r="W16" s="1527">
        <f t="shared" si="4"/>
        <v>0.96935832007061384</v>
      </c>
      <c r="X16" s="759">
        <f t="shared" si="5"/>
        <v>309.26257170194293</v>
      </c>
      <c r="Y16" s="1524">
        <f t="shared" si="11"/>
        <v>0.81561392640633212</v>
      </c>
      <c r="AA16" s="1177" t="str">
        <f>IF('MASTER PubCo Inputs'!B34=0,"",'MASTER PubCo Inputs'!B34)</f>
        <v>NasdaqGS:EDIT</v>
      </c>
      <c r="AB16" s="331">
        <f>'Beta Calc'!Z16</f>
        <v>340.68457000000001</v>
      </c>
      <c r="AC16" s="1178">
        <f t="shared" si="6"/>
        <v>0</v>
      </c>
      <c r="AI16" s="1179"/>
    </row>
    <row r="17" spans="2:35" ht="14.85" customHeight="1">
      <c r="B17" s="250" t="str">
        <f>'Comp.1'!B19</f>
        <v>NantKwest, Inc.</v>
      </c>
      <c r="D17" s="331">
        <f>'Beta Calc'!K17</f>
        <v>538.73569999999995</v>
      </c>
      <c r="E17" s="331">
        <f>'Beta Calc'!L17</f>
        <v>7.7030000000000003</v>
      </c>
      <c r="F17" s="331">
        <f>'Beta Calc'!M17</f>
        <v>0</v>
      </c>
      <c r="G17" s="331">
        <f>'Beta Calc'!N17</f>
        <v>0</v>
      </c>
      <c r="H17" s="331">
        <f t="shared" si="7"/>
        <v>7.7030000000000003</v>
      </c>
      <c r="I17" s="331">
        <f t="shared" si="8"/>
        <v>546.43869999999993</v>
      </c>
      <c r="J17" s="331">
        <f>'Beta Calc'!Q17</f>
        <v>209.256</v>
      </c>
      <c r="K17" s="331">
        <f t="shared" si="9"/>
        <v>337.18269999999995</v>
      </c>
      <c r="M17" s="1066">
        <f>IFERROR('Capital IQ Sheet-GPC'!AT20,"n/a")</f>
        <v>0</v>
      </c>
      <c r="N17" s="331">
        <f t="shared" si="0"/>
        <v>1.2465753424657535</v>
      </c>
      <c r="O17" s="1522">
        <f t="shared" si="0"/>
        <v>8.7643835616438362E-3</v>
      </c>
      <c r="P17" s="1523"/>
      <c r="Q17" s="1524">
        <f>IFERROR(HLOOKUP($Q$6,'Equity Vol'!$B$8:$K17,ROWS('Equity Vol'!$C$8:$C17),FALSE),"n/a")</f>
        <v>0.82806905565295919</v>
      </c>
      <c r="R17" s="1525"/>
      <c r="S17" s="1526">
        <f t="shared" si="10"/>
        <v>0.6856983609299836</v>
      </c>
      <c r="T17" s="1526">
        <f t="shared" si="1"/>
        <v>4.5615405790343209</v>
      </c>
      <c r="U17" s="1527">
        <f t="shared" si="2"/>
        <v>3.6370003316115813</v>
      </c>
      <c r="V17" s="1527">
        <f t="shared" si="3"/>
        <v>0.99999746101701559</v>
      </c>
      <c r="W17" s="1527">
        <f t="shared" si="4"/>
        <v>0.99986208421192935</v>
      </c>
      <c r="X17" s="759">
        <f t="shared" si="5"/>
        <v>329.56359550554043</v>
      </c>
      <c r="Y17" s="1524">
        <f t="shared" si="11"/>
        <v>0.80935975719298725</v>
      </c>
      <c r="AA17" s="1177" t="str">
        <f>IF('MASTER PubCo Inputs'!B35=0,"",'MASTER PubCo Inputs'!B35)</f>
        <v>NasdaqGS:NK</v>
      </c>
      <c r="AB17" s="331">
        <f>'Beta Calc'!Z17</f>
        <v>337.18270000000001</v>
      </c>
      <c r="AC17" s="1178">
        <f t="shared" si="6"/>
        <v>0</v>
      </c>
      <c r="AI17" s="1179"/>
    </row>
    <row r="18" spans="2:35" ht="14.85" customHeight="1">
      <c r="B18" s="250" t="str">
        <f>'Comp.1'!B20</f>
        <v>Cocrystal Pharma, Inc.</v>
      </c>
      <c r="D18" s="331">
        <f>'Beta Calc'!K18</f>
        <v>317.20850000000002</v>
      </c>
      <c r="E18" s="331">
        <f>'Beta Calc'!L18</f>
        <v>0</v>
      </c>
      <c r="F18" s="331">
        <f>'Beta Calc'!M18</f>
        <v>0</v>
      </c>
      <c r="G18" s="331">
        <f>'Beta Calc'!N18</f>
        <v>0</v>
      </c>
      <c r="H18" s="331">
        <f t="shared" si="7"/>
        <v>0</v>
      </c>
      <c r="I18" s="331">
        <f t="shared" si="8"/>
        <v>317.20850000000002</v>
      </c>
      <c r="J18" s="331">
        <f>'Beta Calc'!Q18</f>
        <v>5.9059999999999997</v>
      </c>
      <c r="K18" s="331">
        <f t="shared" si="9"/>
        <v>311.30250000000001</v>
      </c>
      <c r="M18" s="1066">
        <f>IFERROR('Capital IQ Sheet-GPC'!AT21,"n/a")</f>
        <v>0</v>
      </c>
      <c r="N18" s="331">
        <f t="shared" si="0"/>
        <v>1.2465753424657535</v>
      </c>
      <c r="O18" s="1522">
        <f t="shared" si="0"/>
        <v>8.7643835616438362E-3</v>
      </c>
      <c r="P18" s="1523"/>
      <c r="Q18" s="1524">
        <f>IFERROR(HLOOKUP($Q$6,'Equity Vol'!$B$8:$K18,ROWS('Equity Vol'!$C$8:$C18),FALSE),"n/a")</f>
        <v>0.78212139552972182</v>
      </c>
      <c r="R18" s="1525"/>
      <c r="S18" s="1526">
        <f t="shared" si="10"/>
        <v>0.61171387734535954</v>
      </c>
      <c r="T18" s="1526">
        <f t="shared" si="1"/>
        <v>0</v>
      </c>
      <c r="U18" s="1527">
        <f t="shared" si="2"/>
        <v>0</v>
      </c>
      <c r="V18" s="1527">
        <f t="shared" si="3"/>
        <v>0</v>
      </c>
      <c r="W18" s="1527">
        <f t="shared" si="4"/>
        <v>0</v>
      </c>
      <c r="X18" s="759">
        <f t="shared" si="5"/>
        <v>0</v>
      </c>
      <c r="Y18" s="1524">
        <f t="shared" si="11"/>
        <v>0.78212139552972182</v>
      </c>
      <c r="AA18" s="1177" t="str">
        <f>IF('MASTER PubCo Inputs'!B36=0,"",'MASTER PubCo Inputs'!B36)</f>
        <v>OTCBB:COCP</v>
      </c>
      <c r="AB18" s="331">
        <f>'Beta Calc'!Z18</f>
        <v>311.30250000000001</v>
      </c>
      <c r="AC18" s="1178">
        <f t="shared" si="6"/>
        <v>0</v>
      </c>
      <c r="AI18" s="1179"/>
    </row>
    <row r="19" spans="2:35" ht="14.85" customHeight="1">
      <c r="B19" s="250" t="str">
        <f>'Comp.1'!B21</f>
        <v>Intellia Therapeutics Inc.</v>
      </c>
      <c r="D19" s="331">
        <f>'Beta Calc'!K19</f>
        <v>566.92646000000002</v>
      </c>
      <c r="E19" s="331">
        <f>'Beta Calc'!L19</f>
        <v>0</v>
      </c>
      <c r="F19" s="331">
        <f>'Beta Calc'!M19</f>
        <v>0</v>
      </c>
      <c r="G19" s="331">
        <f>'Beta Calc'!N19</f>
        <v>0</v>
      </c>
      <c r="H19" s="331">
        <f t="shared" si="7"/>
        <v>0</v>
      </c>
      <c r="I19" s="331">
        <f t="shared" si="8"/>
        <v>566.92646000000002</v>
      </c>
      <c r="J19" s="331">
        <f>'Beta Calc'!Q19</f>
        <v>290.61799999999999</v>
      </c>
      <c r="K19" s="331">
        <f t="shared" si="9"/>
        <v>276.30846000000003</v>
      </c>
      <c r="M19" s="1066">
        <f>IFERROR('Capital IQ Sheet-GPC'!AT22,"n/a")</f>
        <v>0</v>
      </c>
      <c r="N19" s="331">
        <f t="shared" si="0"/>
        <v>1.2465753424657535</v>
      </c>
      <c r="O19" s="1522">
        <f t="shared" si="0"/>
        <v>8.7643835616438362E-3</v>
      </c>
      <c r="P19" s="1523"/>
      <c r="Q19" s="1524">
        <f>IFERROR(HLOOKUP($Q$6,'Equity Vol'!$B$8:$K19,ROWS('Equity Vol'!$C$8:$C19),FALSE),"n/a")</f>
        <v>0.73849289680398411</v>
      </c>
      <c r="R19" s="1525"/>
      <c r="S19" s="1526">
        <f t="shared" si="10"/>
        <v>0.54537175862993992</v>
      </c>
      <c r="T19" s="1526">
        <f t="shared" si="1"/>
        <v>0</v>
      </c>
      <c r="U19" s="1527">
        <f t="shared" si="2"/>
        <v>0</v>
      </c>
      <c r="V19" s="1527">
        <f t="shared" si="3"/>
        <v>0</v>
      </c>
      <c r="W19" s="1527">
        <f t="shared" si="4"/>
        <v>0</v>
      </c>
      <c r="X19" s="759">
        <f t="shared" si="5"/>
        <v>0</v>
      </c>
      <c r="Y19" s="1524">
        <f t="shared" si="11"/>
        <v>0.73849289680398411</v>
      </c>
      <c r="AA19" s="1177" t="str">
        <f>IF('MASTER PubCo Inputs'!B37=0,"",'MASTER PubCo Inputs'!B37)</f>
        <v>NasdaqGM:NTLA</v>
      </c>
      <c r="AB19" s="331">
        <f>'Beta Calc'!Z19</f>
        <v>276.30846000000003</v>
      </c>
      <c r="AC19" s="1178">
        <f t="shared" si="6"/>
        <v>0</v>
      </c>
      <c r="AI19" s="1179"/>
    </row>
    <row r="20" spans="2:35" ht="14.85" customHeight="1">
      <c r="B20" s="250" t="str">
        <f>'Comp.1'!B22</f>
        <v>GenSight Biologics S.A.</v>
      </c>
      <c r="D20" s="331">
        <f>'Beta Calc'!K20</f>
        <v>256.04862000000003</v>
      </c>
      <c r="E20" s="331">
        <f>'Beta Calc'!L20</f>
        <v>0.67574000000000001</v>
      </c>
      <c r="F20" s="331">
        <f>'Beta Calc'!M20</f>
        <v>0</v>
      </c>
      <c r="G20" s="331">
        <f>'Beta Calc'!N20</f>
        <v>0</v>
      </c>
      <c r="H20" s="331">
        <f t="shared" si="7"/>
        <v>0.67574000000000001</v>
      </c>
      <c r="I20" s="331">
        <f t="shared" si="8"/>
        <v>256.72436000000005</v>
      </c>
      <c r="J20" s="331">
        <f>'Beta Calc'!Q20</f>
        <v>32.647199999999998</v>
      </c>
      <c r="K20" s="331">
        <f t="shared" si="9"/>
        <v>224.07716000000005</v>
      </c>
      <c r="M20" s="1066">
        <f>IFERROR('Capital IQ Sheet-GPC'!AT23,"n/a")</f>
        <v>0</v>
      </c>
      <c r="N20" s="331">
        <f t="shared" si="0"/>
        <v>1.2465753424657535</v>
      </c>
      <c r="O20" s="1522">
        <f t="shared" si="0"/>
        <v>8.7643835616438362E-3</v>
      </c>
      <c r="P20" s="1523"/>
      <c r="Q20" s="1524">
        <f>IFERROR(HLOOKUP($Q$6,'Equity Vol'!$B$8:$K20,ROWS('Equity Vol'!$C$8:$C20),FALSE),"n/a")</f>
        <v>0.30494613818516308</v>
      </c>
      <c r="R20" s="1525"/>
      <c r="S20" s="1526">
        <f t="shared" si="10"/>
        <v>9.2992147194044583E-2</v>
      </c>
      <c r="T20" s="1526">
        <f t="shared" si="1"/>
        <v>17.249025240214259</v>
      </c>
      <c r="U20" s="1527">
        <f t="shared" si="2"/>
        <v>16.908552454613059</v>
      </c>
      <c r="V20" s="1527">
        <f t="shared" si="3"/>
        <v>1</v>
      </c>
      <c r="W20" s="1527">
        <f t="shared" si="4"/>
        <v>1</v>
      </c>
      <c r="X20" s="759">
        <f t="shared" si="5"/>
        <v>223.40876258970161</v>
      </c>
      <c r="Y20" s="1524">
        <f t="shared" si="11"/>
        <v>0.30403651754804206</v>
      </c>
      <c r="AA20" s="1177" t="str">
        <f>IF('MASTER PubCo Inputs'!B38=0,"",'MASTER PubCo Inputs'!B38)</f>
        <v>ENXTPA:SIGHT</v>
      </c>
      <c r="AB20" s="331">
        <f>'Beta Calc'!Z20</f>
        <v>224.93052</v>
      </c>
      <c r="AC20" s="1178">
        <f t="shared" si="6"/>
        <v>-0.85335999999995238</v>
      </c>
      <c r="AI20" s="1179"/>
    </row>
    <row r="21" spans="2:35" ht="14.85" customHeight="1">
      <c r="B21" s="250" t="str">
        <f>'Comp.1'!B23</f>
        <v>Advaxis, Inc.</v>
      </c>
      <c r="D21" s="331">
        <f>'Beta Calc'!K21</f>
        <v>331.10462000000001</v>
      </c>
      <c r="E21" s="331">
        <f>'Beta Calc'!L21</f>
        <v>0</v>
      </c>
      <c r="F21" s="331">
        <f>'Beta Calc'!M21</f>
        <v>0</v>
      </c>
      <c r="G21" s="331">
        <f>'Beta Calc'!N21</f>
        <v>0</v>
      </c>
      <c r="H21" s="331">
        <f t="shared" si="7"/>
        <v>0</v>
      </c>
      <c r="I21" s="331">
        <f t="shared" si="8"/>
        <v>331.10462000000001</v>
      </c>
      <c r="J21" s="331">
        <f>'Beta Calc'!Q21</f>
        <v>78.717920000000007</v>
      </c>
      <c r="K21" s="331">
        <f t="shared" si="9"/>
        <v>252.38670000000002</v>
      </c>
      <c r="M21" s="1066">
        <f>IFERROR('Capital IQ Sheet-GPC'!AT24,"n/a")</f>
        <v>0</v>
      </c>
      <c r="N21" s="331">
        <f t="shared" si="0"/>
        <v>1.2465753424657535</v>
      </c>
      <c r="O21" s="1522">
        <f t="shared" si="0"/>
        <v>8.7643835616438362E-3</v>
      </c>
      <c r="P21" s="1523"/>
      <c r="Q21" s="1524">
        <f>IFERROR(HLOOKUP($Q$6,'Equity Vol'!$B$8:$K21,ROWS('Equity Vol'!$C$8:$C21),FALSE),"n/a")</f>
        <v>0.90151721249655303</v>
      </c>
      <c r="R21" s="1525"/>
      <c r="S21" s="1526">
        <f t="shared" si="10"/>
        <v>0.8127332844275551</v>
      </c>
      <c r="T21" s="1526">
        <f t="shared" si="1"/>
        <v>0</v>
      </c>
      <c r="U21" s="1527">
        <f t="shared" si="2"/>
        <v>0</v>
      </c>
      <c r="V21" s="1527">
        <f t="shared" si="3"/>
        <v>0</v>
      </c>
      <c r="W21" s="1527">
        <f t="shared" si="4"/>
        <v>0</v>
      </c>
      <c r="X21" s="759">
        <f t="shared" si="5"/>
        <v>0</v>
      </c>
      <c r="Y21" s="1524">
        <f t="shared" si="11"/>
        <v>0.90151721249655303</v>
      </c>
      <c r="AA21" s="1177" t="str">
        <f>IF('MASTER PubCo Inputs'!B39=0,"",'MASTER PubCo Inputs'!B39)</f>
        <v>NasdaqCM:ADXS</v>
      </c>
      <c r="AB21" s="331">
        <f>'Beta Calc'!Z21</f>
        <v>252.38669999999999</v>
      </c>
      <c r="AC21" s="1178">
        <f t="shared" si="6"/>
        <v>0</v>
      </c>
      <c r="AI21" s="1179"/>
    </row>
    <row r="22" spans="2:35" ht="14.85" customHeight="1">
      <c r="B22" s="250" t="str">
        <f>'Comp.1'!B24</f>
        <v>Audentes Therapeutics, Inc.</v>
      </c>
      <c r="D22" s="331">
        <f>'Beta Calc'!K22</f>
        <v>356.94443000000001</v>
      </c>
      <c r="E22" s="331">
        <f>'Beta Calc'!L22</f>
        <v>0</v>
      </c>
      <c r="F22" s="331">
        <f>'Beta Calc'!M22</f>
        <v>0</v>
      </c>
      <c r="G22" s="331">
        <f>'Beta Calc'!N22</f>
        <v>0</v>
      </c>
      <c r="H22" s="331">
        <f t="shared" si="7"/>
        <v>0</v>
      </c>
      <c r="I22" s="331">
        <f t="shared" si="8"/>
        <v>356.94443000000001</v>
      </c>
      <c r="J22" s="331">
        <f>'Beta Calc'!Q22</f>
        <v>119.18</v>
      </c>
      <c r="K22" s="331">
        <f t="shared" si="9"/>
        <v>237.76443</v>
      </c>
      <c r="M22" s="1066">
        <f>IFERROR('Capital IQ Sheet-GPC'!AT25,"n/a")</f>
        <v>0</v>
      </c>
      <c r="N22" s="331">
        <f t="shared" si="0"/>
        <v>1.2465753424657535</v>
      </c>
      <c r="O22" s="1522">
        <f t="shared" si="0"/>
        <v>8.7643835616438362E-3</v>
      </c>
      <c r="P22" s="1523"/>
      <c r="Q22" s="1524">
        <f>IFERROR(HLOOKUP($Q$6,'Equity Vol'!$B$8:$K22,ROWS('Equity Vol'!$C$8:$C22),FALSE),"n/a")</f>
        <v>0.54716779865156173</v>
      </c>
      <c r="R22" s="1525"/>
      <c r="S22" s="1526">
        <f t="shared" si="10"/>
        <v>0.29939259988119599</v>
      </c>
      <c r="T22" s="1526">
        <f t="shared" si="1"/>
        <v>0</v>
      </c>
      <c r="U22" s="1527">
        <f t="shared" si="2"/>
        <v>0</v>
      </c>
      <c r="V22" s="1527">
        <f t="shared" si="3"/>
        <v>0</v>
      </c>
      <c r="W22" s="1527">
        <f t="shared" si="4"/>
        <v>0</v>
      </c>
      <c r="X22" s="759">
        <f t="shared" si="5"/>
        <v>0</v>
      </c>
      <c r="Y22" s="1524">
        <f t="shared" si="11"/>
        <v>0.54716779865156173</v>
      </c>
      <c r="AA22" s="1177" t="str">
        <f>IF('MASTER PubCo Inputs'!B40=0,"",'MASTER PubCo Inputs'!B40)</f>
        <v>NasdaqGM:BOLD</v>
      </c>
      <c r="AB22" s="331">
        <f>'Beta Calc'!Z22</f>
        <v>237.76443</v>
      </c>
      <c r="AC22" s="1178">
        <f t="shared" si="6"/>
        <v>0</v>
      </c>
      <c r="AI22" s="1179"/>
    </row>
    <row r="23" spans="2:35" ht="14.85" customHeight="1">
      <c r="B23" s="250" t="str">
        <f>'Comp.1'!B25</f>
        <v>Syros Pharmaceuticals, Inc.</v>
      </c>
      <c r="D23" s="331">
        <f>'Beta Calc'!K23</f>
        <v>317.50677000000002</v>
      </c>
      <c r="E23" s="331">
        <f>'Beta Calc'!L23</f>
        <v>0.26100000000000001</v>
      </c>
      <c r="F23" s="331">
        <f>'Beta Calc'!M23</f>
        <v>0</v>
      </c>
      <c r="G23" s="331">
        <f>'Beta Calc'!N23</f>
        <v>0</v>
      </c>
      <c r="H23" s="331">
        <f t="shared" si="7"/>
        <v>0.26100000000000001</v>
      </c>
      <c r="I23" s="331">
        <f t="shared" si="8"/>
        <v>317.76777000000004</v>
      </c>
      <c r="J23" s="331">
        <f>'Beta Calc'!Q23</f>
        <v>93.494</v>
      </c>
      <c r="K23" s="331">
        <f t="shared" si="9"/>
        <v>224.27377000000004</v>
      </c>
      <c r="M23" s="1066">
        <f>IFERROR('Capital IQ Sheet-GPC'!AT26,"n/a")</f>
        <v>0</v>
      </c>
      <c r="N23" s="331">
        <f t="shared" si="0"/>
        <v>1.2465753424657535</v>
      </c>
      <c r="O23" s="1522">
        <f t="shared" si="0"/>
        <v>8.7643835616438362E-3</v>
      </c>
      <c r="P23" s="1523"/>
      <c r="Q23" s="1524">
        <f>IFERROR(HLOOKUP($Q$6,'Equity Vol'!$B$8:$K23,ROWS('Equity Vol'!$C$8:$C23),FALSE),"n/a")</f>
        <v>0.83000273906617572</v>
      </c>
      <c r="R23" s="1525"/>
      <c r="S23" s="1526">
        <f t="shared" si="10"/>
        <v>0.68890454685735414</v>
      </c>
      <c r="T23" s="1526">
        <f t="shared" si="1"/>
        <v>7.7656411925680491</v>
      </c>
      <c r="U23" s="1527">
        <f t="shared" si="2"/>
        <v>6.8389419849365112</v>
      </c>
      <c r="V23" s="1527">
        <f t="shared" si="3"/>
        <v>0.99999999999999589</v>
      </c>
      <c r="W23" s="1527">
        <f t="shared" si="4"/>
        <v>0.99999999999601097</v>
      </c>
      <c r="X23" s="759">
        <f t="shared" si="5"/>
        <v>224.01560602556046</v>
      </c>
      <c r="Y23" s="1524">
        <f t="shared" si="11"/>
        <v>0.82904731389134467</v>
      </c>
      <c r="AA23" s="1177" t="str">
        <f>IF('MASTER PubCo Inputs'!B41=0,"",'MASTER PubCo Inputs'!B41)</f>
        <v>NasdaqGS:SYRS</v>
      </c>
      <c r="AB23" s="331">
        <f>'Beta Calc'!Z23</f>
        <v>224.27377000000001</v>
      </c>
      <c r="AC23" s="1178">
        <f t="shared" si="6"/>
        <v>0</v>
      </c>
      <c r="AI23" s="1179"/>
    </row>
    <row r="24" spans="2:35" ht="14.85" customHeight="1">
      <c r="B24" s="250" t="str">
        <f>'Comp.1'!B26</f>
        <v>Abeona Therapeutics Inc.</v>
      </c>
      <c r="D24" s="331">
        <f>'Beta Calc'!K24</f>
        <v>249.7473</v>
      </c>
      <c r="E24" s="331">
        <f>'Beta Calc'!L24</f>
        <v>0</v>
      </c>
      <c r="F24" s="331">
        <f>'Beta Calc'!M24</f>
        <v>0</v>
      </c>
      <c r="G24" s="331">
        <f>'Beta Calc'!N24</f>
        <v>0</v>
      </c>
      <c r="H24" s="331">
        <f t="shared" si="7"/>
        <v>0</v>
      </c>
      <c r="I24" s="331">
        <f t="shared" si="8"/>
        <v>249.7473</v>
      </c>
      <c r="J24" s="331">
        <f>'Beta Calc'!Q24</f>
        <v>31.184999999999999</v>
      </c>
      <c r="K24" s="331">
        <f t="shared" si="9"/>
        <v>218.56229999999999</v>
      </c>
      <c r="M24" s="1066">
        <f>IFERROR('Capital IQ Sheet-GPC'!AT27,"n/a")</f>
        <v>0</v>
      </c>
      <c r="N24" s="331">
        <f t="shared" si="0"/>
        <v>1.2465753424657535</v>
      </c>
      <c r="O24" s="1522">
        <f t="shared" si="0"/>
        <v>8.7643835616438362E-3</v>
      </c>
      <c r="P24" s="1523"/>
      <c r="Q24" s="1524">
        <f>IFERROR(HLOOKUP($Q$6,'Equity Vol'!$B$8:$K24,ROWS('Equity Vol'!$C$8:$C24),FALSE),"n/a")</f>
        <v>0.74036174837069324</v>
      </c>
      <c r="R24" s="1525"/>
      <c r="S24" s="1526">
        <f t="shared" si="10"/>
        <v>0.54813551845050967</v>
      </c>
      <c r="T24" s="1526">
        <f t="shared" si="1"/>
        <v>0</v>
      </c>
      <c r="U24" s="1527">
        <f t="shared" si="2"/>
        <v>0</v>
      </c>
      <c r="V24" s="1527">
        <f t="shared" si="3"/>
        <v>0</v>
      </c>
      <c r="W24" s="1527">
        <f t="shared" si="4"/>
        <v>0</v>
      </c>
      <c r="X24" s="759">
        <f t="shared" si="5"/>
        <v>0</v>
      </c>
      <c r="Y24" s="1524">
        <f t="shared" si="11"/>
        <v>0.74036174837069324</v>
      </c>
      <c r="AA24" s="1177" t="str">
        <f>IF('MASTER PubCo Inputs'!B42=0,"",'MASTER PubCo Inputs'!B42)</f>
        <v>NasdaqCM:ABEO</v>
      </c>
      <c r="AB24" s="331">
        <f>'Beta Calc'!Z24</f>
        <v>218.56229999999999</v>
      </c>
      <c r="AC24" s="1178">
        <f t="shared" si="6"/>
        <v>0</v>
      </c>
      <c r="AI24" s="1179"/>
    </row>
    <row r="25" spans="2:35" ht="14.85" customHeight="1">
      <c r="B25" s="250" t="str">
        <f>'Comp.1'!B27</f>
        <v>Idera Pharmaceuticals, Inc.</v>
      </c>
      <c r="D25" s="331">
        <f>'Beta Calc'!K25</f>
        <v>249.53377</v>
      </c>
      <c r="E25" s="331">
        <f>'Beta Calc'!L25</f>
        <v>0.56899999999999995</v>
      </c>
      <c r="F25" s="331">
        <f>'Beta Calc'!M25</f>
        <v>0</v>
      </c>
      <c r="G25" s="331">
        <f>'Beta Calc'!N25</f>
        <v>0</v>
      </c>
      <c r="H25" s="331">
        <f t="shared" si="7"/>
        <v>0.56899999999999995</v>
      </c>
      <c r="I25" s="331">
        <f t="shared" si="8"/>
        <v>250.10276999999999</v>
      </c>
      <c r="J25" s="331">
        <f>'Beta Calc'!Q25</f>
        <v>52.01</v>
      </c>
      <c r="K25" s="331">
        <f t="shared" si="9"/>
        <v>198.09277</v>
      </c>
      <c r="M25" s="1066">
        <f>IFERROR('Capital IQ Sheet-GPC'!AT28,"n/a")</f>
        <v>0</v>
      </c>
      <c r="N25" s="331">
        <f t="shared" si="0"/>
        <v>1.2465753424657535</v>
      </c>
      <c r="O25" s="1522">
        <f t="shared" si="0"/>
        <v>8.7643835616438362E-3</v>
      </c>
      <c r="P25" s="1523"/>
      <c r="Q25" s="1524">
        <f>IFERROR(HLOOKUP($Q$6,'Equity Vol'!$B$8:$K25,ROWS('Equity Vol'!$C$8:$C25),FALSE),"n/a")</f>
        <v>0.76022699192998089</v>
      </c>
      <c r="R25" s="1525"/>
      <c r="S25" s="1526">
        <f t="shared" si="10"/>
        <v>0.57794507925890726</v>
      </c>
      <c r="T25" s="1526">
        <f t="shared" si="1"/>
        <v>7.3324719781554712</v>
      </c>
      <c r="U25" s="1527">
        <f t="shared" si="2"/>
        <v>6.4836774888333686</v>
      </c>
      <c r="V25" s="1527">
        <f t="shared" si="3"/>
        <v>0.99999999999988698</v>
      </c>
      <c r="W25" s="1527">
        <f t="shared" si="4"/>
        <v>0.99999999995524325</v>
      </c>
      <c r="X25" s="759">
        <f t="shared" si="5"/>
        <v>197.5299527530442</v>
      </c>
      <c r="Y25" s="1524">
        <f t="shared" si="11"/>
        <v>0.75806705008736563</v>
      </c>
      <c r="AA25" s="1177" t="str">
        <f>IF('MASTER PubCo Inputs'!B43=0,"",'MASTER PubCo Inputs'!B43)</f>
        <v>NasdaqCM:IDRA</v>
      </c>
      <c r="AB25" s="331">
        <f>'Beta Calc'!Z25</f>
        <v>198.09277</v>
      </c>
      <c r="AC25" s="1178">
        <f t="shared" si="6"/>
        <v>0</v>
      </c>
      <c r="AI25" s="1179"/>
    </row>
    <row r="26" spans="2:35" ht="14.85" customHeight="1">
      <c r="B26" s="250" t="str">
        <f>'Comp.1'!B28</f>
        <v>Achillion Pharmaceuticals, Inc.</v>
      </c>
      <c r="D26" s="331">
        <f>'Beta Calc'!K26</f>
        <v>565.85888</v>
      </c>
      <c r="E26" s="331">
        <f>'Beta Calc'!L26</f>
        <v>0.28899999999999998</v>
      </c>
      <c r="F26" s="331">
        <f>'Beta Calc'!M26</f>
        <v>0</v>
      </c>
      <c r="G26" s="331">
        <f>'Beta Calc'!N26</f>
        <v>0</v>
      </c>
      <c r="H26" s="331">
        <f t="shared" si="7"/>
        <v>0.28899999999999998</v>
      </c>
      <c r="I26" s="331">
        <f t="shared" si="8"/>
        <v>566.14787999999999</v>
      </c>
      <c r="J26" s="331">
        <f>'Beta Calc'!Q26</f>
        <v>408.70499999999998</v>
      </c>
      <c r="K26" s="331">
        <f t="shared" si="9"/>
        <v>157.44288</v>
      </c>
      <c r="M26" s="1066">
        <f>IFERROR('Capital IQ Sheet-GPC'!AT29,"n/a")</f>
        <v>0</v>
      </c>
      <c r="N26" s="331">
        <f t="shared" si="0"/>
        <v>1.2465753424657535</v>
      </c>
      <c r="O26" s="1522">
        <f t="shared" si="0"/>
        <v>8.7643835616438362E-3</v>
      </c>
      <c r="P26" s="1523"/>
      <c r="Q26" s="1524">
        <f>IFERROR(HLOOKUP($Q$6,'Equity Vol'!$B$8:$K26,ROWS('Equity Vol'!$C$8:$C26),FALSE),"n/a")</f>
        <v>0.61039878806996517</v>
      </c>
      <c r="R26" s="1525"/>
      <c r="S26" s="1526">
        <f t="shared" si="10"/>
        <v>0.37258668047728227</v>
      </c>
      <c r="T26" s="1526">
        <f t="shared" si="1"/>
        <v>9.6015245243540779</v>
      </c>
      <c r="U26" s="1527">
        <f t="shared" si="2"/>
        <v>8.9200134321375639</v>
      </c>
      <c r="V26" s="1527">
        <f t="shared" si="3"/>
        <v>1</v>
      </c>
      <c r="W26" s="1527">
        <f t="shared" si="4"/>
        <v>1</v>
      </c>
      <c r="X26" s="759">
        <f t="shared" si="5"/>
        <v>157.15702027351313</v>
      </c>
      <c r="Y26" s="1524">
        <f t="shared" si="11"/>
        <v>0.60929052308773413</v>
      </c>
      <c r="AA26" s="1177" t="str">
        <f>IF('MASTER PubCo Inputs'!B44=0,"",'MASTER PubCo Inputs'!B44)</f>
        <v>NasdaqGS:ACHN</v>
      </c>
      <c r="AB26" s="331">
        <f>'Beta Calc'!Z26</f>
        <v>157.44288</v>
      </c>
      <c r="AC26" s="1178">
        <f t="shared" si="6"/>
        <v>0</v>
      </c>
      <c r="AI26" s="1179"/>
    </row>
    <row r="27" spans="2:35" ht="14.85" customHeight="1">
      <c r="B27" s="250" t="str">
        <f>'Comp.1'!B29</f>
        <v>ContraVir Pharmaceuticals, Inc.</v>
      </c>
      <c r="D27" s="331">
        <f>'Beta Calc'!K27</f>
        <v>118.69085</v>
      </c>
      <c r="E27" s="331">
        <f>'Beta Calc'!L27</f>
        <v>0</v>
      </c>
      <c r="F27" s="331">
        <f>'Beta Calc'!M27</f>
        <v>1.83091</v>
      </c>
      <c r="G27" s="331">
        <f>'Beta Calc'!N27</f>
        <v>0</v>
      </c>
      <c r="H27" s="331">
        <f t="shared" si="7"/>
        <v>1.83091</v>
      </c>
      <c r="I27" s="331">
        <f t="shared" si="8"/>
        <v>120.52176</v>
      </c>
      <c r="J27" s="331">
        <f>'Beta Calc'!Q27</f>
        <v>3.0281600000000002</v>
      </c>
      <c r="K27" s="331">
        <f t="shared" si="9"/>
        <v>117.4936</v>
      </c>
      <c r="M27" s="1066">
        <f>IFERROR('Capital IQ Sheet-GPC'!AT30,"n/a")</f>
        <v>0</v>
      </c>
      <c r="N27" s="331">
        <f t="shared" si="0"/>
        <v>1.2465753424657535</v>
      </c>
      <c r="O27" s="1522">
        <f t="shared" si="0"/>
        <v>8.7643835616438362E-3</v>
      </c>
      <c r="P27" s="1523"/>
      <c r="Q27" s="1524">
        <f>IFERROR(HLOOKUP($Q$6,'Equity Vol'!$B$8:$K27,ROWS('Equity Vol'!$C$8:$C27),FALSE),"n/a")</f>
        <v>1.0131174505067317</v>
      </c>
      <c r="R27" s="1525"/>
      <c r="S27" s="1526">
        <f t="shared" si="10"/>
        <v>1.02640696852126</v>
      </c>
      <c r="T27" s="1526">
        <f t="shared" si="1"/>
        <v>4.2543037033165998</v>
      </c>
      <c r="U27" s="1527">
        <f t="shared" si="2"/>
        <v>3.1231566667675814</v>
      </c>
      <c r="V27" s="1527">
        <f t="shared" si="3"/>
        <v>0.99998951497369704</v>
      </c>
      <c r="W27" s="1527">
        <f t="shared" si="4"/>
        <v>0.99910538759881018</v>
      </c>
      <c r="X27" s="759">
        <f t="shared" si="5"/>
        <v>115.68297289826647</v>
      </c>
      <c r="Y27" s="1524">
        <f t="shared" si="11"/>
        <v>0.99751533217381072</v>
      </c>
      <c r="AA27" s="1177" t="str">
        <f>IF('MASTER PubCo Inputs'!B45=0,"",'MASTER PubCo Inputs'!B45)</f>
        <v>NasdaqCM:CTRV</v>
      </c>
      <c r="AB27" s="331">
        <f>'Beta Calc'!Z27</f>
        <v>117.4936</v>
      </c>
      <c r="AC27" s="1178">
        <f t="shared" si="6"/>
        <v>0</v>
      </c>
      <c r="AI27" s="1179"/>
    </row>
    <row r="28" spans="2:35" ht="14.85" customHeight="1">
      <c r="B28" s="250" t="str">
        <f>'Comp.1'!B30</f>
        <v>Sangamo Therapeutics, Inc.</v>
      </c>
      <c r="D28" s="331">
        <f>'Beta Calc'!K28</f>
        <v>225.99635000000001</v>
      </c>
      <c r="E28" s="331">
        <f>'Beta Calc'!L28</f>
        <v>0</v>
      </c>
      <c r="F28" s="331">
        <f>'Beta Calc'!M28</f>
        <v>0</v>
      </c>
      <c r="G28" s="331">
        <f>'Beta Calc'!N28</f>
        <v>0</v>
      </c>
      <c r="H28" s="331">
        <f t="shared" si="7"/>
        <v>0</v>
      </c>
      <c r="I28" s="331">
        <f t="shared" si="8"/>
        <v>225.99635000000001</v>
      </c>
      <c r="J28" s="331">
        <f>'Beta Calc'!Q28</f>
        <v>145.58099999999999</v>
      </c>
      <c r="K28" s="331">
        <f t="shared" si="9"/>
        <v>80.415350000000018</v>
      </c>
      <c r="M28" s="1066">
        <f>IFERROR('Capital IQ Sheet-GPC'!AT31,"n/a")</f>
        <v>0</v>
      </c>
      <c r="N28" s="331">
        <f t="shared" si="0"/>
        <v>1.2465753424657535</v>
      </c>
      <c r="O28" s="1522">
        <f t="shared" si="0"/>
        <v>8.7643835616438362E-3</v>
      </c>
      <c r="P28" s="1523"/>
      <c r="Q28" s="1524">
        <f>IFERROR(HLOOKUP($Q$6,'Equity Vol'!$B$8:$K28,ROWS('Equity Vol'!$C$8:$C28),FALSE),"n/a")</f>
        <v>0.77908973534733306</v>
      </c>
      <c r="R28" s="1525"/>
      <c r="S28" s="1526">
        <f t="shared" si="10"/>
        <v>0.60698081572357743</v>
      </c>
      <c r="T28" s="1526">
        <f t="shared" si="1"/>
        <v>0</v>
      </c>
      <c r="U28" s="1527">
        <f t="shared" si="2"/>
        <v>0</v>
      </c>
      <c r="V28" s="1527">
        <f t="shared" si="3"/>
        <v>0</v>
      </c>
      <c r="W28" s="1527">
        <f t="shared" si="4"/>
        <v>0</v>
      </c>
      <c r="X28" s="759">
        <f t="shared" si="5"/>
        <v>0</v>
      </c>
      <c r="Y28" s="1524">
        <f t="shared" si="11"/>
        <v>0.77908973534733306</v>
      </c>
      <c r="AA28" s="1177" t="str">
        <f>IF('MASTER PubCo Inputs'!B46=0,"",'MASTER PubCo Inputs'!B46)</f>
        <v>NasdaqGS:SGMO</v>
      </c>
      <c r="AB28" s="331">
        <f>'Beta Calc'!Z28</f>
        <v>80.415350000000004</v>
      </c>
      <c r="AC28" s="1178">
        <f t="shared" si="6"/>
        <v>0</v>
      </c>
      <c r="AI28" s="1179"/>
    </row>
    <row r="29" spans="2:35" ht="14.85" customHeight="1">
      <c r="B29" s="250" t="str">
        <f>'Comp.1'!B31</f>
        <v>Immune Design Corp.</v>
      </c>
      <c r="D29" s="331">
        <f>'Beta Calc'!K29</f>
        <v>186.75745000000001</v>
      </c>
      <c r="E29" s="331">
        <f>'Beta Calc'!L29</f>
        <v>0</v>
      </c>
      <c r="F29" s="331">
        <f>'Beta Calc'!M29</f>
        <v>0</v>
      </c>
      <c r="G29" s="331">
        <f>'Beta Calc'!N29</f>
        <v>0</v>
      </c>
      <c r="H29" s="331">
        <f t="shared" si="7"/>
        <v>0</v>
      </c>
      <c r="I29" s="331">
        <f t="shared" si="8"/>
        <v>186.75745000000001</v>
      </c>
      <c r="J29" s="331">
        <f>'Beta Calc'!Q29</f>
        <v>112.471</v>
      </c>
      <c r="K29" s="331">
        <f t="shared" si="9"/>
        <v>74.286450000000002</v>
      </c>
      <c r="M29" s="1066">
        <f>IFERROR('Capital IQ Sheet-GPC'!AT32,"n/a")</f>
        <v>0</v>
      </c>
      <c r="N29" s="331">
        <f t="shared" si="0"/>
        <v>1.2465753424657535</v>
      </c>
      <c r="O29" s="1522">
        <f t="shared" si="0"/>
        <v>8.7643835616438362E-3</v>
      </c>
      <c r="P29" s="1523"/>
      <c r="Q29" s="1524">
        <f>IFERROR(HLOOKUP($Q$6,'Equity Vol'!$B$8:$K29,ROWS('Equity Vol'!$C$8:$C29),FALSE),"n/a")</f>
        <v>0.85456554676673191</v>
      </c>
      <c r="R29" s="1525"/>
      <c r="S29" s="1526">
        <f t="shared" si="10"/>
        <v>0.73028227372072341</v>
      </c>
      <c r="T29" s="1526">
        <f t="shared" si="1"/>
        <v>0</v>
      </c>
      <c r="U29" s="1527">
        <f t="shared" si="2"/>
        <v>0</v>
      </c>
      <c r="V29" s="1527">
        <f t="shared" si="3"/>
        <v>0</v>
      </c>
      <c r="W29" s="1527">
        <f t="shared" si="4"/>
        <v>0</v>
      </c>
      <c r="X29" s="759">
        <f t="shared" si="5"/>
        <v>0</v>
      </c>
      <c r="Y29" s="1524">
        <f t="shared" si="11"/>
        <v>0.85456554676673191</v>
      </c>
      <c r="AA29" s="1177" t="str">
        <f>IF('MASTER PubCo Inputs'!B47=0,"",'MASTER PubCo Inputs'!B47)</f>
        <v>NasdaqGM:IMDZ</v>
      </c>
      <c r="AB29" s="331">
        <f>'Beta Calc'!Z29</f>
        <v>74.286450000000002</v>
      </c>
      <c r="AC29" s="1178">
        <f t="shared" si="6"/>
        <v>0</v>
      </c>
      <c r="AI29" s="1179"/>
    </row>
    <row r="30" spans="2:35" ht="14.85" customHeight="1">
      <c r="B30" s="250" t="str">
        <f>'Comp.1'!B32</f>
        <v>Fate Therapeutics, Inc.</v>
      </c>
      <c r="D30" s="331">
        <f>'Beta Calc'!K30</f>
        <v>100.39557000000001</v>
      </c>
      <c r="E30" s="331">
        <f>'Beta Calc'!L30</f>
        <v>12.635</v>
      </c>
      <c r="F30" s="331">
        <f>'Beta Calc'!M30</f>
        <v>0</v>
      </c>
      <c r="G30" s="331">
        <f>'Beta Calc'!N30</f>
        <v>0</v>
      </c>
      <c r="H30" s="331">
        <f t="shared" si="7"/>
        <v>12.635</v>
      </c>
      <c r="I30" s="331">
        <f t="shared" si="8"/>
        <v>113.03057000000001</v>
      </c>
      <c r="J30" s="331">
        <f>'Beta Calc'!Q30</f>
        <v>46.619</v>
      </c>
      <c r="K30" s="331">
        <f t="shared" si="9"/>
        <v>66.411570000000012</v>
      </c>
      <c r="M30" s="1066">
        <f>IFERROR('Capital IQ Sheet-GPC'!AT33,"n/a")</f>
        <v>0</v>
      </c>
      <c r="N30" s="331">
        <f t="shared" si="0"/>
        <v>1.2465753424657535</v>
      </c>
      <c r="O30" s="1522">
        <f t="shared" si="0"/>
        <v>8.7643835616438362E-3</v>
      </c>
      <c r="P30" s="1523"/>
      <c r="Q30" s="1524">
        <f>IFERROR(HLOOKUP($Q$6,'Equity Vol'!$B$8:$K30,ROWS('Equity Vol'!$C$8:$C30),FALSE),"n/a")</f>
        <v>0.83694308969446407</v>
      </c>
      <c r="R30" s="1525"/>
      <c r="S30" s="1526">
        <f t="shared" si="10"/>
        <v>0.70047373538731572</v>
      </c>
      <c r="T30" s="1526">
        <f t="shared" si="1"/>
        <v>2.2547240590167466</v>
      </c>
      <c r="U30" s="1527">
        <f t="shared" si="2"/>
        <v>1.3202759402970883</v>
      </c>
      <c r="V30" s="1527">
        <f t="shared" si="3"/>
        <v>0.98792467272995321</v>
      </c>
      <c r="W30" s="1527">
        <f t="shared" si="4"/>
        <v>0.90662854727453279</v>
      </c>
      <c r="X30" s="759">
        <f t="shared" si="5"/>
        <v>54.278849608535658</v>
      </c>
      <c r="Y30" s="1524">
        <f t="shared" si="11"/>
        <v>0.69240306788895933</v>
      </c>
      <c r="AA30" s="1177" t="str">
        <f>IF('MASTER PubCo Inputs'!B48=0,"",'MASTER PubCo Inputs'!B48)</f>
        <v>NasdaqGM:FATE</v>
      </c>
      <c r="AB30" s="331">
        <f>'Beta Calc'!Z30</f>
        <v>66.411569999999998</v>
      </c>
      <c r="AC30" s="1178">
        <f t="shared" si="6"/>
        <v>0</v>
      </c>
      <c r="AI30" s="1179"/>
    </row>
    <row r="31" spans="2:35" ht="14.85" customHeight="1">
      <c r="B31" s="250" t="str">
        <f>'Comp.1'!B33</f>
        <v>Arrowhead Pharmaceuticals, Inc.</v>
      </c>
      <c r="D31" s="331">
        <f>'Beta Calc'!K31</f>
        <v>102.94919</v>
      </c>
      <c r="E31" s="331">
        <f>'Beta Calc'!L31</f>
        <v>3.32328</v>
      </c>
      <c r="F31" s="331">
        <f>'Beta Calc'!M31</f>
        <v>2.0000000000000002E-5</v>
      </c>
      <c r="G31" s="331">
        <f>'Beta Calc'!N31</f>
        <v>-0.55518999999999996</v>
      </c>
      <c r="H31" s="331">
        <f t="shared" si="7"/>
        <v>2.7681100000000001</v>
      </c>
      <c r="I31" s="331">
        <f t="shared" si="8"/>
        <v>105.71730000000001</v>
      </c>
      <c r="J31" s="331">
        <f>'Beta Calc'!Q31</f>
        <v>44.647100000000002</v>
      </c>
      <c r="K31" s="331">
        <f t="shared" si="9"/>
        <v>61.070200000000007</v>
      </c>
      <c r="M31" s="1066">
        <f>IFERROR('Capital IQ Sheet-GPC'!AT34,"n/a")</f>
        <v>0</v>
      </c>
      <c r="N31" s="331">
        <f t="shared" si="0"/>
        <v>1.2465753424657535</v>
      </c>
      <c r="O31" s="1522">
        <f t="shared" si="0"/>
        <v>8.7643835616438362E-3</v>
      </c>
      <c r="P31" s="1523"/>
      <c r="Q31" s="1524">
        <f>IFERROR(HLOOKUP($Q$6,'Equity Vol'!$B$8:$K31,ROWS('Equity Vol'!$C$8:$C31),FALSE),"n/a")</f>
        <v>0.73661696293375278</v>
      </c>
      <c r="R31" s="1525"/>
      <c r="S31" s="1526">
        <f t="shared" si="10"/>
        <v>0.54260455008174568</v>
      </c>
      <c r="T31" s="1526">
        <f t="shared" si="1"/>
        <v>4.1863347398030522</v>
      </c>
      <c r="U31" s="1527">
        <f t="shared" si="2"/>
        <v>3.3639008805525785</v>
      </c>
      <c r="V31" s="1527">
        <f t="shared" si="3"/>
        <v>0.99998582524148716</v>
      </c>
      <c r="W31" s="1527">
        <f t="shared" si="4"/>
        <v>0.99961575431043048</v>
      </c>
      <c r="X31" s="759">
        <f t="shared" si="5"/>
        <v>58.332354700146048</v>
      </c>
      <c r="Y31" s="1524">
        <f t="shared" si="11"/>
        <v>0.70360357487262126</v>
      </c>
      <c r="AA31" s="1177" t="str">
        <f>IF('MASTER PubCo Inputs'!B49=0,"",'MASTER PubCo Inputs'!B49)</f>
        <v>NasdaqGS:ARWR</v>
      </c>
      <c r="AB31" s="331">
        <f>'Beta Calc'!Z31</f>
        <v>61.0702</v>
      </c>
      <c r="AC31" s="1178">
        <f t="shared" si="6"/>
        <v>0</v>
      </c>
      <c r="AI31" s="1179"/>
    </row>
    <row r="32" spans="2:35" ht="14.85" customHeight="1">
      <c r="B32" s="250" t="str">
        <f>'Comp.1'!B34</f>
        <v>Regulus Therapeutics Inc.</v>
      </c>
      <c r="D32" s="331">
        <f>'Beta Calc'!K32</f>
        <v>129.66210000000001</v>
      </c>
      <c r="E32" s="331">
        <f>'Beta Calc'!L32</f>
        <v>19.786999999999999</v>
      </c>
      <c r="F32" s="331">
        <f>'Beta Calc'!M32</f>
        <v>0</v>
      </c>
      <c r="G32" s="331">
        <f>'Beta Calc'!N32</f>
        <v>0</v>
      </c>
      <c r="H32" s="331">
        <f t="shared" si="7"/>
        <v>19.786999999999999</v>
      </c>
      <c r="I32" s="331">
        <f t="shared" si="8"/>
        <v>149.44910000000002</v>
      </c>
      <c r="J32" s="331">
        <f>'Beta Calc'!Q32</f>
        <v>91.582999999999998</v>
      </c>
      <c r="K32" s="331">
        <f t="shared" si="9"/>
        <v>57.866100000000017</v>
      </c>
      <c r="M32" s="1066">
        <f>IFERROR('Capital IQ Sheet-GPC'!AT35,"n/a")</f>
        <v>0</v>
      </c>
      <c r="N32" s="331">
        <f t="shared" si="0"/>
        <v>1.2465753424657535</v>
      </c>
      <c r="O32" s="1522">
        <f t="shared" si="0"/>
        <v>8.7643835616438362E-3</v>
      </c>
      <c r="P32" s="1523"/>
      <c r="Q32" s="1524">
        <f>IFERROR(HLOOKUP($Q$6,'Equity Vol'!$B$8:$K32,ROWS('Equity Vol'!$C$8:$C32),FALSE),"n/a")</f>
        <v>1.0446789664928366</v>
      </c>
      <c r="R32" s="1525"/>
      <c r="S32" s="1526">
        <f t="shared" si="10"/>
        <v>1.0913541430325413</v>
      </c>
      <c r="T32" s="1526">
        <f t="shared" si="1"/>
        <v>1.5125870407057542</v>
      </c>
      <c r="U32" s="1527">
        <f t="shared" si="2"/>
        <v>0.34620152784895897</v>
      </c>
      <c r="V32" s="1527">
        <f t="shared" si="3"/>
        <v>0.93480770598627871</v>
      </c>
      <c r="W32" s="1527">
        <f t="shared" si="4"/>
        <v>0.63540436670885792</v>
      </c>
      <c r="X32" s="759">
        <f t="shared" si="5"/>
        <v>41.657545430376331</v>
      </c>
      <c r="Y32" s="1524">
        <f t="shared" si="11"/>
        <v>0.80450737623479729</v>
      </c>
      <c r="AA32" s="1177" t="str">
        <f>IF('MASTER PubCo Inputs'!B50=0,"",'MASTER PubCo Inputs'!B50)</f>
        <v>NasdaqGM:RGLS</v>
      </c>
      <c r="AB32" s="331">
        <f>'Beta Calc'!Z32</f>
        <v>57.866100000000003</v>
      </c>
      <c r="AC32" s="1178">
        <f t="shared" si="6"/>
        <v>0</v>
      </c>
      <c r="AI32" s="1179"/>
    </row>
    <row r="33" spans="2:35" ht="14.85" customHeight="1">
      <c r="B33" s="250" t="str">
        <f>'Comp.1'!B35</f>
        <v>CEL-SCI Corporation</v>
      </c>
      <c r="D33" s="331">
        <f>'Beta Calc'!K33</f>
        <v>32.817689999999999</v>
      </c>
      <c r="E33" s="331">
        <f>'Beta Calc'!L33</f>
        <v>2.31E-3</v>
      </c>
      <c r="F33" s="331">
        <f>'Beta Calc'!M33</f>
        <v>0</v>
      </c>
      <c r="G33" s="331">
        <f>'Beta Calc'!N33</f>
        <v>0</v>
      </c>
      <c r="H33" s="331">
        <f t="shared" si="7"/>
        <v>2.31E-3</v>
      </c>
      <c r="I33" s="331">
        <f t="shared" si="8"/>
        <v>32.82</v>
      </c>
      <c r="J33" s="331">
        <f>'Beta Calc'!Q33</f>
        <v>5.21896</v>
      </c>
      <c r="K33" s="331">
        <f t="shared" si="9"/>
        <v>27.601040000000001</v>
      </c>
      <c r="M33" s="1066">
        <f>IFERROR('Capital IQ Sheet-GPC'!AT36,"n/a")</f>
        <v>0</v>
      </c>
      <c r="N33" s="331">
        <f t="shared" si="0"/>
        <v>1.2465753424657535</v>
      </c>
      <c r="O33" s="1522">
        <f t="shared" si="0"/>
        <v>8.7643835616438362E-3</v>
      </c>
      <c r="P33" s="1523"/>
      <c r="Q33" s="1524">
        <f>IFERROR(HLOOKUP($Q$6,'Equity Vol'!$B$8:$K33,ROWS('Equity Vol'!$C$8:$C33),FALSE),"n/a")</f>
        <v>0.83803751866109888</v>
      </c>
      <c r="R33" s="1525"/>
      <c r="S33" s="1526">
        <f t="shared" si="10"/>
        <v>0.7023068826836516</v>
      </c>
      <c r="T33" s="1526">
        <f t="shared" si="1"/>
        <v>10.513349114469626</v>
      </c>
      <c r="U33" s="1527">
        <f t="shared" si="2"/>
        <v>9.5776790642930543</v>
      </c>
      <c r="V33" s="1527">
        <f t="shared" si="3"/>
        <v>1</v>
      </c>
      <c r="W33" s="1527">
        <f t="shared" si="4"/>
        <v>1</v>
      </c>
      <c r="X33" s="759">
        <f t="shared" si="5"/>
        <v>27.59875510045611</v>
      </c>
      <c r="Y33" s="1524">
        <f t="shared" si="11"/>
        <v>0.83796814332074387</v>
      </c>
      <c r="AA33" s="1177" t="str">
        <f>IF('MASTER PubCo Inputs'!B51=0,"",'MASTER PubCo Inputs'!B51)</f>
        <v>AMEX:CVM</v>
      </c>
      <c r="AB33" s="331">
        <f>'Beta Calc'!Z33</f>
        <v>27.601040000000001</v>
      </c>
      <c r="AC33" s="1178">
        <f t="shared" si="6"/>
        <v>0</v>
      </c>
      <c r="AI33" s="1179"/>
    </row>
    <row r="34" spans="2:35" ht="14.85" customHeight="1">
      <c r="B34" s="250" t="str">
        <f>'Comp.1'!B36</f>
        <v>PhaseRx, Inc.</v>
      </c>
      <c r="D34" s="331">
        <f>'Beta Calc'!K34</f>
        <v>24.549689999999998</v>
      </c>
      <c r="E34" s="331">
        <f>'Beta Calc'!L34</f>
        <v>5.6109999999999998</v>
      </c>
      <c r="F34" s="331">
        <f>'Beta Calc'!M34</f>
        <v>0</v>
      </c>
      <c r="G34" s="331">
        <f>'Beta Calc'!N34</f>
        <v>0</v>
      </c>
      <c r="H34" s="331">
        <f t="shared" si="7"/>
        <v>5.6109999999999998</v>
      </c>
      <c r="I34" s="331">
        <f t="shared" si="8"/>
        <v>30.160689999999999</v>
      </c>
      <c r="J34" s="331">
        <f>'Beta Calc'!Q34</f>
        <v>18.635000000000002</v>
      </c>
      <c r="K34" s="331">
        <f t="shared" si="9"/>
        <v>11.525689999999997</v>
      </c>
      <c r="M34" s="1066">
        <f>IFERROR('Capital IQ Sheet-GPC'!AT37,"n/a")</f>
        <v>0</v>
      </c>
      <c r="N34" s="331">
        <f t="shared" si="0"/>
        <v>1.2465753424657535</v>
      </c>
      <c r="O34" s="1522">
        <f t="shared" si="0"/>
        <v>8.7643835616438362E-3</v>
      </c>
      <c r="P34" s="1523"/>
      <c r="Q34" s="1524" t="str">
        <f>IFERROR(HLOOKUP($Q$6,'Equity Vol'!$B$8:$K34,ROWS('Equity Vol'!$C$8:$C34),FALSE),"n/a")</f>
        <v>n/a</v>
      </c>
      <c r="R34" s="1525"/>
      <c r="S34" s="1526" t="str">
        <f t="shared" si="10"/>
        <v>n/a</v>
      </c>
      <c r="T34" s="1526" t="str">
        <f t="shared" si="1"/>
        <v>n/a</v>
      </c>
      <c r="U34" s="1527" t="str">
        <f t="shared" si="2"/>
        <v>n/a</v>
      </c>
      <c r="V34" s="1527" t="str">
        <f t="shared" si="3"/>
        <v>n/a</v>
      </c>
      <c r="W34" s="1527" t="str">
        <f t="shared" si="4"/>
        <v>n/a</v>
      </c>
      <c r="X34" s="759" t="str">
        <f t="shared" si="5"/>
        <v>n/a</v>
      </c>
      <c r="Y34" s="1524" t="str">
        <f t="shared" si="11"/>
        <v>n/a</v>
      </c>
      <c r="AA34" s="1177" t="str">
        <f>IF('MASTER PubCo Inputs'!B52=0,"",'MASTER PubCo Inputs'!B52)</f>
        <v>NasdaqCM:PZRX</v>
      </c>
      <c r="AB34" s="331">
        <f>'Beta Calc'!Z34</f>
        <v>11.525690000000001</v>
      </c>
      <c r="AC34" s="1178">
        <f t="shared" si="6"/>
        <v>0</v>
      </c>
      <c r="AI34" s="1179"/>
    </row>
    <row r="35" spans="2:35" ht="14.85" customHeight="1">
      <c r="B35" s="250" t="str">
        <f>'Comp.1'!B37</f>
        <v>Marina Biotech, Inc.</v>
      </c>
      <c r="D35" s="331">
        <f>'Beta Calc'!K35</f>
        <v>9.8748500000000003</v>
      </c>
      <c r="E35" s="331">
        <f>'Beta Calc'!L35</f>
        <v>0</v>
      </c>
      <c r="F35" s="331">
        <f>'Beta Calc'!M35</f>
        <v>0</v>
      </c>
      <c r="G35" s="331">
        <f>'Beta Calc'!N35</f>
        <v>0</v>
      </c>
      <c r="H35" s="331">
        <f t="shared" si="7"/>
        <v>0</v>
      </c>
      <c r="I35" s="331">
        <f t="shared" si="8"/>
        <v>9.8748500000000003</v>
      </c>
      <c r="J35" s="331">
        <f>'Beta Calc'!Q35</f>
        <v>0</v>
      </c>
      <c r="K35" s="331">
        <f t="shared" si="9"/>
        <v>9.8748500000000003</v>
      </c>
      <c r="M35" s="1066">
        <f>IFERROR('Capital IQ Sheet-GPC'!AT38,"n/a")</f>
        <v>0</v>
      </c>
      <c r="N35" s="331">
        <f t="shared" si="0"/>
        <v>1.2465753424657535</v>
      </c>
      <c r="O35" s="1522">
        <f t="shared" si="0"/>
        <v>8.7643835616438362E-3</v>
      </c>
      <c r="P35" s="1523"/>
      <c r="Q35" s="1524" t="str">
        <f>IFERROR(HLOOKUP($Q$6,'Equity Vol'!$B$8:$K35,ROWS('Equity Vol'!$C$8:$C35),FALSE),"n/a")</f>
        <v>n/a</v>
      </c>
      <c r="R35" s="1525"/>
      <c r="S35" s="1526" t="str">
        <f t="shared" si="10"/>
        <v>n/a</v>
      </c>
      <c r="T35" s="1526" t="str">
        <f t="shared" si="1"/>
        <v>n/a</v>
      </c>
      <c r="U35" s="1527" t="str">
        <f t="shared" si="2"/>
        <v>n/a</v>
      </c>
      <c r="V35" s="1527" t="str">
        <f t="shared" si="3"/>
        <v>n/a</v>
      </c>
      <c r="W35" s="1527" t="str">
        <f t="shared" si="4"/>
        <v>n/a</v>
      </c>
      <c r="X35" s="759" t="str">
        <f t="shared" si="5"/>
        <v>n/a</v>
      </c>
      <c r="Y35" s="1524" t="str">
        <f t="shared" si="11"/>
        <v>n/a</v>
      </c>
      <c r="AA35" s="1177" t="str">
        <f>IF('MASTER PubCo Inputs'!B53=0,"",'MASTER PubCo Inputs'!B53)</f>
        <v>OTCPK:MRNA</v>
      </c>
      <c r="AB35" s="331">
        <f>'Beta Calc'!Z35</f>
        <v>0</v>
      </c>
      <c r="AC35" s="1178">
        <f t="shared" si="6"/>
        <v>9.8748500000000003</v>
      </c>
      <c r="AI35" s="1179"/>
    </row>
    <row r="36" spans="2:35" ht="14.85" customHeight="1">
      <c r="B36" s="250" t="str">
        <f>'Comp.1'!B38</f>
        <v>RXi Pharmaceuticals Corporation</v>
      </c>
      <c r="D36" s="331">
        <f>'Beta Calc'!K36</f>
        <v>9.9657699999999991</v>
      </c>
      <c r="E36" s="331">
        <f>'Beta Calc'!L36</f>
        <v>0</v>
      </c>
      <c r="F36" s="331">
        <f>'Beta Calc'!M36</f>
        <v>0</v>
      </c>
      <c r="G36" s="331">
        <f>'Beta Calc'!N36</f>
        <v>0</v>
      </c>
      <c r="H36" s="331">
        <f t="shared" si="7"/>
        <v>0</v>
      </c>
      <c r="I36" s="331">
        <f t="shared" si="8"/>
        <v>9.9657699999999991</v>
      </c>
      <c r="J36" s="331">
        <f>'Beta Calc'!Q36</f>
        <v>4.3789999999999996</v>
      </c>
      <c r="K36" s="331">
        <f t="shared" si="9"/>
        <v>5.5867699999999996</v>
      </c>
      <c r="M36" s="1066">
        <f>IFERROR('Capital IQ Sheet-GPC'!AT39,"n/a")</f>
        <v>0</v>
      </c>
      <c r="N36" s="331">
        <f t="shared" si="0"/>
        <v>1.2465753424657535</v>
      </c>
      <c r="O36" s="1522">
        <f t="shared" si="0"/>
        <v>8.7643835616438362E-3</v>
      </c>
      <c r="P36" s="1523"/>
      <c r="Q36" s="1524">
        <f>IFERROR(HLOOKUP($Q$6,'Equity Vol'!$B$8:$K36,ROWS('Equity Vol'!$C$8:$C36),FALSE),"n/a")</f>
        <v>1.0089141372390369</v>
      </c>
      <c r="R36" s="1525"/>
      <c r="S36" s="1526">
        <f t="shared" si="10"/>
        <v>1.0179077363207902</v>
      </c>
      <c r="T36" s="1526">
        <f t="shared" si="1"/>
        <v>0</v>
      </c>
      <c r="U36" s="1527">
        <f t="shared" si="2"/>
        <v>0</v>
      </c>
      <c r="V36" s="1527">
        <f t="shared" si="3"/>
        <v>0</v>
      </c>
      <c r="W36" s="1527">
        <f t="shared" si="4"/>
        <v>0</v>
      </c>
      <c r="X36" s="759">
        <f t="shared" si="5"/>
        <v>0</v>
      </c>
      <c r="Y36" s="1524">
        <f t="shared" si="11"/>
        <v>1.0089141372390369</v>
      </c>
      <c r="AA36" s="1177" t="str">
        <f>IF('MASTER PubCo Inputs'!B54=0,"",'MASTER PubCo Inputs'!B54)</f>
        <v>NasdaqCM:RXII</v>
      </c>
      <c r="AB36" s="331">
        <f>'Beta Calc'!Z36</f>
        <v>5.5867699999999996</v>
      </c>
      <c r="AC36" s="1178">
        <f t="shared" si="6"/>
        <v>0</v>
      </c>
      <c r="AI36" s="1179"/>
    </row>
    <row r="37" spans="2:35" ht="14.85" customHeight="1">
      <c r="B37" s="250" t="str">
        <f>'Comp.1'!B39</f>
        <v>Benitec Biopharma Limited</v>
      </c>
      <c r="D37" s="331">
        <f>'Beta Calc'!K37</f>
        <v>12.459519999999999</v>
      </c>
      <c r="E37" s="331">
        <f>'Beta Calc'!L37</f>
        <v>0</v>
      </c>
      <c r="F37" s="331">
        <f>'Beta Calc'!M37</f>
        <v>0</v>
      </c>
      <c r="G37" s="331">
        <f>'Beta Calc'!N37</f>
        <v>0</v>
      </c>
      <c r="H37" s="331">
        <f t="shared" si="7"/>
        <v>0</v>
      </c>
      <c r="I37" s="331">
        <f t="shared" si="8"/>
        <v>12.459519999999999</v>
      </c>
      <c r="J37" s="331">
        <f>'Beta Calc'!Q37</f>
        <v>10.266360000000001</v>
      </c>
      <c r="K37" s="331">
        <f t="shared" si="9"/>
        <v>2.1931599999999989</v>
      </c>
      <c r="M37" s="1066">
        <f>IFERROR('Capital IQ Sheet-GPC'!AT40,"n/a")</f>
        <v>0</v>
      </c>
      <c r="N37" s="331">
        <f t="shared" si="0"/>
        <v>1.2465753424657535</v>
      </c>
      <c r="O37" s="1522">
        <f t="shared" si="0"/>
        <v>8.7643835616438362E-3</v>
      </c>
      <c r="P37" s="1523"/>
      <c r="Q37" s="1524">
        <f>IFERROR(HLOOKUP($Q$6,'Equity Vol'!$B$8:$K37,ROWS('Equity Vol'!$C$8:$C37),FALSE),"n/a")</f>
        <v>1.204711380134504</v>
      </c>
      <c r="R37" s="1525"/>
      <c r="S37" s="1526">
        <f t="shared" si="10"/>
        <v>1.4513295094255814</v>
      </c>
      <c r="T37" s="1526">
        <f t="shared" si="1"/>
        <v>0</v>
      </c>
      <c r="U37" s="1527">
        <f t="shared" si="2"/>
        <v>0</v>
      </c>
      <c r="V37" s="1527">
        <f t="shared" si="3"/>
        <v>0</v>
      </c>
      <c r="W37" s="1527">
        <f t="shared" si="4"/>
        <v>0</v>
      </c>
      <c r="X37" s="759">
        <f t="shared" si="5"/>
        <v>0</v>
      </c>
      <c r="Y37" s="1524">
        <f t="shared" si="11"/>
        <v>1.204711380134504</v>
      </c>
      <c r="AA37" s="1177" t="str">
        <f>IF('MASTER PubCo Inputs'!B55=0,"",'MASTER PubCo Inputs'!B55)</f>
        <v>ASX:BLT</v>
      </c>
      <c r="AB37" s="331">
        <f>'Beta Calc'!Z37</f>
        <v>2.5731899999999999</v>
      </c>
      <c r="AC37" s="1178">
        <f t="shared" si="6"/>
        <v>-0.38003000000000098</v>
      </c>
      <c r="AI37" s="1179"/>
    </row>
    <row r="38" spans="2:35" ht="14.85" customHeight="1">
      <c r="B38" s="250" t="str">
        <f>'Comp.1'!B40</f>
        <v>GenVec, Inc.</v>
      </c>
      <c r="D38" s="331">
        <f>'Beta Calc'!K38</f>
        <v>7.33019</v>
      </c>
      <c r="E38" s="331">
        <f>'Beta Calc'!L38</f>
        <v>0</v>
      </c>
      <c r="F38" s="331">
        <f>'Beta Calc'!M38</f>
        <v>0</v>
      </c>
      <c r="G38" s="331">
        <f>'Beta Calc'!N38</f>
        <v>0</v>
      </c>
      <c r="H38" s="331">
        <f t="shared" si="7"/>
        <v>0</v>
      </c>
      <c r="I38" s="331">
        <f t="shared" si="8"/>
        <v>7.33019</v>
      </c>
      <c r="J38" s="331">
        <f>'Beta Calc'!Q38</f>
        <v>8.3960000000000008</v>
      </c>
      <c r="K38" s="331">
        <f t="shared" si="9"/>
        <v>-1.0658100000000008</v>
      </c>
      <c r="M38" s="1066">
        <f>IFERROR('Capital IQ Sheet-GPC'!AT41,"n/a")</f>
        <v>0</v>
      </c>
      <c r="N38" s="331">
        <f t="shared" si="0"/>
        <v>1.2465753424657535</v>
      </c>
      <c r="O38" s="1522">
        <f t="shared" si="0"/>
        <v>8.7643835616438362E-3</v>
      </c>
      <c r="P38" s="1523"/>
      <c r="Q38" s="1524">
        <f>IFERROR(HLOOKUP($Q$6,'Equity Vol'!$B$8:$K38,ROWS('Equity Vol'!$C$8:$C38),FALSE),"n/a")</f>
        <v>1.3374273785259052</v>
      </c>
      <c r="R38" s="1525"/>
      <c r="S38" s="1526">
        <f t="shared" si="10"/>
        <v>1.7887119928306749</v>
      </c>
      <c r="T38" s="1526">
        <f t="shared" si="1"/>
        <v>0</v>
      </c>
      <c r="U38" s="1527">
        <f t="shared" si="2"/>
        <v>0</v>
      </c>
      <c r="V38" s="1527">
        <f t="shared" si="3"/>
        <v>0</v>
      </c>
      <c r="W38" s="1527">
        <f t="shared" si="4"/>
        <v>0</v>
      </c>
      <c r="X38" s="759">
        <f t="shared" si="5"/>
        <v>0</v>
      </c>
      <c r="Y38" s="1524">
        <f t="shared" si="11"/>
        <v>1.3374273785259052</v>
      </c>
      <c r="AA38" s="1177" t="str">
        <f>IF('MASTER PubCo Inputs'!B56=0,"",'MASTER PubCo Inputs'!B56)</f>
        <v>NasdaqCM:GNVC</v>
      </c>
      <c r="AB38" s="331">
        <f>'Beta Calc'!Z38</f>
        <v>-1.0658099999999999</v>
      </c>
      <c r="AC38" s="1178">
        <f t="shared" si="6"/>
        <v>0</v>
      </c>
      <c r="AI38" s="1179"/>
    </row>
    <row r="39" spans="2:35" ht="14.85" customHeight="1">
      <c r="B39" s="250" t="str">
        <f>'Comp.1'!B41</f>
        <v>Arbutus Biopharma Corporation</v>
      </c>
      <c r="D39" s="331">
        <f>'Beta Calc'!K39</f>
        <v>145.32996</v>
      </c>
      <c r="E39" s="331">
        <f>'Beta Calc'!L39</f>
        <v>0</v>
      </c>
      <c r="F39" s="331">
        <f>'Beta Calc'!M39</f>
        <v>0</v>
      </c>
      <c r="G39" s="331">
        <f>'Beta Calc'!N39</f>
        <v>0</v>
      </c>
      <c r="H39" s="331">
        <f t="shared" si="7"/>
        <v>0</v>
      </c>
      <c r="I39" s="331">
        <f t="shared" si="8"/>
        <v>145.32996</v>
      </c>
      <c r="J39" s="331">
        <f>'Beta Calc'!Q39</f>
        <v>149.68199999999999</v>
      </c>
      <c r="K39" s="331">
        <f t="shared" si="9"/>
        <v>-4.3520399999999881</v>
      </c>
      <c r="M39" s="1066">
        <f>IFERROR('Capital IQ Sheet-GPC'!AT42,"n/a")</f>
        <v>0</v>
      </c>
      <c r="N39" s="331">
        <f t="shared" si="0"/>
        <v>1.2465753424657535</v>
      </c>
      <c r="O39" s="1522">
        <f t="shared" si="0"/>
        <v>8.7643835616438362E-3</v>
      </c>
      <c r="P39" s="1523"/>
      <c r="Q39" s="1524">
        <f>IFERROR(HLOOKUP($Q$6,'Equity Vol'!$B$8:$K39,ROWS('Equity Vol'!$C$8:$C39),FALSE),"n/a")</f>
        <v>0.54921515354175443</v>
      </c>
      <c r="R39" s="1525"/>
      <c r="S39" s="1526">
        <f t="shared" si="10"/>
        <v>0.30163728487989289</v>
      </c>
      <c r="T39" s="1526">
        <f t="shared" si="1"/>
        <v>0</v>
      </c>
      <c r="U39" s="1527">
        <f t="shared" si="2"/>
        <v>0</v>
      </c>
      <c r="V39" s="1527">
        <f t="shared" si="3"/>
        <v>0</v>
      </c>
      <c r="W39" s="1527">
        <f t="shared" si="4"/>
        <v>0</v>
      </c>
      <c r="X39" s="759">
        <f t="shared" si="5"/>
        <v>0</v>
      </c>
      <c r="Y39" s="1524">
        <f t="shared" si="11"/>
        <v>0.54921515354175443</v>
      </c>
      <c r="AA39" s="1177" t="str">
        <f>IF('MASTER PubCo Inputs'!B57=0,"",'MASTER PubCo Inputs'!B57)</f>
        <v>NasdaqGS:ABUS</v>
      </c>
      <c r="AB39" s="331">
        <f>'Beta Calc'!Z39</f>
        <v>-4.3520399999999997</v>
      </c>
      <c r="AC39" s="1178">
        <f t="shared" si="6"/>
        <v>1.1546319456101628E-14</v>
      </c>
      <c r="AI39" s="1179"/>
    </row>
    <row r="40" spans="2:35" ht="14.85" customHeight="1">
      <c r="D40" s="331"/>
      <c r="E40" s="331"/>
      <c r="F40" s="331"/>
      <c r="G40" s="331"/>
      <c r="H40" s="331"/>
      <c r="I40" s="331"/>
      <c r="J40" s="331"/>
      <c r="K40" s="331"/>
      <c r="R40" s="724"/>
    </row>
    <row r="41" spans="2:35" ht="14.85" customHeight="1">
      <c r="B41" s="1181" t="s">
        <v>111</v>
      </c>
      <c r="C41" s="1182"/>
      <c r="D41" s="1184">
        <f>MAX(D10:D39)</f>
        <v>1692.82537</v>
      </c>
      <c r="E41" s="1184">
        <f t="shared" ref="E41:K41" si="12">MAX(E10:E39)</f>
        <v>32.048000000000002</v>
      </c>
      <c r="F41" s="1184">
        <f t="shared" si="12"/>
        <v>185.565</v>
      </c>
      <c r="G41" s="1184">
        <f t="shared" si="12"/>
        <v>9.6269999999999994E-2</v>
      </c>
      <c r="H41" s="1184">
        <f t="shared" si="12"/>
        <v>185.51400000000001</v>
      </c>
      <c r="I41" s="1184">
        <f t="shared" si="12"/>
        <v>1694.4007799999999</v>
      </c>
      <c r="J41" s="1184">
        <f t="shared" si="12"/>
        <v>408.70499999999998</v>
      </c>
      <c r="K41" s="1184">
        <f t="shared" si="12"/>
        <v>1387.752</v>
      </c>
      <c r="L41" s="1182"/>
      <c r="M41" s="1326">
        <f t="shared" ref="M41:O41" si="13">MAX(M10:M39)</f>
        <v>0</v>
      </c>
      <c r="N41" s="1184">
        <f t="shared" si="13"/>
        <v>1.2465753424657535</v>
      </c>
      <c r="O41" s="1528">
        <f t="shared" si="13"/>
        <v>8.7643835616438362E-3</v>
      </c>
      <c r="P41" s="1529"/>
      <c r="Q41" s="1530">
        <f>MAX(Q10:Q39)</f>
        <v>1.3374273785259052</v>
      </c>
      <c r="R41" s="1531"/>
      <c r="S41" s="1532">
        <f t="shared" ref="S41:W41" si="14">MAX(S10:S40)</f>
        <v>1.7887119928306749</v>
      </c>
      <c r="T41" s="1532">
        <f t="shared" si="14"/>
        <v>17.249025240214259</v>
      </c>
      <c r="U41" s="1533">
        <f t="shared" si="14"/>
        <v>16.908552454613059</v>
      </c>
      <c r="V41" s="1533">
        <f t="shared" si="14"/>
        <v>1</v>
      </c>
      <c r="W41" s="1533">
        <f t="shared" si="14"/>
        <v>1</v>
      </c>
      <c r="X41" s="1184">
        <f t="shared" ref="X41:Y41" si="15">MAX(X10:X39)</f>
        <v>1386.1937084024057</v>
      </c>
      <c r="Y41" s="1534">
        <f t="shared" si="15"/>
        <v>1.3374273785259052</v>
      </c>
      <c r="AB41" s="1535">
        <f ca="1">+'Asset Vol_IPO Early'!Y48</f>
        <v>0.29979397224262011</v>
      </c>
      <c r="AC41" s="1536" t="s">
        <v>1815</v>
      </c>
      <c r="AD41" s="1536"/>
      <c r="AE41" s="1536"/>
      <c r="AF41" s="775"/>
    </row>
    <row r="42" spans="2:35" ht="14.85" customHeight="1">
      <c r="B42" s="1187" t="s">
        <v>115</v>
      </c>
      <c r="C42" s="1188"/>
      <c r="D42" s="1190">
        <f t="shared" ref="D42:K42" si="16">QUARTILE(D10:D39,3)</f>
        <v>535.13891249999995</v>
      </c>
      <c r="E42" s="1190">
        <f t="shared" si="16"/>
        <v>0.69918499999999995</v>
      </c>
      <c r="F42" s="1190">
        <f t="shared" si="16"/>
        <v>0</v>
      </c>
      <c r="G42" s="1190">
        <f t="shared" si="16"/>
        <v>0</v>
      </c>
      <c r="H42" s="1190">
        <f t="shared" si="16"/>
        <v>2.5620824999999998</v>
      </c>
      <c r="I42" s="1190">
        <f t="shared" si="16"/>
        <v>544.96866749999992</v>
      </c>
      <c r="J42" s="1190">
        <f t="shared" si="16"/>
        <v>164.18174999999999</v>
      </c>
      <c r="K42" s="1190">
        <f t="shared" si="16"/>
        <v>330.71264999999994</v>
      </c>
      <c r="L42" s="1188"/>
      <c r="M42" s="1328">
        <f>QUARTILE(M10:M39,3)</f>
        <v>0</v>
      </c>
      <c r="N42" s="1190">
        <f>QUARTILE(N10:N39,3)</f>
        <v>1.2465753424657535</v>
      </c>
      <c r="O42" s="1537">
        <f>QUARTILE(O10:O39,3)</f>
        <v>8.7643835616438362E-3</v>
      </c>
      <c r="P42" s="1538"/>
      <c r="Q42" s="1539">
        <f>QUARTILE(Q10:Q39,3)</f>
        <v>0.89786950197562354</v>
      </c>
      <c r="R42" s="1540"/>
      <c r="S42" s="1541">
        <f>QUARTILE(S10:S40,3)</f>
        <v>0.80617407784196915</v>
      </c>
      <c r="T42" s="1541">
        <f>QUARTILE(T10:T40,3)</f>
        <v>7.4407642817586161</v>
      </c>
      <c r="U42" s="1542">
        <f>QUARTILE(U10:U40,3)</f>
        <v>6.5724936128591542</v>
      </c>
      <c r="V42" s="1542">
        <f>QUARTILE(V10:V40,3)</f>
        <v>0.99999999999991418</v>
      </c>
      <c r="W42" s="1542">
        <f>QUARTILE(W10:W40,3)</f>
        <v>0.9999999999654352</v>
      </c>
      <c r="X42" s="1190">
        <f>QUARTILE(X10:X39,3)</f>
        <v>245.32734744465608</v>
      </c>
      <c r="Y42" s="1543">
        <f>QUARTILE(Y10:Y39,3)</f>
        <v>0.83127752124869447</v>
      </c>
      <c r="AB42" s="1544">
        <f>+'Asset Vol_IPO Early'!Y50</f>
        <v>0.31</v>
      </c>
      <c r="AC42" s="467" t="s">
        <v>1816</v>
      </c>
      <c r="AD42" s="467"/>
      <c r="AE42" s="467"/>
      <c r="AF42" s="468"/>
    </row>
    <row r="43" spans="2:35" ht="14.85" customHeight="1">
      <c r="B43" s="1187" t="s">
        <v>113</v>
      </c>
      <c r="C43" s="1188"/>
      <c r="D43" s="1190">
        <f>AVERAGE(D10:D39)</f>
        <v>349.13332166666657</v>
      </c>
      <c r="E43" s="1190">
        <f t="shared" ref="E43:K43" si="17">AVERAGE(E10:E39)</f>
        <v>2.8426580000000001</v>
      </c>
      <c r="F43" s="1190">
        <f t="shared" si="17"/>
        <v>6.5502309999999992</v>
      </c>
      <c r="G43" s="1190">
        <f t="shared" si="17"/>
        <v>-1.699733333333333E-2</v>
      </c>
      <c r="H43" s="1190">
        <f t="shared" si="17"/>
        <v>9.3758916666666661</v>
      </c>
      <c r="I43" s="1190">
        <f t="shared" si="17"/>
        <v>358.50921333333332</v>
      </c>
      <c r="J43" s="1190">
        <f t="shared" si="17"/>
        <v>109.87659433333336</v>
      </c>
      <c r="K43" s="1190">
        <f t="shared" si="17"/>
        <v>248.63261900000001</v>
      </c>
      <c r="L43" s="1188"/>
      <c r="M43" s="1328">
        <f t="shared" ref="M43:O43" si="18">AVERAGE(M10:M39)</f>
        <v>0</v>
      </c>
      <c r="N43" s="1190">
        <f t="shared" si="18"/>
        <v>1.2465753424657535</v>
      </c>
      <c r="O43" s="1537">
        <f t="shared" si="18"/>
        <v>8.764383561643831E-3</v>
      </c>
      <c r="P43" s="1538"/>
      <c r="Q43" s="1539">
        <f>AVERAGE(Q10:Q39)</f>
        <v>0.80179214974715429</v>
      </c>
      <c r="R43" s="1540"/>
      <c r="S43" s="1541">
        <f t="shared" ref="S43:W43" si="19">AVERAGE(S10:S40)</f>
        <v>0.68591129322864774</v>
      </c>
      <c r="T43" s="1541">
        <f t="shared" si="19"/>
        <v>3.9178884536514471</v>
      </c>
      <c r="U43" s="1542">
        <f t="shared" si="19"/>
        <v>3.4255705923425461</v>
      </c>
      <c r="V43" s="1542">
        <f t="shared" si="19"/>
        <v>0.56772475417752299</v>
      </c>
      <c r="W43" s="1542">
        <f t="shared" si="19"/>
        <v>0.54769107666516448</v>
      </c>
      <c r="X43" s="1190">
        <f t="shared" ref="X43:Y43" si="20">AVERAGE(X10:X39)</f>
        <v>186.79065478831771</v>
      </c>
      <c r="Y43" s="1543">
        <f t="shared" si="20"/>
        <v>0.77587746994582596</v>
      </c>
      <c r="AB43" s="1544">
        <f>+'Asset Vol_IPO Early'!Y44</f>
        <v>0.77794560679204738</v>
      </c>
      <c r="AC43" s="467" t="s">
        <v>1814</v>
      </c>
      <c r="AD43" s="467"/>
      <c r="AE43" s="467"/>
      <c r="AF43" s="1545" t="s">
        <v>2280</v>
      </c>
    </row>
    <row r="44" spans="2:35" ht="14.85" customHeight="1">
      <c r="B44" s="1187" t="s">
        <v>44</v>
      </c>
      <c r="C44" s="1188"/>
      <c r="D44" s="1190">
        <f>MEDIAN(D10:D39)</f>
        <v>252.89796000000001</v>
      </c>
      <c r="E44" s="1190">
        <f t="shared" ref="E44:K44" si="21">MEDIAN(E10:E39)</f>
        <v>0</v>
      </c>
      <c r="F44" s="1190">
        <f t="shared" si="21"/>
        <v>0</v>
      </c>
      <c r="G44" s="1190">
        <f t="shared" si="21"/>
        <v>0</v>
      </c>
      <c r="H44" s="1190">
        <f t="shared" si="21"/>
        <v>0.17863499999999999</v>
      </c>
      <c r="I44" s="1190">
        <f t="shared" si="21"/>
        <v>253.41356500000001</v>
      </c>
      <c r="J44" s="1190">
        <f t="shared" si="21"/>
        <v>91.676500000000004</v>
      </c>
      <c r="K44" s="1190">
        <f t="shared" si="21"/>
        <v>208.32753500000001</v>
      </c>
      <c r="L44" s="1188"/>
      <c r="M44" s="1328">
        <f t="shared" ref="M44:O44" si="22">MEDIAN(M10:M39)</f>
        <v>0</v>
      </c>
      <c r="N44" s="1190">
        <f t="shared" si="22"/>
        <v>1.2465753424657535</v>
      </c>
      <c r="O44" s="1537">
        <f t="shared" si="22"/>
        <v>8.7643835616438362E-3</v>
      </c>
      <c r="P44" s="1538"/>
      <c r="Q44" s="1539">
        <f>MEDIAN(Q10:Q39)</f>
        <v>0.79814086416563823</v>
      </c>
      <c r="R44" s="1540"/>
      <c r="S44" s="1541">
        <f t="shared" ref="S44:W44" si="23">MEDIAN(S10:S40)</f>
        <v>0.6372854624264489</v>
      </c>
      <c r="T44" s="1541">
        <f t="shared" si="23"/>
        <v>2.1127372130389555</v>
      </c>
      <c r="U44" s="1542">
        <f t="shared" si="23"/>
        <v>1.1281705276019447</v>
      </c>
      <c r="V44" s="1542">
        <f t="shared" si="23"/>
        <v>0.98177422727803654</v>
      </c>
      <c r="W44" s="1542">
        <f t="shared" si="23"/>
        <v>0.86600435789402153</v>
      </c>
      <c r="X44" s="1190">
        <f t="shared" ref="X44:Y44" si="24">MEDIAN(X10:X39)</f>
        <v>47.968197519455998</v>
      </c>
      <c r="Y44" s="1543">
        <f t="shared" si="24"/>
        <v>0.77794560679204738</v>
      </c>
      <c r="AB44" s="1546" t="str">
        <f ca="1">IF(ROUND(AB41,3)=ROUND(AB43,3),"","Update Volatility - OPM")</f>
        <v>Update Volatility - OPM</v>
      </c>
      <c r="AC44" s="467"/>
      <c r="AD44" s="467"/>
      <c r="AE44" s="467"/>
      <c r="AF44" s="468"/>
    </row>
    <row r="45" spans="2:35" ht="14.85" customHeight="1">
      <c r="B45" s="1187" t="s">
        <v>114</v>
      </c>
      <c r="C45" s="1188"/>
      <c r="D45" s="1190">
        <f>QUARTILE(D10:D39,1)</f>
        <v>106.88460499999999</v>
      </c>
      <c r="E45" s="1190">
        <f t="shared" ref="E45:K45" si="25">QUARTILE(E10:E39,1)</f>
        <v>0</v>
      </c>
      <c r="F45" s="1190">
        <f t="shared" si="25"/>
        <v>0</v>
      </c>
      <c r="G45" s="1190">
        <f t="shared" si="25"/>
        <v>0</v>
      </c>
      <c r="H45" s="1190">
        <f t="shared" si="25"/>
        <v>0</v>
      </c>
      <c r="I45" s="1190">
        <f t="shared" si="25"/>
        <v>114.9033675</v>
      </c>
      <c r="J45" s="1190">
        <f t="shared" si="25"/>
        <v>21.772500000000001</v>
      </c>
      <c r="K45" s="1190">
        <f t="shared" si="25"/>
        <v>58.667125000000013</v>
      </c>
      <c r="L45" s="1188"/>
      <c r="M45" s="1328">
        <f t="shared" ref="M45:O45" si="26">QUARTILE(M10:M39,1)</f>
        <v>0</v>
      </c>
      <c r="N45" s="1190">
        <f t="shared" si="26"/>
        <v>1.2465753424657535</v>
      </c>
      <c r="O45" s="1537">
        <f t="shared" si="26"/>
        <v>8.7643835616438362E-3</v>
      </c>
      <c r="P45" s="1538"/>
      <c r="Q45" s="1539">
        <f>QUARTILE(Q10:Q39,1)</f>
        <v>0.71748314388866108</v>
      </c>
      <c r="R45" s="1540"/>
      <c r="S45" s="1541">
        <f t="shared" ref="S45:W45" si="27">QUARTILE(S10:S40,1)</f>
        <v>0.51588037085810801</v>
      </c>
      <c r="T45" s="1541">
        <f t="shared" si="27"/>
        <v>0</v>
      </c>
      <c r="U45" s="1542">
        <f t="shared" si="27"/>
        <v>0</v>
      </c>
      <c r="V45" s="1542">
        <f t="shared" si="27"/>
        <v>0</v>
      </c>
      <c r="W45" s="1542">
        <f t="shared" si="27"/>
        <v>0</v>
      </c>
      <c r="X45" s="1190">
        <f t="shared" ref="X45:Y45" si="28">QUARTILE(X10:X39,1)</f>
        <v>0</v>
      </c>
      <c r="Y45" s="1543">
        <f t="shared" si="28"/>
        <v>0.68432272260506599</v>
      </c>
      <c r="AB45" s="1547" t="str">
        <f>IF(ROUND(AB42,3)=ROUND(AB43,3),"","Update Volatility - DLOM")</f>
        <v>Update Volatility - DLOM</v>
      </c>
      <c r="AC45" s="346"/>
      <c r="AD45" s="346"/>
      <c r="AE45" s="346"/>
      <c r="AF45" s="897"/>
    </row>
    <row r="46" spans="2:35" ht="14.85" customHeight="1">
      <c r="B46" s="1192" t="s">
        <v>112</v>
      </c>
      <c r="C46" s="858"/>
      <c r="D46" s="867">
        <f t="shared" ref="D46:K46" si="29">MIN(D10:D39)</f>
        <v>7.33019</v>
      </c>
      <c r="E46" s="867">
        <f t="shared" si="29"/>
        <v>0</v>
      </c>
      <c r="F46" s="867">
        <f t="shared" si="29"/>
        <v>0</v>
      </c>
      <c r="G46" s="867">
        <f t="shared" si="29"/>
        <v>-0.55518999999999996</v>
      </c>
      <c r="H46" s="867">
        <f t="shared" si="29"/>
        <v>0</v>
      </c>
      <c r="I46" s="867">
        <f t="shared" si="29"/>
        <v>7.33019</v>
      </c>
      <c r="J46" s="867">
        <f t="shared" si="29"/>
        <v>0</v>
      </c>
      <c r="K46" s="867">
        <f t="shared" si="29"/>
        <v>-4.3520399999999881</v>
      </c>
      <c r="L46" s="858"/>
      <c r="M46" s="1330">
        <f>MIN(M10:M39)</f>
        <v>0</v>
      </c>
      <c r="N46" s="867">
        <f>MIN(N10:N39)</f>
        <v>1.2465753424657535</v>
      </c>
      <c r="O46" s="1548">
        <f>MIN(O10:O39)</f>
        <v>8.7643835616438362E-3</v>
      </c>
      <c r="P46" s="1549"/>
      <c r="Q46" s="1550">
        <f>MIN(Q10:Q39)</f>
        <v>0.30494613818516308</v>
      </c>
      <c r="R46" s="1551"/>
      <c r="S46" s="1552">
        <f>MIN(S10:S40)</f>
        <v>9.2992147194044583E-2</v>
      </c>
      <c r="T46" s="1552">
        <f>MIN(T10:T40)</f>
        <v>0</v>
      </c>
      <c r="U46" s="1553">
        <f>MIN(U10:U40)</f>
        <v>0</v>
      </c>
      <c r="V46" s="1553">
        <f>MIN(V10:V40)</f>
        <v>0</v>
      </c>
      <c r="W46" s="1553">
        <f>MIN(W10:W40)</f>
        <v>0</v>
      </c>
      <c r="X46" s="867">
        <f>MIN(X10:X39)</f>
        <v>0</v>
      </c>
      <c r="Y46" s="1554">
        <f>MIN(Y10:Y39)</f>
        <v>0.30403651754804206</v>
      </c>
      <c r="AB46" s="433" t="str">
        <f ca="1">IF(K48&lt;&gt;K50,"Check","")</f>
        <v/>
      </c>
    </row>
    <row r="47" spans="2:35" ht="14.85" customHeight="1">
      <c r="AB47" s="1104" t="str">
        <f ca="1">IF(AND(AB44=$AF$45,AB46=$AF$45,AB45=$AF$45),"","Check")</f>
        <v>Check</v>
      </c>
    </row>
    <row r="48" spans="2:35" ht="14.85" customHeight="1">
      <c r="B48" s="1555" t="str">
        <f>B2</f>
        <v>ABC, Inc.</v>
      </c>
      <c r="C48" s="1556" t="s">
        <v>269</v>
      </c>
      <c r="D48" s="1557"/>
      <c r="E48" s="1557"/>
      <c r="F48" s="1557"/>
      <c r="G48" s="1557"/>
      <c r="H48" s="1558">
        <f ca="1">-'Val Summ'!$H$20/1000</f>
        <v>2.0379999999999998</v>
      </c>
      <c r="I48" s="1559">
        <f t="shared" ref="I48" si="30">SUM(D48:G48)</f>
        <v>0</v>
      </c>
      <c r="J48" s="1557"/>
      <c r="K48" s="1558">
        <f ca="1">'Val Summ'!$H$17/1000</f>
        <v>61.23</v>
      </c>
      <c r="L48" s="1557"/>
      <c r="M48" s="1560">
        <f>DLOM!E17</f>
        <v>0</v>
      </c>
      <c r="N48" s="1561">
        <f>N$6</f>
        <v>1.2465753424657535</v>
      </c>
      <c r="O48" s="1562">
        <f>O$6</f>
        <v>8.7643835616438362E-3</v>
      </c>
      <c r="P48" s="1563"/>
      <c r="Q48" s="1564">
        <v>0.31</v>
      </c>
      <c r="R48" s="1557"/>
      <c r="S48" s="1565">
        <f>IF(Q48="n/a","n/a",Q48^2)</f>
        <v>9.6100000000000005E-2</v>
      </c>
      <c r="T48" s="1565">
        <f ca="1">IF(OR(K48="n/a",S48="n/a"),"n/a",IF(H48=0,0,IF(M48=0,(LN(K48/H48)+((O48+(S48/2))*N48))/((S48*N48)^0.5),(LN(K48/H48)+((O48-M48+(S48/2))*N48))/((S48*N48)^0.5))))</f>
        <v>10.035645470049776</v>
      </c>
      <c r="U48" s="1566">
        <f ca="1">IF(T48="n/a","n/a",IF(H48=0,0,T48-(S48*N48)^0.5))</f>
        <v>9.6895300407332563</v>
      </c>
      <c r="V48" s="1566">
        <f ca="1">IF(OR(T48="n/a",S48="n/a"),"n/a",IF(H48=0,0,NORMSDIST(T48)))</f>
        <v>1</v>
      </c>
      <c r="W48" s="1566">
        <f ca="1">IF(OR(U48="n/a",S48="n/a"),"n/a",IF(H48=0,0,NORMSDIST(U48)))</f>
        <v>1</v>
      </c>
      <c r="X48" s="1566">
        <f ca="1">IF(OR(K48="n/a",S48="n/a"),"n/a",IF(M48=0,(K48*V48)-((H48*EXP(1)^(-O48*N48))*W48),(K48*(2.718^(-M48*N48))*V48)-(H48*(2.718^(-O48*N48))*W48)))</f>
        <v>59.214144904566545</v>
      </c>
      <c r="Y48" s="1567">
        <f ca="1">IF(LEN(B48)&gt;0,IF(H48=0,Q48,IF(ISERROR(Q48/((K48/X48)*V48)),"n/a",Q48/((K48/X48)*V48))))</f>
        <v>0.29979397224262011</v>
      </c>
    </row>
    <row r="49" spans="1:25" ht="14.85" customHeight="1">
      <c r="C49" s="414"/>
      <c r="D49" s="414"/>
      <c r="E49" s="414"/>
      <c r="F49" s="414"/>
      <c r="G49" s="414"/>
      <c r="H49" s="414"/>
      <c r="I49" s="414"/>
      <c r="J49" s="414"/>
    </row>
    <row r="50" spans="1:25" ht="14.85" customHeight="1">
      <c r="B50" s="1555" t="str">
        <f>B48</f>
        <v>ABC, Inc.</v>
      </c>
      <c r="C50" s="1556" t="s">
        <v>308</v>
      </c>
      <c r="D50" s="1557"/>
      <c r="E50" s="1557"/>
      <c r="F50" s="1557"/>
      <c r="G50" s="1557"/>
      <c r="H50" s="1558"/>
      <c r="I50" s="1559">
        <f ca="1">K50+J50</f>
        <v>61.23</v>
      </c>
      <c r="J50" s="1557"/>
      <c r="K50" s="1568">
        <f ca="1">K48</f>
        <v>61.23</v>
      </c>
      <c r="L50" s="1557"/>
      <c r="M50" s="1569">
        <f>M48</f>
        <v>0</v>
      </c>
      <c r="N50" s="1561">
        <f>N$6</f>
        <v>1.2465753424657535</v>
      </c>
      <c r="O50" s="1562">
        <f>O$6</f>
        <v>8.7643835616438362E-3</v>
      </c>
      <c r="P50" s="1563"/>
      <c r="Q50" s="1564">
        <v>0.31</v>
      </c>
      <c r="R50" s="1557"/>
      <c r="S50" s="1565">
        <f>IF(Q50="n/a","n/a",Q50^2)</f>
        <v>9.6100000000000005E-2</v>
      </c>
      <c r="T50" s="1565">
        <f ca="1">IF(OR(K50="n/a",S50="n/a"),"n/a",IF(H50=0,0,IF(M50=0,(LN(K50/H50)+((O50+(S50/2))*N50))/((S50*N50)^0.5),(LN(K50/H50)+((O50-M50+(S50/2))*N50))/((S50*N50)^0.5))))</f>
        <v>0</v>
      </c>
      <c r="U50" s="1566">
        <f ca="1">IF(T50="n/a","n/a",IF(H50=0,0,T50-(S50*N50)^0.5))</f>
        <v>0</v>
      </c>
      <c r="V50" s="1566">
        <f ca="1">IF(OR(T50="n/a",S50="n/a"),"n/a",IF(H50=0,0,NORMSDIST(T50)))</f>
        <v>0</v>
      </c>
      <c r="W50" s="1566">
        <f ca="1">IF(OR(U50="n/a",S50="n/a"),"n/a",IF(H50=0,0,NORMSDIST(U50)))</f>
        <v>0</v>
      </c>
      <c r="X50" s="1566">
        <f ca="1">IF(OR(K50="n/a",S50="n/a"),"n/a",IF(M50=0,(K50*V50)-((H50*EXP(1)^(-O50*N50))*W50),(K50*(2.718^(-M50*N50))*V50)-(H50*(2.718^(-O50*N50))*W50)))</f>
        <v>0</v>
      </c>
      <c r="Y50" s="1567">
        <f>IF(LEN(B50)&gt;0,IF(H50=0,Q50,IF(ISERROR(Q50/((K50/X50)*V50)),"n/a",Q50/((K50/X50)*V50))))</f>
        <v>0.31</v>
      </c>
    </row>
    <row r="51" spans="1:25" ht="14.85" customHeight="1"/>
    <row r="52" spans="1:25" ht="14.85" customHeight="1">
      <c r="B52" s="356" t="s">
        <v>86</v>
      </c>
    </row>
    <row r="53" spans="1:25" ht="14.85" customHeight="1">
      <c r="A53" s="357" t="s">
        <v>270</v>
      </c>
      <c r="B53" s="274" t="s">
        <v>3513</v>
      </c>
    </row>
    <row r="54" spans="1:25" s="359" customFormat="1" ht="14.85" customHeight="1">
      <c r="A54" s="1570" t="s">
        <v>269</v>
      </c>
      <c r="B54" s="1571" t="s">
        <v>1140</v>
      </c>
      <c r="P54" s="1572"/>
    </row>
    <row r="55" spans="1:25" s="359" customFormat="1" ht="14.85" customHeight="1">
      <c r="A55" s="1570" t="s">
        <v>308</v>
      </c>
      <c r="B55" s="1571" t="s">
        <v>1141</v>
      </c>
      <c r="P55" s="1572"/>
    </row>
    <row r="56" spans="1:25" ht="14.85" customHeight="1"/>
    <row r="57" spans="1:25" ht="14.85" customHeight="1">
      <c r="B57" s="356" t="s">
        <v>116</v>
      </c>
    </row>
    <row r="58" spans="1:25" ht="14.85" customHeight="1"/>
    <row r="59" spans="1:25" ht="14.85" customHeight="1">
      <c r="B59" s="250" t="s">
        <v>1844</v>
      </c>
    </row>
    <row r="60" spans="1:25" ht="14.85" customHeight="1">
      <c r="B60" s="250" t="s">
        <v>1845</v>
      </c>
    </row>
    <row r="61" spans="1:25" ht="14.85" customHeight="1">
      <c r="B61" s="250" t="s">
        <v>1846</v>
      </c>
    </row>
    <row r="62" spans="1:25" ht="14.85" customHeight="1">
      <c r="B62" s="250" t="s">
        <v>1847</v>
      </c>
    </row>
    <row r="63" spans="1:25" ht="14.85" customHeight="1">
      <c r="B63" s="250" t="s">
        <v>1848</v>
      </c>
    </row>
    <row r="64" spans="1:25" ht="14.85" customHeight="1">
      <c r="B64" s="250" t="s">
        <v>1849</v>
      </c>
    </row>
    <row r="65" spans="2:2" ht="14.85" customHeight="1">
      <c r="B65" s="250" t="s">
        <v>1850</v>
      </c>
    </row>
    <row r="66" spans="2:2" ht="14.85" customHeight="1"/>
    <row r="67" spans="2:2" ht="14.85" customHeight="1">
      <c r="B67" s="250" t="s">
        <v>1851</v>
      </c>
    </row>
    <row r="68" spans="2:2" ht="14.85" customHeight="1">
      <c r="B68" s="250" t="s">
        <v>1852</v>
      </c>
    </row>
    <row r="69" spans="2:2" ht="14.85" customHeight="1">
      <c r="B69" s="250" t="s">
        <v>1853</v>
      </c>
    </row>
    <row r="70" spans="2:2" ht="14.85" customHeight="1">
      <c r="B70" s="250" t="s">
        <v>1854</v>
      </c>
    </row>
    <row r="71" spans="2:2" ht="14.85" customHeight="1">
      <c r="B71" s="250" t="s">
        <v>1855</v>
      </c>
    </row>
    <row r="72" spans="2:2" ht="14.85" customHeight="1">
      <c r="B72" s="250" t="s">
        <v>1856</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61" priority="8" operator="equal">
      <formula>"(Invalid Identifier)"</formula>
    </cfRule>
  </conditionalFormatting>
  <conditionalFormatting sqref="B4:I4">
    <cfRule type="cellIs" dxfId="160" priority="7" stopIfTrue="1" operator="equal">
      <formula>"input"</formula>
    </cfRule>
  </conditionalFormatting>
  <conditionalFormatting sqref="J4">
    <cfRule type="cellIs" dxfId="159" priority="5" stopIfTrue="1" operator="equal">
      <formula>"input"</formula>
    </cfRule>
  </conditionalFormatting>
  <conditionalFormatting sqref="J4">
    <cfRule type="cellIs" dxfId="158" priority="6" stopIfTrue="1" operator="equal">
      <formula>"input"</formula>
    </cfRule>
  </conditionalFormatting>
  <conditionalFormatting sqref="K4:X4">
    <cfRule type="cellIs" dxfId="157" priority="3" stopIfTrue="1" operator="equal">
      <formula>"input"</formula>
    </cfRule>
  </conditionalFormatting>
  <conditionalFormatting sqref="K4:X4">
    <cfRule type="cellIs" dxfId="156" priority="4" stopIfTrue="1" operator="equal">
      <formula>"input"</formula>
    </cfRule>
  </conditionalFormatting>
  <conditionalFormatting sqref="Y4">
    <cfRule type="cellIs" dxfId="155" priority="1" stopIfTrue="1" operator="equal">
      <formula>"input"</formula>
    </cfRule>
  </conditionalFormatting>
  <conditionalFormatting sqref="Y4">
    <cfRule type="cellIs" dxfId="154" priority="2" stopIfTrue="1" operator="equal">
      <formula>"input"</formula>
    </cfRule>
  </conditionalFormatting>
  <pageMargins left="0.5" right="0.5" top="0.5" bottom="0.5" header="0.5" footer="0.5"/>
  <pageSetup scale="74" fitToWidth="0" fitToHeight="0" orientation="landscape" r:id="rId1"/>
  <legacyDrawing r:id="rId2"/>
  <legacyDrawingHF r:id="rId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70"/>
  <dimension ref="A1:AI764"/>
  <sheetViews>
    <sheetView showGridLines="0" view="pageBreakPreview" zoomScale="80" zoomScaleNormal="100" zoomScaleSheetLayoutView="80" workbookViewId="0"/>
  </sheetViews>
  <sheetFormatPr defaultRowHeight="12.75" outlineLevelRow="1" outlineLevelCol="1"/>
  <cols>
    <col min="1" max="1" width="4.5" style="250" customWidth="1"/>
    <col min="2" max="2" width="42.1640625" style="250" customWidth="1"/>
    <col min="3" max="3" width="3.5" style="250" customWidth="1"/>
    <col min="4" max="4" width="13.33203125" style="250" customWidth="1"/>
    <col min="5" max="5" width="10.83203125" style="250" hidden="1" customWidth="1" outlineLevel="1"/>
    <col min="6" max="7" width="9.83203125" style="250" hidden="1" customWidth="1" outlineLevel="1"/>
    <col min="8" max="8" width="12.83203125" style="250" customWidth="1" collapsed="1"/>
    <col min="9" max="11" width="12.83203125" style="250" customWidth="1"/>
    <col min="12" max="12" width="2.83203125" style="250" customWidth="1"/>
    <col min="13" max="15" width="12.83203125" style="250" customWidth="1"/>
    <col min="16" max="16" width="2.83203125" style="724" customWidth="1"/>
    <col min="17" max="17" width="12.83203125" style="250" customWidth="1"/>
    <col min="18" max="18" width="2.83203125" style="250" customWidth="1"/>
    <col min="19" max="19" width="11.6640625" style="250" hidden="1" customWidth="1" outlineLevel="1"/>
    <col min="20" max="23" width="8.83203125" style="250" hidden="1" customWidth="1" outlineLevel="1"/>
    <col min="24" max="24" width="12.83203125" style="250" customWidth="1" collapsed="1"/>
    <col min="25" max="25" width="12.83203125" style="250" customWidth="1"/>
    <col min="26" max="26" width="4.5" style="250" customWidth="1"/>
    <col min="27" max="27" width="17.5" style="250" bestFit="1" customWidth="1"/>
    <col min="28" max="28" width="14.33203125" style="250" bestFit="1" customWidth="1"/>
    <col min="29" max="29" width="9.6640625" style="250" bestFit="1" customWidth="1"/>
    <col min="30" max="30" width="10.1640625" style="250" bestFit="1" customWidth="1"/>
    <col min="31" max="16384" width="9.33203125" style="250"/>
  </cols>
  <sheetData>
    <row r="1" spans="2:35" ht="10.7" customHeight="1" thickBot="1">
      <c r="P1" s="250"/>
    </row>
    <row r="2" spans="2:35" ht="16.5" customHeight="1" thickTop="1">
      <c r="B2" s="258" t="str">
        <f>'MASTER PubCo Inputs'!$C$5</f>
        <v>ABC, Inc.</v>
      </c>
      <c r="C2" s="258"/>
      <c r="D2" s="258"/>
      <c r="E2" s="258"/>
      <c r="F2" s="258"/>
      <c r="G2" s="258"/>
      <c r="H2" s="258"/>
      <c r="I2" s="258"/>
      <c r="J2" s="258"/>
      <c r="K2" s="258"/>
      <c r="L2" s="258"/>
      <c r="M2" s="258"/>
      <c r="N2" s="258"/>
      <c r="O2" s="258"/>
      <c r="P2" s="258"/>
      <c r="Q2" s="258"/>
      <c r="R2" s="258"/>
      <c r="S2" s="258"/>
      <c r="T2" s="258"/>
      <c r="U2" s="258"/>
      <c r="V2" s="258"/>
      <c r="W2" s="258"/>
      <c r="X2" s="258"/>
      <c r="Y2" s="258"/>
      <c r="AA2" s="1151" t="s">
        <v>87</v>
      </c>
      <c r="AB2" s="1152">
        <f>+'Comp.1'!$AL$2</f>
        <v>42735</v>
      </c>
    </row>
    <row r="3" spans="2:35" ht="15.75" customHeight="1">
      <c r="B3" s="259" t="str">
        <f>VLOOKUP(B4,Outline!$E$8:$G$79,COLUMNS(Outline!$E$8:$G$8),FALSE)</f>
        <v>Exhibit H.5</v>
      </c>
      <c r="C3" s="259"/>
      <c r="D3" s="259"/>
      <c r="E3" s="259"/>
      <c r="F3" s="259"/>
      <c r="G3" s="259"/>
      <c r="H3" s="259"/>
      <c r="I3" s="259"/>
      <c r="J3" s="259"/>
      <c r="K3" s="259"/>
      <c r="L3" s="259"/>
      <c r="M3" s="259"/>
      <c r="N3" s="259"/>
      <c r="O3" s="259"/>
      <c r="P3" s="259"/>
      <c r="Q3" s="259"/>
      <c r="R3" s="259"/>
      <c r="S3" s="259"/>
      <c r="T3" s="259"/>
      <c r="U3" s="259"/>
      <c r="V3" s="259"/>
      <c r="W3" s="259"/>
      <c r="X3" s="259"/>
      <c r="Y3" s="259"/>
      <c r="AA3" s="1153" t="s">
        <v>489</v>
      </c>
      <c r="AB3" s="1154" t="str">
        <f>+'Comp.1'!$AL$3</f>
        <v>F</v>
      </c>
    </row>
    <row r="4" spans="2:35" ht="16.5" customHeight="1" thickBot="1">
      <c r="B4" s="924" t="str">
        <f>"Asset Volatility - "&amp;TEXT(DLOM!F6,"")</f>
        <v>Asset Volatility - IPO Late</v>
      </c>
      <c r="C4" s="924"/>
      <c r="D4" s="924"/>
      <c r="E4" s="924"/>
      <c r="F4" s="924"/>
      <c r="G4" s="924"/>
      <c r="H4" s="924"/>
      <c r="I4" s="924"/>
      <c r="J4" s="925"/>
      <c r="K4" s="925"/>
      <c r="L4" s="925"/>
      <c r="M4" s="925"/>
      <c r="N4" s="925"/>
      <c r="O4" s="925"/>
      <c r="P4" s="925"/>
      <c r="Q4" s="925"/>
      <c r="R4" s="925"/>
      <c r="S4" s="925"/>
      <c r="T4" s="925"/>
      <c r="U4" s="925"/>
      <c r="V4" s="925"/>
      <c r="W4" s="925"/>
      <c r="X4" s="925"/>
      <c r="Y4" s="925" t="str">
        <f>+'MASTER PubCo Inputs'!$C$24</f>
        <v>(in millions of USD)</v>
      </c>
      <c r="AA4" s="1153" t="s">
        <v>490</v>
      </c>
      <c r="AB4" s="1154" t="str">
        <f>+'Comp.1'!$AL$4</f>
        <v>USD</v>
      </c>
    </row>
    <row r="5" spans="2:35" ht="14.85" customHeight="1" thickTop="1">
      <c r="B5" s="724"/>
      <c r="AA5" s="518" t="s">
        <v>89</v>
      </c>
      <c r="AB5" s="1155" t="str">
        <f>+'Comp.1'!$AL$5</f>
        <v>H</v>
      </c>
    </row>
    <row r="6" spans="2:35" ht="14.85" customHeight="1" outlineLevel="1">
      <c r="N6" s="1506">
        <f>DLOM!F11</f>
        <v>2.2465753424657535</v>
      </c>
      <c r="O6" s="1507">
        <f>'Risk-Free Rates'!E51</f>
        <v>1.1815068493150685E-2</v>
      </c>
      <c r="Q6" s="1508">
        <f>HLOOKUP(ROUND(N6,0),'Equity Vol'!$D$8:$K$8,1,TRUE)</f>
        <v>2</v>
      </c>
    </row>
    <row r="7" spans="2:35" ht="14.85" customHeight="1">
      <c r="D7" s="1509" t="s">
        <v>91</v>
      </c>
      <c r="E7" s="1510"/>
      <c r="F7" s="1510"/>
      <c r="G7" s="1510"/>
      <c r="H7" s="1510"/>
      <c r="I7" s="1510"/>
      <c r="J7" s="1510"/>
      <c r="K7" s="1511"/>
      <c r="M7" s="1509" t="s">
        <v>92</v>
      </c>
      <c r="N7" s="1510"/>
      <c r="O7" s="1510"/>
      <c r="P7" s="1512"/>
      <c r="Q7" s="1511"/>
      <c r="S7" s="1509" t="s">
        <v>93</v>
      </c>
      <c r="T7" s="1510"/>
      <c r="U7" s="1510"/>
      <c r="V7" s="1510"/>
      <c r="W7" s="1510"/>
      <c r="X7" s="1513" t="s">
        <v>93</v>
      </c>
      <c r="Y7" s="1514"/>
    </row>
    <row r="8" spans="2:35" s="272" customFormat="1" ht="45" customHeight="1">
      <c r="B8" s="1515" t="s">
        <v>815</v>
      </c>
      <c r="D8" s="1516" t="s">
        <v>94</v>
      </c>
      <c r="E8" s="1517" t="s">
        <v>95</v>
      </c>
      <c r="F8" s="1517" t="s">
        <v>96</v>
      </c>
      <c r="G8" s="1517" t="s">
        <v>97</v>
      </c>
      <c r="H8" s="1517" t="s">
        <v>98</v>
      </c>
      <c r="I8" s="1517" t="s">
        <v>99</v>
      </c>
      <c r="J8" s="1517" t="s">
        <v>100</v>
      </c>
      <c r="K8" s="1518" t="s">
        <v>101</v>
      </c>
      <c r="L8" s="347"/>
      <c r="M8" s="1516" t="s">
        <v>73</v>
      </c>
      <c r="N8" s="1517" t="s">
        <v>102</v>
      </c>
      <c r="O8" s="1518" t="s">
        <v>72</v>
      </c>
      <c r="P8" s="1292"/>
      <c r="Q8" s="1519" t="s">
        <v>103</v>
      </c>
      <c r="R8" s="1292"/>
      <c r="S8" s="1516" t="s">
        <v>104</v>
      </c>
      <c r="T8" s="1517" t="s">
        <v>84</v>
      </c>
      <c r="U8" s="1517" t="s">
        <v>85</v>
      </c>
      <c r="V8" s="1517" t="s">
        <v>105</v>
      </c>
      <c r="W8" s="1517" t="s">
        <v>106</v>
      </c>
      <c r="X8" s="1520" t="s">
        <v>107</v>
      </c>
      <c r="Y8" s="1518" t="s">
        <v>3512</v>
      </c>
      <c r="AA8" s="1170" t="s">
        <v>108</v>
      </c>
      <c r="AB8" s="1171" t="s">
        <v>109</v>
      </c>
      <c r="AC8" s="1171" t="s">
        <v>110</v>
      </c>
      <c r="AD8" s="1521"/>
    </row>
    <row r="9" spans="2:35" ht="14.85" customHeight="1"/>
    <row r="10" spans="2:35" ht="14.85" customHeight="1">
      <c r="B10" s="250" t="str">
        <f>'Comp.1'!B12</f>
        <v>Spark Therapeutics, Inc.</v>
      </c>
      <c r="D10" s="331">
        <f>'Beta Calc'!K10</f>
        <v>1692.82537</v>
      </c>
      <c r="E10" s="331">
        <f>'Beta Calc'!L10</f>
        <v>1.57541</v>
      </c>
      <c r="F10" s="331">
        <f>'Beta Calc'!M10</f>
        <v>0</v>
      </c>
      <c r="G10" s="331">
        <f>'Beta Calc'!N10</f>
        <v>0</v>
      </c>
      <c r="H10" s="331">
        <f>SUM(E10:G10)</f>
        <v>1.57541</v>
      </c>
      <c r="I10" s="331">
        <f>SUM(D10:G10)</f>
        <v>1694.4007799999999</v>
      </c>
      <c r="J10" s="331">
        <f>'Beta Calc'!Q10</f>
        <v>306.64877999999999</v>
      </c>
      <c r="K10" s="331">
        <f>I10-J10</f>
        <v>1387.752</v>
      </c>
      <c r="M10" s="1066">
        <f>IFERROR('Capital IQ Sheet-GPC'!AT13,"n/a")</f>
        <v>0</v>
      </c>
      <c r="N10" s="331">
        <f t="shared" ref="N10:O39" si="0">N$6</f>
        <v>2.2465753424657535</v>
      </c>
      <c r="O10" s="1522">
        <f t="shared" si="0"/>
        <v>1.1815068493150685E-2</v>
      </c>
      <c r="P10" s="1523"/>
      <c r="Q10" s="1524">
        <f>IFERROR(HLOOKUP($Q$6,'Equity Vol'!$B$8:$K10,ROWS('Equity Vol'!$C$8:$C10),FALSE),"n/a")</f>
        <v>0.7672442493850854</v>
      </c>
      <c r="R10" s="1525"/>
      <c r="S10" s="1526">
        <f>IFERROR(IF(Q10="n/a","n/a",Q10^2),"n/a")</f>
        <v>0.58866373821448315</v>
      </c>
      <c r="T10" s="1526">
        <f t="shared" ref="T10:T39" si="1">IF(OR(K10="n/a",S10="n/a"),"n/a",IF(H10=0,0,IF(M10=0,(LN(K10/H10)+((O10+(S10/2))*N10))/((S10*N10)^0.5),(LN(K10/H10)+((O10-M10+(S10/2))*N10))/((S10*N10)^0.5))))</f>
        <v>6.4945832711130054</v>
      </c>
      <c r="U10" s="1527">
        <f t="shared" ref="U10:U39" si="2">IF(T10="n/a","n/a",IF(H10=0,0,T10-(S10*N10)^0.5))</f>
        <v>5.3445930801651116</v>
      </c>
      <c r="V10" s="1527">
        <f t="shared" ref="V10:V39" si="3">IF(OR(T10="n/a",S10="n/a"),"n/a",IF(H10=0,0,NORMSDIST(T10)))</f>
        <v>0.99999999995836819</v>
      </c>
      <c r="W10" s="1527">
        <f t="shared" ref="W10:W39" si="4">IF(OR(U10="n/a",S10="n/a"),"n/a",IF(H10=0,0,NORMSDIST(U10)))</f>
        <v>0.99999995468980007</v>
      </c>
      <c r="X10" s="759">
        <f t="shared" ref="X10:X39" si="5">IF(OR(K10="n/a",S10="n/a"),"n/a",IF(M10=0,(K10*V10)-((H10*EXP(1)^(-O10*N10))*W10),(K10*(2.718^(-M10*N10))*V10)-(H10*(2.718^(-O10*N10))*W10)))</f>
        <v>1386.2178567120036</v>
      </c>
      <c r="Y10" s="1524">
        <f>IFERROR(IF(LEN(B10)&gt;0,IF(H10=0,Q10,IF(ISERROR(Q10/((K10/X10)*V10)),"n/a",Q10/((K10/X10)*V10)))),"n/a")</f>
        <v>0.76639607004816535</v>
      </c>
      <c r="AA10" s="1177" t="str">
        <f>IF('MASTER PubCo Inputs'!B28=0,"",'MASTER PubCo Inputs'!B28)</f>
        <v>NasdaqGS:ONCE</v>
      </c>
      <c r="AB10" s="331">
        <f>'Beta Calc'!Z10</f>
        <v>1387.752</v>
      </c>
      <c r="AC10" s="1178">
        <f t="shared" ref="AC10:AC39" si="6">K10-AB10</f>
        <v>0</v>
      </c>
      <c r="AI10" s="1179"/>
    </row>
    <row r="11" spans="2:35" ht="14.85" customHeight="1">
      <c r="B11" s="250" t="str">
        <f>'Comp.1'!B13</f>
        <v>CRISPR Therapeutics AG</v>
      </c>
      <c r="D11" s="331">
        <f>'Beta Calc'!K11</f>
        <v>868.62804000000006</v>
      </c>
      <c r="E11" s="331">
        <f>'Beta Calc'!L11</f>
        <v>0</v>
      </c>
      <c r="F11" s="331">
        <f>'Beta Calc'!M11</f>
        <v>185.565</v>
      </c>
      <c r="G11" s="331">
        <f>'Beta Calc'!N11</f>
        <v>-5.0999999999999997E-2</v>
      </c>
      <c r="H11" s="331">
        <f t="shared" ref="H11:H39" si="7">SUM(E11:G11)</f>
        <v>185.51400000000001</v>
      </c>
      <c r="I11" s="331">
        <f t="shared" ref="I11:I39" si="8">SUM(D11:G11)</f>
        <v>1054.1420400000002</v>
      </c>
      <c r="J11" s="331">
        <f>'Beta Calc'!Q11</f>
        <v>228.613</v>
      </c>
      <c r="K11" s="331">
        <f t="shared" ref="K11:K39" si="9">I11-J11</f>
        <v>825.52904000000012</v>
      </c>
      <c r="M11" s="1066">
        <f>IFERROR('Capital IQ Sheet-GPC'!AT14,"n/a")</f>
        <v>0</v>
      </c>
      <c r="N11" s="331">
        <f t="shared" si="0"/>
        <v>2.2465753424657535</v>
      </c>
      <c r="O11" s="1522">
        <f t="shared" si="0"/>
        <v>1.1815068493150685E-2</v>
      </c>
      <c r="P11" s="1523"/>
      <c r="Q11" s="1524" t="str">
        <f>IFERROR(HLOOKUP($Q$6,'Equity Vol'!$B$8:$K11,ROWS('Equity Vol'!$C$8:$C11),FALSE),"n/a")</f>
        <v>n/a</v>
      </c>
      <c r="R11" s="1525"/>
      <c r="S11" s="1526" t="str">
        <f t="shared" ref="S11:S39" si="10">IFERROR(IF(Q11="n/a","n/a",Q11^2),"n/a")</f>
        <v>n/a</v>
      </c>
      <c r="T11" s="1526" t="str">
        <f t="shared" si="1"/>
        <v>n/a</v>
      </c>
      <c r="U11" s="1527" t="str">
        <f t="shared" si="2"/>
        <v>n/a</v>
      </c>
      <c r="V11" s="1527" t="str">
        <f t="shared" si="3"/>
        <v>n/a</v>
      </c>
      <c r="W11" s="1527" t="str">
        <f t="shared" si="4"/>
        <v>n/a</v>
      </c>
      <c r="X11" s="759" t="str">
        <f t="shared" si="5"/>
        <v>n/a</v>
      </c>
      <c r="Y11" s="1524" t="str">
        <f t="shared" ref="Y11:Y39" si="11">IFERROR(IF(LEN(B11)&gt;0,IF(H11=0,Q11,IF(ISERROR(Q11/((K11/X11)*V11)),"n/a",Q11/((K11/X11)*V11)))),"n/a")</f>
        <v>n/a</v>
      </c>
      <c r="AA11" s="1177" t="str">
        <f>IF('MASTER PubCo Inputs'!B29=0,"",'MASTER PubCo Inputs'!B29)</f>
        <v>NasdaqGM:CRSP</v>
      </c>
      <c r="AB11" s="331">
        <f>'Beta Calc'!Z11</f>
        <v>825.52904000000001</v>
      </c>
      <c r="AC11" s="1178">
        <f t="shared" si="6"/>
        <v>0</v>
      </c>
      <c r="AI11" s="1179"/>
    </row>
    <row r="12" spans="2:35" ht="14.85" customHeight="1">
      <c r="B12" s="250" t="str">
        <f>'Comp.1'!B14</f>
        <v>WAVE Life Sciences Ltd.</v>
      </c>
      <c r="D12" s="331">
        <f>'Beta Calc'!K12</f>
        <v>835.72670000000005</v>
      </c>
      <c r="E12" s="331">
        <f>'Beta Calc'!L12</f>
        <v>9.2999999999999999E-2</v>
      </c>
      <c r="F12" s="331">
        <f>'Beta Calc'!M12</f>
        <v>7.8739999999999997</v>
      </c>
      <c r="G12" s="331">
        <f>'Beta Calc'!N12</f>
        <v>0</v>
      </c>
      <c r="H12" s="331">
        <f t="shared" si="7"/>
        <v>7.9669999999999996</v>
      </c>
      <c r="I12" s="331">
        <f t="shared" si="8"/>
        <v>843.69370000000004</v>
      </c>
      <c r="J12" s="331">
        <f>'Beta Calc'!Q12</f>
        <v>169.01499999999999</v>
      </c>
      <c r="K12" s="331">
        <f t="shared" si="9"/>
        <v>674.67870000000005</v>
      </c>
      <c r="M12" s="1066">
        <f>IFERROR('Capital IQ Sheet-GPC'!AT15,"n/a")</f>
        <v>0</v>
      </c>
      <c r="N12" s="331">
        <f t="shared" si="0"/>
        <v>2.2465753424657535</v>
      </c>
      <c r="O12" s="1522">
        <f t="shared" si="0"/>
        <v>1.1815068493150685E-2</v>
      </c>
      <c r="P12" s="1523"/>
      <c r="Q12" s="1524">
        <f>IFERROR(HLOOKUP($Q$6,'Equity Vol'!$B$8:$K12,ROWS('Equity Vol'!$C$8:$C12),FALSE),"n/a")</f>
        <v>0.79703443847278144</v>
      </c>
      <c r="R12" s="1525"/>
      <c r="S12" s="1526">
        <f t="shared" si="10"/>
        <v>0.63526389611162204</v>
      </c>
      <c r="T12" s="1526">
        <f t="shared" si="1"/>
        <v>4.335238904854303</v>
      </c>
      <c r="U12" s="1527">
        <f t="shared" si="2"/>
        <v>3.1405974502901746</v>
      </c>
      <c r="V12" s="1527">
        <f t="shared" si="3"/>
        <v>0.99999271990486227</v>
      </c>
      <c r="W12" s="1527">
        <f t="shared" si="4"/>
        <v>0.99915698197993019</v>
      </c>
      <c r="X12" s="759">
        <f t="shared" si="5"/>
        <v>666.9220183453657</v>
      </c>
      <c r="Y12" s="1524">
        <f t="shared" si="11"/>
        <v>0.78787678673009842</v>
      </c>
      <c r="AA12" s="1177" t="str">
        <f>IF('MASTER PubCo Inputs'!B30=0,"",'MASTER PubCo Inputs'!B30)</f>
        <v>NasdaqGM:WVE</v>
      </c>
      <c r="AB12" s="331">
        <f>'Beta Calc'!Z12</f>
        <v>674.67870000000005</v>
      </c>
      <c r="AC12" s="1178">
        <f t="shared" si="6"/>
        <v>0</v>
      </c>
      <c r="AI12" s="1179"/>
    </row>
    <row r="13" spans="2:35" ht="14.85" customHeight="1">
      <c r="B13" s="250" t="str">
        <f>'Comp.1'!B15</f>
        <v>Regenxbio Inc.</v>
      </c>
      <c r="D13" s="331">
        <f>'Beta Calc'!K13</f>
        <v>589.07718</v>
      </c>
      <c r="E13" s="331">
        <f>'Beta Calc'!L13</f>
        <v>0</v>
      </c>
      <c r="F13" s="331">
        <f>'Beta Calc'!M13</f>
        <v>0</v>
      </c>
      <c r="G13" s="331">
        <f>'Beta Calc'!N13</f>
        <v>0</v>
      </c>
      <c r="H13" s="331">
        <f t="shared" si="7"/>
        <v>0</v>
      </c>
      <c r="I13" s="331">
        <f t="shared" si="8"/>
        <v>589.07718</v>
      </c>
      <c r="J13" s="331">
        <f>'Beta Calc'!Q13</f>
        <v>91.77</v>
      </c>
      <c r="K13" s="331">
        <f t="shared" si="9"/>
        <v>497.30718000000002</v>
      </c>
      <c r="M13" s="1066">
        <f>IFERROR('Capital IQ Sheet-GPC'!AT16,"n/a")</f>
        <v>0</v>
      </c>
      <c r="N13" s="331">
        <f t="shared" si="0"/>
        <v>2.2465753424657535</v>
      </c>
      <c r="O13" s="1522">
        <f t="shared" si="0"/>
        <v>1.1815068493150685E-2</v>
      </c>
      <c r="P13" s="1523"/>
      <c r="Q13" s="1524">
        <f>IFERROR(HLOOKUP($Q$6,'Equity Vol'!$B$8:$K13,ROWS('Equity Vol'!$C$8:$C13),FALSE),"n/a")</f>
        <v>0.74596470213292698</v>
      </c>
      <c r="R13" s="1525"/>
      <c r="S13" s="1526">
        <f t="shared" si="10"/>
        <v>0.55646333682826643</v>
      </c>
      <c r="T13" s="1526">
        <f t="shared" si="1"/>
        <v>0</v>
      </c>
      <c r="U13" s="1527">
        <f t="shared" si="2"/>
        <v>0</v>
      </c>
      <c r="V13" s="1527">
        <f t="shared" si="3"/>
        <v>0</v>
      </c>
      <c r="W13" s="1527">
        <f t="shared" si="4"/>
        <v>0</v>
      </c>
      <c r="X13" s="759">
        <f t="shared" si="5"/>
        <v>0</v>
      </c>
      <c r="Y13" s="1524">
        <f t="shared" si="11"/>
        <v>0.74596470213292698</v>
      </c>
      <c r="AA13" s="1177" t="str">
        <f>IF('MASTER PubCo Inputs'!B31=0,"",'MASTER PubCo Inputs'!B31)</f>
        <v>NasdaqGS:RGNX</v>
      </c>
      <c r="AB13" s="331">
        <f>'Beta Calc'!Z13</f>
        <v>497.30718000000002</v>
      </c>
      <c r="AC13" s="1178">
        <f t="shared" si="6"/>
        <v>0</v>
      </c>
      <c r="AI13" s="1179"/>
    </row>
    <row r="14" spans="2:35" ht="14.85" customHeight="1">
      <c r="B14" s="250" t="str">
        <f>'Comp.1'!B16</f>
        <v>Inovio Pharmaceuticals, Inc.</v>
      </c>
      <c r="D14" s="331">
        <f>'Beta Calc'!K14</f>
        <v>524.34855000000005</v>
      </c>
      <c r="E14" s="331">
        <f>'Beta Calc'!L14</f>
        <v>0</v>
      </c>
      <c r="F14" s="331">
        <f>'Beta Calc'!M14</f>
        <v>0</v>
      </c>
      <c r="G14" s="331">
        <f>'Beta Calc'!N14</f>
        <v>9.6269999999999994E-2</v>
      </c>
      <c r="H14" s="331">
        <f t="shared" si="7"/>
        <v>9.6269999999999994E-2</v>
      </c>
      <c r="I14" s="331">
        <f t="shared" si="8"/>
        <v>524.44482000000005</v>
      </c>
      <c r="J14" s="331">
        <f>'Beta Calc'!Q14</f>
        <v>119.68635</v>
      </c>
      <c r="K14" s="331">
        <f t="shared" si="9"/>
        <v>404.75847000000005</v>
      </c>
      <c r="M14" s="1066">
        <f>IFERROR('Capital IQ Sheet-GPC'!AT17,"n/a")</f>
        <v>0</v>
      </c>
      <c r="N14" s="331">
        <f t="shared" si="0"/>
        <v>2.2465753424657535</v>
      </c>
      <c r="O14" s="1522">
        <f t="shared" si="0"/>
        <v>1.1815068493150685E-2</v>
      </c>
      <c r="P14" s="1523"/>
      <c r="Q14" s="1524">
        <f>IFERROR(HLOOKUP($Q$6,'Equity Vol'!$B$8:$K14,ROWS('Equity Vol'!$C$8:$C14),FALSE),"n/a")</f>
        <v>0.6189501235098539</v>
      </c>
      <c r="R14" s="1525"/>
      <c r="S14" s="1526">
        <f t="shared" si="10"/>
        <v>0.38309925539286338</v>
      </c>
      <c r="T14" s="1526">
        <f t="shared" si="1"/>
        <v>9.4864601371643467</v>
      </c>
      <c r="U14" s="1527">
        <f t="shared" si="2"/>
        <v>8.5587417850323018</v>
      </c>
      <c r="V14" s="1527">
        <f t="shared" si="3"/>
        <v>1</v>
      </c>
      <c r="W14" s="1527">
        <f t="shared" si="4"/>
        <v>1</v>
      </c>
      <c r="X14" s="759">
        <f t="shared" si="5"/>
        <v>404.66472172147866</v>
      </c>
      <c r="Y14" s="1524">
        <f t="shared" si="11"/>
        <v>0.61880676515451261</v>
      </c>
      <c r="AA14" s="1177" t="str">
        <f>IF('MASTER PubCo Inputs'!B32=0,"",'MASTER PubCo Inputs'!B32)</f>
        <v>NasdaqGS:INO</v>
      </c>
      <c r="AB14" s="331">
        <f>'Beta Calc'!Z14</f>
        <v>404.75846999999999</v>
      </c>
      <c r="AC14" s="1178">
        <f t="shared" si="6"/>
        <v>0</v>
      </c>
      <c r="AI14" s="1179"/>
    </row>
    <row r="15" spans="2:35" ht="14.85" customHeight="1">
      <c r="B15" s="250" t="str">
        <f>'Comp.1'!B17</f>
        <v>Enanta Pharmaceuticals, Inc.</v>
      </c>
      <c r="D15" s="331">
        <f>'Beta Calc'!K15</f>
        <v>598.48901000000001</v>
      </c>
      <c r="E15" s="331">
        <f>'Beta Calc'!L15</f>
        <v>0.70699999999999996</v>
      </c>
      <c r="F15" s="331">
        <f>'Beta Calc'!M15</f>
        <v>1.2370000000000001</v>
      </c>
      <c r="G15" s="331">
        <f>'Beta Calc'!N15</f>
        <v>0</v>
      </c>
      <c r="H15" s="331">
        <f t="shared" si="7"/>
        <v>1.944</v>
      </c>
      <c r="I15" s="331">
        <f t="shared" si="8"/>
        <v>600.43300999999997</v>
      </c>
      <c r="J15" s="331">
        <f>'Beta Calc'!Q15</f>
        <v>218.465</v>
      </c>
      <c r="K15" s="331">
        <f t="shared" si="9"/>
        <v>381.96800999999994</v>
      </c>
      <c r="M15" s="1066">
        <f>IFERROR('Capital IQ Sheet-GPC'!AT18,"n/a")</f>
        <v>0</v>
      </c>
      <c r="N15" s="331">
        <f t="shared" si="0"/>
        <v>2.2465753424657535</v>
      </c>
      <c r="O15" s="1522">
        <f t="shared" si="0"/>
        <v>1.1815068493150685E-2</v>
      </c>
      <c r="P15" s="1523"/>
      <c r="Q15" s="1524">
        <f>IFERROR(HLOOKUP($Q$6,'Equity Vol'!$B$8:$K15,ROWS('Equity Vol'!$C$8:$C15),FALSE),"n/a")</f>
        <v>0.62241218308329371</v>
      </c>
      <c r="R15" s="1525"/>
      <c r="S15" s="1526">
        <f t="shared" si="10"/>
        <v>0.38739692565051154</v>
      </c>
      <c r="T15" s="1526">
        <f t="shared" si="1"/>
        <v>6.1552628339968471</v>
      </c>
      <c r="U15" s="1527">
        <f t="shared" si="2"/>
        <v>5.2223553461324403</v>
      </c>
      <c r="V15" s="1527">
        <f t="shared" si="3"/>
        <v>0.99999999962523456</v>
      </c>
      <c r="W15" s="1527">
        <f t="shared" si="4"/>
        <v>0.99999991166922597</v>
      </c>
      <c r="X15" s="759">
        <f t="shared" si="5"/>
        <v>380.07493166688965</v>
      </c>
      <c r="Y15" s="1524">
        <f t="shared" si="11"/>
        <v>0.61932743541187707</v>
      </c>
      <c r="AA15" s="1177" t="str">
        <f>IF('MASTER PubCo Inputs'!B33=0,"",'MASTER PubCo Inputs'!B33)</f>
        <v>NasdaqGS:ENTA</v>
      </c>
      <c r="AB15" s="331">
        <f>'Beta Calc'!Z15</f>
        <v>389.81500999999997</v>
      </c>
      <c r="AC15" s="1178">
        <f t="shared" si="6"/>
        <v>-7.8470000000000368</v>
      </c>
      <c r="AI15" s="1179"/>
    </row>
    <row r="16" spans="2:35" ht="14.85" customHeight="1">
      <c r="B16" s="250" t="str">
        <f>'Comp.1'!B18</f>
        <v>Editas Medicine, Inc.</v>
      </c>
      <c r="D16" s="331">
        <f>'Beta Calc'!K16</f>
        <v>508.51056999999997</v>
      </c>
      <c r="E16" s="331">
        <f>'Beta Calc'!L16</f>
        <v>32.048000000000002</v>
      </c>
      <c r="F16" s="331">
        <f>'Beta Calc'!M16</f>
        <v>0</v>
      </c>
      <c r="G16" s="331">
        <f>'Beta Calc'!N16</f>
        <v>0</v>
      </c>
      <c r="H16" s="331">
        <f t="shared" si="7"/>
        <v>32.048000000000002</v>
      </c>
      <c r="I16" s="331">
        <f t="shared" si="8"/>
        <v>540.55856999999992</v>
      </c>
      <c r="J16" s="331">
        <f>'Beta Calc'!Q16</f>
        <v>199.874</v>
      </c>
      <c r="K16" s="331">
        <f t="shared" si="9"/>
        <v>340.68456999999989</v>
      </c>
      <c r="M16" s="1066">
        <f>IFERROR('Capital IQ Sheet-GPC'!AT19,"n/a")</f>
        <v>0</v>
      </c>
      <c r="N16" s="331">
        <f t="shared" si="0"/>
        <v>2.2465753424657535</v>
      </c>
      <c r="O16" s="1522">
        <f t="shared" si="0"/>
        <v>1.1815068493150685E-2</v>
      </c>
      <c r="P16" s="1523"/>
      <c r="Q16" s="1524" t="str">
        <f>IFERROR(HLOOKUP($Q$6,'Equity Vol'!$B$8:$K16,ROWS('Equity Vol'!$C$8:$C16),FALSE),"n/a")</f>
        <v>n/a</v>
      </c>
      <c r="R16" s="1525"/>
      <c r="S16" s="1526" t="str">
        <f t="shared" si="10"/>
        <v>n/a</v>
      </c>
      <c r="T16" s="1526" t="str">
        <f t="shared" si="1"/>
        <v>n/a</v>
      </c>
      <c r="U16" s="1527" t="str">
        <f t="shared" si="2"/>
        <v>n/a</v>
      </c>
      <c r="V16" s="1527" t="str">
        <f t="shared" si="3"/>
        <v>n/a</v>
      </c>
      <c r="W16" s="1527" t="str">
        <f t="shared" si="4"/>
        <v>n/a</v>
      </c>
      <c r="X16" s="759" t="str">
        <f t="shared" si="5"/>
        <v>n/a</v>
      </c>
      <c r="Y16" s="1524" t="str">
        <f t="shared" si="11"/>
        <v>n/a</v>
      </c>
      <c r="AA16" s="1177" t="str">
        <f>IF('MASTER PubCo Inputs'!B34=0,"",'MASTER PubCo Inputs'!B34)</f>
        <v>NasdaqGS:EDIT</v>
      </c>
      <c r="AB16" s="331">
        <f>'Beta Calc'!Z16</f>
        <v>340.68457000000001</v>
      </c>
      <c r="AC16" s="1178">
        <f t="shared" si="6"/>
        <v>0</v>
      </c>
      <c r="AI16" s="1179"/>
    </row>
    <row r="17" spans="2:35" ht="14.85" customHeight="1">
      <c r="B17" s="250" t="str">
        <f>'Comp.1'!B19</f>
        <v>NantKwest, Inc.</v>
      </c>
      <c r="D17" s="331">
        <f>'Beta Calc'!K17</f>
        <v>538.73569999999995</v>
      </c>
      <c r="E17" s="331">
        <f>'Beta Calc'!L17</f>
        <v>7.7030000000000003</v>
      </c>
      <c r="F17" s="331">
        <f>'Beta Calc'!M17</f>
        <v>0</v>
      </c>
      <c r="G17" s="331">
        <f>'Beta Calc'!N17</f>
        <v>0</v>
      </c>
      <c r="H17" s="331">
        <f t="shared" si="7"/>
        <v>7.7030000000000003</v>
      </c>
      <c r="I17" s="331">
        <f t="shared" si="8"/>
        <v>546.43869999999993</v>
      </c>
      <c r="J17" s="331">
        <f>'Beta Calc'!Q17</f>
        <v>209.256</v>
      </c>
      <c r="K17" s="331">
        <f t="shared" si="9"/>
        <v>337.18269999999995</v>
      </c>
      <c r="M17" s="1066">
        <f>IFERROR('Capital IQ Sheet-GPC'!AT20,"n/a")</f>
        <v>0</v>
      </c>
      <c r="N17" s="331">
        <f t="shared" si="0"/>
        <v>2.2465753424657535</v>
      </c>
      <c r="O17" s="1522">
        <f t="shared" si="0"/>
        <v>1.1815068493150685E-2</v>
      </c>
      <c r="P17" s="1523"/>
      <c r="Q17" s="1524">
        <f>IFERROR(HLOOKUP($Q$6,'Equity Vol'!$B$8:$K17,ROWS('Equity Vol'!$C$8:$C17),FALSE),"n/a")</f>
        <v>0.87724623477379815</v>
      </c>
      <c r="R17" s="1525"/>
      <c r="S17" s="1526">
        <f t="shared" si="10"/>
        <v>0.76956095642480582</v>
      </c>
      <c r="T17" s="1526">
        <f t="shared" si="1"/>
        <v>3.5516861293293025</v>
      </c>
      <c r="U17" s="1527">
        <f t="shared" si="2"/>
        <v>2.2368185811601604</v>
      </c>
      <c r="V17" s="1527">
        <f t="shared" si="3"/>
        <v>0.99980861441978996</v>
      </c>
      <c r="W17" s="1527">
        <f t="shared" si="4"/>
        <v>0.98735090019340011</v>
      </c>
      <c r="X17" s="759">
        <f t="shared" si="5"/>
        <v>329.71182623498549</v>
      </c>
      <c r="Y17" s="1524">
        <f t="shared" si="11"/>
        <v>0.85797351047827419</v>
      </c>
      <c r="AA17" s="1177" t="str">
        <f>IF('MASTER PubCo Inputs'!B35=0,"",'MASTER PubCo Inputs'!B35)</f>
        <v>NasdaqGS:NK</v>
      </c>
      <c r="AB17" s="331">
        <f>'Beta Calc'!Z17</f>
        <v>337.18270000000001</v>
      </c>
      <c r="AC17" s="1178">
        <f t="shared" si="6"/>
        <v>0</v>
      </c>
      <c r="AI17" s="1179"/>
    </row>
    <row r="18" spans="2:35" ht="14.85" customHeight="1">
      <c r="B18" s="250" t="str">
        <f>'Comp.1'!B20</f>
        <v>Cocrystal Pharma, Inc.</v>
      </c>
      <c r="D18" s="331">
        <f>'Beta Calc'!K18</f>
        <v>317.20850000000002</v>
      </c>
      <c r="E18" s="331">
        <f>'Beta Calc'!L18</f>
        <v>0</v>
      </c>
      <c r="F18" s="331">
        <f>'Beta Calc'!M18</f>
        <v>0</v>
      </c>
      <c r="G18" s="331">
        <f>'Beta Calc'!N18</f>
        <v>0</v>
      </c>
      <c r="H18" s="331">
        <f t="shared" si="7"/>
        <v>0</v>
      </c>
      <c r="I18" s="331">
        <f t="shared" si="8"/>
        <v>317.20850000000002</v>
      </c>
      <c r="J18" s="331">
        <f>'Beta Calc'!Q18</f>
        <v>5.9059999999999997</v>
      </c>
      <c r="K18" s="331">
        <f t="shared" si="9"/>
        <v>311.30250000000001</v>
      </c>
      <c r="M18" s="1066">
        <f>IFERROR('Capital IQ Sheet-GPC'!AT21,"n/a")</f>
        <v>0</v>
      </c>
      <c r="N18" s="331">
        <f t="shared" si="0"/>
        <v>2.2465753424657535</v>
      </c>
      <c r="O18" s="1522">
        <f t="shared" si="0"/>
        <v>1.1815068493150685E-2</v>
      </c>
      <c r="P18" s="1523"/>
      <c r="Q18" s="1524">
        <f>IFERROR(HLOOKUP($Q$6,'Equity Vol'!$B$8:$K18,ROWS('Equity Vol'!$C$8:$C18),FALSE),"n/a")</f>
        <v>0.82210152397422587</v>
      </c>
      <c r="R18" s="1525"/>
      <c r="S18" s="1526">
        <f t="shared" si="10"/>
        <v>0.67585091572074463</v>
      </c>
      <c r="T18" s="1526">
        <f t="shared" si="1"/>
        <v>0</v>
      </c>
      <c r="U18" s="1527">
        <f t="shared" si="2"/>
        <v>0</v>
      </c>
      <c r="V18" s="1527">
        <f t="shared" si="3"/>
        <v>0</v>
      </c>
      <c r="W18" s="1527">
        <f t="shared" si="4"/>
        <v>0</v>
      </c>
      <c r="X18" s="759">
        <f t="shared" si="5"/>
        <v>0</v>
      </c>
      <c r="Y18" s="1524">
        <f t="shared" si="11"/>
        <v>0.82210152397422587</v>
      </c>
      <c r="AA18" s="1177" t="str">
        <f>IF('MASTER PubCo Inputs'!B36=0,"",'MASTER PubCo Inputs'!B36)</f>
        <v>OTCBB:COCP</v>
      </c>
      <c r="AB18" s="331">
        <f>'Beta Calc'!Z18</f>
        <v>311.30250000000001</v>
      </c>
      <c r="AC18" s="1178">
        <f t="shared" si="6"/>
        <v>0</v>
      </c>
      <c r="AI18" s="1179"/>
    </row>
    <row r="19" spans="2:35" ht="14.85" customHeight="1">
      <c r="B19" s="250" t="str">
        <f>'Comp.1'!B21</f>
        <v>Intellia Therapeutics Inc.</v>
      </c>
      <c r="D19" s="331">
        <f>'Beta Calc'!K19</f>
        <v>566.92646000000002</v>
      </c>
      <c r="E19" s="331">
        <f>'Beta Calc'!L19</f>
        <v>0</v>
      </c>
      <c r="F19" s="331">
        <f>'Beta Calc'!M19</f>
        <v>0</v>
      </c>
      <c r="G19" s="331">
        <f>'Beta Calc'!N19</f>
        <v>0</v>
      </c>
      <c r="H19" s="331">
        <f t="shared" si="7"/>
        <v>0</v>
      </c>
      <c r="I19" s="331">
        <f t="shared" si="8"/>
        <v>566.92646000000002</v>
      </c>
      <c r="J19" s="331">
        <f>'Beta Calc'!Q19</f>
        <v>290.61799999999999</v>
      </c>
      <c r="K19" s="331">
        <f t="shared" si="9"/>
        <v>276.30846000000003</v>
      </c>
      <c r="M19" s="1066">
        <f>IFERROR('Capital IQ Sheet-GPC'!AT22,"n/a")</f>
        <v>0</v>
      </c>
      <c r="N19" s="331">
        <f t="shared" si="0"/>
        <v>2.2465753424657535</v>
      </c>
      <c r="O19" s="1522">
        <f t="shared" si="0"/>
        <v>1.1815068493150685E-2</v>
      </c>
      <c r="P19" s="1523"/>
      <c r="Q19" s="1524" t="str">
        <f>IFERROR(HLOOKUP($Q$6,'Equity Vol'!$B$8:$K19,ROWS('Equity Vol'!$C$8:$C19),FALSE),"n/a")</f>
        <v>n/a</v>
      </c>
      <c r="R19" s="1525"/>
      <c r="S19" s="1526" t="str">
        <f t="shared" si="10"/>
        <v>n/a</v>
      </c>
      <c r="T19" s="1526" t="str">
        <f t="shared" si="1"/>
        <v>n/a</v>
      </c>
      <c r="U19" s="1527" t="str">
        <f t="shared" si="2"/>
        <v>n/a</v>
      </c>
      <c r="V19" s="1527" t="str">
        <f t="shared" si="3"/>
        <v>n/a</v>
      </c>
      <c r="W19" s="1527" t="str">
        <f t="shared" si="4"/>
        <v>n/a</v>
      </c>
      <c r="X19" s="759" t="str">
        <f t="shared" si="5"/>
        <v>n/a</v>
      </c>
      <c r="Y19" s="1524" t="str">
        <f t="shared" si="11"/>
        <v>n/a</v>
      </c>
      <c r="AA19" s="1177" t="str">
        <f>IF('MASTER PubCo Inputs'!B37=0,"",'MASTER PubCo Inputs'!B37)</f>
        <v>NasdaqGM:NTLA</v>
      </c>
      <c r="AB19" s="331">
        <f>'Beta Calc'!Z19</f>
        <v>276.30846000000003</v>
      </c>
      <c r="AC19" s="1178">
        <f t="shared" si="6"/>
        <v>0</v>
      </c>
      <c r="AI19" s="1179"/>
    </row>
    <row r="20" spans="2:35" ht="14.85" customHeight="1">
      <c r="B20" s="250" t="str">
        <f>'Comp.1'!B22</f>
        <v>GenSight Biologics S.A.</v>
      </c>
      <c r="D20" s="331">
        <f>'Beta Calc'!K20</f>
        <v>256.04862000000003</v>
      </c>
      <c r="E20" s="331">
        <f>'Beta Calc'!L20</f>
        <v>0.67574000000000001</v>
      </c>
      <c r="F20" s="331">
        <f>'Beta Calc'!M20</f>
        <v>0</v>
      </c>
      <c r="G20" s="331">
        <f>'Beta Calc'!N20</f>
        <v>0</v>
      </c>
      <c r="H20" s="331">
        <f t="shared" si="7"/>
        <v>0.67574000000000001</v>
      </c>
      <c r="I20" s="331">
        <f t="shared" si="8"/>
        <v>256.72436000000005</v>
      </c>
      <c r="J20" s="331">
        <f>'Beta Calc'!Q20</f>
        <v>32.647199999999998</v>
      </c>
      <c r="K20" s="331">
        <f t="shared" si="9"/>
        <v>224.07716000000005</v>
      </c>
      <c r="M20" s="1066">
        <f>IFERROR('Capital IQ Sheet-GPC'!AT23,"n/a")</f>
        <v>0</v>
      </c>
      <c r="N20" s="331">
        <f t="shared" si="0"/>
        <v>2.2465753424657535</v>
      </c>
      <c r="O20" s="1522">
        <f t="shared" si="0"/>
        <v>1.1815068493150685E-2</v>
      </c>
      <c r="P20" s="1523"/>
      <c r="Q20" s="1524" t="str">
        <f>IFERROR(HLOOKUP($Q$6,'Equity Vol'!$B$8:$K20,ROWS('Equity Vol'!$C$8:$C20),FALSE),"n/a")</f>
        <v>n/a</v>
      </c>
      <c r="R20" s="1525"/>
      <c r="S20" s="1526" t="str">
        <f t="shared" si="10"/>
        <v>n/a</v>
      </c>
      <c r="T20" s="1526" t="str">
        <f t="shared" si="1"/>
        <v>n/a</v>
      </c>
      <c r="U20" s="1527" t="str">
        <f t="shared" si="2"/>
        <v>n/a</v>
      </c>
      <c r="V20" s="1527" t="str">
        <f t="shared" si="3"/>
        <v>n/a</v>
      </c>
      <c r="W20" s="1527" t="str">
        <f t="shared" si="4"/>
        <v>n/a</v>
      </c>
      <c r="X20" s="759" t="str">
        <f t="shared" si="5"/>
        <v>n/a</v>
      </c>
      <c r="Y20" s="1524" t="str">
        <f t="shared" si="11"/>
        <v>n/a</v>
      </c>
      <c r="AA20" s="1177" t="str">
        <f>IF('MASTER PubCo Inputs'!B38=0,"",'MASTER PubCo Inputs'!B38)</f>
        <v>ENXTPA:SIGHT</v>
      </c>
      <c r="AB20" s="331">
        <f>'Beta Calc'!Z20</f>
        <v>224.93052</v>
      </c>
      <c r="AC20" s="1178">
        <f t="shared" si="6"/>
        <v>-0.85335999999995238</v>
      </c>
      <c r="AI20" s="1179"/>
    </row>
    <row r="21" spans="2:35" ht="14.85" customHeight="1">
      <c r="B21" s="250" t="str">
        <f>'Comp.1'!B23</f>
        <v>Advaxis, Inc.</v>
      </c>
      <c r="D21" s="331">
        <f>'Beta Calc'!K21</f>
        <v>331.10462000000001</v>
      </c>
      <c r="E21" s="331">
        <f>'Beta Calc'!L21</f>
        <v>0</v>
      </c>
      <c r="F21" s="331">
        <f>'Beta Calc'!M21</f>
        <v>0</v>
      </c>
      <c r="G21" s="331">
        <f>'Beta Calc'!N21</f>
        <v>0</v>
      </c>
      <c r="H21" s="331">
        <f t="shared" si="7"/>
        <v>0</v>
      </c>
      <c r="I21" s="331">
        <f t="shared" si="8"/>
        <v>331.10462000000001</v>
      </c>
      <c r="J21" s="331">
        <f>'Beta Calc'!Q21</f>
        <v>78.717920000000007</v>
      </c>
      <c r="K21" s="331">
        <f t="shared" si="9"/>
        <v>252.38670000000002</v>
      </c>
      <c r="M21" s="1066">
        <f>IFERROR('Capital IQ Sheet-GPC'!AT24,"n/a")</f>
        <v>0</v>
      </c>
      <c r="N21" s="331">
        <f t="shared" si="0"/>
        <v>2.2465753424657535</v>
      </c>
      <c r="O21" s="1522">
        <f t="shared" si="0"/>
        <v>1.1815068493150685E-2</v>
      </c>
      <c r="P21" s="1523"/>
      <c r="Q21" s="1524">
        <f>IFERROR(HLOOKUP($Q$6,'Equity Vol'!$B$8:$K21,ROWS('Equity Vol'!$C$8:$C21),FALSE),"n/a")</f>
        <v>1.0114092642984704</v>
      </c>
      <c r="R21" s="1525"/>
      <c r="S21" s="1526">
        <f t="shared" si="10"/>
        <v>1.0229486999087734</v>
      </c>
      <c r="T21" s="1526">
        <f t="shared" si="1"/>
        <v>0</v>
      </c>
      <c r="U21" s="1527">
        <f t="shared" si="2"/>
        <v>0</v>
      </c>
      <c r="V21" s="1527">
        <f t="shared" si="3"/>
        <v>0</v>
      </c>
      <c r="W21" s="1527">
        <f t="shared" si="4"/>
        <v>0</v>
      </c>
      <c r="X21" s="759">
        <f t="shared" si="5"/>
        <v>0</v>
      </c>
      <c r="Y21" s="1524">
        <f t="shared" si="11"/>
        <v>1.0114092642984704</v>
      </c>
      <c r="AA21" s="1177" t="str">
        <f>IF('MASTER PubCo Inputs'!B39=0,"",'MASTER PubCo Inputs'!B39)</f>
        <v>NasdaqCM:ADXS</v>
      </c>
      <c r="AB21" s="331">
        <f>'Beta Calc'!Z21</f>
        <v>252.38669999999999</v>
      </c>
      <c r="AC21" s="1178">
        <f t="shared" si="6"/>
        <v>0</v>
      </c>
      <c r="AI21" s="1179"/>
    </row>
    <row r="22" spans="2:35" ht="14.85" customHeight="1">
      <c r="B22" s="250" t="str">
        <f>'Comp.1'!B24</f>
        <v>Audentes Therapeutics, Inc.</v>
      </c>
      <c r="D22" s="331">
        <f>'Beta Calc'!K22</f>
        <v>356.94443000000001</v>
      </c>
      <c r="E22" s="331">
        <f>'Beta Calc'!L22</f>
        <v>0</v>
      </c>
      <c r="F22" s="331">
        <f>'Beta Calc'!M22</f>
        <v>0</v>
      </c>
      <c r="G22" s="331">
        <f>'Beta Calc'!N22</f>
        <v>0</v>
      </c>
      <c r="H22" s="331">
        <f t="shared" si="7"/>
        <v>0</v>
      </c>
      <c r="I22" s="331">
        <f t="shared" si="8"/>
        <v>356.94443000000001</v>
      </c>
      <c r="J22" s="331">
        <f>'Beta Calc'!Q22</f>
        <v>119.18</v>
      </c>
      <c r="K22" s="331">
        <f t="shared" si="9"/>
        <v>237.76443</v>
      </c>
      <c r="M22" s="1066">
        <f>IFERROR('Capital IQ Sheet-GPC'!AT25,"n/a")</f>
        <v>0</v>
      </c>
      <c r="N22" s="331">
        <f t="shared" si="0"/>
        <v>2.2465753424657535</v>
      </c>
      <c r="O22" s="1522">
        <f t="shared" si="0"/>
        <v>1.1815068493150685E-2</v>
      </c>
      <c r="P22" s="1523"/>
      <c r="Q22" s="1524" t="str">
        <f>IFERROR(HLOOKUP($Q$6,'Equity Vol'!$B$8:$K22,ROWS('Equity Vol'!$C$8:$C22),FALSE),"n/a")</f>
        <v>n/a</v>
      </c>
      <c r="R22" s="1525"/>
      <c r="S22" s="1526" t="str">
        <f t="shared" si="10"/>
        <v>n/a</v>
      </c>
      <c r="T22" s="1526" t="str">
        <f t="shared" si="1"/>
        <v>n/a</v>
      </c>
      <c r="U22" s="1527" t="str">
        <f t="shared" si="2"/>
        <v>n/a</v>
      </c>
      <c r="V22" s="1527" t="str">
        <f t="shared" si="3"/>
        <v>n/a</v>
      </c>
      <c r="W22" s="1527" t="str">
        <f t="shared" si="4"/>
        <v>n/a</v>
      </c>
      <c r="X22" s="759" t="str">
        <f t="shared" si="5"/>
        <v>n/a</v>
      </c>
      <c r="Y22" s="1524" t="str">
        <f t="shared" si="11"/>
        <v>n/a</v>
      </c>
      <c r="AA22" s="1177" t="str">
        <f>IF('MASTER PubCo Inputs'!B40=0,"",'MASTER PubCo Inputs'!B40)</f>
        <v>NasdaqGM:BOLD</v>
      </c>
      <c r="AB22" s="331">
        <f>'Beta Calc'!Z22</f>
        <v>237.76443</v>
      </c>
      <c r="AC22" s="1178">
        <f t="shared" si="6"/>
        <v>0</v>
      </c>
      <c r="AI22" s="1179"/>
    </row>
    <row r="23" spans="2:35" ht="14.85" customHeight="1">
      <c r="B23" s="250" t="str">
        <f>'Comp.1'!B25</f>
        <v>Syros Pharmaceuticals, Inc.</v>
      </c>
      <c r="D23" s="331">
        <f>'Beta Calc'!K23</f>
        <v>317.50677000000002</v>
      </c>
      <c r="E23" s="331">
        <f>'Beta Calc'!L23</f>
        <v>0.26100000000000001</v>
      </c>
      <c r="F23" s="331">
        <f>'Beta Calc'!M23</f>
        <v>0</v>
      </c>
      <c r="G23" s="331">
        <f>'Beta Calc'!N23</f>
        <v>0</v>
      </c>
      <c r="H23" s="331">
        <f t="shared" si="7"/>
        <v>0.26100000000000001</v>
      </c>
      <c r="I23" s="331">
        <f t="shared" si="8"/>
        <v>317.76777000000004</v>
      </c>
      <c r="J23" s="331">
        <f>'Beta Calc'!Q23</f>
        <v>93.494</v>
      </c>
      <c r="K23" s="331">
        <f t="shared" si="9"/>
        <v>224.27377000000004</v>
      </c>
      <c r="M23" s="1066">
        <f>IFERROR('Capital IQ Sheet-GPC'!AT26,"n/a")</f>
        <v>0</v>
      </c>
      <c r="N23" s="331">
        <f t="shared" si="0"/>
        <v>2.2465753424657535</v>
      </c>
      <c r="O23" s="1522">
        <f t="shared" si="0"/>
        <v>1.1815068493150685E-2</v>
      </c>
      <c r="P23" s="1523"/>
      <c r="Q23" s="1524" t="str">
        <f>IFERROR(HLOOKUP($Q$6,'Equity Vol'!$B$8:$K23,ROWS('Equity Vol'!$C$8:$C23),FALSE),"n/a")</f>
        <v>n/a</v>
      </c>
      <c r="R23" s="1525"/>
      <c r="S23" s="1526" t="str">
        <f t="shared" si="10"/>
        <v>n/a</v>
      </c>
      <c r="T23" s="1526" t="str">
        <f t="shared" si="1"/>
        <v>n/a</v>
      </c>
      <c r="U23" s="1527" t="str">
        <f t="shared" si="2"/>
        <v>n/a</v>
      </c>
      <c r="V23" s="1527" t="str">
        <f t="shared" si="3"/>
        <v>n/a</v>
      </c>
      <c r="W23" s="1527" t="str">
        <f t="shared" si="4"/>
        <v>n/a</v>
      </c>
      <c r="X23" s="759" t="str">
        <f t="shared" si="5"/>
        <v>n/a</v>
      </c>
      <c r="Y23" s="1524" t="str">
        <f t="shared" si="11"/>
        <v>n/a</v>
      </c>
      <c r="AA23" s="1177" t="str">
        <f>IF('MASTER PubCo Inputs'!B41=0,"",'MASTER PubCo Inputs'!B41)</f>
        <v>NasdaqGS:SYRS</v>
      </c>
      <c r="AB23" s="331">
        <f>'Beta Calc'!Z23</f>
        <v>224.27377000000001</v>
      </c>
      <c r="AC23" s="1178">
        <f t="shared" si="6"/>
        <v>0</v>
      </c>
      <c r="AI23" s="1179"/>
    </row>
    <row r="24" spans="2:35" ht="14.85" customHeight="1">
      <c r="B24" s="250" t="str">
        <f>'Comp.1'!B26</f>
        <v>Abeona Therapeutics Inc.</v>
      </c>
      <c r="D24" s="331">
        <f>'Beta Calc'!K24</f>
        <v>249.7473</v>
      </c>
      <c r="E24" s="331">
        <f>'Beta Calc'!L24</f>
        <v>0</v>
      </c>
      <c r="F24" s="331">
        <f>'Beta Calc'!M24</f>
        <v>0</v>
      </c>
      <c r="G24" s="331">
        <f>'Beta Calc'!N24</f>
        <v>0</v>
      </c>
      <c r="H24" s="331">
        <f t="shared" si="7"/>
        <v>0</v>
      </c>
      <c r="I24" s="331">
        <f t="shared" si="8"/>
        <v>249.7473</v>
      </c>
      <c r="J24" s="331">
        <f>'Beta Calc'!Q24</f>
        <v>31.184999999999999</v>
      </c>
      <c r="K24" s="331">
        <f t="shared" si="9"/>
        <v>218.56229999999999</v>
      </c>
      <c r="M24" s="1066">
        <f>IFERROR('Capital IQ Sheet-GPC'!AT27,"n/a")</f>
        <v>0</v>
      </c>
      <c r="N24" s="331">
        <f t="shared" si="0"/>
        <v>2.2465753424657535</v>
      </c>
      <c r="O24" s="1522">
        <f t="shared" si="0"/>
        <v>1.1815068493150685E-2</v>
      </c>
      <c r="P24" s="1523"/>
      <c r="Q24" s="1524">
        <f>IFERROR(HLOOKUP($Q$6,'Equity Vol'!$B$8:$K24,ROWS('Equity Vol'!$C$8:$C24),FALSE),"n/a")</f>
        <v>1.0161279587876995</v>
      </c>
      <c r="R24" s="1525"/>
      <c r="S24" s="1526">
        <f t="shared" si="10"/>
        <v>1.0325160286300568</v>
      </c>
      <c r="T24" s="1526">
        <f t="shared" si="1"/>
        <v>0</v>
      </c>
      <c r="U24" s="1527">
        <f t="shared" si="2"/>
        <v>0</v>
      </c>
      <c r="V24" s="1527">
        <f t="shared" si="3"/>
        <v>0</v>
      </c>
      <c r="W24" s="1527">
        <f t="shared" si="4"/>
        <v>0</v>
      </c>
      <c r="X24" s="759">
        <f t="shared" si="5"/>
        <v>0</v>
      </c>
      <c r="Y24" s="1524">
        <f t="shared" si="11"/>
        <v>1.0161279587876995</v>
      </c>
      <c r="AA24" s="1177" t="str">
        <f>IF('MASTER PubCo Inputs'!B42=0,"",'MASTER PubCo Inputs'!B42)</f>
        <v>NasdaqCM:ABEO</v>
      </c>
      <c r="AB24" s="331">
        <f>'Beta Calc'!Z24</f>
        <v>218.56229999999999</v>
      </c>
      <c r="AC24" s="1178">
        <f t="shared" si="6"/>
        <v>0</v>
      </c>
      <c r="AI24" s="1179"/>
    </row>
    <row r="25" spans="2:35" ht="14.85" customHeight="1">
      <c r="B25" s="250" t="str">
        <f>'Comp.1'!B27</f>
        <v>Idera Pharmaceuticals, Inc.</v>
      </c>
      <c r="D25" s="331">
        <f>'Beta Calc'!K25</f>
        <v>249.53377</v>
      </c>
      <c r="E25" s="331">
        <f>'Beta Calc'!L25</f>
        <v>0.56899999999999995</v>
      </c>
      <c r="F25" s="331">
        <f>'Beta Calc'!M25</f>
        <v>0</v>
      </c>
      <c r="G25" s="331">
        <f>'Beta Calc'!N25</f>
        <v>0</v>
      </c>
      <c r="H25" s="331">
        <f t="shared" si="7"/>
        <v>0.56899999999999995</v>
      </c>
      <c r="I25" s="331">
        <f t="shared" si="8"/>
        <v>250.10276999999999</v>
      </c>
      <c r="J25" s="331">
        <f>'Beta Calc'!Q25</f>
        <v>52.01</v>
      </c>
      <c r="K25" s="331">
        <f t="shared" si="9"/>
        <v>198.09277</v>
      </c>
      <c r="M25" s="1066">
        <f>IFERROR('Capital IQ Sheet-GPC'!AT28,"n/a")</f>
        <v>0</v>
      </c>
      <c r="N25" s="331">
        <f t="shared" si="0"/>
        <v>2.2465753424657535</v>
      </c>
      <c r="O25" s="1522">
        <f t="shared" si="0"/>
        <v>1.1815068493150685E-2</v>
      </c>
      <c r="P25" s="1523"/>
      <c r="Q25" s="1524">
        <f>IFERROR(HLOOKUP($Q$6,'Equity Vol'!$B$8:$K25,ROWS('Equity Vol'!$C$8:$C25),FALSE),"n/a")</f>
        <v>0.75325423670083858</v>
      </c>
      <c r="R25" s="1525"/>
      <c r="S25" s="1526">
        <f t="shared" si="10"/>
        <v>0.56739194510776292</v>
      </c>
      <c r="T25" s="1526">
        <f t="shared" si="1"/>
        <v>5.771812272086434</v>
      </c>
      <c r="U25" s="1527">
        <f t="shared" si="2"/>
        <v>4.6427911237491752</v>
      </c>
      <c r="V25" s="1527">
        <f t="shared" si="3"/>
        <v>0.99999999607882706</v>
      </c>
      <c r="W25" s="1527">
        <f t="shared" si="4"/>
        <v>0.99999828133096869</v>
      </c>
      <c r="X25" s="759">
        <f t="shared" si="5"/>
        <v>197.53867470989493</v>
      </c>
      <c r="Y25" s="1524">
        <f t="shared" si="11"/>
        <v>0.75114727418348148</v>
      </c>
      <c r="AA25" s="1177" t="str">
        <f>IF('MASTER PubCo Inputs'!B43=0,"",'MASTER PubCo Inputs'!B43)</f>
        <v>NasdaqCM:IDRA</v>
      </c>
      <c r="AB25" s="331">
        <f>'Beta Calc'!Z25</f>
        <v>198.09277</v>
      </c>
      <c r="AC25" s="1178">
        <f t="shared" si="6"/>
        <v>0</v>
      </c>
      <c r="AI25" s="1179"/>
    </row>
    <row r="26" spans="2:35" ht="14.85" customHeight="1">
      <c r="B26" s="250" t="str">
        <f>'Comp.1'!B28</f>
        <v>Achillion Pharmaceuticals, Inc.</v>
      </c>
      <c r="D26" s="331">
        <f>'Beta Calc'!K26</f>
        <v>565.85888</v>
      </c>
      <c r="E26" s="331">
        <f>'Beta Calc'!L26</f>
        <v>0.28899999999999998</v>
      </c>
      <c r="F26" s="331">
        <f>'Beta Calc'!M26</f>
        <v>0</v>
      </c>
      <c r="G26" s="331">
        <f>'Beta Calc'!N26</f>
        <v>0</v>
      </c>
      <c r="H26" s="331">
        <f t="shared" si="7"/>
        <v>0.28899999999999998</v>
      </c>
      <c r="I26" s="331">
        <f t="shared" si="8"/>
        <v>566.14787999999999</v>
      </c>
      <c r="J26" s="331">
        <f>'Beta Calc'!Q26</f>
        <v>408.70499999999998</v>
      </c>
      <c r="K26" s="331">
        <f t="shared" si="9"/>
        <v>157.44288</v>
      </c>
      <c r="M26" s="1066">
        <f>IFERROR('Capital IQ Sheet-GPC'!AT29,"n/a")</f>
        <v>0</v>
      </c>
      <c r="N26" s="331">
        <f t="shared" si="0"/>
        <v>2.2465753424657535</v>
      </c>
      <c r="O26" s="1522">
        <f t="shared" si="0"/>
        <v>1.1815068493150685E-2</v>
      </c>
      <c r="P26" s="1523"/>
      <c r="Q26" s="1524">
        <f>IFERROR(HLOOKUP($Q$6,'Equity Vol'!$B$8:$K26,ROWS('Equity Vol'!$C$8:$C26),FALSE),"n/a")</f>
        <v>0.65060803171501025</v>
      </c>
      <c r="R26" s="1525"/>
      <c r="S26" s="1526">
        <f t="shared" si="10"/>
        <v>0.42329081093207976</v>
      </c>
      <c r="T26" s="1526">
        <f t="shared" si="1"/>
        <v>6.9756233826233842</v>
      </c>
      <c r="U26" s="1527">
        <f t="shared" si="2"/>
        <v>6.0004543211102828</v>
      </c>
      <c r="V26" s="1527">
        <f t="shared" si="3"/>
        <v>0.99999999999847744</v>
      </c>
      <c r="W26" s="1527">
        <f t="shared" si="4"/>
        <v>0.99999999901616898</v>
      </c>
      <c r="X26" s="759">
        <f t="shared" si="5"/>
        <v>157.16145014138249</v>
      </c>
      <c r="Y26" s="1524">
        <f t="shared" si="11"/>
        <v>0.64944506692279291</v>
      </c>
      <c r="AA26" s="1177" t="str">
        <f>IF('MASTER PubCo Inputs'!B44=0,"",'MASTER PubCo Inputs'!B44)</f>
        <v>NasdaqGS:ACHN</v>
      </c>
      <c r="AB26" s="331">
        <f>'Beta Calc'!Z26</f>
        <v>157.44288</v>
      </c>
      <c r="AC26" s="1178">
        <f t="shared" si="6"/>
        <v>0</v>
      </c>
      <c r="AI26" s="1179"/>
    </row>
    <row r="27" spans="2:35" ht="14.85" customHeight="1">
      <c r="B27" s="250" t="str">
        <f>'Comp.1'!B29</f>
        <v>ContraVir Pharmaceuticals, Inc.</v>
      </c>
      <c r="D27" s="331">
        <f>'Beta Calc'!K27</f>
        <v>118.69085</v>
      </c>
      <c r="E27" s="331">
        <f>'Beta Calc'!L27</f>
        <v>0</v>
      </c>
      <c r="F27" s="331">
        <f>'Beta Calc'!M27</f>
        <v>1.83091</v>
      </c>
      <c r="G27" s="331">
        <f>'Beta Calc'!N27</f>
        <v>0</v>
      </c>
      <c r="H27" s="331">
        <f t="shared" si="7"/>
        <v>1.83091</v>
      </c>
      <c r="I27" s="331">
        <f t="shared" si="8"/>
        <v>120.52176</v>
      </c>
      <c r="J27" s="331">
        <f>'Beta Calc'!Q27</f>
        <v>3.0281600000000002</v>
      </c>
      <c r="K27" s="331">
        <f t="shared" si="9"/>
        <v>117.4936</v>
      </c>
      <c r="M27" s="1066">
        <f>IFERROR('Capital IQ Sheet-GPC'!AT30,"n/a")</f>
        <v>0</v>
      </c>
      <c r="N27" s="331">
        <f t="shared" si="0"/>
        <v>2.2465753424657535</v>
      </c>
      <c r="O27" s="1522">
        <f t="shared" si="0"/>
        <v>1.1815068493150685E-2</v>
      </c>
      <c r="P27" s="1523"/>
      <c r="Q27" s="1524">
        <f>IFERROR(HLOOKUP($Q$6,'Equity Vol'!$B$8:$K27,ROWS('Equity Vol'!$C$8:$C27),FALSE),"n/a")</f>
        <v>1.1933416076473253</v>
      </c>
      <c r="R27" s="1525"/>
      <c r="S27" s="1526">
        <f t="shared" si="10"/>
        <v>1.424064192542303</v>
      </c>
      <c r="T27" s="1526">
        <f t="shared" si="1"/>
        <v>3.235819830809195</v>
      </c>
      <c r="U27" s="1527">
        <f t="shared" si="2"/>
        <v>1.4471702002068398</v>
      </c>
      <c r="V27" s="1527">
        <f t="shared" si="3"/>
        <v>0.99939353041543899</v>
      </c>
      <c r="W27" s="1527">
        <f t="shared" si="4"/>
        <v>0.92607536973976701</v>
      </c>
      <c r="X27" s="759">
        <f t="shared" si="5"/>
        <v>115.77119700786209</v>
      </c>
      <c r="Y27" s="1524">
        <f t="shared" si="11"/>
        <v>1.1765613084971698</v>
      </c>
      <c r="AA27" s="1177" t="str">
        <f>IF('MASTER PubCo Inputs'!B45=0,"",'MASTER PubCo Inputs'!B45)</f>
        <v>NasdaqCM:CTRV</v>
      </c>
      <c r="AB27" s="331">
        <f>'Beta Calc'!Z27</f>
        <v>117.4936</v>
      </c>
      <c r="AC27" s="1178">
        <f t="shared" si="6"/>
        <v>0</v>
      </c>
      <c r="AI27" s="1179"/>
    </row>
    <row r="28" spans="2:35" ht="14.85" customHeight="1">
      <c r="B28" s="250" t="str">
        <f>'Comp.1'!B30</f>
        <v>Sangamo Therapeutics, Inc.</v>
      </c>
      <c r="D28" s="331">
        <f>'Beta Calc'!K28</f>
        <v>225.99635000000001</v>
      </c>
      <c r="E28" s="331">
        <f>'Beta Calc'!L28</f>
        <v>0</v>
      </c>
      <c r="F28" s="331">
        <f>'Beta Calc'!M28</f>
        <v>0</v>
      </c>
      <c r="G28" s="331">
        <f>'Beta Calc'!N28</f>
        <v>0</v>
      </c>
      <c r="H28" s="331">
        <f t="shared" si="7"/>
        <v>0</v>
      </c>
      <c r="I28" s="331">
        <f t="shared" si="8"/>
        <v>225.99635000000001</v>
      </c>
      <c r="J28" s="331">
        <f>'Beta Calc'!Q28</f>
        <v>145.58099999999999</v>
      </c>
      <c r="K28" s="331">
        <f t="shared" si="9"/>
        <v>80.415350000000018</v>
      </c>
      <c r="M28" s="1066">
        <f>IFERROR('Capital IQ Sheet-GPC'!AT31,"n/a")</f>
        <v>0</v>
      </c>
      <c r="N28" s="331">
        <f t="shared" si="0"/>
        <v>2.2465753424657535</v>
      </c>
      <c r="O28" s="1522">
        <f t="shared" si="0"/>
        <v>1.1815068493150685E-2</v>
      </c>
      <c r="P28" s="1523"/>
      <c r="Q28" s="1524">
        <f>IFERROR(HLOOKUP($Q$6,'Equity Vol'!$B$8:$K28,ROWS('Equity Vol'!$C$8:$C28),FALSE),"n/a")</f>
        <v>0.75591191240814581</v>
      </c>
      <c r="R28" s="1525"/>
      <c r="S28" s="1526">
        <f t="shared" si="10"/>
        <v>0.57140281932054027</v>
      </c>
      <c r="T28" s="1526">
        <f t="shared" si="1"/>
        <v>0</v>
      </c>
      <c r="U28" s="1527">
        <f t="shared" si="2"/>
        <v>0</v>
      </c>
      <c r="V28" s="1527">
        <f t="shared" si="3"/>
        <v>0</v>
      </c>
      <c r="W28" s="1527">
        <f t="shared" si="4"/>
        <v>0</v>
      </c>
      <c r="X28" s="759">
        <f t="shared" si="5"/>
        <v>0</v>
      </c>
      <c r="Y28" s="1524">
        <f t="shared" si="11"/>
        <v>0.75591191240814581</v>
      </c>
      <c r="AA28" s="1177" t="str">
        <f>IF('MASTER PubCo Inputs'!B46=0,"",'MASTER PubCo Inputs'!B46)</f>
        <v>NasdaqGS:SGMO</v>
      </c>
      <c r="AB28" s="331">
        <f>'Beta Calc'!Z28</f>
        <v>80.415350000000004</v>
      </c>
      <c r="AC28" s="1178">
        <f t="shared" si="6"/>
        <v>0</v>
      </c>
      <c r="AI28" s="1179"/>
    </row>
    <row r="29" spans="2:35" ht="14.85" customHeight="1">
      <c r="B29" s="250" t="str">
        <f>'Comp.1'!B31</f>
        <v>Immune Design Corp.</v>
      </c>
      <c r="D29" s="331">
        <f>'Beta Calc'!K29</f>
        <v>186.75745000000001</v>
      </c>
      <c r="E29" s="331">
        <f>'Beta Calc'!L29</f>
        <v>0</v>
      </c>
      <c r="F29" s="331">
        <f>'Beta Calc'!M29</f>
        <v>0</v>
      </c>
      <c r="G29" s="331">
        <f>'Beta Calc'!N29</f>
        <v>0</v>
      </c>
      <c r="H29" s="331">
        <f t="shared" si="7"/>
        <v>0</v>
      </c>
      <c r="I29" s="331">
        <f t="shared" si="8"/>
        <v>186.75745000000001</v>
      </c>
      <c r="J29" s="331">
        <f>'Beta Calc'!Q29</f>
        <v>112.471</v>
      </c>
      <c r="K29" s="331">
        <f t="shared" si="9"/>
        <v>74.286450000000002</v>
      </c>
      <c r="M29" s="1066">
        <f>IFERROR('Capital IQ Sheet-GPC'!AT32,"n/a")</f>
        <v>0</v>
      </c>
      <c r="N29" s="331">
        <f t="shared" si="0"/>
        <v>2.2465753424657535</v>
      </c>
      <c r="O29" s="1522">
        <f t="shared" si="0"/>
        <v>1.1815068493150685E-2</v>
      </c>
      <c r="P29" s="1523"/>
      <c r="Q29" s="1524">
        <f>IFERROR(HLOOKUP($Q$6,'Equity Vol'!$B$8:$K29,ROWS('Equity Vol'!$C$8:$C29),FALSE),"n/a")</f>
        <v>0.89607154655257915</v>
      </c>
      <c r="R29" s="1525"/>
      <c r="S29" s="1526">
        <f t="shared" si="10"/>
        <v>0.80294421654113102</v>
      </c>
      <c r="T29" s="1526">
        <f t="shared" si="1"/>
        <v>0</v>
      </c>
      <c r="U29" s="1527">
        <f t="shared" si="2"/>
        <v>0</v>
      </c>
      <c r="V29" s="1527">
        <f t="shared" si="3"/>
        <v>0</v>
      </c>
      <c r="W29" s="1527">
        <f t="shared" si="4"/>
        <v>0</v>
      </c>
      <c r="X29" s="759">
        <f t="shared" si="5"/>
        <v>0</v>
      </c>
      <c r="Y29" s="1524">
        <f t="shared" si="11"/>
        <v>0.89607154655257915</v>
      </c>
      <c r="AA29" s="1177" t="str">
        <f>IF('MASTER PubCo Inputs'!B47=0,"",'MASTER PubCo Inputs'!B47)</f>
        <v>NasdaqGM:IMDZ</v>
      </c>
      <c r="AB29" s="331">
        <f>'Beta Calc'!Z29</f>
        <v>74.286450000000002</v>
      </c>
      <c r="AC29" s="1178">
        <f t="shared" si="6"/>
        <v>0</v>
      </c>
      <c r="AI29" s="1179"/>
    </row>
    <row r="30" spans="2:35" ht="14.85" customHeight="1">
      <c r="B30" s="250" t="str">
        <f>'Comp.1'!B32</f>
        <v>Fate Therapeutics, Inc.</v>
      </c>
      <c r="D30" s="331">
        <f>'Beta Calc'!K30</f>
        <v>100.39557000000001</v>
      </c>
      <c r="E30" s="331">
        <f>'Beta Calc'!L30</f>
        <v>12.635</v>
      </c>
      <c r="F30" s="331">
        <f>'Beta Calc'!M30</f>
        <v>0</v>
      </c>
      <c r="G30" s="331">
        <f>'Beta Calc'!N30</f>
        <v>0</v>
      </c>
      <c r="H30" s="331">
        <f t="shared" si="7"/>
        <v>12.635</v>
      </c>
      <c r="I30" s="331">
        <f t="shared" si="8"/>
        <v>113.03057000000001</v>
      </c>
      <c r="J30" s="331">
        <f>'Beta Calc'!Q30</f>
        <v>46.619</v>
      </c>
      <c r="K30" s="331">
        <f t="shared" si="9"/>
        <v>66.411570000000012</v>
      </c>
      <c r="M30" s="1066">
        <f>IFERROR('Capital IQ Sheet-GPC'!AT33,"n/a")</f>
        <v>0</v>
      </c>
      <c r="N30" s="331">
        <f t="shared" si="0"/>
        <v>2.2465753424657535</v>
      </c>
      <c r="O30" s="1522">
        <f t="shared" si="0"/>
        <v>1.1815068493150685E-2</v>
      </c>
      <c r="P30" s="1523"/>
      <c r="Q30" s="1524">
        <f>IFERROR(HLOOKUP($Q$6,'Equity Vol'!$B$8:$K30,ROWS('Equity Vol'!$C$8:$C30),FALSE),"n/a")</f>
        <v>0.87702243861868245</v>
      </c>
      <c r="R30" s="1525"/>
      <c r="S30" s="1526">
        <f t="shared" si="10"/>
        <v>0.76916835784066062</v>
      </c>
      <c r="T30" s="1526">
        <f t="shared" si="1"/>
        <v>1.9398090803691714</v>
      </c>
      <c r="U30" s="1527">
        <f t="shared" si="2"/>
        <v>0.62527697086035339</v>
      </c>
      <c r="V30" s="1527">
        <f t="shared" si="3"/>
        <v>0.97379855164726681</v>
      </c>
      <c r="W30" s="1527">
        <f t="shared" si="4"/>
        <v>0.73410535410945854</v>
      </c>
      <c r="X30" s="759">
        <f t="shared" si="5"/>
        <v>55.639032329228399</v>
      </c>
      <c r="Y30" s="1524">
        <f t="shared" si="11"/>
        <v>0.75453154556548163</v>
      </c>
      <c r="AA30" s="1177" t="str">
        <f>IF('MASTER PubCo Inputs'!B48=0,"",'MASTER PubCo Inputs'!B48)</f>
        <v>NasdaqGM:FATE</v>
      </c>
      <c r="AB30" s="331">
        <f>'Beta Calc'!Z30</f>
        <v>66.411569999999998</v>
      </c>
      <c r="AC30" s="1178">
        <f t="shared" si="6"/>
        <v>0</v>
      </c>
      <c r="AI30" s="1179"/>
    </row>
    <row r="31" spans="2:35" ht="14.85" customHeight="1">
      <c r="B31" s="250" t="str">
        <f>'Comp.1'!B33</f>
        <v>Arrowhead Pharmaceuticals, Inc.</v>
      </c>
      <c r="D31" s="331">
        <f>'Beta Calc'!K31</f>
        <v>102.94919</v>
      </c>
      <c r="E31" s="331">
        <f>'Beta Calc'!L31</f>
        <v>3.32328</v>
      </c>
      <c r="F31" s="331">
        <f>'Beta Calc'!M31</f>
        <v>2.0000000000000002E-5</v>
      </c>
      <c r="G31" s="331">
        <f>'Beta Calc'!N31</f>
        <v>-0.55518999999999996</v>
      </c>
      <c r="H31" s="331">
        <f t="shared" si="7"/>
        <v>2.7681100000000001</v>
      </c>
      <c r="I31" s="331">
        <f t="shared" si="8"/>
        <v>105.71730000000001</v>
      </c>
      <c r="J31" s="331">
        <f>'Beta Calc'!Q31</f>
        <v>44.647100000000002</v>
      </c>
      <c r="K31" s="331">
        <f t="shared" si="9"/>
        <v>61.070200000000007</v>
      </c>
      <c r="M31" s="1066">
        <f>IFERROR('Capital IQ Sheet-GPC'!AT34,"n/a")</f>
        <v>0</v>
      </c>
      <c r="N31" s="331">
        <f t="shared" si="0"/>
        <v>2.2465753424657535</v>
      </c>
      <c r="O31" s="1522">
        <f t="shared" si="0"/>
        <v>1.1815068493150685E-2</v>
      </c>
      <c r="P31" s="1523"/>
      <c r="Q31" s="1524">
        <f>IFERROR(HLOOKUP($Q$6,'Equity Vol'!$B$8:$K31,ROWS('Equity Vol'!$C$8:$C31),FALSE),"n/a")</f>
        <v>0.72102275983348885</v>
      </c>
      <c r="R31" s="1525"/>
      <c r="S31" s="1526">
        <f t="shared" si="10"/>
        <v>0.51987382019790096</v>
      </c>
      <c r="T31" s="1526">
        <f t="shared" si="1"/>
        <v>3.4277169637019411</v>
      </c>
      <c r="U31" s="1527">
        <f t="shared" si="2"/>
        <v>2.3470062227309452</v>
      </c>
      <c r="V31" s="1527">
        <f t="shared" si="3"/>
        <v>0.99969566014857381</v>
      </c>
      <c r="W31" s="1527">
        <f t="shared" si="4"/>
        <v>0.9905375306435843</v>
      </c>
      <c r="X31" s="759">
        <f t="shared" si="5"/>
        <v>58.381519545112319</v>
      </c>
      <c r="Y31" s="1524">
        <f t="shared" si="11"/>
        <v>0.68948880551464264</v>
      </c>
      <c r="AA31" s="1177" t="str">
        <f>IF('MASTER PubCo Inputs'!B49=0,"",'MASTER PubCo Inputs'!B49)</f>
        <v>NasdaqGS:ARWR</v>
      </c>
      <c r="AB31" s="331">
        <f>'Beta Calc'!Z31</f>
        <v>61.0702</v>
      </c>
      <c r="AC31" s="1178">
        <f t="shared" si="6"/>
        <v>0</v>
      </c>
      <c r="AI31" s="1179"/>
    </row>
    <row r="32" spans="2:35" ht="14.85" customHeight="1">
      <c r="B32" s="250" t="str">
        <f>'Comp.1'!B34</f>
        <v>Regulus Therapeutics Inc.</v>
      </c>
      <c r="D32" s="331">
        <f>'Beta Calc'!K32</f>
        <v>129.66210000000001</v>
      </c>
      <c r="E32" s="331">
        <f>'Beta Calc'!L32</f>
        <v>19.786999999999999</v>
      </c>
      <c r="F32" s="331">
        <f>'Beta Calc'!M32</f>
        <v>0</v>
      </c>
      <c r="G32" s="331">
        <f>'Beta Calc'!N32</f>
        <v>0</v>
      </c>
      <c r="H32" s="331">
        <f t="shared" si="7"/>
        <v>19.786999999999999</v>
      </c>
      <c r="I32" s="331">
        <f t="shared" si="8"/>
        <v>149.44910000000002</v>
      </c>
      <c r="J32" s="331">
        <f>'Beta Calc'!Q32</f>
        <v>91.582999999999998</v>
      </c>
      <c r="K32" s="331">
        <f t="shared" si="9"/>
        <v>57.866100000000017</v>
      </c>
      <c r="M32" s="1066">
        <f>IFERROR('Capital IQ Sheet-GPC'!AT35,"n/a")</f>
        <v>0</v>
      </c>
      <c r="N32" s="331">
        <f t="shared" si="0"/>
        <v>2.2465753424657535</v>
      </c>
      <c r="O32" s="1522">
        <f t="shared" si="0"/>
        <v>1.1815068493150685E-2</v>
      </c>
      <c r="P32" s="1523"/>
      <c r="Q32" s="1524">
        <f>IFERROR(HLOOKUP($Q$6,'Equity Vol'!$B$8:$K32,ROWS('Equity Vol'!$C$8:$C32),FALSE),"n/a")</f>
        <v>0.91431217256686126</v>
      </c>
      <c r="R32" s="1525"/>
      <c r="S32" s="1526">
        <f t="shared" si="10"/>
        <v>0.83596674890393385</v>
      </c>
      <c r="T32" s="1526">
        <f t="shared" si="1"/>
        <v>1.4876278882565244</v>
      </c>
      <c r="U32" s="1527">
        <f t="shared" si="2"/>
        <v>0.11720376222515672</v>
      </c>
      <c r="V32" s="1527">
        <f t="shared" si="3"/>
        <v>0.93157547274787655</v>
      </c>
      <c r="W32" s="1527">
        <f t="shared" si="4"/>
        <v>0.5466507071775869</v>
      </c>
      <c r="X32" s="759">
        <f t="shared" si="5"/>
        <v>43.373394172806734</v>
      </c>
      <c r="Y32" s="1524">
        <f t="shared" si="11"/>
        <v>0.73565747470742293</v>
      </c>
      <c r="AA32" s="1177" t="str">
        <f>IF('MASTER PubCo Inputs'!B50=0,"",'MASTER PubCo Inputs'!B50)</f>
        <v>NasdaqGM:RGLS</v>
      </c>
      <c r="AB32" s="331">
        <f>'Beta Calc'!Z32</f>
        <v>57.866100000000003</v>
      </c>
      <c r="AC32" s="1178">
        <f t="shared" si="6"/>
        <v>0</v>
      </c>
      <c r="AI32" s="1179"/>
    </row>
    <row r="33" spans="2:35" ht="14.85" customHeight="1">
      <c r="B33" s="250" t="str">
        <f>'Comp.1'!B35</f>
        <v>CEL-SCI Corporation</v>
      </c>
      <c r="D33" s="331">
        <f>'Beta Calc'!K33</f>
        <v>32.817689999999999</v>
      </c>
      <c r="E33" s="331">
        <f>'Beta Calc'!L33</f>
        <v>2.31E-3</v>
      </c>
      <c r="F33" s="331">
        <f>'Beta Calc'!M33</f>
        <v>0</v>
      </c>
      <c r="G33" s="331">
        <f>'Beta Calc'!N33</f>
        <v>0</v>
      </c>
      <c r="H33" s="331">
        <f t="shared" si="7"/>
        <v>2.31E-3</v>
      </c>
      <c r="I33" s="331">
        <f t="shared" si="8"/>
        <v>32.82</v>
      </c>
      <c r="J33" s="331">
        <f>'Beta Calc'!Q33</f>
        <v>5.21896</v>
      </c>
      <c r="K33" s="331">
        <f t="shared" si="9"/>
        <v>27.601040000000001</v>
      </c>
      <c r="M33" s="1066">
        <f>IFERROR('Capital IQ Sheet-GPC'!AT36,"n/a")</f>
        <v>0</v>
      </c>
      <c r="N33" s="331">
        <f t="shared" si="0"/>
        <v>2.2465753424657535</v>
      </c>
      <c r="O33" s="1522">
        <f t="shared" si="0"/>
        <v>1.1815068493150685E-2</v>
      </c>
      <c r="P33" s="1523"/>
      <c r="Q33" s="1524">
        <f>IFERROR(HLOOKUP($Q$6,'Equity Vol'!$B$8:$K33,ROWS('Equity Vol'!$C$8:$C33),FALSE),"n/a")</f>
        <v>0.79234406162523929</v>
      </c>
      <c r="R33" s="1525"/>
      <c r="S33" s="1526">
        <f t="shared" si="10"/>
        <v>0.627809111992781</v>
      </c>
      <c r="T33" s="1526">
        <f t="shared" si="1"/>
        <v>8.5214037183313209</v>
      </c>
      <c r="U33" s="1527">
        <f t="shared" si="2"/>
        <v>7.3337924726880743</v>
      </c>
      <c r="V33" s="1527">
        <f t="shared" si="3"/>
        <v>1</v>
      </c>
      <c r="W33" s="1527">
        <f t="shared" si="4"/>
        <v>0.99999999999988809</v>
      </c>
      <c r="X33" s="759">
        <f t="shared" si="5"/>
        <v>27.598790508742244</v>
      </c>
      <c r="Y33" s="1524">
        <f t="shared" si="11"/>
        <v>0.79227948539768545</v>
      </c>
      <c r="AA33" s="1177" t="str">
        <f>IF('MASTER PubCo Inputs'!B51=0,"",'MASTER PubCo Inputs'!B51)</f>
        <v>AMEX:CVM</v>
      </c>
      <c r="AB33" s="331">
        <f>'Beta Calc'!Z33</f>
        <v>27.601040000000001</v>
      </c>
      <c r="AC33" s="1178">
        <f t="shared" si="6"/>
        <v>0</v>
      </c>
      <c r="AI33" s="1179"/>
    </row>
    <row r="34" spans="2:35" ht="14.85" customHeight="1">
      <c r="B34" s="250" t="str">
        <f>'Comp.1'!B36</f>
        <v>PhaseRx, Inc.</v>
      </c>
      <c r="D34" s="331">
        <f>'Beta Calc'!K34</f>
        <v>24.549689999999998</v>
      </c>
      <c r="E34" s="331">
        <f>'Beta Calc'!L34</f>
        <v>5.6109999999999998</v>
      </c>
      <c r="F34" s="331">
        <f>'Beta Calc'!M34</f>
        <v>0</v>
      </c>
      <c r="G34" s="331">
        <f>'Beta Calc'!N34</f>
        <v>0</v>
      </c>
      <c r="H34" s="331">
        <f t="shared" si="7"/>
        <v>5.6109999999999998</v>
      </c>
      <c r="I34" s="331">
        <f t="shared" si="8"/>
        <v>30.160689999999999</v>
      </c>
      <c r="J34" s="331">
        <f>'Beta Calc'!Q34</f>
        <v>18.635000000000002</v>
      </c>
      <c r="K34" s="331">
        <f t="shared" si="9"/>
        <v>11.525689999999997</v>
      </c>
      <c r="M34" s="1066">
        <f>IFERROR('Capital IQ Sheet-GPC'!AT37,"n/a")</f>
        <v>0</v>
      </c>
      <c r="N34" s="331">
        <f t="shared" si="0"/>
        <v>2.2465753424657535</v>
      </c>
      <c r="O34" s="1522">
        <f t="shared" si="0"/>
        <v>1.1815068493150685E-2</v>
      </c>
      <c r="P34" s="1523"/>
      <c r="Q34" s="1524" t="str">
        <f>IFERROR(HLOOKUP($Q$6,'Equity Vol'!$B$8:$K34,ROWS('Equity Vol'!$C$8:$C34),FALSE),"n/a")</f>
        <v>n/a</v>
      </c>
      <c r="R34" s="1525"/>
      <c r="S34" s="1526" t="str">
        <f t="shared" si="10"/>
        <v>n/a</v>
      </c>
      <c r="T34" s="1526" t="str">
        <f t="shared" si="1"/>
        <v>n/a</v>
      </c>
      <c r="U34" s="1527" t="str">
        <f t="shared" si="2"/>
        <v>n/a</v>
      </c>
      <c r="V34" s="1527" t="str">
        <f t="shared" si="3"/>
        <v>n/a</v>
      </c>
      <c r="W34" s="1527" t="str">
        <f t="shared" si="4"/>
        <v>n/a</v>
      </c>
      <c r="X34" s="759" t="str">
        <f t="shared" si="5"/>
        <v>n/a</v>
      </c>
      <c r="Y34" s="1524" t="str">
        <f t="shared" si="11"/>
        <v>n/a</v>
      </c>
      <c r="AA34" s="1177" t="str">
        <f>IF('MASTER PubCo Inputs'!B52=0,"",'MASTER PubCo Inputs'!B52)</f>
        <v>NasdaqCM:PZRX</v>
      </c>
      <c r="AB34" s="331">
        <f>'Beta Calc'!Z34</f>
        <v>11.525690000000001</v>
      </c>
      <c r="AC34" s="1178">
        <f t="shared" si="6"/>
        <v>0</v>
      </c>
      <c r="AI34" s="1179"/>
    </row>
    <row r="35" spans="2:35" ht="14.85" customHeight="1">
      <c r="B35" s="250" t="str">
        <f>'Comp.1'!B37</f>
        <v>Marina Biotech, Inc.</v>
      </c>
      <c r="D35" s="331">
        <f>'Beta Calc'!K35</f>
        <v>9.8748500000000003</v>
      </c>
      <c r="E35" s="331">
        <f>'Beta Calc'!L35</f>
        <v>0</v>
      </c>
      <c r="F35" s="331">
        <f>'Beta Calc'!M35</f>
        <v>0</v>
      </c>
      <c r="G35" s="331">
        <f>'Beta Calc'!N35</f>
        <v>0</v>
      </c>
      <c r="H35" s="331">
        <f t="shared" si="7"/>
        <v>0</v>
      </c>
      <c r="I35" s="331">
        <f t="shared" si="8"/>
        <v>9.8748500000000003</v>
      </c>
      <c r="J35" s="331">
        <f>'Beta Calc'!Q35</f>
        <v>0</v>
      </c>
      <c r="K35" s="331">
        <f t="shared" si="9"/>
        <v>9.8748500000000003</v>
      </c>
      <c r="M35" s="1066">
        <f>IFERROR('Capital IQ Sheet-GPC'!AT38,"n/a")</f>
        <v>0</v>
      </c>
      <c r="N35" s="331">
        <f t="shared" si="0"/>
        <v>2.2465753424657535</v>
      </c>
      <c r="O35" s="1522">
        <f t="shared" si="0"/>
        <v>1.1815068493150685E-2</v>
      </c>
      <c r="P35" s="1523"/>
      <c r="Q35" s="1524" t="str">
        <f>IFERROR(HLOOKUP($Q$6,'Equity Vol'!$B$8:$K35,ROWS('Equity Vol'!$C$8:$C35),FALSE),"n/a")</f>
        <v>n/a</v>
      </c>
      <c r="R35" s="1525"/>
      <c r="S35" s="1526" t="str">
        <f t="shared" si="10"/>
        <v>n/a</v>
      </c>
      <c r="T35" s="1526" t="str">
        <f t="shared" si="1"/>
        <v>n/a</v>
      </c>
      <c r="U35" s="1527" t="str">
        <f t="shared" si="2"/>
        <v>n/a</v>
      </c>
      <c r="V35" s="1527" t="str">
        <f t="shared" si="3"/>
        <v>n/a</v>
      </c>
      <c r="W35" s="1527" t="str">
        <f t="shared" si="4"/>
        <v>n/a</v>
      </c>
      <c r="X35" s="759" t="str">
        <f t="shared" si="5"/>
        <v>n/a</v>
      </c>
      <c r="Y35" s="1524" t="str">
        <f t="shared" si="11"/>
        <v>n/a</v>
      </c>
      <c r="AA35" s="1177" t="str">
        <f>IF('MASTER PubCo Inputs'!B53=0,"",'MASTER PubCo Inputs'!B53)</f>
        <v>OTCPK:MRNA</v>
      </c>
      <c r="AB35" s="331">
        <f>'Beta Calc'!Z35</f>
        <v>0</v>
      </c>
      <c r="AC35" s="1178">
        <f t="shared" si="6"/>
        <v>9.8748500000000003</v>
      </c>
      <c r="AI35" s="1179"/>
    </row>
    <row r="36" spans="2:35" ht="14.85" customHeight="1">
      <c r="B36" s="250" t="str">
        <f>'Comp.1'!B38</f>
        <v>RXi Pharmaceuticals Corporation</v>
      </c>
      <c r="D36" s="331">
        <f>'Beta Calc'!K36</f>
        <v>9.9657699999999991</v>
      </c>
      <c r="E36" s="331">
        <f>'Beta Calc'!L36</f>
        <v>0</v>
      </c>
      <c r="F36" s="331">
        <f>'Beta Calc'!M36</f>
        <v>0</v>
      </c>
      <c r="G36" s="331">
        <f>'Beta Calc'!N36</f>
        <v>0</v>
      </c>
      <c r="H36" s="331">
        <f t="shared" si="7"/>
        <v>0</v>
      </c>
      <c r="I36" s="331">
        <f t="shared" si="8"/>
        <v>9.9657699999999991</v>
      </c>
      <c r="J36" s="331">
        <f>'Beta Calc'!Q36</f>
        <v>4.3789999999999996</v>
      </c>
      <c r="K36" s="331">
        <f t="shared" si="9"/>
        <v>5.5867699999999996</v>
      </c>
      <c r="M36" s="1066">
        <f>IFERROR('Capital IQ Sheet-GPC'!AT39,"n/a")</f>
        <v>0</v>
      </c>
      <c r="N36" s="331">
        <f t="shared" si="0"/>
        <v>2.2465753424657535</v>
      </c>
      <c r="O36" s="1522">
        <f t="shared" si="0"/>
        <v>1.1815068493150685E-2</v>
      </c>
      <c r="P36" s="1523"/>
      <c r="Q36" s="1524">
        <f>IFERROR(HLOOKUP($Q$6,'Equity Vol'!$B$8:$K36,ROWS('Equity Vol'!$C$8:$C36),FALSE),"n/a")</f>
        <v>0.94144155911266458</v>
      </c>
      <c r="R36" s="1525"/>
      <c r="S36" s="1526">
        <f t="shared" si="10"/>
        <v>0.88631220922448473</v>
      </c>
      <c r="T36" s="1526">
        <f t="shared" si="1"/>
        <v>0</v>
      </c>
      <c r="U36" s="1527">
        <f t="shared" si="2"/>
        <v>0</v>
      </c>
      <c r="V36" s="1527">
        <f t="shared" si="3"/>
        <v>0</v>
      </c>
      <c r="W36" s="1527">
        <f t="shared" si="4"/>
        <v>0</v>
      </c>
      <c r="X36" s="759">
        <f t="shared" si="5"/>
        <v>0</v>
      </c>
      <c r="Y36" s="1524">
        <f t="shared" si="11"/>
        <v>0.94144155911266458</v>
      </c>
      <c r="AA36" s="1177" t="str">
        <f>IF('MASTER PubCo Inputs'!B54=0,"",'MASTER PubCo Inputs'!B54)</f>
        <v>NasdaqCM:RXII</v>
      </c>
      <c r="AB36" s="331">
        <f>'Beta Calc'!Z36</f>
        <v>5.5867699999999996</v>
      </c>
      <c r="AC36" s="1178">
        <f t="shared" si="6"/>
        <v>0</v>
      </c>
      <c r="AI36" s="1179"/>
    </row>
    <row r="37" spans="2:35" ht="14.85" customHeight="1">
      <c r="B37" s="250" t="str">
        <f>'Comp.1'!B39</f>
        <v>Benitec Biopharma Limited</v>
      </c>
      <c r="D37" s="331">
        <f>'Beta Calc'!K37</f>
        <v>12.459519999999999</v>
      </c>
      <c r="E37" s="331">
        <f>'Beta Calc'!L37</f>
        <v>0</v>
      </c>
      <c r="F37" s="331">
        <f>'Beta Calc'!M37</f>
        <v>0</v>
      </c>
      <c r="G37" s="331">
        <f>'Beta Calc'!N37</f>
        <v>0</v>
      </c>
      <c r="H37" s="331">
        <f t="shared" si="7"/>
        <v>0</v>
      </c>
      <c r="I37" s="331">
        <f t="shared" si="8"/>
        <v>12.459519999999999</v>
      </c>
      <c r="J37" s="331">
        <f>'Beta Calc'!Q37</f>
        <v>10.266360000000001</v>
      </c>
      <c r="K37" s="331">
        <f t="shared" si="9"/>
        <v>2.1931599999999989</v>
      </c>
      <c r="M37" s="1066">
        <f>IFERROR('Capital IQ Sheet-GPC'!AT40,"n/a")</f>
        <v>0</v>
      </c>
      <c r="N37" s="331">
        <f t="shared" si="0"/>
        <v>2.2465753424657535</v>
      </c>
      <c r="O37" s="1522">
        <f t="shared" si="0"/>
        <v>1.1815068493150685E-2</v>
      </c>
      <c r="P37" s="1523"/>
      <c r="Q37" s="1524">
        <f>IFERROR(HLOOKUP($Q$6,'Equity Vol'!$B$8:$K37,ROWS('Equity Vol'!$C$8:$C37),FALSE),"n/a")</f>
        <v>0.97983618266092853</v>
      </c>
      <c r="R37" s="1525"/>
      <c r="S37" s="1526">
        <f t="shared" si="10"/>
        <v>0.96007894485154055</v>
      </c>
      <c r="T37" s="1526">
        <f t="shared" si="1"/>
        <v>0</v>
      </c>
      <c r="U37" s="1527">
        <f t="shared" si="2"/>
        <v>0</v>
      </c>
      <c r="V37" s="1527">
        <f t="shared" si="3"/>
        <v>0</v>
      </c>
      <c r="W37" s="1527">
        <f t="shared" si="4"/>
        <v>0</v>
      </c>
      <c r="X37" s="759">
        <f t="shared" si="5"/>
        <v>0</v>
      </c>
      <c r="Y37" s="1524">
        <f t="shared" si="11"/>
        <v>0.97983618266092853</v>
      </c>
      <c r="AA37" s="1177" t="str">
        <f>IF('MASTER PubCo Inputs'!B55=0,"",'MASTER PubCo Inputs'!B55)</f>
        <v>ASX:BLT</v>
      </c>
      <c r="AB37" s="331">
        <f>'Beta Calc'!Z37</f>
        <v>2.5731899999999999</v>
      </c>
      <c r="AC37" s="1178">
        <f t="shared" si="6"/>
        <v>-0.38003000000000098</v>
      </c>
      <c r="AI37" s="1179"/>
    </row>
    <row r="38" spans="2:35" ht="14.85" customHeight="1">
      <c r="B38" s="250" t="str">
        <f>'Comp.1'!B40</f>
        <v>GenVec, Inc.</v>
      </c>
      <c r="D38" s="331">
        <f>'Beta Calc'!K38</f>
        <v>7.33019</v>
      </c>
      <c r="E38" s="331">
        <f>'Beta Calc'!L38</f>
        <v>0</v>
      </c>
      <c r="F38" s="331">
        <f>'Beta Calc'!M38</f>
        <v>0</v>
      </c>
      <c r="G38" s="331">
        <f>'Beta Calc'!N38</f>
        <v>0</v>
      </c>
      <c r="H38" s="331">
        <f t="shared" si="7"/>
        <v>0</v>
      </c>
      <c r="I38" s="331">
        <f t="shared" si="8"/>
        <v>7.33019</v>
      </c>
      <c r="J38" s="331">
        <f>'Beta Calc'!Q38</f>
        <v>8.3960000000000008</v>
      </c>
      <c r="K38" s="331">
        <f t="shared" si="9"/>
        <v>-1.0658100000000008</v>
      </c>
      <c r="M38" s="1066">
        <f>IFERROR('Capital IQ Sheet-GPC'!AT41,"n/a")</f>
        <v>0</v>
      </c>
      <c r="N38" s="331">
        <f t="shared" si="0"/>
        <v>2.2465753424657535</v>
      </c>
      <c r="O38" s="1522">
        <f t="shared" si="0"/>
        <v>1.1815068493150685E-2</v>
      </c>
      <c r="P38" s="1523"/>
      <c r="Q38" s="1524">
        <f>IFERROR(HLOOKUP($Q$6,'Equity Vol'!$B$8:$K38,ROWS('Equity Vol'!$C$8:$C38),FALSE),"n/a")</f>
        <v>1.0969190492665144</v>
      </c>
      <c r="R38" s="1525"/>
      <c r="S38" s="1526">
        <f t="shared" si="10"/>
        <v>1.2032314006437539</v>
      </c>
      <c r="T38" s="1526">
        <f t="shared" si="1"/>
        <v>0</v>
      </c>
      <c r="U38" s="1527">
        <f t="shared" si="2"/>
        <v>0</v>
      </c>
      <c r="V38" s="1527">
        <f t="shared" si="3"/>
        <v>0</v>
      </c>
      <c r="W38" s="1527">
        <f t="shared" si="4"/>
        <v>0</v>
      </c>
      <c r="X38" s="759">
        <f t="shared" si="5"/>
        <v>0</v>
      </c>
      <c r="Y38" s="1524">
        <f t="shared" si="11"/>
        <v>1.0969190492665144</v>
      </c>
      <c r="AA38" s="1177" t="str">
        <f>IF('MASTER PubCo Inputs'!B56=0,"",'MASTER PubCo Inputs'!B56)</f>
        <v>NasdaqCM:GNVC</v>
      </c>
      <c r="AB38" s="331">
        <f>'Beta Calc'!Z38</f>
        <v>-1.0658099999999999</v>
      </c>
      <c r="AC38" s="1178">
        <f t="shared" si="6"/>
        <v>0</v>
      </c>
      <c r="AI38" s="1179"/>
    </row>
    <row r="39" spans="2:35" ht="14.85" customHeight="1">
      <c r="B39" s="250" t="str">
        <f>'Comp.1'!B41</f>
        <v>Arbutus Biopharma Corporation</v>
      </c>
      <c r="D39" s="331">
        <f>'Beta Calc'!K39</f>
        <v>145.32996</v>
      </c>
      <c r="E39" s="331">
        <f>'Beta Calc'!L39</f>
        <v>0</v>
      </c>
      <c r="F39" s="331">
        <f>'Beta Calc'!M39</f>
        <v>0</v>
      </c>
      <c r="G39" s="331">
        <f>'Beta Calc'!N39</f>
        <v>0</v>
      </c>
      <c r="H39" s="331">
        <f t="shared" si="7"/>
        <v>0</v>
      </c>
      <c r="I39" s="331">
        <f t="shared" si="8"/>
        <v>145.32996</v>
      </c>
      <c r="J39" s="331">
        <f>'Beta Calc'!Q39</f>
        <v>149.68199999999999</v>
      </c>
      <c r="K39" s="331">
        <f t="shared" si="9"/>
        <v>-4.3520399999999881</v>
      </c>
      <c r="M39" s="1066">
        <f>IFERROR('Capital IQ Sheet-GPC'!AT42,"n/a")</f>
        <v>0</v>
      </c>
      <c r="N39" s="331">
        <f t="shared" si="0"/>
        <v>2.2465753424657535</v>
      </c>
      <c r="O39" s="1522">
        <f t="shared" si="0"/>
        <v>1.1815068493150685E-2</v>
      </c>
      <c r="P39" s="1523"/>
      <c r="Q39" s="1524">
        <f>IFERROR(HLOOKUP($Q$6,'Equity Vol'!$B$8:$K39,ROWS('Equity Vol'!$C$8:$C39),FALSE),"n/a")</f>
        <v>0.6368240548266475</v>
      </c>
      <c r="R39" s="1525"/>
      <c r="S39" s="1526">
        <f t="shared" si="10"/>
        <v>0.40554487680585294</v>
      </c>
      <c r="T39" s="1526">
        <f t="shared" si="1"/>
        <v>0</v>
      </c>
      <c r="U39" s="1527">
        <f t="shared" si="2"/>
        <v>0</v>
      </c>
      <c r="V39" s="1527">
        <f t="shared" si="3"/>
        <v>0</v>
      </c>
      <c r="W39" s="1527">
        <f t="shared" si="4"/>
        <v>0</v>
      </c>
      <c r="X39" s="759">
        <f t="shared" si="5"/>
        <v>0</v>
      </c>
      <c r="Y39" s="1524">
        <f t="shared" si="11"/>
        <v>0.6368240548266475</v>
      </c>
      <c r="AA39" s="1177" t="str">
        <f>IF('MASTER PubCo Inputs'!B57=0,"",'MASTER PubCo Inputs'!B57)</f>
        <v>NasdaqGS:ABUS</v>
      </c>
      <c r="AB39" s="331">
        <f>'Beta Calc'!Z39</f>
        <v>-4.3520399999999997</v>
      </c>
      <c r="AC39" s="1178">
        <f t="shared" si="6"/>
        <v>1.1546319456101628E-14</v>
      </c>
      <c r="AI39" s="1179"/>
    </row>
    <row r="40" spans="2:35" ht="14.85" customHeight="1">
      <c r="D40" s="331"/>
      <c r="E40" s="331"/>
      <c r="F40" s="331"/>
      <c r="G40" s="331"/>
      <c r="H40" s="331"/>
      <c r="I40" s="331"/>
      <c r="J40" s="331"/>
      <c r="K40" s="331"/>
      <c r="R40" s="724"/>
    </row>
    <row r="41" spans="2:35" ht="14.85" customHeight="1">
      <c r="B41" s="1181" t="s">
        <v>111</v>
      </c>
      <c r="C41" s="1182"/>
      <c r="D41" s="1184">
        <f>MAX(D10:D39)</f>
        <v>1692.82537</v>
      </c>
      <c r="E41" s="1184">
        <f t="shared" ref="E41:K41" si="12">MAX(E10:E39)</f>
        <v>32.048000000000002</v>
      </c>
      <c r="F41" s="1184">
        <f t="shared" si="12"/>
        <v>185.565</v>
      </c>
      <c r="G41" s="1184">
        <f t="shared" si="12"/>
        <v>9.6269999999999994E-2</v>
      </c>
      <c r="H41" s="1184">
        <f t="shared" si="12"/>
        <v>185.51400000000001</v>
      </c>
      <c r="I41" s="1184">
        <f t="shared" si="12"/>
        <v>1694.4007799999999</v>
      </c>
      <c r="J41" s="1184">
        <f t="shared" si="12"/>
        <v>408.70499999999998</v>
      </c>
      <c r="K41" s="1184">
        <f t="shared" si="12"/>
        <v>1387.752</v>
      </c>
      <c r="L41" s="1182"/>
      <c r="M41" s="1326">
        <f t="shared" ref="M41:O41" si="13">MAX(M10:M39)</f>
        <v>0</v>
      </c>
      <c r="N41" s="1184">
        <f t="shared" si="13"/>
        <v>2.2465753424657535</v>
      </c>
      <c r="O41" s="1528">
        <f t="shared" si="13"/>
        <v>1.1815068493150685E-2</v>
      </c>
      <c r="P41" s="1529"/>
      <c r="Q41" s="1530">
        <f>MAX(Q10:Q39)</f>
        <v>1.1933416076473253</v>
      </c>
      <c r="R41" s="1531"/>
      <c r="S41" s="1532">
        <f t="shared" ref="S41:W41" si="14">MAX(S10:S40)</f>
        <v>1.424064192542303</v>
      </c>
      <c r="T41" s="1532">
        <f t="shared" si="14"/>
        <v>9.4864601371643467</v>
      </c>
      <c r="U41" s="1533">
        <f t="shared" si="14"/>
        <v>8.5587417850323018</v>
      </c>
      <c r="V41" s="1533">
        <f t="shared" si="14"/>
        <v>1</v>
      </c>
      <c r="W41" s="1533">
        <f t="shared" si="14"/>
        <v>1</v>
      </c>
      <c r="X41" s="1184">
        <f t="shared" ref="X41:Y41" si="15">MAX(X10:X39)</f>
        <v>1386.2178567120036</v>
      </c>
      <c r="Y41" s="1534">
        <f t="shared" si="15"/>
        <v>1.1765613084971698</v>
      </c>
      <c r="AB41" s="1535">
        <f ca="1">+'Asset Vol_IPO Late'!Y48</f>
        <v>0.29995213147202171</v>
      </c>
      <c r="AC41" s="1536" t="s">
        <v>1815</v>
      </c>
      <c r="AD41" s="1536"/>
      <c r="AE41" s="1536"/>
      <c r="AF41" s="775"/>
    </row>
    <row r="42" spans="2:35" ht="14.85" customHeight="1">
      <c r="B42" s="1187" t="s">
        <v>115</v>
      </c>
      <c r="C42" s="1188"/>
      <c r="D42" s="1190">
        <f t="shared" ref="D42:K42" si="16">QUARTILE(D10:D39,3)</f>
        <v>535.13891249999995</v>
      </c>
      <c r="E42" s="1190">
        <f t="shared" si="16"/>
        <v>0.69918499999999995</v>
      </c>
      <c r="F42" s="1190">
        <f t="shared" si="16"/>
        <v>0</v>
      </c>
      <c r="G42" s="1190">
        <f t="shared" si="16"/>
        <v>0</v>
      </c>
      <c r="H42" s="1190">
        <f t="shared" si="16"/>
        <v>2.5620824999999998</v>
      </c>
      <c r="I42" s="1190">
        <f t="shared" si="16"/>
        <v>544.96866749999992</v>
      </c>
      <c r="J42" s="1190">
        <f t="shared" si="16"/>
        <v>164.18174999999999</v>
      </c>
      <c r="K42" s="1190">
        <f t="shared" si="16"/>
        <v>330.71264999999994</v>
      </c>
      <c r="L42" s="1188"/>
      <c r="M42" s="1328">
        <f>QUARTILE(M10:M39,3)</f>
        <v>0</v>
      </c>
      <c r="N42" s="1190">
        <f>QUARTILE(N10:N39,3)</f>
        <v>2.2465753424657535</v>
      </c>
      <c r="O42" s="1537">
        <f>QUARTILE(O10:O39,3)</f>
        <v>1.1815068493150685E-2</v>
      </c>
      <c r="P42" s="1538"/>
      <c r="Q42" s="1539">
        <f>QUARTILE(Q10:Q39,3)</f>
        <v>0.93465921247621375</v>
      </c>
      <c r="R42" s="1540"/>
      <c r="S42" s="1541">
        <f>QUARTILE(S10:S40,3)</f>
        <v>0.87372584414434695</v>
      </c>
      <c r="T42" s="1541">
        <f>QUARTILE(T10:T40,3)</f>
        <v>5.412668930278401</v>
      </c>
      <c r="U42" s="1542">
        <f>QUARTILE(U10:U40,3)</f>
        <v>4.2672427053844251</v>
      </c>
      <c r="V42" s="1542">
        <f>QUARTILE(V10:V40,3)</f>
        <v>0.99999817703533589</v>
      </c>
      <c r="W42" s="1542">
        <f>QUARTILE(W10:W40,3)</f>
        <v>0.99978795649320906</v>
      </c>
      <c r="X42" s="1190">
        <f>QUARTILE(X10:X39,3)</f>
        <v>187.44436856776682</v>
      </c>
      <c r="Y42" s="1543">
        <f>QUARTILE(Y10:Y39,3)</f>
        <v>0.9300990559726432</v>
      </c>
      <c r="AB42" s="1544">
        <f>+'Asset Vol_IPO Late'!Y50</f>
        <v>0.31</v>
      </c>
      <c r="AC42" s="467" t="s">
        <v>1816</v>
      </c>
      <c r="AD42" s="467"/>
      <c r="AE42" s="467"/>
      <c r="AF42" s="468"/>
    </row>
    <row r="43" spans="2:35" ht="14.85" customHeight="1">
      <c r="B43" s="1187" t="s">
        <v>113</v>
      </c>
      <c r="C43" s="1188"/>
      <c r="D43" s="1190">
        <f>AVERAGE(D10:D39)</f>
        <v>349.13332166666657</v>
      </c>
      <c r="E43" s="1190">
        <f t="shared" ref="E43:K43" si="17">AVERAGE(E10:E39)</f>
        <v>2.8426580000000001</v>
      </c>
      <c r="F43" s="1190">
        <f t="shared" si="17"/>
        <v>6.5502309999999992</v>
      </c>
      <c r="G43" s="1190">
        <f t="shared" si="17"/>
        <v>-1.699733333333333E-2</v>
      </c>
      <c r="H43" s="1190">
        <f t="shared" si="17"/>
        <v>9.3758916666666661</v>
      </c>
      <c r="I43" s="1190">
        <f t="shared" si="17"/>
        <v>358.50921333333332</v>
      </c>
      <c r="J43" s="1190">
        <f t="shared" si="17"/>
        <v>109.87659433333336</v>
      </c>
      <c r="K43" s="1190">
        <f t="shared" si="17"/>
        <v>248.63261900000001</v>
      </c>
      <c r="L43" s="1188"/>
      <c r="M43" s="1328">
        <f t="shared" ref="M43:O43" si="18">AVERAGE(M10:M39)</f>
        <v>0</v>
      </c>
      <c r="N43" s="1190">
        <f t="shared" si="18"/>
        <v>2.2465753424657531</v>
      </c>
      <c r="O43" s="1537">
        <f t="shared" si="18"/>
        <v>1.1815068493150676E-2</v>
      </c>
      <c r="P43" s="1538"/>
      <c r="Q43" s="1539">
        <f>AVERAGE(Q10:Q39)</f>
        <v>0.84033637690695717</v>
      </c>
      <c r="R43" s="1540"/>
      <c r="S43" s="1541">
        <f t="shared" ref="S43:W43" si="19">AVERAGE(S10:S40)</f>
        <v>0.72949287308122057</v>
      </c>
      <c r="T43" s="1541">
        <f t="shared" si="19"/>
        <v>2.7901383823925352</v>
      </c>
      <c r="U43" s="1542">
        <f t="shared" si="19"/>
        <v>2.13712733256141</v>
      </c>
      <c r="V43" s="1542">
        <f t="shared" si="19"/>
        <v>0.54110293386112351</v>
      </c>
      <c r="W43" s="1542">
        <f t="shared" si="19"/>
        <v>0.50835795411589901</v>
      </c>
      <c r="X43" s="1190">
        <f t="shared" ref="X43:Y43" si="20">AVERAGE(X10:X39)</f>
        <v>173.77524604980695</v>
      </c>
      <c r="Y43" s="1543">
        <f t="shared" si="20"/>
        <v>0.82282269466510949</v>
      </c>
      <c r="AB43" s="1544">
        <f>+'Asset Vol_IPO Late'!Y44</f>
        <v>0.77713642838913188</v>
      </c>
      <c r="AC43" s="467" t="s">
        <v>1814</v>
      </c>
      <c r="AD43" s="467"/>
      <c r="AE43" s="467"/>
      <c r="AF43" s="1545" t="s">
        <v>2280</v>
      </c>
    </row>
    <row r="44" spans="2:35" ht="14.85" customHeight="1">
      <c r="B44" s="1187" t="s">
        <v>44</v>
      </c>
      <c r="C44" s="1188"/>
      <c r="D44" s="1190">
        <f>MEDIAN(D10:D39)</f>
        <v>252.89796000000001</v>
      </c>
      <c r="E44" s="1190">
        <f t="shared" ref="E44:K44" si="21">MEDIAN(E10:E39)</f>
        <v>0</v>
      </c>
      <c r="F44" s="1190">
        <f t="shared" si="21"/>
        <v>0</v>
      </c>
      <c r="G44" s="1190">
        <f t="shared" si="21"/>
        <v>0</v>
      </c>
      <c r="H44" s="1190">
        <f t="shared" si="21"/>
        <v>0.17863499999999999</v>
      </c>
      <c r="I44" s="1190">
        <f t="shared" si="21"/>
        <v>253.41356500000001</v>
      </c>
      <c r="J44" s="1190">
        <f t="shared" si="21"/>
        <v>91.676500000000004</v>
      </c>
      <c r="K44" s="1190">
        <f t="shared" si="21"/>
        <v>208.32753500000001</v>
      </c>
      <c r="L44" s="1188"/>
      <c r="M44" s="1328">
        <f t="shared" ref="M44:O44" si="22">MEDIAN(M10:M39)</f>
        <v>0</v>
      </c>
      <c r="N44" s="1190">
        <f t="shared" si="22"/>
        <v>2.2465753424657535</v>
      </c>
      <c r="O44" s="1537">
        <f t="shared" si="22"/>
        <v>1.1815068493150685E-2</v>
      </c>
      <c r="P44" s="1538"/>
      <c r="Q44" s="1539">
        <f>MEDIAN(Q10:Q39)</f>
        <v>0.80956798122350371</v>
      </c>
      <c r="R44" s="1540"/>
      <c r="S44" s="1541">
        <f t="shared" ref="S44:W44" si="23">MEDIAN(S10:S40)</f>
        <v>0.65555740591618328</v>
      </c>
      <c r="T44" s="1541">
        <f t="shared" si="23"/>
        <v>1.7137184843128479</v>
      </c>
      <c r="U44" s="1542">
        <f t="shared" si="23"/>
        <v>0.37124036654275505</v>
      </c>
      <c r="V44" s="1542">
        <f t="shared" si="23"/>
        <v>0.95268701219757168</v>
      </c>
      <c r="W44" s="1542">
        <f t="shared" si="23"/>
        <v>0.64037803064352272</v>
      </c>
      <c r="X44" s="1190">
        <f t="shared" ref="X44:Y44" si="24">MEDIAN(X10:X39)</f>
        <v>35.486092340774491</v>
      </c>
      <c r="Y44" s="1543">
        <f t="shared" si="24"/>
        <v>0.77713642838913188</v>
      </c>
      <c r="AB44" s="1546" t="str">
        <f ca="1">IF(ROUND(AB41,3)=ROUND(AB43,3),"","Update Volatility - OPM")</f>
        <v>Update Volatility - OPM</v>
      </c>
      <c r="AC44" s="467"/>
      <c r="AD44" s="467"/>
      <c r="AE44" s="467"/>
      <c r="AF44" s="468"/>
    </row>
    <row r="45" spans="2:35" ht="14.85" customHeight="1">
      <c r="B45" s="1187" t="s">
        <v>114</v>
      </c>
      <c r="C45" s="1188"/>
      <c r="D45" s="1190">
        <f>QUARTILE(D10:D39,1)</f>
        <v>106.88460499999999</v>
      </c>
      <c r="E45" s="1190">
        <f t="shared" ref="E45:K45" si="25">QUARTILE(E10:E39,1)</f>
        <v>0</v>
      </c>
      <c r="F45" s="1190">
        <f t="shared" si="25"/>
        <v>0</v>
      </c>
      <c r="G45" s="1190">
        <f t="shared" si="25"/>
        <v>0</v>
      </c>
      <c r="H45" s="1190">
        <f t="shared" si="25"/>
        <v>0</v>
      </c>
      <c r="I45" s="1190">
        <f t="shared" si="25"/>
        <v>114.9033675</v>
      </c>
      <c r="J45" s="1190">
        <f t="shared" si="25"/>
        <v>21.772500000000001</v>
      </c>
      <c r="K45" s="1190">
        <f t="shared" si="25"/>
        <v>58.667125000000013</v>
      </c>
      <c r="L45" s="1188"/>
      <c r="M45" s="1328">
        <f t="shared" ref="M45:O45" si="26">QUARTILE(M10:M39,1)</f>
        <v>0</v>
      </c>
      <c r="N45" s="1190">
        <f t="shared" si="26"/>
        <v>2.2465753424657535</v>
      </c>
      <c r="O45" s="1537">
        <f t="shared" si="26"/>
        <v>1.1815068493150685E-2</v>
      </c>
      <c r="P45" s="1538"/>
      <c r="Q45" s="1539">
        <f>QUARTILE(Q10:Q39,1)</f>
        <v>0.74778708577490494</v>
      </c>
      <c r="R45" s="1540"/>
      <c r="S45" s="1541">
        <f t="shared" ref="S45:W45" si="27">QUARTILE(S10:S40,1)</f>
        <v>0.55919548889814052</v>
      </c>
      <c r="T45" s="1541">
        <f t="shared" si="27"/>
        <v>0</v>
      </c>
      <c r="U45" s="1542">
        <f t="shared" si="27"/>
        <v>0</v>
      </c>
      <c r="V45" s="1542">
        <f t="shared" si="27"/>
        <v>0</v>
      </c>
      <c r="W45" s="1542">
        <f t="shared" si="27"/>
        <v>0</v>
      </c>
      <c r="X45" s="1190">
        <f t="shared" ref="X45:Y45" si="28">QUARTILE(X10:X39,1)</f>
        <v>0</v>
      </c>
      <c r="Y45" s="1543">
        <f t="shared" si="28"/>
        <v>0.738234281563799</v>
      </c>
      <c r="AB45" s="1547" t="str">
        <f>IF(ROUND(AB42,3)=ROUND(AB43,3),"","Update Volatility - DLOM")</f>
        <v>Update Volatility - DLOM</v>
      </c>
      <c r="AC45" s="346"/>
      <c r="AD45" s="346"/>
      <c r="AE45" s="346"/>
      <c r="AF45" s="897"/>
    </row>
    <row r="46" spans="2:35" ht="14.85" customHeight="1">
      <c r="B46" s="1192" t="s">
        <v>112</v>
      </c>
      <c r="C46" s="858"/>
      <c r="D46" s="867">
        <f t="shared" ref="D46:K46" si="29">MIN(D10:D39)</f>
        <v>7.33019</v>
      </c>
      <c r="E46" s="867">
        <f t="shared" si="29"/>
        <v>0</v>
      </c>
      <c r="F46" s="867">
        <f t="shared" si="29"/>
        <v>0</v>
      </c>
      <c r="G46" s="867">
        <f t="shared" si="29"/>
        <v>-0.55518999999999996</v>
      </c>
      <c r="H46" s="867">
        <f t="shared" si="29"/>
        <v>0</v>
      </c>
      <c r="I46" s="867">
        <f t="shared" si="29"/>
        <v>7.33019</v>
      </c>
      <c r="J46" s="867">
        <f t="shared" si="29"/>
        <v>0</v>
      </c>
      <c r="K46" s="867">
        <f t="shared" si="29"/>
        <v>-4.3520399999999881</v>
      </c>
      <c r="L46" s="858"/>
      <c r="M46" s="1330">
        <f>MIN(M10:M39)</f>
        <v>0</v>
      </c>
      <c r="N46" s="867">
        <f>MIN(N10:N39)</f>
        <v>2.2465753424657535</v>
      </c>
      <c r="O46" s="1548">
        <f>MIN(O10:O39)</f>
        <v>1.1815068493150685E-2</v>
      </c>
      <c r="P46" s="1549"/>
      <c r="Q46" s="1550">
        <f>MIN(Q10:Q39)</f>
        <v>0.6189501235098539</v>
      </c>
      <c r="R46" s="1551"/>
      <c r="S46" s="1552">
        <f>MIN(S10:S40)</f>
        <v>0.38309925539286338</v>
      </c>
      <c r="T46" s="1552">
        <f>MIN(T10:T40)</f>
        <v>0</v>
      </c>
      <c r="U46" s="1553">
        <f>MIN(U10:U40)</f>
        <v>0</v>
      </c>
      <c r="V46" s="1553">
        <f>MIN(V10:V40)</f>
        <v>0</v>
      </c>
      <c r="W46" s="1553">
        <f>MIN(W10:W40)</f>
        <v>0</v>
      </c>
      <c r="X46" s="867">
        <f>MIN(X10:X39)</f>
        <v>0</v>
      </c>
      <c r="Y46" s="1554">
        <f>MIN(Y10:Y39)</f>
        <v>0.61880676515451261</v>
      </c>
      <c r="AB46" s="433" t="str">
        <f ca="1">IF(K48&lt;&gt;K50,"Check","")</f>
        <v/>
      </c>
    </row>
    <row r="47" spans="2:35" ht="14.85" customHeight="1">
      <c r="AB47" s="1104" t="str">
        <f ca="1">IF(AND(AB44=$AF$45,AB46=$AF$45,AB45=$AF$45),"","Check")</f>
        <v>Check</v>
      </c>
    </row>
    <row r="48" spans="2:35" ht="14.85" customHeight="1">
      <c r="B48" s="1555" t="str">
        <f>B2</f>
        <v>ABC, Inc.</v>
      </c>
      <c r="C48" s="1556" t="s">
        <v>269</v>
      </c>
      <c r="D48" s="1557"/>
      <c r="E48" s="1557"/>
      <c r="F48" s="1557"/>
      <c r="G48" s="1557"/>
      <c r="H48" s="1558">
        <f ca="1">-'Val Summ'!$H$20/1000</f>
        <v>2.0379999999999998</v>
      </c>
      <c r="I48" s="1559">
        <f t="shared" ref="I48" si="30">SUM(D48:G48)</f>
        <v>0</v>
      </c>
      <c r="J48" s="1557"/>
      <c r="K48" s="1558">
        <f ca="1">'Val Summ'!$H$17/1000</f>
        <v>61.23</v>
      </c>
      <c r="L48" s="1557"/>
      <c r="M48" s="1560">
        <f>DLOM!F17</f>
        <v>0</v>
      </c>
      <c r="N48" s="1561">
        <f>N$6</f>
        <v>2.2465753424657535</v>
      </c>
      <c r="O48" s="1562">
        <f>O$6</f>
        <v>1.1815068493150685E-2</v>
      </c>
      <c r="P48" s="1563"/>
      <c r="Q48" s="1564">
        <v>0.31</v>
      </c>
      <c r="R48" s="1557"/>
      <c r="S48" s="1565">
        <f>IF(Q48="n/a","n/a",Q48^2)</f>
        <v>9.6100000000000005E-2</v>
      </c>
      <c r="T48" s="1565">
        <f ca="1">IF(OR(K48="n/a",S48="n/a"),"n/a",IF(H48=0,0,IF(M48=0,(LN(K48/H48)+((O48+(S48/2))*N48))/((S48*N48)^0.5),(LN(K48/H48)+((O48-M48+(S48/2))*N48))/((S48*N48)^0.5))))</f>
        <v>7.6125907455147548</v>
      </c>
      <c r="U48" s="1566">
        <f ca="1">IF(T48="n/a","n/a",IF(H48=0,0,T48-(S48*N48)^0.5))</f>
        <v>7.1479447615538918</v>
      </c>
      <c r="V48" s="1566">
        <f ca="1">IF(OR(T48="n/a",S48="n/a"),"n/a",IF(H48=0,0,NORMSDIST(T48)))</f>
        <v>0.99999999999998657</v>
      </c>
      <c r="W48" s="1566">
        <f ca="1">IF(OR(U48="n/a",S48="n/a"),"n/a",IF(H48=0,0,NORMSDIST(U48)))</f>
        <v>0.99999999999955957</v>
      </c>
      <c r="X48" s="1566">
        <f ca="1">IF(OR(K48="n/a",S48="n/a"),"n/a",IF(M48=0,(K48*V48)-((H48*EXP(1)^(-O48*N48))*W48),(K48*(2.718^(-M48*N48))*V48)-(H48*(2.718^(-O48*N48))*W48)))</f>
        <v>59.24538390332787</v>
      </c>
      <c r="Y48" s="1567">
        <f ca="1">IF(LEN(B48)&gt;0,IF(H48=0,Q48,IF(ISERROR(Q48/((K48/X48)*V48)),"n/a",Q48/((K48/X48)*V48))))</f>
        <v>0.29995213147202171</v>
      </c>
    </row>
    <row r="49" spans="1:25" ht="14.85" customHeight="1">
      <c r="C49" s="414"/>
      <c r="D49" s="414"/>
      <c r="E49" s="414"/>
      <c r="F49" s="414"/>
      <c r="G49" s="414"/>
      <c r="H49" s="414"/>
      <c r="I49" s="414"/>
      <c r="J49" s="414"/>
    </row>
    <row r="50" spans="1:25" ht="14.85" customHeight="1">
      <c r="B50" s="1555" t="str">
        <f>B48</f>
        <v>ABC, Inc.</v>
      </c>
      <c r="C50" s="1556" t="s">
        <v>308</v>
      </c>
      <c r="D50" s="1557"/>
      <c r="E50" s="1557"/>
      <c r="F50" s="1557"/>
      <c r="G50" s="1557"/>
      <c r="H50" s="1558"/>
      <c r="I50" s="1559">
        <f ca="1">K50+J50</f>
        <v>61.23</v>
      </c>
      <c r="J50" s="1557"/>
      <c r="K50" s="1568">
        <f ca="1">K48</f>
        <v>61.23</v>
      </c>
      <c r="L50" s="1557"/>
      <c r="M50" s="1569">
        <f>M48</f>
        <v>0</v>
      </c>
      <c r="N50" s="1561">
        <f>N$6</f>
        <v>2.2465753424657535</v>
      </c>
      <c r="O50" s="1562">
        <f>O$6</f>
        <v>1.1815068493150685E-2</v>
      </c>
      <c r="P50" s="1563"/>
      <c r="Q50" s="1564">
        <v>0.31</v>
      </c>
      <c r="R50" s="1557"/>
      <c r="S50" s="1565">
        <f>IF(Q50="n/a","n/a",Q50^2)</f>
        <v>9.6100000000000005E-2</v>
      </c>
      <c r="T50" s="1565">
        <f ca="1">IF(OR(K50="n/a",S50="n/a"),"n/a",IF(H50=0,0,IF(M50=0,(LN(K50/H50)+((O50+(S50/2))*N50))/((S50*N50)^0.5),(LN(K50/H50)+((O50-M50+(S50/2))*N50))/((S50*N50)^0.5))))</f>
        <v>0</v>
      </c>
      <c r="U50" s="1566">
        <f ca="1">IF(T50="n/a","n/a",IF(H50=0,0,T50-(S50*N50)^0.5))</f>
        <v>0</v>
      </c>
      <c r="V50" s="1566">
        <f ca="1">IF(OR(T50="n/a",S50="n/a"),"n/a",IF(H50=0,0,NORMSDIST(T50)))</f>
        <v>0</v>
      </c>
      <c r="W50" s="1566">
        <f ca="1">IF(OR(U50="n/a",S50="n/a"),"n/a",IF(H50=0,0,NORMSDIST(U50)))</f>
        <v>0</v>
      </c>
      <c r="X50" s="1566">
        <f ca="1">IF(OR(K50="n/a",S50="n/a"),"n/a",IF(M50=0,(K50*V50)-((H50*EXP(1)^(-O50*N50))*W50),(K50*(2.718^(-M50*N50))*V50)-(H50*(2.718^(-O50*N50))*W50)))</f>
        <v>0</v>
      </c>
      <c r="Y50" s="1567">
        <f>IF(LEN(B50)&gt;0,IF(H50=0,Q50,IF(ISERROR(Q50/((K50/X50)*V50)),"n/a",Q50/((K50/X50)*V50))))</f>
        <v>0.31</v>
      </c>
    </row>
    <row r="51" spans="1:25" ht="14.85" customHeight="1"/>
    <row r="52" spans="1:25" ht="14.85" customHeight="1">
      <c r="B52" s="356" t="s">
        <v>86</v>
      </c>
    </row>
    <row r="53" spans="1:25" ht="14.85" customHeight="1">
      <c r="A53" s="357" t="s">
        <v>270</v>
      </c>
      <c r="B53" s="274" t="s">
        <v>3513</v>
      </c>
    </row>
    <row r="54" spans="1:25" s="359" customFormat="1" ht="14.85" customHeight="1">
      <c r="A54" s="1570" t="s">
        <v>269</v>
      </c>
      <c r="B54" s="1571" t="s">
        <v>1140</v>
      </c>
      <c r="P54" s="1572"/>
    </row>
    <row r="55" spans="1:25" s="359" customFormat="1" ht="14.85" customHeight="1">
      <c r="A55" s="1570" t="s">
        <v>308</v>
      </c>
      <c r="B55" s="1571" t="s">
        <v>1141</v>
      </c>
      <c r="P55" s="1572"/>
    </row>
    <row r="56" spans="1:25" ht="14.85" customHeight="1"/>
    <row r="57" spans="1:25" ht="14.85" customHeight="1">
      <c r="B57" s="356" t="s">
        <v>116</v>
      </c>
    </row>
    <row r="58" spans="1:25" ht="14.85" customHeight="1"/>
    <row r="59" spans="1:25" ht="14.85" customHeight="1">
      <c r="B59" s="250" t="s">
        <v>1844</v>
      </c>
    </row>
    <row r="60" spans="1:25" ht="14.85" customHeight="1">
      <c r="B60" s="250" t="s">
        <v>1845</v>
      </c>
    </row>
    <row r="61" spans="1:25" ht="14.85" customHeight="1">
      <c r="B61" s="250" t="s">
        <v>1846</v>
      </c>
    </row>
    <row r="62" spans="1:25" ht="14.85" customHeight="1">
      <c r="B62" s="250" t="s">
        <v>1847</v>
      </c>
    </row>
    <row r="63" spans="1:25" ht="14.85" customHeight="1">
      <c r="B63" s="250" t="s">
        <v>1848</v>
      </c>
    </row>
    <row r="64" spans="1:25" ht="14.85" customHeight="1">
      <c r="B64" s="250" t="s">
        <v>1849</v>
      </c>
    </row>
    <row r="65" spans="2:2" ht="14.85" customHeight="1">
      <c r="B65" s="250" t="s">
        <v>1850</v>
      </c>
    </row>
    <row r="66" spans="2:2" ht="14.85" customHeight="1"/>
    <row r="67" spans="2:2" ht="14.85" customHeight="1">
      <c r="B67" s="250" t="s">
        <v>1851</v>
      </c>
    </row>
    <row r="68" spans="2:2" ht="14.85" customHeight="1">
      <c r="B68" s="250" t="s">
        <v>1852</v>
      </c>
    </row>
    <row r="69" spans="2:2" ht="14.85" customHeight="1">
      <c r="B69" s="250" t="s">
        <v>1853</v>
      </c>
    </row>
    <row r="70" spans="2:2" ht="14.85" customHeight="1">
      <c r="B70" s="250" t="s">
        <v>1854</v>
      </c>
    </row>
    <row r="71" spans="2:2" ht="14.85" customHeight="1">
      <c r="B71" s="250" t="s">
        <v>1855</v>
      </c>
    </row>
    <row r="72" spans="2:2" ht="14.85" customHeight="1">
      <c r="B72" s="250" t="s">
        <v>1856</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53" priority="9" operator="equal">
      <formula>"(Invalid Identifier)"</formula>
    </cfRule>
  </conditionalFormatting>
  <conditionalFormatting sqref="C4:I4">
    <cfRule type="cellIs" dxfId="152" priority="8" stopIfTrue="1" operator="equal">
      <formula>"input"</formula>
    </cfRule>
  </conditionalFormatting>
  <conditionalFormatting sqref="J4">
    <cfRule type="cellIs" dxfId="151" priority="6" stopIfTrue="1" operator="equal">
      <formula>"input"</formula>
    </cfRule>
  </conditionalFormatting>
  <conditionalFormatting sqref="J4">
    <cfRule type="cellIs" dxfId="150" priority="7" stopIfTrue="1" operator="equal">
      <formula>"input"</formula>
    </cfRule>
  </conditionalFormatting>
  <conditionalFormatting sqref="K4:X4">
    <cfRule type="cellIs" dxfId="149" priority="4" stopIfTrue="1" operator="equal">
      <formula>"input"</formula>
    </cfRule>
  </conditionalFormatting>
  <conditionalFormatting sqref="K4:X4">
    <cfRule type="cellIs" dxfId="148" priority="5" stopIfTrue="1" operator="equal">
      <formula>"input"</formula>
    </cfRule>
  </conditionalFormatting>
  <conditionalFormatting sqref="Y4">
    <cfRule type="cellIs" dxfId="147" priority="2" stopIfTrue="1" operator="equal">
      <formula>"input"</formula>
    </cfRule>
  </conditionalFormatting>
  <conditionalFormatting sqref="Y4">
    <cfRule type="cellIs" dxfId="146" priority="3" stopIfTrue="1" operator="equal">
      <formula>"input"</formula>
    </cfRule>
  </conditionalFormatting>
  <conditionalFormatting sqref="B4">
    <cfRule type="cellIs" dxfId="145" priority="1" stopIfTrue="1" operator="equal">
      <formula>"input"</formula>
    </cfRule>
  </conditionalFormatting>
  <pageMargins left="0.5" right="0.5" top="0.5" bottom="0.5" header="0.5" footer="0.5"/>
  <pageSetup scale="74" fitToWidth="0" fitToHeight="0" orientation="landscape" r:id="rId1"/>
  <legacyDrawing r:id="rId2"/>
  <legacyDrawingHF r:id="rId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71"/>
  <dimension ref="A1:AI764"/>
  <sheetViews>
    <sheetView showGridLines="0" view="pageBreakPreview" zoomScale="80" zoomScaleNormal="100" zoomScaleSheetLayoutView="80" workbookViewId="0"/>
  </sheetViews>
  <sheetFormatPr defaultRowHeight="12.75" outlineLevelRow="1" outlineLevelCol="1"/>
  <cols>
    <col min="1" max="1" width="4.5" style="250" customWidth="1"/>
    <col min="2" max="2" width="42.1640625" style="250" customWidth="1"/>
    <col min="3" max="3" width="3.5" style="250" customWidth="1"/>
    <col min="4" max="4" width="13.1640625" style="250" customWidth="1"/>
    <col min="5" max="5" width="10.83203125" style="250" hidden="1" customWidth="1" outlineLevel="1"/>
    <col min="6" max="7" width="9.83203125" style="250" hidden="1" customWidth="1" outlineLevel="1"/>
    <col min="8" max="8" width="12.83203125" style="250" customWidth="1" collapsed="1"/>
    <col min="9" max="11" width="12.83203125" style="250" customWidth="1"/>
    <col min="12" max="12" width="2.83203125" style="250" customWidth="1"/>
    <col min="13" max="15" width="12.83203125" style="250" customWidth="1"/>
    <col min="16" max="16" width="2.83203125" style="724" customWidth="1"/>
    <col min="17" max="17" width="12.83203125" style="250" customWidth="1"/>
    <col min="18" max="18" width="2.83203125" style="250" customWidth="1"/>
    <col min="19" max="19" width="11.6640625" style="250" hidden="1" customWidth="1" outlineLevel="1"/>
    <col min="20" max="23" width="8.83203125" style="250" hidden="1" customWidth="1" outlineLevel="1"/>
    <col min="24" max="24" width="12.83203125" style="250" customWidth="1" collapsed="1"/>
    <col min="25" max="25" width="12.83203125" style="250" customWidth="1"/>
    <col min="26" max="26" width="4.5" style="250" customWidth="1"/>
    <col min="27" max="27" width="17.5" style="250" bestFit="1" customWidth="1"/>
    <col min="28" max="28" width="14.33203125" style="250" bestFit="1" customWidth="1"/>
    <col min="29" max="29" width="9.6640625" style="250" bestFit="1" customWidth="1"/>
    <col min="30" max="30" width="10.1640625" style="250" bestFit="1" customWidth="1"/>
    <col min="31" max="16384" width="9.33203125" style="250"/>
  </cols>
  <sheetData>
    <row r="1" spans="2:35" ht="10.7" customHeight="1" thickBot="1">
      <c r="P1" s="250"/>
    </row>
    <row r="2" spans="2:35" ht="16.5" customHeight="1" thickTop="1">
      <c r="B2" s="258" t="str">
        <f>'MASTER PubCo Inputs'!$C$5</f>
        <v>ABC, Inc.</v>
      </c>
      <c r="C2" s="258"/>
      <c r="D2" s="258"/>
      <c r="E2" s="258"/>
      <c r="F2" s="258"/>
      <c r="G2" s="258"/>
      <c r="H2" s="258"/>
      <c r="I2" s="258"/>
      <c r="J2" s="258"/>
      <c r="K2" s="258"/>
      <c r="L2" s="258"/>
      <c r="M2" s="258"/>
      <c r="N2" s="258"/>
      <c r="O2" s="258"/>
      <c r="P2" s="258"/>
      <c r="Q2" s="258"/>
      <c r="R2" s="258"/>
      <c r="S2" s="258"/>
      <c r="T2" s="258"/>
      <c r="U2" s="258"/>
      <c r="V2" s="258"/>
      <c r="W2" s="258"/>
      <c r="X2" s="258"/>
      <c r="Y2" s="258"/>
      <c r="AA2" s="1151" t="s">
        <v>87</v>
      </c>
      <c r="AB2" s="1152">
        <f>+'Comp.1'!$AL$2</f>
        <v>42735</v>
      </c>
    </row>
    <row r="3" spans="2:35" ht="15.75" customHeight="1">
      <c r="B3" s="259" t="str">
        <f>VLOOKUP(B4,Outline!$E$8:$G$79,COLUMNS(Outline!$E$8:$G$8),FALSE)</f>
        <v>Exhibit H.6</v>
      </c>
      <c r="C3" s="259"/>
      <c r="D3" s="259"/>
      <c r="E3" s="259"/>
      <c r="F3" s="259"/>
      <c r="G3" s="259"/>
      <c r="H3" s="259"/>
      <c r="I3" s="259"/>
      <c r="J3" s="259"/>
      <c r="K3" s="259"/>
      <c r="L3" s="259"/>
      <c r="M3" s="259"/>
      <c r="N3" s="259"/>
      <c r="O3" s="259"/>
      <c r="P3" s="259"/>
      <c r="Q3" s="259"/>
      <c r="R3" s="259"/>
      <c r="S3" s="259"/>
      <c r="T3" s="259"/>
      <c r="U3" s="259"/>
      <c r="V3" s="259"/>
      <c r="W3" s="259"/>
      <c r="X3" s="259"/>
      <c r="Y3" s="259"/>
      <c r="AA3" s="1153" t="s">
        <v>489</v>
      </c>
      <c r="AB3" s="1154" t="str">
        <f>+'Comp.1'!$AL$3</f>
        <v>F</v>
      </c>
    </row>
    <row r="4" spans="2:35" ht="16.5" customHeight="1" thickBot="1">
      <c r="B4" s="924" t="str">
        <f>"Asset Volatility - "&amp;TEXT(DLOM!G6,"")</f>
        <v>Asset Volatility - M&amp;A Early</v>
      </c>
      <c r="C4" s="924"/>
      <c r="D4" s="924"/>
      <c r="E4" s="924"/>
      <c r="F4" s="924"/>
      <c r="G4" s="924"/>
      <c r="H4" s="924"/>
      <c r="I4" s="924"/>
      <c r="J4" s="925"/>
      <c r="K4" s="925"/>
      <c r="L4" s="925"/>
      <c r="M4" s="925"/>
      <c r="N4" s="925"/>
      <c r="O4" s="925"/>
      <c r="P4" s="925"/>
      <c r="Q4" s="925"/>
      <c r="R4" s="925"/>
      <c r="S4" s="925"/>
      <c r="T4" s="925"/>
      <c r="U4" s="925"/>
      <c r="V4" s="925"/>
      <c r="W4" s="925"/>
      <c r="X4" s="925"/>
      <c r="Y4" s="925" t="str">
        <f>+'MASTER PubCo Inputs'!$C$24</f>
        <v>(in millions of USD)</v>
      </c>
      <c r="AA4" s="1153" t="s">
        <v>490</v>
      </c>
      <c r="AB4" s="1154" t="str">
        <f>+'Comp.1'!$AL$4</f>
        <v>USD</v>
      </c>
    </row>
    <row r="5" spans="2:35" ht="14.85" customHeight="1" thickTop="1">
      <c r="B5" s="724"/>
      <c r="AA5" s="518" t="s">
        <v>89</v>
      </c>
      <c r="AB5" s="1155" t="str">
        <f>+'Comp.1'!$AL$5</f>
        <v>H</v>
      </c>
    </row>
    <row r="6" spans="2:35" ht="14.85" customHeight="1" outlineLevel="1">
      <c r="N6" s="1506">
        <f>DLOM!G11</f>
        <v>2.2465753424657535</v>
      </c>
      <c r="O6" s="1507">
        <f>'Risk-Free Rates'!E59</f>
        <v>1.1815068493150685E-2</v>
      </c>
      <c r="Q6" s="1508">
        <f>HLOOKUP(ROUND(N6,0),'Equity Vol'!$D$8:$K$8,1,TRUE)</f>
        <v>2</v>
      </c>
    </row>
    <row r="7" spans="2:35" ht="14.85" customHeight="1">
      <c r="D7" s="1509" t="s">
        <v>91</v>
      </c>
      <c r="E7" s="1510"/>
      <c r="F7" s="1510"/>
      <c r="G7" s="1510"/>
      <c r="H7" s="1510"/>
      <c r="I7" s="1510"/>
      <c r="J7" s="1510"/>
      <c r="K7" s="1511"/>
      <c r="M7" s="1509" t="s">
        <v>92</v>
      </c>
      <c r="N7" s="1510"/>
      <c r="O7" s="1510"/>
      <c r="P7" s="1512"/>
      <c r="Q7" s="1511"/>
      <c r="S7" s="1509" t="s">
        <v>93</v>
      </c>
      <c r="T7" s="1510"/>
      <c r="U7" s="1510"/>
      <c r="V7" s="1510"/>
      <c r="W7" s="1510"/>
      <c r="X7" s="1513" t="s">
        <v>93</v>
      </c>
      <c r="Y7" s="1514"/>
    </row>
    <row r="8" spans="2:35" s="272" customFormat="1" ht="43.5" customHeight="1">
      <c r="B8" s="1515" t="s">
        <v>815</v>
      </c>
      <c r="D8" s="1516" t="s">
        <v>94</v>
      </c>
      <c r="E8" s="1517" t="s">
        <v>95</v>
      </c>
      <c r="F8" s="1517" t="s">
        <v>96</v>
      </c>
      <c r="G8" s="1517" t="s">
        <v>97</v>
      </c>
      <c r="H8" s="1517" t="s">
        <v>98</v>
      </c>
      <c r="I8" s="1517" t="s">
        <v>99</v>
      </c>
      <c r="J8" s="1517" t="s">
        <v>100</v>
      </c>
      <c r="K8" s="1518" t="s">
        <v>101</v>
      </c>
      <c r="L8" s="347"/>
      <c r="M8" s="1516" t="s">
        <v>73</v>
      </c>
      <c r="N8" s="1517" t="s">
        <v>102</v>
      </c>
      <c r="O8" s="1518" t="s">
        <v>72</v>
      </c>
      <c r="P8" s="1292"/>
      <c r="Q8" s="1519" t="s">
        <v>103</v>
      </c>
      <c r="R8" s="1292"/>
      <c r="S8" s="1516" t="s">
        <v>104</v>
      </c>
      <c r="T8" s="1517" t="s">
        <v>84</v>
      </c>
      <c r="U8" s="1517" t="s">
        <v>85</v>
      </c>
      <c r="V8" s="1517" t="s">
        <v>105</v>
      </c>
      <c r="W8" s="1517" t="s">
        <v>106</v>
      </c>
      <c r="X8" s="1520" t="s">
        <v>107</v>
      </c>
      <c r="Y8" s="1518" t="s">
        <v>3512</v>
      </c>
      <c r="AA8" s="1170" t="s">
        <v>108</v>
      </c>
      <c r="AB8" s="1171" t="s">
        <v>109</v>
      </c>
      <c r="AC8" s="1171" t="s">
        <v>110</v>
      </c>
      <c r="AD8" s="1521"/>
    </row>
    <row r="9" spans="2:35" ht="14.85" customHeight="1">
      <c r="X9" s="275"/>
      <c r="Y9" s="275"/>
    </row>
    <row r="10" spans="2:35" ht="14.85" customHeight="1">
      <c r="B10" s="250" t="str">
        <f>'Comp.1'!B12</f>
        <v>Spark Therapeutics, Inc.</v>
      </c>
      <c r="D10" s="331">
        <f>'Beta Calc'!K10</f>
        <v>1692.82537</v>
      </c>
      <c r="E10" s="331">
        <f>'Beta Calc'!L10</f>
        <v>1.57541</v>
      </c>
      <c r="F10" s="331">
        <f>'Beta Calc'!M10</f>
        <v>0</v>
      </c>
      <c r="G10" s="331">
        <f>'Beta Calc'!N10</f>
        <v>0</v>
      </c>
      <c r="H10" s="331">
        <f>SUM(E10:G10)</f>
        <v>1.57541</v>
      </c>
      <c r="I10" s="331">
        <f>SUM(D10:G10)</f>
        <v>1694.4007799999999</v>
      </c>
      <c r="J10" s="331">
        <f>'Beta Calc'!Q10</f>
        <v>306.64877999999999</v>
      </c>
      <c r="K10" s="331">
        <f>I10-J10</f>
        <v>1387.752</v>
      </c>
      <c r="M10" s="1066">
        <f>IFERROR('Capital IQ Sheet-GPC'!AT13,"n/a")</f>
        <v>0</v>
      </c>
      <c r="N10" s="331">
        <f t="shared" ref="N10:O39" si="0">N$6</f>
        <v>2.2465753424657535</v>
      </c>
      <c r="O10" s="1522">
        <f t="shared" si="0"/>
        <v>1.1815068493150685E-2</v>
      </c>
      <c r="P10" s="1523"/>
      <c r="Q10" s="1524">
        <f>IFERROR(HLOOKUP($Q$6,'Equity Vol'!$B$8:$K10,ROWS('Equity Vol'!$C$8:$C10),FALSE),"n/a")</f>
        <v>0.7672442493850854</v>
      </c>
      <c r="R10" s="1525"/>
      <c r="S10" s="1526">
        <f>IFERROR(IF(Q10="n/a","n/a",Q10^2),"n/a")</f>
        <v>0.58866373821448315</v>
      </c>
      <c r="T10" s="1526">
        <f t="shared" ref="T10:T39" si="1">IF(OR(K10="n/a",S10="n/a"),"n/a",IF(H10=0,0,IF(M10=0,(LN(K10/H10)+((O10+(S10/2))*N10))/((S10*N10)^0.5),(LN(K10/H10)+((O10-M10+(S10/2))*N10))/((S10*N10)^0.5))))</f>
        <v>6.4945832711130054</v>
      </c>
      <c r="U10" s="1527">
        <f t="shared" ref="U10:U39" si="2">IF(T10="n/a","n/a",IF(H10=0,0,T10-(S10*N10)^0.5))</f>
        <v>5.3445930801651116</v>
      </c>
      <c r="V10" s="1527">
        <f t="shared" ref="V10:V39" si="3">IF(OR(T10="n/a",S10="n/a"),"n/a",IF(H10=0,0,NORMSDIST(T10)))</f>
        <v>0.99999999995836819</v>
      </c>
      <c r="W10" s="1527">
        <f t="shared" ref="W10:W39" si="4">IF(OR(U10="n/a",S10="n/a"),"n/a",IF(H10=0,0,NORMSDIST(U10)))</f>
        <v>0.99999995468980007</v>
      </c>
      <c r="X10" s="759">
        <f t="shared" ref="X10:X39" si="5">IF(OR(K10="n/a",S10="n/a"),"n/a",IF(M10=0,(K10*V10)-((H10*EXP(1)^(-O10*N10))*W10),(K10*(2.718^(-M10*N10))*V10)-(H10*(2.718^(-O10*N10))*W10)))</f>
        <v>1386.2178567120036</v>
      </c>
      <c r="Y10" s="1524">
        <f>IFERROR(IF(LEN(B10)&gt;0,IF(H10=0,Q10,IF(ISERROR(Q10/((K10/X10)*V10)),"n/a",Q10/((K10/X10)*V10)))),"n/a")</f>
        <v>0.76639607004816535</v>
      </c>
      <c r="AA10" s="1177" t="str">
        <f>IF('MASTER PubCo Inputs'!B28=0,"",'MASTER PubCo Inputs'!B28)</f>
        <v>NasdaqGS:ONCE</v>
      </c>
      <c r="AB10" s="331">
        <f>'Beta Calc'!Z10</f>
        <v>1387.752</v>
      </c>
      <c r="AC10" s="1178">
        <f t="shared" ref="AC10:AC39" si="6">K10-AB10</f>
        <v>0</v>
      </c>
      <c r="AI10" s="1179"/>
    </row>
    <row r="11" spans="2:35" ht="14.85" customHeight="1">
      <c r="B11" s="250" t="str">
        <f>'Comp.1'!B13</f>
        <v>CRISPR Therapeutics AG</v>
      </c>
      <c r="D11" s="331">
        <f>'Beta Calc'!K11</f>
        <v>868.62804000000006</v>
      </c>
      <c r="E11" s="331">
        <f>'Beta Calc'!L11</f>
        <v>0</v>
      </c>
      <c r="F11" s="331">
        <f>'Beta Calc'!M11</f>
        <v>185.565</v>
      </c>
      <c r="G11" s="331">
        <f>'Beta Calc'!N11</f>
        <v>-5.0999999999999997E-2</v>
      </c>
      <c r="H11" s="331">
        <f t="shared" ref="H11:H39" si="7">SUM(E11:G11)</f>
        <v>185.51400000000001</v>
      </c>
      <c r="I11" s="331">
        <f t="shared" ref="I11:I39" si="8">SUM(D11:G11)</f>
        <v>1054.1420400000002</v>
      </c>
      <c r="J11" s="331">
        <f>'Beta Calc'!Q11</f>
        <v>228.613</v>
      </c>
      <c r="K11" s="331">
        <f t="shared" ref="K11:K39" si="9">I11-J11</f>
        <v>825.52904000000012</v>
      </c>
      <c r="M11" s="1066">
        <f>IFERROR('Capital IQ Sheet-GPC'!AT14,"n/a")</f>
        <v>0</v>
      </c>
      <c r="N11" s="331">
        <f t="shared" si="0"/>
        <v>2.2465753424657535</v>
      </c>
      <c r="O11" s="1522">
        <f t="shared" si="0"/>
        <v>1.1815068493150685E-2</v>
      </c>
      <c r="P11" s="1523"/>
      <c r="Q11" s="1524" t="str">
        <f>IFERROR(HLOOKUP($Q$6,'Equity Vol'!$B$8:$K11,ROWS('Equity Vol'!$C$8:$C11),FALSE),"n/a")</f>
        <v>n/a</v>
      </c>
      <c r="R11" s="1525"/>
      <c r="S11" s="1526" t="str">
        <f t="shared" ref="S11:S39" si="10">IFERROR(IF(Q11="n/a","n/a",Q11^2),"n/a")</f>
        <v>n/a</v>
      </c>
      <c r="T11" s="1526" t="str">
        <f t="shared" si="1"/>
        <v>n/a</v>
      </c>
      <c r="U11" s="1527" t="str">
        <f t="shared" si="2"/>
        <v>n/a</v>
      </c>
      <c r="V11" s="1527" t="str">
        <f t="shared" si="3"/>
        <v>n/a</v>
      </c>
      <c r="W11" s="1527" t="str">
        <f t="shared" si="4"/>
        <v>n/a</v>
      </c>
      <c r="X11" s="759" t="str">
        <f t="shared" si="5"/>
        <v>n/a</v>
      </c>
      <c r="Y11" s="1524" t="str">
        <f t="shared" ref="Y11:Y39" si="11">IFERROR(IF(LEN(B11)&gt;0,IF(H11=0,Q11,IF(ISERROR(Q11/((K11/X11)*V11)),"n/a",Q11/((K11/X11)*V11)))),"n/a")</f>
        <v>n/a</v>
      </c>
      <c r="AA11" s="1177" t="str">
        <f>IF('MASTER PubCo Inputs'!B29=0,"",'MASTER PubCo Inputs'!B29)</f>
        <v>NasdaqGM:CRSP</v>
      </c>
      <c r="AB11" s="331">
        <f>'Beta Calc'!Z11</f>
        <v>825.52904000000001</v>
      </c>
      <c r="AC11" s="1178">
        <f t="shared" si="6"/>
        <v>0</v>
      </c>
      <c r="AI11" s="1179"/>
    </row>
    <row r="12" spans="2:35" ht="14.85" customHeight="1">
      <c r="B12" s="250" t="str">
        <f>'Comp.1'!B14</f>
        <v>WAVE Life Sciences Ltd.</v>
      </c>
      <c r="D12" s="331">
        <f>'Beta Calc'!K12</f>
        <v>835.72670000000005</v>
      </c>
      <c r="E12" s="331">
        <f>'Beta Calc'!L12</f>
        <v>9.2999999999999999E-2</v>
      </c>
      <c r="F12" s="331">
        <f>'Beta Calc'!M12</f>
        <v>7.8739999999999997</v>
      </c>
      <c r="G12" s="331">
        <f>'Beta Calc'!N12</f>
        <v>0</v>
      </c>
      <c r="H12" s="331">
        <f t="shared" si="7"/>
        <v>7.9669999999999996</v>
      </c>
      <c r="I12" s="331">
        <f t="shared" si="8"/>
        <v>843.69370000000004</v>
      </c>
      <c r="J12" s="331">
        <f>'Beta Calc'!Q12</f>
        <v>169.01499999999999</v>
      </c>
      <c r="K12" s="331">
        <f t="shared" si="9"/>
        <v>674.67870000000005</v>
      </c>
      <c r="M12" s="1066">
        <f>IFERROR('Capital IQ Sheet-GPC'!AT15,"n/a")</f>
        <v>0</v>
      </c>
      <c r="N12" s="331">
        <f t="shared" si="0"/>
        <v>2.2465753424657535</v>
      </c>
      <c r="O12" s="1522">
        <f t="shared" si="0"/>
        <v>1.1815068493150685E-2</v>
      </c>
      <c r="P12" s="1523"/>
      <c r="Q12" s="1524">
        <f>IFERROR(HLOOKUP($Q$6,'Equity Vol'!$B$8:$K12,ROWS('Equity Vol'!$C$8:$C12),FALSE),"n/a")</f>
        <v>0.79703443847278144</v>
      </c>
      <c r="R12" s="1525"/>
      <c r="S12" s="1526">
        <f t="shared" si="10"/>
        <v>0.63526389611162204</v>
      </c>
      <c r="T12" s="1526">
        <f t="shared" si="1"/>
        <v>4.335238904854303</v>
      </c>
      <c r="U12" s="1527">
        <f t="shared" si="2"/>
        <v>3.1405974502901746</v>
      </c>
      <c r="V12" s="1527">
        <f t="shared" si="3"/>
        <v>0.99999271990486227</v>
      </c>
      <c r="W12" s="1527">
        <f t="shared" si="4"/>
        <v>0.99915698197993019</v>
      </c>
      <c r="X12" s="759">
        <f t="shared" si="5"/>
        <v>666.9220183453657</v>
      </c>
      <c r="Y12" s="1524">
        <f t="shared" si="11"/>
        <v>0.78787678673009842</v>
      </c>
      <c r="AA12" s="1177" t="str">
        <f>IF('MASTER PubCo Inputs'!B30=0,"",'MASTER PubCo Inputs'!B30)</f>
        <v>NasdaqGM:WVE</v>
      </c>
      <c r="AB12" s="331">
        <f>'Beta Calc'!Z12</f>
        <v>674.67870000000005</v>
      </c>
      <c r="AC12" s="1178">
        <f t="shared" si="6"/>
        <v>0</v>
      </c>
      <c r="AI12" s="1179"/>
    </row>
    <row r="13" spans="2:35" ht="14.85" customHeight="1">
      <c r="B13" s="250" t="str">
        <f>'Comp.1'!B15</f>
        <v>Regenxbio Inc.</v>
      </c>
      <c r="D13" s="331">
        <f>'Beta Calc'!K13</f>
        <v>589.07718</v>
      </c>
      <c r="E13" s="331">
        <f>'Beta Calc'!L13</f>
        <v>0</v>
      </c>
      <c r="F13" s="331">
        <f>'Beta Calc'!M13</f>
        <v>0</v>
      </c>
      <c r="G13" s="331">
        <f>'Beta Calc'!N13</f>
        <v>0</v>
      </c>
      <c r="H13" s="331">
        <f t="shared" si="7"/>
        <v>0</v>
      </c>
      <c r="I13" s="331">
        <f t="shared" si="8"/>
        <v>589.07718</v>
      </c>
      <c r="J13" s="331">
        <f>'Beta Calc'!Q13</f>
        <v>91.77</v>
      </c>
      <c r="K13" s="331">
        <f t="shared" si="9"/>
        <v>497.30718000000002</v>
      </c>
      <c r="M13" s="1066">
        <f>IFERROR('Capital IQ Sheet-GPC'!AT16,"n/a")</f>
        <v>0</v>
      </c>
      <c r="N13" s="331">
        <f t="shared" si="0"/>
        <v>2.2465753424657535</v>
      </c>
      <c r="O13" s="1522">
        <f t="shared" si="0"/>
        <v>1.1815068493150685E-2</v>
      </c>
      <c r="P13" s="1523"/>
      <c r="Q13" s="1524">
        <f>IFERROR(HLOOKUP($Q$6,'Equity Vol'!$B$8:$K13,ROWS('Equity Vol'!$C$8:$C13),FALSE),"n/a")</f>
        <v>0.74596470213292698</v>
      </c>
      <c r="R13" s="1525"/>
      <c r="S13" s="1526">
        <f t="shared" si="10"/>
        <v>0.55646333682826643</v>
      </c>
      <c r="T13" s="1526">
        <f t="shared" si="1"/>
        <v>0</v>
      </c>
      <c r="U13" s="1527">
        <f t="shared" si="2"/>
        <v>0</v>
      </c>
      <c r="V13" s="1527">
        <f t="shared" si="3"/>
        <v>0</v>
      </c>
      <c r="W13" s="1527">
        <f t="shared" si="4"/>
        <v>0</v>
      </c>
      <c r="X13" s="759">
        <f t="shared" si="5"/>
        <v>0</v>
      </c>
      <c r="Y13" s="1524">
        <f t="shared" si="11"/>
        <v>0.74596470213292698</v>
      </c>
      <c r="AA13" s="1177" t="str">
        <f>IF('MASTER PubCo Inputs'!B31=0,"",'MASTER PubCo Inputs'!B31)</f>
        <v>NasdaqGS:RGNX</v>
      </c>
      <c r="AB13" s="331">
        <f>'Beta Calc'!Z13</f>
        <v>497.30718000000002</v>
      </c>
      <c r="AC13" s="1178">
        <f t="shared" si="6"/>
        <v>0</v>
      </c>
      <c r="AI13" s="1179"/>
    </row>
    <row r="14" spans="2:35" ht="14.85" customHeight="1">
      <c r="B14" s="250" t="str">
        <f>'Comp.1'!B16</f>
        <v>Inovio Pharmaceuticals, Inc.</v>
      </c>
      <c r="D14" s="331">
        <f>'Beta Calc'!K14</f>
        <v>524.34855000000005</v>
      </c>
      <c r="E14" s="331">
        <f>'Beta Calc'!L14</f>
        <v>0</v>
      </c>
      <c r="F14" s="331">
        <f>'Beta Calc'!M14</f>
        <v>0</v>
      </c>
      <c r="G14" s="331">
        <f>'Beta Calc'!N14</f>
        <v>9.6269999999999994E-2</v>
      </c>
      <c r="H14" s="331">
        <f t="shared" si="7"/>
        <v>9.6269999999999994E-2</v>
      </c>
      <c r="I14" s="331">
        <f t="shared" si="8"/>
        <v>524.44482000000005</v>
      </c>
      <c r="J14" s="331">
        <f>'Beta Calc'!Q14</f>
        <v>119.68635</v>
      </c>
      <c r="K14" s="331">
        <f t="shared" si="9"/>
        <v>404.75847000000005</v>
      </c>
      <c r="M14" s="1066">
        <f>IFERROR('Capital IQ Sheet-GPC'!AT17,"n/a")</f>
        <v>0</v>
      </c>
      <c r="N14" s="331">
        <f t="shared" si="0"/>
        <v>2.2465753424657535</v>
      </c>
      <c r="O14" s="1522">
        <f t="shared" si="0"/>
        <v>1.1815068493150685E-2</v>
      </c>
      <c r="P14" s="1523"/>
      <c r="Q14" s="1524">
        <f>IFERROR(HLOOKUP($Q$6,'Equity Vol'!$B$8:$K14,ROWS('Equity Vol'!$C$8:$C14),FALSE),"n/a")</f>
        <v>0.6189501235098539</v>
      </c>
      <c r="R14" s="1525"/>
      <c r="S14" s="1526">
        <f t="shared" si="10"/>
        <v>0.38309925539286338</v>
      </c>
      <c r="T14" s="1526">
        <f t="shared" si="1"/>
        <v>9.4864601371643467</v>
      </c>
      <c r="U14" s="1527">
        <f t="shared" si="2"/>
        <v>8.5587417850323018</v>
      </c>
      <c r="V14" s="1527">
        <f t="shared" si="3"/>
        <v>1</v>
      </c>
      <c r="W14" s="1527">
        <f t="shared" si="4"/>
        <v>1</v>
      </c>
      <c r="X14" s="759">
        <f t="shared" si="5"/>
        <v>404.66472172147866</v>
      </c>
      <c r="Y14" s="1524">
        <f t="shared" si="11"/>
        <v>0.61880676515451261</v>
      </c>
      <c r="AA14" s="1177" t="str">
        <f>IF('MASTER PubCo Inputs'!B32=0,"",'MASTER PubCo Inputs'!B32)</f>
        <v>NasdaqGS:INO</v>
      </c>
      <c r="AB14" s="331">
        <f>'Beta Calc'!Z14</f>
        <v>404.75846999999999</v>
      </c>
      <c r="AC14" s="1178">
        <f t="shared" si="6"/>
        <v>0</v>
      </c>
      <c r="AI14" s="1179"/>
    </row>
    <row r="15" spans="2:35" ht="14.85" customHeight="1">
      <c r="B15" s="250" t="str">
        <f>'Comp.1'!B17</f>
        <v>Enanta Pharmaceuticals, Inc.</v>
      </c>
      <c r="D15" s="331">
        <f>'Beta Calc'!K15</f>
        <v>598.48901000000001</v>
      </c>
      <c r="E15" s="331">
        <f>'Beta Calc'!L15</f>
        <v>0.70699999999999996</v>
      </c>
      <c r="F15" s="331">
        <f>'Beta Calc'!M15</f>
        <v>1.2370000000000001</v>
      </c>
      <c r="G15" s="331">
        <f>'Beta Calc'!N15</f>
        <v>0</v>
      </c>
      <c r="H15" s="331">
        <f t="shared" si="7"/>
        <v>1.944</v>
      </c>
      <c r="I15" s="331">
        <f t="shared" si="8"/>
        <v>600.43300999999997</v>
      </c>
      <c r="J15" s="331">
        <f>'Beta Calc'!Q15</f>
        <v>218.465</v>
      </c>
      <c r="K15" s="331">
        <f t="shared" si="9"/>
        <v>381.96800999999994</v>
      </c>
      <c r="M15" s="1066">
        <f>IFERROR('Capital IQ Sheet-GPC'!AT18,"n/a")</f>
        <v>0</v>
      </c>
      <c r="N15" s="331">
        <f t="shared" si="0"/>
        <v>2.2465753424657535</v>
      </c>
      <c r="O15" s="1522">
        <f t="shared" si="0"/>
        <v>1.1815068493150685E-2</v>
      </c>
      <c r="P15" s="1523"/>
      <c r="Q15" s="1524">
        <f>IFERROR(HLOOKUP($Q$6,'Equity Vol'!$B$8:$K15,ROWS('Equity Vol'!$C$8:$C15),FALSE),"n/a")</f>
        <v>0.62241218308329371</v>
      </c>
      <c r="R15" s="1525"/>
      <c r="S15" s="1526">
        <f t="shared" si="10"/>
        <v>0.38739692565051154</v>
      </c>
      <c r="T15" s="1526">
        <f t="shared" si="1"/>
        <v>6.1552628339968471</v>
      </c>
      <c r="U15" s="1527">
        <f t="shared" si="2"/>
        <v>5.2223553461324403</v>
      </c>
      <c r="V15" s="1527">
        <f t="shared" si="3"/>
        <v>0.99999999962523456</v>
      </c>
      <c r="W15" s="1527">
        <f t="shared" si="4"/>
        <v>0.99999991166922597</v>
      </c>
      <c r="X15" s="759">
        <f t="shared" si="5"/>
        <v>380.07493166688965</v>
      </c>
      <c r="Y15" s="1524">
        <f t="shared" si="11"/>
        <v>0.61932743541187707</v>
      </c>
      <c r="AA15" s="1177" t="str">
        <f>IF('MASTER PubCo Inputs'!B33=0,"",'MASTER PubCo Inputs'!B33)</f>
        <v>NasdaqGS:ENTA</v>
      </c>
      <c r="AB15" s="331">
        <f>'Beta Calc'!Z15</f>
        <v>389.81500999999997</v>
      </c>
      <c r="AC15" s="1178">
        <f t="shared" si="6"/>
        <v>-7.8470000000000368</v>
      </c>
      <c r="AI15" s="1179"/>
    </row>
    <row r="16" spans="2:35" ht="14.85" customHeight="1">
      <c r="B16" s="250" t="str">
        <f>'Comp.1'!B18</f>
        <v>Editas Medicine, Inc.</v>
      </c>
      <c r="D16" s="331">
        <f>'Beta Calc'!K16</f>
        <v>508.51056999999997</v>
      </c>
      <c r="E16" s="331">
        <f>'Beta Calc'!L16</f>
        <v>32.048000000000002</v>
      </c>
      <c r="F16" s="331">
        <f>'Beta Calc'!M16</f>
        <v>0</v>
      </c>
      <c r="G16" s="331">
        <f>'Beta Calc'!N16</f>
        <v>0</v>
      </c>
      <c r="H16" s="331">
        <f t="shared" si="7"/>
        <v>32.048000000000002</v>
      </c>
      <c r="I16" s="331">
        <f t="shared" si="8"/>
        <v>540.55856999999992</v>
      </c>
      <c r="J16" s="331">
        <f>'Beta Calc'!Q16</f>
        <v>199.874</v>
      </c>
      <c r="K16" s="331">
        <f t="shared" si="9"/>
        <v>340.68456999999989</v>
      </c>
      <c r="M16" s="1066">
        <f>IFERROR('Capital IQ Sheet-GPC'!AT19,"n/a")</f>
        <v>0</v>
      </c>
      <c r="N16" s="331">
        <f t="shared" si="0"/>
        <v>2.2465753424657535</v>
      </c>
      <c r="O16" s="1522">
        <f t="shared" si="0"/>
        <v>1.1815068493150685E-2</v>
      </c>
      <c r="P16" s="1523"/>
      <c r="Q16" s="1524" t="str">
        <f>IFERROR(HLOOKUP($Q$6,'Equity Vol'!$B$8:$K16,ROWS('Equity Vol'!$C$8:$C16),FALSE),"n/a")</f>
        <v>n/a</v>
      </c>
      <c r="R16" s="1525"/>
      <c r="S16" s="1526" t="str">
        <f t="shared" si="10"/>
        <v>n/a</v>
      </c>
      <c r="T16" s="1526" t="str">
        <f t="shared" si="1"/>
        <v>n/a</v>
      </c>
      <c r="U16" s="1527" t="str">
        <f t="shared" si="2"/>
        <v>n/a</v>
      </c>
      <c r="V16" s="1527" t="str">
        <f t="shared" si="3"/>
        <v>n/a</v>
      </c>
      <c r="W16" s="1527" t="str">
        <f t="shared" si="4"/>
        <v>n/a</v>
      </c>
      <c r="X16" s="759" t="str">
        <f t="shared" si="5"/>
        <v>n/a</v>
      </c>
      <c r="Y16" s="1524" t="str">
        <f t="shared" si="11"/>
        <v>n/a</v>
      </c>
      <c r="AA16" s="1177" t="str">
        <f>IF('MASTER PubCo Inputs'!B34=0,"",'MASTER PubCo Inputs'!B34)</f>
        <v>NasdaqGS:EDIT</v>
      </c>
      <c r="AB16" s="331">
        <f>'Beta Calc'!Z16</f>
        <v>340.68457000000001</v>
      </c>
      <c r="AC16" s="1178">
        <f t="shared" si="6"/>
        <v>0</v>
      </c>
      <c r="AI16" s="1179"/>
    </row>
    <row r="17" spans="2:35" ht="14.85" customHeight="1">
      <c r="B17" s="250" t="str">
        <f>'Comp.1'!B19</f>
        <v>NantKwest, Inc.</v>
      </c>
      <c r="D17" s="331">
        <f>'Beta Calc'!K17</f>
        <v>538.73569999999995</v>
      </c>
      <c r="E17" s="331">
        <f>'Beta Calc'!L17</f>
        <v>7.7030000000000003</v>
      </c>
      <c r="F17" s="331">
        <f>'Beta Calc'!M17</f>
        <v>0</v>
      </c>
      <c r="G17" s="331">
        <f>'Beta Calc'!N17</f>
        <v>0</v>
      </c>
      <c r="H17" s="331">
        <f t="shared" si="7"/>
        <v>7.7030000000000003</v>
      </c>
      <c r="I17" s="331">
        <f t="shared" si="8"/>
        <v>546.43869999999993</v>
      </c>
      <c r="J17" s="331">
        <f>'Beta Calc'!Q17</f>
        <v>209.256</v>
      </c>
      <c r="K17" s="331">
        <f t="shared" si="9"/>
        <v>337.18269999999995</v>
      </c>
      <c r="M17" s="1066">
        <f>IFERROR('Capital IQ Sheet-GPC'!AT20,"n/a")</f>
        <v>0</v>
      </c>
      <c r="N17" s="331">
        <f t="shared" si="0"/>
        <v>2.2465753424657535</v>
      </c>
      <c r="O17" s="1522">
        <f t="shared" si="0"/>
        <v>1.1815068493150685E-2</v>
      </c>
      <c r="P17" s="1523"/>
      <c r="Q17" s="1524">
        <f>IFERROR(HLOOKUP($Q$6,'Equity Vol'!$B$8:$K17,ROWS('Equity Vol'!$C$8:$C17),FALSE),"n/a")</f>
        <v>0.87724623477379815</v>
      </c>
      <c r="R17" s="1525"/>
      <c r="S17" s="1526">
        <f t="shared" si="10"/>
        <v>0.76956095642480582</v>
      </c>
      <c r="T17" s="1526">
        <f t="shared" si="1"/>
        <v>3.5516861293293025</v>
      </c>
      <c r="U17" s="1527">
        <f t="shared" si="2"/>
        <v>2.2368185811601604</v>
      </c>
      <c r="V17" s="1527">
        <f t="shared" si="3"/>
        <v>0.99980861441978996</v>
      </c>
      <c r="W17" s="1527">
        <f t="shared" si="4"/>
        <v>0.98735090019340011</v>
      </c>
      <c r="X17" s="759">
        <f t="shared" si="5"/>
        <v>329.71182623498549</v>
      </c>
      <c r="Y17" s="1524">
        <f t="shared" si="11"/>
        <v>0.85797351047827419</v>
      </c>
      <c r="AA17" s="1177" t="str">
        <f>IF('MASTER PubCo Inputs'!B35=0,"",'MASTER PubCo Inputs'!B35)</f>
        <v>NasdaqGS:NK</v>
      </c>
      <c r="AB17" s="331">
        <f>'Beta Calc'!Z17</f>
        <v>337.18270000000001</v>
      </c>
      <c r="AC17" s="1178">
        <f t="shared" si="6"/>
        <v>0</v>
      </c>
      <c r="AI17" s="1179"/>
    </row>
    <row r="18" spans="2:35" ht="14.85" customHeight="1">
      <c r="B18" s="250" t="str">
        <f>'Comp.1'!B20</f>
        <v>Cocrystal Pharma, Inc.</v>
      </c>
      <c r="D18" s="331">
        <f>'Beta Calc'!K18</f>
        <v>317.20850000000002</v>
      </c>
      <c r="E18" s="331">
        <f>'Beta Calc'!L18</f>
        <v>0</v>
      </c>
      <c r="F18" s="331">
        <f>'Beta Calc'!M18</f>
        <v>0</v>
      </c>
      <c r="G18" s="331">
        <f>'Beta Calc'!N18</f>
        <v>0</v>
      </c>
      <c r="H18" s="331">
        <f t="shared" si="7"/>
        <v>0</v>
      </c>
      <c r="I18" s="331">
        <f t="shared" si="8"/>
        <v>317.20850000000002</v>
      </c>
      <c r="J18" s="331">
        <f>'Beta Calc'!Q18</f>
        <v>5.9059999999999997</v>
      </c>
      <c r="K18" s="331">
        <f t="shared" si="9"/>
        <v>311.30250000000001</v>
      </c>
      <c r="M18" s="1066">
        <f>IFERROR('Capital IQ Sheet-GPC'!AT21,"n/a")</f>
        <v>0</v>
      </c>
      <c r="N18" s="331">
        <f t="shared" si="0"/>
        <v>2.2465753424657535</v>
      </c>
      <c r="O18" s="1522">
        <f t="shared" si="0"/>
        <v>1.1815068493150685E-2</v>
      </c>
      <c r="P18" s="1523"/>
      <c r="Q18" s="1524">
        <f>IFERROR(HLOOKUP($Q$6,'Equity Vol'!$B$8:$K18,ROWS('Equity Vol'!$C$8:$C18),FALSE),"n/a")</f>
        <v>0.82210152397422587</v>
      </c>
      <c r="R18" s="1525"/>
      <c r="S18" s="1526">
        <f t="shared" si="10"/>
        <v>0.67585091572074463</v>
      </c>
      <c r="T18" s="1526">
        <f t="shared" si="1"/>
        <v>0</v>
      </c>
      <c r="U18" s="1527">
        <f t="shared" si="2"/>
        <v>0</v>
      </c>
      <c r="V18" s="1527">
        <f t="shared" si="3"/>
        <v>0</v>
      </c>
      <c r="W18" s="1527">
        <f t="shared" si="4"/>
        <v>0</v>
      </c>
      <c r="X18" s="759">
        <f t="shared" si="5"/>
        <v>0</v>
      </c>
      <c r="Y18" s="1524">
        <f t="shared" si="11"/>
        <v>0.82210152397422587</v>
      </c>
      <c r="AA18" s="1177" t="str">
        <f>IF('MASTER PubCo Inputs'!B36=0,"",'MASTER PubCo Inputs'!B36)</f>
        <v>OTCBB:COCP</v>
      </c>
      <c r="AB18" s="331">
        <f>'Beta Calc'!Z18</f>
        <v>311.30250000000001</v>
      </c>
      <c r="AC18" s="1178">
        <f t="shared" si="6"/>
        <v>0</v>
      </c>
      <c r="AI18" s="1179"/>
    </row>
    <row r="19" spans="2:35" ht="14.85" customHeight="1">
      <c r="B19" s="250" t="str">
        <f>'Comp.1'!B21</f>
        <v>Intellia Therapeutics Inc.</v>
      </c>
      <c r="D19" s="331">
        <f>'Beta Calc'!K19</f>
        <v>566.92646000000002</v>
      </c>
      <c r="E19" s="331">
        <f>'Beta Calc'!L19</f>
        <v>0</v>
      </c>
      <c r="F19" s="331">
        <f>'Beta Calc'!M19</f>
        <v>0</v>
      </c>
      <c r="G19" s="331">
        <f>'Beta Calc'!N19</f>
        <v>0</v>
      </c>
      <c r="H19" s="331">
        <f t="shared" si="7"/>
        <v>0</v>
      </c>
      <c r="I19" s="331">
        <f t="shared" si="8"/>
        <v>566.92646000000002</v>
      </c>
      <c r="J19" s="331">
        <f>'Beta Calc'!Q19</f>
        <v>290.61799999999999</v>
      </c>
      <c r="K19" s="331">
        <f t="shared" si="9"/>
        <v>276.30846000000003</v>
      </c>
      <c r="M19" s="1066">
        <f>IFERROR('Capital IQ Sheet-GPC'!AT22,"n/a")</f>
        <v>0</v>
      </c>
      <c r="N19" s="331">
        <f t="shared" si="0"/>
        <v>2.2465753424657535</v>
      </c>
      <c r="O19" s="1522">
        <f t="shared" si="0"/>
        <v>1.1815068493150685E-2</v>
      </c>
      <c r="P19" s="1523"/>
      <c r="Q19" s="1524" t="str">
        <f>IFERROR(HLOOKUP($Q$6,'Equity Vol'!$B$8:$K19,ROWS('Equity Vol'!$C$8:$C19),FALSE),"n/a")</f>
        <v>n/a</v>
      </c>
      <c r="R19" s="1525"/>
      <c r="S19" s="1526" t="str">
        <f t="shared" si="10"/>
        <v>n/a</v>
      </c>
      <c r="T19" s="1526" t="str">
        <f t="shared" si="1"/>
        <v>n/a</v>
      </c>
      <c r="U19" s="1527" t="str">
        <f t="shared" si="2"/>
        <v>n/a</v>
      </c>
      <c r="V19" s="1527" t="str">
        <f t="shared" si="3"/>
        <v>n/a</v>
      </c>
      <c r="W19" s="1527" t="str">
        <f t="shared" si="4"/>
        <v>n/a</v>
      </c>
      <c r="X19" s="759" t="str">
        <f t="shared" si="5"/>
        <v>n/a</v>
      </c>
      <c r="Y19" s="1524" t="str">
        <f t="shared" si="11"/>
        <v>n/a</v>
      </c>
      <c r="AA19" s="1177" t="str">
        <f>IF('MASTER PubCo Inputs'!B37=0,"",'MASTER PubCo Inputs'!B37)</f>
        <v>NasdaqGM:NTLA</v>
      </c>
      <c r="AB19" s="331">
        <f>'Beta Calc'!Z19</f>
        <v>276.30846000000003</v>
      </c>
      <c r="AC19" s="1178">
        <f t="shared" si="6"/>
        <v>0</v>
      </c>
      <c r="AI19" s="1179"/>
    </row>
    <row r="20" spans="2:35" ht="14.85" customHeight="1">
      <c r="B20" s="250" t="str">
        <f>'Comp.1'!B22</f>
        <v>GenSight Biologics S.A.</v>
      </c>
      <c r="D20" s="331">
        <f>'Beta Calc'!K20</f>
        <v>256.04862000000003</v>
      </c>
      <c r="E20" s="331">
        <f>'Beta Calc'!L20</f>
        <v>0.67574000000000001</v>
      </c>
      <c r="F20" s="331">
        <f>'Beta Calc'!M20</f>
        <v>0</v>
      </c>
      <c r="G20" s="331">
        <f>'Beta Calc'!N20</f>
        <v>0</v>
      </c>
      <c r="H20" s="331">
        <f t="shared" si="7"/>
        <v>0.67574000000000001</v>
      </c>
      <c r="I20" s="331">
        <f t="shared" si="8"/>
        <v>256.72436000000005</v>
      </c>
      <c r="J20" s="331">
        <f>'Beta Calc'!Q20</f>
        <v>32.647199999999998</v>
      </c>
      <c r="K20" s="331">
        <f t="shared" si="9"/>
        <v>224.07716000000005</v>
      </c>
      <c r="M20" s="1066">
        <f>IFERROR('Capital IQ Sheet-GPC'!AT23,"n/a")</f>
        <v>0</v>
      </c>
      <c r="N20" s="331">
        <f t="shared" si="0"/>
        <v>2.2465753424657535</v>
      </c>
      <c r="O20" s="1522">
        <f t="shared" si="0"/>
        <v>1.1815068493150685E-2</v>
      </c>
      <c r="P20" s="1523"/>
      <c r="Q20" s="1524" t="str">
        <f>IFERROR(HLOOKUP($Q$6,'Equity Vol'!$B$8:$K20,ROWS('Equity Vol'!$C$8:$C20),FALSE),"n/a")</f>
        <v>n/a</v>
      </c>
      <c r="R20" s="1525"/>
      <c r="S20" s="1526" t="str">
        <f t="shared" si="10"/>
        <v>n/a</v>
      </c>
      <c r="T20" s="1526" t="str">
        <f t="shared" si="1"/>
        <v>n/a</v>
      </c>
      <c r="U20" s="1527" t="str">
        <f t="shared" si="2"/>
        <v>n/a</v>
      </c>
      <c r="V20" s="1527" t="str">
        <f t="shared" si="3"/>
        <v>n/a</v>
      </c>
      <c r="W20" s="1527" t="str">
        <f t="shared" si="4"/>
        <v>n/a</v>
      </c>
      <c r="X20" s="759" t="str">
        <f t="shared" si="5"/>
        <v>n/a</v>
      </c>
      <c r="Y20" s="1524" t="str">
        <f t="shared" si="11"/>
        <v>n/a</v>
      </c>
      <c r="AA20" s="1177" t="str">
        <f>IF('MASTER PubCo Inputs'!B38=0,"",'MASTER PubCo Inputs'!B38)</f>
        <v>ENXTPA:SIGHT</v>
      </c>
      <c r="AB20" s="331">
        <f>'Beta Calc'!Z20</f>
        <v>224.93052</v>
      </c>
      <c r="AC20" s="1178">
        <f t="shared" si="6"/>
        <v>-0.85335999999995238</v>
      </c>
      <c r="AI20" s="1179"/>
    </row>
    <row r="21" spans="2:35" ht="14.85" customHeight="1">
      <c r="B21" s="250" t="str">
        <f>'Comp.1'!B23</f>
        <v>Advaxis, Inc.</v>
      </c>
      <c r="D21" s="331">
        <f>'Beta Calc'!K21</f>
        <v>331.10462000000001</v>
      </c>
      <c r="E21" s="331">
        <f>'Beta Calc'!L21</f>
        <v>0</v>
      </c>
      <c r="F21" s="331">
        <f>'Beta Calc'!M21</f>
        <v>0</v>
      </c>
      <c r="G21" s="331">
        <f>'Beta Calc'!N21</f>
        <v>0</v>
      </c>
      <c r="H21" s="331">
        <f t="shared" si="7"/>
        <v>0</v>
      </c>
      <c r="I21" s="331">
        <f t="shared" si="8"/>
        <v>331.10462000000001</v>
      </c>
      <c r="J21" s="331">
        <f>'Beta Calc'!Q21</f>
        <v>78.717920000000007</v>
      </c>
      <c r="K21" s="331">
        <f t="shared" si="9"/>
        <v>252.38670000000002</v>
      </c>
      <c r="M21" s="1066">
        <f>IFERROR('Capital IQ Sheet-GPC'!AT24,"n/a")</f>
        <v>0</v>
      </c>
      <c r="N21" s="331">
        <f t="shared" si="0"/>
        <v>2.2465753424657535</v>
      </c>
      <c r="O21" s="1522">
        <f t="shared" si="0"/>
        <v>1.1815068493150685E-2</v>
      </c>
      <c r="P21" s="1523"/>
      <c r="Q21" s="1524">
        <f>IFERROR(HLOOKUP($Q$6,'Equity Vol'!$B$8:$K21,ROWS('Equity Vol'!$C$8:$C21),FALSE),"n/a")</f>
        <v>1.0114092642984704</v>
      </c>
      <c r="R21" s="1525"/>
      <c r="S21" s="1526">
        <f t="shared" si="10"/>
        <v>1.0229486999087734</v>
      </c>
      <c r="T21" s="1526">
        <f t="shared" si="1"/>
        <v>0</v>
      </c>
      <c r="U21" s="1527">
        <f t="shared" si="2"/>
        <v>0</v>
      </c>
      <c r="V21" s="1527">
        <f t="shared" si="3"/>
        <v>0</v>
      </c>
      <c r="W21" s="1527">
        <f t="shared" si="4"/>
        <v>0</v>
      </c>
      <c r="X21" s="759">
        <f t="shared" si="5"/>
        <v>0</v>
      </c>
      <c r="Y21" s="1524">
        <f t="shared" si="11"/>
        <v>1.0114092642984704</v>
      </c>
      <c r="AA21" s="1177" t="str">
        <f>IF('MASTER PubCo Inputs'!B39=0,"",'MASTER PubCo Inputs'!B39)</f>
        <v>NasdaqCM:ADXS</v>
      </c>
      <c r="AB21" s="331">
        <f>'Beta Calc'!Z21</f>
        <v>252.38669999999999</v>
      </c>
      <c r="AC21" s="1178">
        <f t="shared" si="6"/>
        <v>0</v>
      </c>
      <c r="AI21" s="1179"/>
    </row>
    <row r="22" spans="2:35" ht="14.85" customHeight="1">
      <c r="B22" s="250" t="str">
        <f>'Comp.1'!B24</f>
        <v>Audentes Therapeutics, Inc.</v>
      </c>
      <c r="D22" s="331">
        <f>'Beta Calc'!K22</f>
        <v>356.94443000000001</v>
      </c>
      <c r="E22" s="331">
        <f>'Beta Calc'!L22</f>
        <v>0</v>
      </c>
      <c r="F22" s="331">
        <f>'Beta Calc'!M22</f>
        <v>0</v>
      </c>
      <c r="G22" s="331">
        <f>'Beta Calc'!N22</f>
        <v>0</v>
      </c>
      <c r="H22" s="331">
        <f t="shared" si="7"/>
        <v>0</v>
      </c>
      <c r="I22" s="331">
        <f t="shared" si="8"/>
        <v>356.94443000000001</v>
      </c>
      <c r="J22" s="331">
        <f>'Beta Calc'!Q22</f>
        <v>119.18</v>
      </c>
      <c r="K22" s="331">
        <f t="shared" si="9"/>
        <v>237.76443</v>
      </c>
      <c r="M22" s="1066">
        <f>IFERROR('Capital IQ Sheet-GPC'!AT25,"n/a")</f>
        <v>0</v>
      </c>
      <c r="N22" s="331">
        <f t="shared" si="0"/>
        <v>2.2465753424657535</v>
      </c>
      <c r="O22" s="1522">
        <f t="shared" si="0"/>
        <v>1.1815068493150685E-2</v>
      </c>
      <c r="P22" s="1523"/>
      <c r="Q22" s="1524" t="str">
        <f>IFERROR(HLOOKUP($Q$6,'Equity Vol'!$B$8:$K22,ROWS('Equity Vol'!$C$8:$C22),FALSE),"n/a")</f>
        <v>n/a</v>
      </c>
      <c r="R22" s="1525"/>
      <c r="S22" s="1526" t="str">
        <f t="shared" si="10"/>
        <v>n/a</v>
      </c>
      <c r="T22" s="1526" t="str">
        <f t="shared" si="1"/>
        <v>n/a</v>
      </c>
      <c r="U22" s="1527" t="str">
        <f t="shared" si="2"/>
        <v>n/a</v>
      </c>
      <c r="V22" s="1527" t="str">
        <f t="shared" si="3"/>
        <v>n/a</v>
      </c>
      <c r="W22" s="1527" t="str">
        <f t="shared" si="4"/>
        <v>n/a</v>
      </c>
      <c r="X22" s="759" t="str">
        <f t="shared" si="5"/>
        <v>n/a</v>
      </c>
      <c r="Y22" s="1524" t="str">
        <f t="shared" si="11"/>
        <v>n/a</v>
      </c>
      <c r="AA22" s="1177" t="str">
        <f>IF('MASTER PubCo Inputs'!B40=0,"",'MASTER PubCo Inputs'!B40)</f>
        <v>NasdaqGM:BOLD</v>
      </c>
      <c r="AB22" s="331">
        <f>'Beta Calc'!Z22</f>
        <v>237.76443</v>
      </c>
      <c r="AC22" s="1178">
        <f t="shared" si="6"/>
        <v>0</v>
      </c>
      <c r="AI22" s="1179"/>
    </row>
    <row r="23" spans="2:35" ht="14.85" customHeight="1">
      <c r="B23" s="250" t="str">
        <f>'Comp.1'!B25</f>
        <v>Syros Pharmaceuticals, Inc.</v>
      </c>
      <c r="D23" s="331">
        <f>'Beta Calc'!K23</f>
        <v>317.50677000000002</v>
      </c>
      <c r="E23" s="331">
        <f>'Beta Calc'!L23</f>
        <v>0.26100000000000001</v>
      </c>
      <c r="F23" s="331">
        <f>'Beta Calc'!M23</f>
        <v>0</v>
      </c>
      <c r="G23" s="331">
        <f>'Beta Calc'!N23</f>
        <v>0</v>
      </c>
      <c r="H23" s="331">
        <f t="shared" si="7"/>
        <v>0.26100000000000001</v>
      </c>
      <c r="I23" s="331">
        <f t="shared" si="8"/>
        <v>317.76777000000004</v>
      </c>
      <c r="J23" s="331">
        <f>'Beta Calc'!Q23</f>
        <v>93.494</v>
      </c>
      <c r="K23" s="331">
        <f t="shared" si="9"/>
        <v>224.27377000000004</v>
      </c>
      <c r="M23" s="1066">
        <f>IFERROR('Capital IQ Sheet-GPC'!AT26,"n/a")</f>
        <v>0</v>
      </c>
      <c r="N23" s="331">
        <f t="shared" si="0"/>
        <v>2.2465753424657535</v>
      </c>
      <c r="O23" s="1522">
        <f t="shared" si="0"/>
        <v>1.1815068493150685E-2</v>
      </c>
      <c r="P23" s="1523"/>
      <c r="Q23" s="1524" t="str">
        <f>IFERROR(HLOOKUP($Q$6,'Equity Vol'!$B$8:$K23,ROWS('Equity Vol'!$C$8:$C23),FALSE),"n/a")</f>
        <v>n/a</v>
      </c>
      <c r="R23" s="1525"/>
      <c r="S23" s="1526" t="str">
        <f t="shared" si="10"/>
        <v>n/a</v>
      </c>
      <c r="T23" s="1526" t="str">
        <f t="shared" si="1"/>
        <v>n/a</v>
      </c>
      <c r="U23" s="1527" t="str">
        <f t="shared" si="2"/>
        <v>n/a</v>
      </c>
      <c r="V23" s="1527" t="str">
        <f t="shared" si="3"/>
        <v>n/a</v>
      </c>
      <c r="W23" s="1527" t="str">
        <f t="shared" si="4"/>
        <v>n/a</v>
      </c>
      <c r="X23" s="759" t="str">
        <f t="shared" si="5"/>
        <v>n/a</v>
      </c>
      <c r="Y23" s="1524" t="str">
        <f t="shared" si="11"/>
        <v>n/a</v>
      </c>
      <c r="AA23" s="1177" t="str">
        <f>IF('MASTER PubCo Inputs'!B41=0,"",'MASTER PubCo Inputs'!B41)</f>
        <v>NasdaqGS:SYRS</v>
      </c>
      <c r="AB23" s="331">
        <f>'Beta Calc'!Z23</f>
        <v>224.27377000000001</v>
      </c>
      <c r="AC23" s="1178">
        <f t="shared" si="6"/>
        <v>0</v>
      </c>
      <c r="AI23" s="1179"/>
    </row>
    <row r="24" spans="2:35" ht="14.85" customHeight="1">
      <c r="B24" s="250" t="str">
        <f>'Comp.1'!B26</f>
        <v>Abeona Therapeutics Inc.</v>
      </c>
      <c r="D24" s="331">
        <f>'Beta Calc'!K24</f>
        <v>249.7473</v>
      </c>
      <c r="E24" s="331">
        <f>'Beta Calc'!L24</f>
        <v>0</v>
      </c>
      <c r="F24" s="331">
        <f>'Beta Calc'!M24</f>
        <v>0</v>
      </c>
      <c r="G24" s="331">
        <f>'Beta Calc'!N24</f>
        <v>0</v>
      </c>
      <c r="H24" s="331">
        <f t="shared" si="7"/>
        <v>0</v>
      </c>
      <c r="I24" s="331">
        <f t="shared" si="8"/>
        <v>249.7473</v>
      </c>
      <c r="J24" s="331">
        <f>'Beta Calc'!Q24</f>
        <v>31.184999999999999</v>
      </c>
      <c r="K24" s="331">
        <f t="shared" si="9"/>
        <v>218.56229999999999</v>
      </c>
      <c r="M24" s="1066">
        <f>IFERROR('Capital IQ Sheet-GPC'!AT27,"n/a")</f>
        <v>0</v>
      </c>
      <c r="N24" s="331">
        <f t="shared" si="0"/>
        <v>2.2465753424657535</v>
      </c>
      <c r="O24" s="1522">
        <f t="shared" si="0"/>
        <v>1.1815068493150685E-2</v>
      </c>
      <c r="P24" s="1523"/>
      <c r="Q24" s="1524">
        <f>IFERROR(HLOOKUP($Q$6,'Equity Vol'!$B$8:$K24,ROWS('Equity Vol'!$C$8:$C24),FALSE),"n/a")</f>
        <v>1.0161279587876995</v>
      </c>
      <c r="R24" s="1525"/>
      <c r="S24" s="1526">
        <f t="shared" si="10"/>
        <v>1.0325160286300568</v>
      </c>
      <c r="T24" s="1526">
        <f t="shared" si="1"/>
        <v>0</v>
      </c>
      <c r="U24" s="1527">
        <f t="shared" si="2"/>
        <v>0</v>
      </c>
      <c r="V24" s="1527">
        <f t="shared" si="3"/>
        <v>0</v>
      </c>
      <c r="W24" s="1527">
        <f t="shared" si="4"/>
        <v>0</v>
      </c>
      <c r="X24" s="759">
        <f t="shared" si="5"/>
        <v>0</v>
      </c>
      <c r="Y24" s="1524">
        <f t="shared" si="11"/>
        <v>1.0161279587876995</v>
      </c>
      <c r="AA24" s="1177" t="str">
        <f>IF('MASTER PubCo Inputs'!B42=0,"",'MASTER PubCo Inputs'!B42)</f>
        <v>NasdaqCM:ABEO</v>
      </c>
      <c r="AB24" s="331">
        <f>'Beta Calc'!Z24</f>
        <v>218.56229999999999</v>
      </c>
      <c r="AC24" s="1178">
        <f t="shared" si="6"/>
        <v>0</v>
      </c>
      <c r="AI24" s="1179"/>
    </row>
    <row r="25" spans="2:35" ht="14.85" customHeight="1">
      <c r="B25" s="250" t="str">
        <f>'Comp.1'!B27</f>
        <v>Idera Pharmaceuticals, Inc.</v>
      </c>
      <c r="D25" s="331">
        <f>'Beta Calc'!K25</f>
        <v>249.53377</v>
      </c>
      <c r="E25" s="331">
        <f>'Beta Calc'!L25</f>
        <v>0.56899999999999995</v>
      </c>
      <c r="F25" s="331">
        <f>'Beta Calc'!M25</f>
        <v>0</v>
      </c>
      <c r="G25" s="331">
        <f>'Beta Calc'!N25</f>
        <v>0</v>
      </c>
      <c r="H25" s="331">
        <f t="shared" si="7"/>
        <v>0.56899999999999995</v>
      </c>
      <c r="I25" s="331">
        <f t="shared" si="8"/>
        <v>250.10276999999999</v>
      </c>
      <c r="J25" s="331">
        <f>'Beta Calc'!Q25</f>
        <v>52.01</v>
      </c>
      <c r="K25" s="331">
        <f t="shared" si="9"/>
        <v>198.09277</v>
      </c>
      <c r="M25" s="1066">
        <f>IFERROR('Capital IQ Sheet-GPC'!AT28,"n/a")</f>
        <v>0</v>
      </c>
      <c r="N25" s="331">
        <f t="shared" si="0"/>
        <v>2.2465753424657535</v>
      </c>
      <c r="O25" s="1522">
        <f t="shared" si="0"/>
        <v>1.1815068493150685E-2</v>
      </c>
      <c r="P25" s="1523"/>
      <c r="Q25" s="1524">
        <f>IFERROR(HLOOKUP($Q$6,'Equity Vol'!$B$8:$K25,ROWS('Equity Vol'!$C$8:$C25),FALSE),"n/a")</f>
        <v>0.75325423670083858</v>
      </c>
      <c r="R25" s="1525"/>
      <c r="S25" s="1526">
        <f t="shared" si="10"/>
        <v>0.56739194510776292</v>
      </c>
      <c r="T25" s="1526">
        <f t="shared" si="1"/>
        <v>5.771812272086434</v>
      </c>
      <c r="U25" s="1527">
        <f t="shared" si="2"/>
        <v>4.6427911237491752</v>
      </c>
      <c r="V25" s="1527">
        <f t="shared" si="3"/>
        <v>0.99999999607882706</v>
      </c>
      <c r="W25" s="1527">
        <f t="shared" si="4"/>
        <v>0.99999828133096869</v>
      </c>
      <c r="X25" s="759">
        <f t="shared" si="5"/>
        <v>197.53867470989493</v>
      </c>
      <c r="Y25" s="1524">
        <f t="shared" si="11"/>
        <v>0.75114727418348148</v>
      </c>
      <c r="AA25" s="1177" t="str">
        <f>IF('MASTER PubCo Inputs'!B43=0,"",'MASTER PubCo Inputs'!B43)</f>
        <v>NasdaqCM:IDRA</v>
      </c>
      <c r="AB25" s="331">
        <f>'Beta Calc'!Z25</f>
        <v>198.09277</v>
      </c>
      <c r="AC25" s="1178">
        <f t="shared" si="6"/>
        <v>0</v>
      </c>
      <c r="AI25" s="1179"/>
    </row>
    <row r="26" spans="2:35" ht="14.85" customHeight="1">
      <c r="B26" s="250" t="str">
        <f>'Comp.1'!B28</f>
        <v>Achillion Pharmaceuticals, Inc.</v>
      </c>
      <c r="D26" s="331">
        <f>'Beta Calc'!K26</f>
        <v>565.85888</v>
      </c>
      <c r="E26" s="331">
        <f>'Beta Calc'!L26</f>
        <v>0.28899999999999998</v>
      </c>
      <c r="F26" s="331">
        <f>'Beta Calc'!M26</f>
        <v>0</v>
      </c>
      <c r="G26" s="331">
        <f>'Beta Calc'!N26</f>
        <v>0</v>
      </c>
      <c r="H26" s="331">
        <f t="shared" si="7"/>
        <v>0.28899999999999998</v>
      </c>
      <c r="I26" s="331">
        <f t="shared" si="8"/>
        <v>566.14787999999999</v>
      </c>
      <c r="J26" s="331">
        <f>'Beta Calc'!Q26</f>
        <v>408.70499999999998</v>
      </c>
      <c r="K26" s="331">
        <f t="shared" si="9"/>
        <v>157.44288</v>
      </c>
      <c r="M26" s="1066">
        <f>IFERROR('Capital IQ Sheet-GPC'!AT29,"n/a")</f>
        <v>0</v>
      </c>
      <c r="N26" s="331">
        <f t="shared" si="0"/>
        <v>2.2465753424657535</v>
      </c>
      <c r="O26" s="1522">
        <f t="shared" si="0"/>
        <v>1.1815068493150685E-2</v>
      </c>
      <c r="P26" s="1523"/>
      <c r="Q26" s="1524">
        <f>IFERROR(HLOOKUP($Q$6,'Equity Vol'!$B$8:$K26,ROWS('Equity Vol'!$C$8:$C26),FALSE),"n/a")</f>
        <v>0.65060803171501025</v>
      </c>
      <c r="R26" s="1525"/>
      <c r="S26" s="1526">
        <f t="shared" si="10"/>
        <v>0.42329081093207976</v>
      </c>
      <c r="T26" s="1526">
        <f t="shared" si="1"/>
        <v>6.9756233826233842</v>
      </c>
      <c r="U26" s="1527">
        <f t="shared" si="2"/>
        <v>6.0004543211102828</v>
      </c>
      <c r="V26" s="1527">
        <f t="shared" si="3"/>
        <v>0.99999999999847744</v>
      </c>
      <c r="W26" s="1527">
        <f t="shared" si="4"/>
        <v>0.99999999901616898</v>
      </c>
      <c r="X26" s="759">
        <f t="shared" si="5"/>
        <v>157.16145014138249</v>
      </c>
      <c r="Y26" s="1524">
        <f t="shared" si="11"/>
        <v>0.64944506692279291</v>
      </c>
      <c r="AA26" s="1177" t="str">
        <f>IF('MASTER PubCo Inputs'!B44=0,"",'MASTER PubCo Inputs'!B44)</f>
        <v>NasdaqGS:ACHN</v>
      </c>
      <c r="AB26" s="331">
        <f>'Beta Calc'!Z26</f>
        <v>157.44288</v>
      </c>
      <c r="AC26" s="1178">
        <f t="shared" si="6"/>
        <v>0</v>
      </c>
      <c r="AI26" s="1179"/>
    </row>
    <row r="27" spans="2:35" ht="14.85" customHeight="1">
      <c r="B27" s="250" t="str">
        <f>'Comp.1'!B29</f>
        <v>ContraVir Pharmaceuticals, Inc.</v>
      </c>
      <c r="D27" s="331">
        <f>'Beta Calc'!K27</f>
        <v>118.69085</v>
      </c>
      <c r="E27" s="331">
        <f>'Beta Calc'!L27</f>
        <v>0</v>
      </c>
      <c r="F27" s="331">
        <f>'Beta Calc'!M27</f>
        <v>1.83091</v>
      </c>
      <c r="G27" s="331">
        <f>'Beta Calc'!N27</f>
        <v>0</v>
      </c>
      <c r="H27" s="331">
        <f t="shared" si="7"/>
        <v>1.83091</v>
      </c>
      <c r="I27" s="331">
        <f t="shared" si="8"/>
        <v>120.52176</v>
      </c>
      <c r="J27" s="331">
        <f>'Beta Calc'!Q27</f>
        <v>3.0281600000000002</v>
      </c>
      <c r="K27" s="331">
        <f t="shared" si="9"/>
        <v>117.4936</v>
      </c>
      <c r="M27" s="1066">
        <f>IFERROR('Capital IQ Sheet-GPC'!AT30,"n/a")</f>
        <v>0</v>
      </c>
      <c r="N27" s="331">
        <f t="shared" si="0"/>
        <v>2.2465753424657535</v>
      </c>
      <c r="O27" s="1522">
        <f t="shared" si="0"/>
        <v>1.1815068493150685E-2</v>
      </c>
      <c r="P27" s="1523"/>
      <c r="Q27" s="1524">
        <f>IFERROR(HLOOKUP($Q$6,'Equity Vol'!$B$8:$K27,ROWS('Equity Vol'!$C$8:$C27),FALSE),"n/a")</f>
        <v>1.1933416076473253</v>
      </c>
      <c r="R27" s="1525"/>
      <c r="S27" s="1526">
        <f t="shared" si="10"/>
        <v>1.424064192542303</v>
      </c>
      <c r="T27" s="1526">
        <f t="shared" si="1"/>
        <v>3.235819830809195</v>
      </c>
      <c r="U27" s="1527">
        <f t="shared" si="2"/>
        <v>1.4471702002068398</v>
      </c>
      <c r="V27" s="1527">
        <f t="shared" si="3"/>
        <v>0.99939353041543899</v>
      </c>
      <c r="W27" s="1527">
        <f t="shared" si="4"/>
        <v>0.92607536973976701</v>
      </c>
      <c r="X27" s="759">
        <f t="shared" si="5"/>
        <v>115.77119700786209</v>
      </c>
      <c r="Y27" s="1524">
        <f t="shared" si="11"/>
        <v>1.1765613084971698</v>
      </c>
      <c r="AA27" s="1177" t="str">
        <f>IF('MASTER PubCo Inputs'!B45=0,"",'MASTER PubCo Inputs'!B45)</f>
        <v>NasdaqCM:CTRV</v>
      </c>
      <c r="AB27" s="331">
        <f>'Beta Calc'!Z27</f>
        <v>117.4936</v>
      </c>
      <c r="AC27" s="1178">
        <f t="shared" si="6"/>
        <v>0</v>
      </c>
      <c r="AI27" s="1179"/>
    </row>
    <row r="28" spans="2:35" ht="14.85" customHeight="1">
      <c r="B28" s="250" t="str">
        <f>'Comp.1'!B30</f>
        <v>Sangamo Therapeutics, Inc.</v>
      </c>
      <c r="D28" s="331">
        <f>'Beta Calc'!K28</f>
        <v>225.99635000000001</v>
      </c>
      <c r="E28" s="331">
        <f>'Beta Calc'!L28</f>
        <v>0</v>
      </c>
      <c r="F28" s="331">
        <f>'Beta Calc'!M28</f>
        <v>0</v>
      </c>
      <c r="G28" s="331">
        <f>'Beta Calc'!N28</f>
        <v>0</v>
      </c>
      <c r="H28" s="331">
        <f t="shared" si="7"/>
        <v>0</v>
      </c>
      <c r="I28" s="331">
        <f t="shared" si="8"/>
        <v>225.99635000000001</v>
      </c>
      <c r="J28" s="331">
        <f>'Beta Calc'!Q28</f>
        <v>145.58099999999999</v>
      </c>
      <c r="K28" s="331">
        <f t="shared" si="9"/>
        <v>80.415350000000018</v>
      </c>
      <c r="M28" s="1066">
        <f>IFERROR('Capital IQ Sheet-GPC'!AT31,"n/a")</f>
        <v>0</v>
      </c>
      <c r="N28" s="331">
        <f t="shared" si="0"/>
        <v>2.2465753424657535</v>
      </c>
      <c r="O28" s="1522">
        <f t="shared" si="0"/>
        <v>1.1815068493150685E-2</v>
      </c>
      <c r="P28" s="1523"/>
      <c r="Q28" s="1524">
        <f>IFERROR(HLOOKUP($Q$6,'Equity Vol'!$B$8:$K28,ROWS('Equity Vol'!$C$8:$C28),FALSE),"n/a")</f>
        <v>0.75591191240814581</v>
      </c>
      <c r="R28" s="1525"/>
      <c r="S28" s="1526">
        <f t="shared" si="10"/>
        <v>0.57140281932054027</v>
      </c>
      <c r="T28" s="1526">
        <f t="shared" si="1"/>
        <v>0</v>
      </c>
      <c r="U28" s="1527">
        <f t="shared" si="2"/>
        <v>0</v>
      </c>
      <c r="V28" s="1527">
        <f t="shared" si="3"/>
        <v>0</v>
      </c>
      <c r="W28" s="1527">
        <f t="shared" si="4"/>
        <v>0</v>
      </c>
      <c r="X28" s="759">
        <f t="shared" si="5"/>
        <v>0</v>
      </c>
      <c r="Y28" s="1524">
        <f t="shared" si="11"/>
        <v>0.75591191240814581</v>
      </c>
      <c r="AA28" s="1177" t="str">
        <f>IF('MASTER PubCo Inputs'!B46=0,"",'MASTER PubCo Inputs'!B46)</f>
        <v>NasdaqGS:SGMO</v>
      </c>
      <c r="AB28" s="331">
        <f>'Beta Calc'!Z28</f>
        <v>80.415350000000004</v>
      </c>
      <c r="AC28" s="1178">
        <f t="shared" si="6"/>
        <v>0</v>
      </c>
      <c r="AI28" s="1179"/>
    </row>
    <row r="29" spans="2:35" ht="14.85" customHeight="1">
      <c r="B29" s="250" t="str">
        <f>'Comp.1'!B31</f>
        <v>Immune Design Corp.</v>
      </c>
      <c r="D29" s="331">
        <f>'Beta Calc'!K29</f>
        <v>186.75745000000001</v>
      </c>
      <c r="E29" s="331">
        <f>'Beta Calc'!L29</f>
        <v>0</v>
      </c>
      <c r="F29" s="331">
        <f>'Beta Calc'!M29</f>
        <v>0</v>
      </c>
      <c r="G29" s="331">
        <f>'Beta Calc'!N29</f>
        <v>0</v>
      </c>
      <c r="H29" s="331">
        <f t="shared" si="7"/>
        <v>0</v>
      </c>
      <c r="I29" s="331">
        <f t="shared" si="8"/>
        <v>186.75745000000001</v>
      </c>
      <c r="J29" s="331">
        <f>'Beta Calc'!Q29</f>
        <v>112.471</v>
      </c>
      <c r="K29" s="331">
        <f t="shared" si="9"/>
        <v>74.286450000000002</v>
      </c>
      <c r="M29" s="1066">
        <f>IFERROR('Capital IQ Sheet-GPC'!AT32,"n/a")</f>
        <v>0</v>
      </c>
      <c r="N29" s="331">
        <f t="shared" si="0"/>
        <v>2.2465753424657535</v>
      </c>
      <c r="O29" s="1522">
        <f t="shared" si="0"/>
        <v>1.1815068493150685E-2</v>
      </c>
      <c r="P29" s="1523"/>
      <c r="Q29" s="1524">
        <f>IFERROR(HLOOKUP($Q$6,'Equity Vol'!$B$8:$K29,ROWS('Equity Vol'!$C$8:$C29),FALSE),"n/a")</f>
        <v>0.89607154655257915</v>
      </c>
      <c r="R29" s="1525"/>
      <c r="S29" s="1526">
        <f t="shared" si="10"/>
        <v>0.80294421654113102</v>
      </c>
      <c r="T29" s="1526">
        <f t="shared" si="1"/>
        <v>0</v>
      </c>
      <c r="U29" s="1527">
        <f t="shared" si="2"/>
        <v>0</v>
      </c>
      <c r="V29" s="1527">
        <f t="shared" si="3"/>
        <v>0</v>
      </c>
      <c r="W29" s="1527">
        <f t="shared" si="4"/>
        <v>0</v>
      </c>
      <c r="X29" s="759">
        <f t="shared" si="5"/>
        <v>0</v>
      </c>
      <c r="Y29" s="1524">
        <f t="shared" si="11"/>
        <v>0.89607154655257915</v>
      </c>
      <c r="AA29" s="1177" t="str">
        <f>IF('MASTER PubCo Inputs'!B47=0,"",'MASTER PubCo Inputs'!B47)</f>
        <v>NasdaqGM:IMDZ</v>
      </c>
      <c r="AB29" s="331">
        <f>'Beta Calc'!Z29</f>
        <v>74.286450000000002</v>
      </c>
      <c r="AC29" s="1178">
        <f t="shared" si="6"/>
        <v>0</v>
      </c>
      <c r="AI29" s="1179"/>
    </row>
    <row r="30" spans="2:35" ht="14.85" customHeight="1">
      <c r="B30" s="250" t="str">
        <f>'Comp.1'!B32</f>
        <v>Fate Therapeutics, Inc.</v>
      </c>
      <c r="D30" s="331">
        <f>'Beta Calc'!K30</f>
        <v>100.39557000000001</v>
      </c>
      <c r="E30" s="331">
        <f>'Beta Calc'!L30</f>
        <v>12.635</v>
      </c>
      <c r="F30" s="331">
        <f>'Beta Calc'!M30</f>
        <v>0</v>
      </c>
      <c r="G30" s="331">
        <f>'Beta Calc'!N30</f>
        <v>0</v>
      </c>
      <c r="H30" s="331">
        <f t="shared" si="7"/>
        <v>12.635</v>
      </c>
      <c r="I30" s="331">
        <f t="shared" si="8"/>
        <v>113.03057000000001</v>
      </c>
      <c r="J30" s="331">
        <f>'Beta Calc'!Q30</f>
        <v>46.619</v>
      </c>
      <c r="K30" s="331">
        <f t="shared" si="9"/>
        <v>66.411570000000012</v>
      </c>
      <c r="M30" s="1066">
        <f>IFERROR('Capital IQ Sheet-GPC'!AT33,"n/a")</f>
        <v>0</v>
      </c>
      <c r="N30" s="331">
        <f t="shared" si="0"/>
        <v>2.2465753424657535</v>
      </c>
      <c r="O30" s="1522">
        <f t="shared" si="0"/>
        <v>1.1815068493150685E-2</v>
      </c>
      <c r="P30" s="1523"/>
      <c r="Q30" s="1524">
        <f>IFERROR(HLOOKUP($Q$6,'Equity Vol'!$B$8:$K30,ROWS('Equity Vol'!$C$8:$C30),FALSE),"n/a")</f>
        <v>0.87702243861868245</v>
      </c>
      <c r="R30" s="1525"/>
      <c r="S30" s="1526">
        <f t="shared" si="10"/>
        <v>0.76916835784066062</v>
      </c>
      <c r="T30" s="1526">
        <f t="shared" si="1"/>
        <v>1.9398090803691714</v>
      </c>
      <c r="U30" s="1527">
        <f t="shared" si="2"/>
        <v>0.62527697086035339</v>
      </c>
      <c r="V30" s="1527">
        <f t="shared" si="3"/>
        <v>0.97379855164726681</v>
      </c>
      <c r="W30" s="1527">
        <f t="shared" si="4"/>
        <v>0.73410535410945854</v>
      </c>
      <c r="X30" s="759">
        <f t="shared" si="5"/>
        <v>55.639032329228399</v>
      </c>
      <c r="Y30" s="1524">
        <f t="shared" si="11"/>
        <v>0.75453154556548163</v>
      </c>
      <c r="AA30" s="1177" t="str">
        <f>IF('MASTER PubCo Inputs'!B48=0,"",'MASTER PubCo Inputs'!B48)</f>
        <v>NasdaqGM:FATE</v>
      </c>
      <c r="AB30" s="331">
        <f>'Beta Calc'!Z30</f>
        <v>66.411569999999998</v>
      </c>
      <c r="AC30" s="1178">
        <f t="shared" si="6"/>
        <v>0</v>
      </c>
      <c r="AI30" s="1179"/>
    </row>
    <row r="31" spans="2:35" ht="14.85" customHeight="1">
      <c r="B31" s="250" t="str">
        <f>'Comp.1'!B33</f>
        <v>Arrowhead Pharmaceuticals, Inc.</v>
      </c>
      <c r="D31" s="331">
        <f>'Beta Calc'!K31</f>
        <v>102.94919</v>
      </c>
      <c r="E31" s="331">
        <f>'Beta Calc'!L31</f>
        <v>3.32328</v>
      </c>
      <c r="F31" s="331">
        <f>'Beta Calc'!M31</f>
        <v>2.0000000000000002E-5</v>
      </c>
      <c r="G31" s="331">
        <f>'Beta Calc'!N31</f>
        <v>-0.55518999999999996</v>
      </c>
      <c r="H31" s="331">
        <f t="shared" si="7"/>
        <v>2.7681100000000001</v>
      </c>
      <c r="I31" s="331">
        <f t="shared" si="8"/>
        <v>105.71730000000001</v>
      </c>
      <c r="J31" s="331">
        <f>'Beta Calc'!Q31</f>
        <v>44.647100000000002</v>
      </c>
      <c r="K31" s="331">
        <f t="shared" si="9"/>
        <v>61.070200000000007</v>
      </c>
      <c r="M31" s="1066">
        <f>IFERROR('Capital IQ Sheet-GPC'!AT34,"n/a")</f>
        <v>0</v>
      </c>
      <c r="N31" s="331">
        <f t="shared" si="0"/>
        <v>2.2465753424657535</v>
      </c>
      <c r="O31" s="1522">
        <f t="shared" si="0"/>
        <v>1.1815068493150685E-2</v>
      </c>
      <c r="P31" s="1523"/>
      <c r="Q31" s="1524">
        <f>IFERROR(HLOOKUP($Q$6,'Equity Vol'!$B$8:$K31,ROWS('Equity Vol'!$C$8:$C31),FALSE),"n/a")</f>
        <v>0.72102275983348885</v>
      </c>
      <c r="R31" s="1525"/>
      <c r="S31" s="1526">
        <f t="shared" si="10"/>
        <v>0.51987382019790096</v>
      </c>
      <c r="T31" s="1526">
        <f t="shared" si="1"/>
        <v>3.4277169637019411</v>
      </c>
      <c r="U31" s="1527">
        <f t="shared" si="2"/>
        <v>2.3470062227309452</v>
      </c>
      <c r="V31" s="1527">
        <f t="shared" si="3"/>
        <v>0.99969566014857381</v>
      </c>
      <c r="W31" s="1527">
        <f t="shared" si="4"/>
        <v>0.9905375306435843</v>
      </c>
      <c r="X31" s="759">
        <f t="shared" si="5"/>
        <v>58.381519545112319</v>
      </c>
      <c r="Y31" s="1524">
        <f t="shared" si="11"/>
        <v>0.68948880551464264</v>
      </c>
      <c r="AA31" s="1177" t="str">
        <f>IF('MASTER PubCo Inputs'!B49=0,"",'MASTER PubCo Inputs'!B49)</f>
        <v>NasdaqGS:ARWR</v>
      </c>
      <c r="AB31" s="331">
        <f>'Beta Calc'!Z31</f>
        <v>61.0702</v>
      </c>
      <c r="AC31" s="1178">
        <f t="shared" si="6"/>
        <v>0</v>
      </c>
      <c r="AI31" s="1179"/>
    </row>
    <row r="32" spans="2:35" ht="14.85" customHeight="1">
      <c r="B32" s="250" t="str">
        <f>'Comp.1'!B34</f>
        <v>Regulus Therapeutics Inc.</v>
      </c>
      <c r="D32" s="331">
        <f>'Beta Calc'!K32</f>
        <v>129.66210000000001</v>
      </c>
      <c r="E32" s="331">
        <f>'Beta Calc'!L32</f>
        <v>19.786999999999999</v>
      </c>
      <c r="F32" s="331">
        <f>'Beta Calc'!M32</f>
        <v>0</v>
      </c>
      <c r="G32" s="331">
        <f>'Beta Calc'!N32</f>
        <v>0</v>
      </c>
      <c r="H32" s="331">
        <f t="shared" si="7"/>
        <v>19.786999999999999</v>
      </c>
      <c r="I32" s="331">
        <f t="shared" si="8"/>
        <v>149.44910000000002</v>
      </c>
      <c r="J32" s="331">
        <f>'Beta Calc'!Q32</f>
        <v>91.582999999999998</v>
      </c>
      <c r="K32" s="331">
        <f t="shared" si="9"/>
        <v>57.866100000000017</v>
      </c>
      <c r="M32" s="1066">
        <f>IFERROR('Capital IQ Sheet-GPC'!AT35,"n/a")</f>
        <v>0</v>
      </c>
      <c r="N32" s="331">
        <f t="shared" si="0"/>
        <v>2.2465753424657535</v>
      </c>
      <c r="O32" s="1522">
        <f t="shared" si="0"/>
        <v>1.1815068493150685E-2</v>
      </c>
      <c r="P32" s="1523"/>
      <c r="Q32" s="1524">
        <f>IFERROR(HLOOKUP($Q$6,'Equity Vol'!$B$8:$K32,ROWS('Equity Vol'!$C$8:$C32),FALSE),"n/a")</f>
        <v>0.91431217256686126</v>
      </c>
      <c r="R32" s="1525"/>
      <c r="S32" s="1526">
        <f t="shared" si="10"/>
        <v>0.83596674890393385</v>
      </c>
      <c r="T32" s="1526">
        <f t="shared" si="1"/>
        <v>1.4876278882565244</v>
      </c>
      <c r="U32" s="1527">
        <f t="shared" si="2"/>
        <v>0.11720376222515672</v>
      </c>
      <c r="V32" s="1527">
        <f t="shared" si="3"/>
        <v>0.93157547274787655</v>
      </c>
      <c r="W32" s="1527">
        <f t="shared" si="4"/>
        <v>0.5466507071775869</v>
      </c>
      <c r="X32" s="759">
        <f t="shared" si="5"/>
        <v>43.373394172806734</v>
      </c>
      <c r="Y32" s="1524">
        <f t="shared" si="11"/>
        <v>0.73565747470742293</v>
      </c>
      <c r="AA32" s="1177" t="str">
        <f>IF('MASTER PubCo Inputs'!B50=0,"",'MASTER PubCo Inputs'!B50)</f>
        <v>NasdaqGM:RGLS</v>
      </c>
      <c r="AB32" s="331">
        <f>'Beta Calc'!Z32</f>
        <v>57.866100000000003</v>
      </c>
      <c r="AC32" s="1178">
        <f t="shared" si="6"/>
        <v>0</v>
      </c>
      <c r="AI32" s="1179"/>
    </row>
    <row r="33" spans="2:35" ht="14.85" customHeight="1">
      <c r="B33" s="250" t="str">
        <f>'Comp.1'!B35</f>
        <v>CEL-SCI Corporation</v>
      </c>
      <c r="D33" s="331">
        <f>'Beta Calc'!K33</f>
        <v>32.817689999999999</v>
      </c>
      <c r="E33" s="331">
        <f>'Beta Calc'!L33</f>
        <v>2.31E-3</v>
      </c>
      <c r="F33" s="331">
        <f>'Beta Calc'!M33</f>
        <v>0</v>
      </c>
      <c r="G33" s="331">
        <f>'Beta Calc'!N33</f>
        <v>0</v>
      </c>
      <c r="H33" s="331">
        <f t="shared" si="7"/>
        <v>2.31E-3</v>
      </c>
      <c r="I33" s="331">
        <f t="shared" si="8"/>
        <v>32.82</v>
      </c>
      <c r="J33" s="331">
        <f>'Beta Calc'!Q33</f>
        <v>5.21896</v>
      </c>
      <c r="K33" s="331">
        <f t="shared" si="9"/>
        <v>27.601040000000001</v>
      </c>
      <c r="M33" s="1066">
        <f>IFERROR('Capital IQ Sheet-GPC'!AT36,"n/a")</f>
        <v>0</v>
      </c>
      <c r="N33" s="331">
        <f t="shared" si="0"/>
        <v>2.2465753424657535</v>
      </c>
      <c r="O33" s="1522">
        <f t="shared" si="0"/>
        <v>1.1815068493150685E-2</v>
      </c>
      <c r="P33" s="1523"/>
      <c r="Q33" s="1524">
        <f>IFERROR(HLOOKUP($Q$6,'Equity Vol'!$B$8:$K33,ROWS('Equity Vol'!$C$8:$C33),FALSE),"n/a")</f>
        <v>0.79234406162523929</v>
      </c>
      <c r="R33" s="1525"/>
      <c r="S33" s="1526">
        <f t="shared" si="10"/>
        <v>0.627809111992781</v>
      </c>
      <c r="T33" s="1526">
        <f t="shared" si="1"/>
        <v>8.5214037183313209</v>
      </c>
      <c r="U33" s="1527">
        <f t="shared" si="2"/>
        <v>7.3337924726880743</v>
      </c>
      <c r="V33" s="1527">
        <f t="shared" si="3"/>
        <v>1</v>
      </c>
      <c r="W33" s="1527">
        <f t="shared" si="4"/>
        <v>0.99999999999988809</v>
      </c>
      <c r="X33" s="759">
        <f t="shared" si="5"/>
        <v>27.598790508742244</v>
      </c>
      <c r="Y33" s="1524">
        <f t="shared" si="11"/>
        <v>0.79227948539768545</v>
      </c>
      <c r="AA33" s="1177" t="str">
        <f>IF('MASTER PubCo Inputs'!B51=0,"",'MASTER PubCo Inputs'!B51)</f>
        <v>AMEX:CVM</v>
      </c>
      <c r="AB33" s="331">
        <f>'Beta Calc'!Z33</f>
        <v>27.601040000000001</v>
      </c>
      <c r="AC33" s="1178">
        <f t="shared" si="6"/>
        <v>0</v>
      </c>
      <c r="AI33" s="1179"/>
    </row>
    <row r="34" spans="2:35" ht="14.85" customHeight="1">
      <c r="B34" s="250" t="str">
        <f>'Comp.1'!B36</f>
        <v>PhaseRx, Inc.</v>
      </c>
      <c r="D34" s="331">
        <f>'Beta Calc'!K34</f>
        <v>24.549689999999998</v>
      </c>
      <c r="E34" s="331">
        <f>'Beta Calc'!L34</f>
        <v>5.6109999999999998</v>
      </c>
      <c r="F34" s="331">
        <f>'Beta Calc'!M34</f>
        <v>0</v>
      </c>
      <c r="G34" s="331">
        <f>'Beta Calc'!N34</f>
        <v>0</v>
      </c>
      <c r="H34" s="331">
        <f t="shared" si="7"/>
        <v>5.6109999999999998</v>
      </c>
      <c r="I34" s="331">
        <f t="shared" si="8"/>
        <v>30.160689999999999</v>
      </c>
      <c r="J34" s="331">
        <f>'Beta Calc'!Q34</f>
        <v>18.635000000000002</v>
      </c>
      <c r="K34" s="331">
        <f t="shared" si="9"/>
        <v>11.525689999999997</v>
      </c>
      <c r="M34" s="1066">
        <f>IFERROR('Capital IQ Sheet-GPC'!AT37,"n/a")</f>
        <v>0</v>
      </c>
      <c r="N34" s="331">
        <f t="shared" si="0"/>
        <v>2.2465753424657535</v>
      </c>
      <c r="O34" s="1522">
        <f t="shared" si="0"/>
        <v>1.1815068493150685E-2</v>
      </c>
      <c r="P34" s="1523"/>
      <c r="Q34" s="1524" t="str">
        <f>IFERROR(HLOOKUP($Q$6,'Equity Vol'!$B$8:$K34,ROWS('Equity Vol'!$C$8:$C34),FALSE),"n/a")</f>
        <v>n/a</v>
      </c>
      <c r="R34" s="1525"/>
      <c r="S34" s="1526" t="str">
        <f t="shared" si="10"/>
        <v>n/a</v>
      </c>
      <c r="T34" s="1526" t="str">
        <f t="shared" si="1"/>
        <v>n/a</v>
      </c>
      <c r="U34" s="1527" t="str">
        <f t="shared" si="2"/>
        <v>n/a</v>
      </c>
      <c r="V34" s="1527" t="str">
        <f t="shared" si="3"/>
        <v>n/a</v>
      </c>
      <c r="W34" s="1527" t="str">
        <f t="shared" si="4"/>
        <v>n/a</v>
      </c>
      <c r="X34" s="759" t="str">
        <f t="shared" si="5"/>
        <v>n/a</v>
      </c>
      <c r="Y34" s="1524" t="str">
        <f t="shared" si="11"/>
        <v>n/a</v>
      </c>
      <c r="AA34" s="1177" t="str">
        <f>IF('MASTER PubCo Inputs'!B52=0,"",'MASTER PubCo Inputs'!B52)</f>
        <v>NasdaqCM:PZRX</v>
      </c>
      <c r="AB34" s="331">
        <f>'Beta Calc'!Z34</f>
        <v>11.525690000000001</v>
      </c>
      <c r="AC34" s="1178">
        <f t="shared" si="6"/>
        <v>0</v>
      </c>
      <c r="AI34" s="1179"/>
    </row>
    <row r="35" spans="2:35" ht="14.85" customHeight="1">
      <c r="B35" s="250" t="str">
        <f>'Comp.1'!B37</f>
        <v>Marina Biotech, Inc.</v>
      </c>
      <c r="D35" s="331">
        <f>'Beta Calc'!K35</f>
        <v>9.8748500000000003</v>
      </c>
      <c r="E35" s="331">
        <f>'Beta Calc'!L35</f>
        <v>0</v>
      </c>
      <c r="F35" s="331">
        <f>'Beta Calc'!M35</f>
        <v>0</v>
      </c>
      <c r="G35" s="331">
        <f>'Beta Calc'!N35</f>
        <v>0</v>
      </c>
      <c r="H35" s="331">
        <f t="shared" si="7"/>
        <v>0</v>
      </c>
      <c r="I35" s="331">
        <f t="shared" si="8"/>
        <v>9.8748500000000003</v>
      </c>
      <c r="J35" s="331">
        <f>'Beta Calc'!Q35</f>
        <v>0</v>
      </c>
      <c r="K35" s="331">
        <f t="shared" si="9"/>
        <v>9.8748500000000003</v>
      </c>
      <c r="M35" s="1066">
        <f>IFERROR('Capital IQ Sheet-GPC'!AT38,"n/a")</f>
        <v>0</v>
      </c>
      <c r="N35" s="331">
        <f t="shared" si="0"/>
        <v>2.2465753424657535</v>
      </c>
      <c r="O35" s="1522">
        <f t="shared" si="0"/>
        <v>1.1815068493150685E-2</v>
      </c>
      <c r="P35" s="1523"/>
      <c r="Q35" s="1524" t="str">
        <f>IFERROR(HLOOKUP($Q$6,'Equity Vol'!$B$8:$K35,ROWS('Equity Vol'!$C$8:$C35),FALSE),"n/a")</f>
        <v>n/a</v>
      </c>
      <c r="R35" s="1525"/>
      <c r="S35" s="1526" t="str">
        <f t="shared" si="10"/>
        <v>n/a</v>
      </c>
      <c r="T35" s="1526" t="str">
        <f t="shared" si="1"/>
        <v>n/a</v>
      </c>
      <c r="U35" s="1527" t="str">
        <f t="shared" si="2"/>
        <v>n/a</v>
      </c>
      <c r="V35" s="1527" t="str">
        <f t="shared" si="3"/>
        <v>n/a</v>
      </c>
      <c r="W35" s="1527" t="str">
        <f t="shared" si="4"/>
        <v>n/a</v>
      </c>
      <c r="X35" s="759" t="str">
        <f t="shared" si="5"/>
        <v>n/a</v>
      </c>
      <c r="Y35" s="1524" t="str">
        <f t="shared" si="11"/>
        <v>n/a</v>
      </c>
      <c r="AA35" s="1177" t="str">
        <f>IF('MASTER PubCo Inputs'!B53=0,"",'MASTER PubCo Inputs'!B53)</f>
        <v>OTCPK:MRNA</v>
      </c>
      <c r="AB35" s="331">
        <f>'Beta Calc'!Z35</f>
        <v>0</v>
      </c>
      <c r="AC35" s="1178">
        <f t="shared" si="6"/>
        <v>9.8748500000000003</v>
      </c>
      <c r="AI35" s="1179"/>
    </row>
    <row r="36" spans="2:35" ht="14.85" customHeight="1">
      <c r="B36" s="250" t="str">
        <f>'Comp.1'!B38</f>
        <v>RXi Pharmaceuticals Corporation</v>
      </c>
      <c r="D36" s="331">
        <f>'Beta Calc'!K36</f>
        <v>9.9657699999999991</v>
      </c>
      <c r="E36" s="331">
        <f>'Beta Calc'!L36</f>
        <v>0</v>
      </c>
      <c r="F36" s="331">
        <f>'Beta Calc'!M36</f>
        <v>0</v>
      </c>
      <c r="G36" s="331">
        <f>'Beta Calc'!N36</f>
        <v>0</v>
      </c>
      <c r="H36" s="331">
        <f t="shared" si="7"/>
        <v>0</v>
      </c>
      <c r="I36" s="331">
        <f t="shared" si="8"/>
        <v>9.9657699999999991</v>
      </c>
      <c r="J36" s="331">
        <f>'Beta Calc'!Q36</f>
        <v>4.3789999999999996</v>
      </c>
      <c r="K36" s="331">
        <f t="shared" si="9"/>
        <v>5.5867699999999996</v>
      </c>
      <c r="M36" s="1066">
        <f>IFERROR('Capital IQ Sheet-GPC'!AT39,"n/a")</f>
        <v>0</v>
      </c>
      <c r="N36" s="331">
        <f t="shared" si="0"/>
        <v>2.2465753424657535</v>
      </c>
      <c r="O36" s="1522">
        <f t="shared" si="0"/>
        <v>1.1815068493150685E-2</v>
      </c>
      <c r="P36" s="1523"/>
      <c r="Q36" s="1524">
        <f>IFERROR(HLOOKUP($Q$6,'Equity Vol'!$B$8:$K36,ROWS('Equity Vol'!$C$8:$C36),FALSE),"n/a")</f>
        <v>0.94144155911266458</v>
      </c>
      <c r="R36" s="1525"/>
      <c r="S36" s="1526">
        <f t="shared" si="10"/>
        <v>0.88631220922448473</v>
      </c>
      <c r="T36" s="1526">
        <f t="shared" si="1"/>
        <v>0</v>
      </c>
      <c r="U36" s="1527">
        <f t="shared" si="2"/>
        <v>0</v>
      </c>
      <c r="V36" s="1527">
        <f t="shared" si="3"/>
        <v>0</v>
      </c>
      <c r="W36" s="1527">
        <f t="shared" si="4"/>
        <v>0</v>
      </c>
      <c r="X36" s="759">
        <f t="shared" si="5"/>
        <v>0</v>
      </c>
      <c r="Y36" s="1524">
        <f t="shared" si="11"/>
        <v>0.94144155911266458</v>
      </c>
      <c r="AA36" s="1177" t="str">
        <f>IF('MASTER PubCo Inputs'!B54=0,"",'MASTER PubCo Inputs'!B54)</f>
        <v>NasdaqCM:RXII</v>
      </c>
      <c r="AB36" s="331">
        <f>'Beta Calc'!Z36</f>
        <v>5.5867699999999996</v>
      </c>
      <c r="AC36" s="1178">
        <f t="shared" si="6"/>
        <v>0</v>
      </c>
      <c r="AI36" s="1179"/>
    </row>
    <row r="37" spans="2:35" ht="14.85" customHeight="1">
      <c r="B37" s="250" t="str">
        <f>'Comp.1'!B39</f>
        <v>Benitec Biopharma Limited</v>
      </c>
      <c r="D37" s="331">
        <f>'Beta Calc'!K37</f>
        <v>12.459519999999999</v>
      </c>
      <c r="E37" s="331">
        <f>'Beta Calc'!L37</f>
        <v>0</v>
      </c>
      <c r="F37" s="331">
        <f>'Beta Calc'!M37</f>
        <v>0</v>
      </c>
      <c r="G37" s="331">
        <f>'Beta Calc'!N37</f>
        <v>0</v>
      </c>
      <c r="H37" s="331">
        <f t="shared" si="7"/>
        <v>0</v>
      </c>
      <c r="I37" s="331">
        <f t="shared" si="8"/>
        <v>12.459519999999999</v>
      </c>
      <c r="J37" s="331">
        <f>'Beta Calc'!Q37</f>
        <v>10.266360000000001</v>
      </c>
      <c r="K37" s="331">
        <f t="shared" si="9"/>
        <v>2.1931599999999989</v>
      </c>
      <c r="M37" s="1066">
        <f>IFERROR('Capital IQ Sheet-GPC'!AT40,"n/a")</f>
        <v>0</v>
      </c>
      <c r="N37" s="331">
        <f t="shared" si="0"/>
        <v>2.2465753424657535</v>
      </c>
      <c r="O37" s="1522">
        <f t="shared" si="0"/>
        <v>1.1815068493150685E-2</v>
      </c>
      <c r="P37" s="1523"/>
      <c r="Q37" s="1524">
        <f>IFERROR(HLOOKUP($Q$6,'Equity Vol'!$B$8:$K37,ROWS('Equity Vol'!$C$8:$C37),FALSE),"n/a")</f>
        <v>0.97983618266092853</v>
      </c>
      <c r="R37" s="1525"/>
      <c r="S37" s="1526">
        <f t="shared" si="10"/>
        <v>0.96007894485154055</v>
      </c>
      <c r="T37" s="1526">
        <f t="shared" si="1"/>
        <v>0</v>
      </c>
      <c r="U37" s="1527">
        <f t="shared" si="2"/>
        <v>0</v>
      </c>
      <c r="V37" s="1527">
        <f t="shared" si="3"/>
        <v>0</v>
      </c>
      <c r="W37" s="1527">
        <f t="shared" si="4"/>
        <v>0</v>
      </c>
      <c r="X37" s="759">
        <f t="shared" si="5"/>
        <v>0</v>
      </c>
      <c r="Y37" s="1524">
        <f t="shared" si="11"/>
        <v>0.97983618266092853</v>
      </c>
      <c r="AA37" s="1177" t="str">
        <f>IF('MASTER PubCo Inputs'!B55=0,"",'MASTER PubCo Inputs'!B55)</f>
        <v>ASX:BLT</v>
      </c>
      <c r="AB37" s="331">
        <f>'Beta Calc'!Z37</f>
        <v>2.5731899999999999</v>
      </c>
      <c r="AC37" s="1178">
        <f t="shared" si="6"/>
        <v>-0.38003000000000098</v>
      </c>
      <c r="AI37" s="1179"/>
    </row>
    <row r="38" spans="2:35" ht="14.85" customHeight="1">
      <c r="B38" s="250" t="str">
        <f>'Comp.1'!B40</f>
        <v>GenVec, Inc.</v>
      </c>
      <c r="D38" s="331">
        <f>'Beta Calc'!K38</f>
        <v>7.33019</v>
      </c>
      <c r="E38" s="331">
        <f>'Beta Calc'!L38</f>
        <v>0</v>
      </c>
      <c r="F38" s="331">
        <f>'Beta Calc'!M38</f>
        <v>0</v>
      </c>
      <c r="G38" s="331">
        <f>'Beta Calc'!N38</f>
        <v>0</v>
      </c>
      <c r="H38" s="331">
        <f t="shared" si="7"/>
        <v>0</v>
      </c>
      <c r="I38" s="331">
        <f t="shared" si="8"/>
        <v>7.33019</v>
      </c>
      <c r="J38" s="331">
        <f>'Beta Calc'!Q38</f>
        <v>8.3960000000000008</v>
      </c>
      <c r="K38" s="331">
        <f t="shared" si="9"/>
        <v>-1.0658100000000008</v>
      </c>
      <c r="M38" s="1066">
        <f>IFERROR('Capital IQ Sheet-GPC'!AT41,"n/a")</f>
        <v>0</v>
      </c>
      <c r="N38" s="331">
        <f t="shared" si="0"/>
        <v>2.2465753424657535</v>
      </c>
      <c r="O38" s="1522">
        <f t="shared" si="0"/>
        <v>1.1815068493150685E-2</v>
      </c>
      <c r="P38" s="1523"/>
      <c r="Q38" s="1524">
        <f>IFERROR(HLOOKUP($Q$6,'Equity Vol'!$B$8:$K38,ROWS('Equity Vol'!$C$8:$C38),FALSE),"n/a")</f>
        <v>1.0969190492665144</v>
      </c>
      <c r="R38" s="1525"/>
      <c r="S38" s="1526">
        <f t="shared" si="10"/>
        <v>1.2032314006437539</v>
      </c>
      <c r="T38" s="1526">
        <f t="shared" si="1"/>
        <v>0</v>
      </c>
      <c r="U38" s="1527">
        <f t="shared" si="2"/>
        <v>0</v>
      </c>
      <c r="V38" s="1527">
        <f t="shared" si="3"/>
        <v>0</v>
      </c>
      <c r="W38" s="1527">
        <f t="shared" si="4"/>
        <v>0</v>
      </c>
      <c r="X38" s="759">
        <f t="shared" si="5"/>
        <v>0</v>
      </c>
      <c r="Y38" s="1524">
        <f t="shared" si="11"/>
        <v>1.0969190492665144</v>
      </c>
      <c r="AA38" s="1177" t="str">
        <f>IF('MASTER PubCo Inputs'!B56=0,"",'MASTER PubCo Inputs'!B56)</f>
        <v>NasdaqCM:GNVC</v>
      </c>
      <c r="AB38" s="331">
        <f>'Beta Calc'!Z38</f>
        <v>-1.0658099999999999</v>
      </c>
      <c r="AC38" s="1178">
        <f t="shared" si="6"/>
        <v>0</v>
      </c>
      <c r="AI38" s="1179"/>
    </row>
    <row r="39" spans="2:35" ht="14.85" customHeight="1">
      <c r="B39" s="250" t="str">
        <f>'Comp.1'!B41</f>
        <v>Arbutus Biopharma Corporation</v>
      </c>
      <c r="D39" s="331">
        <f>'Beta Calc'!K39</f>
        <v>145.32996</v>
      </c>
      <c r="E39" s="331">
        <f>'Beta Calc'!L39</f>
        <v>0</v>
      </c>
      <c r="F39" s="331">
        <f>'Beta Calc'!M39</f>
        <v>0</v>
      </c>
      <c r="G39" s="331">
        <f>'Beta Calc'!N39</f>
        <v>0</v>
      </c>
      <c r="H39" s="331">
        <f t="shared" si="7"/>
        <v>0</v>
      </c>
      <c r="I39" s="331">
        <f t="shared" si="8"/>
        <v>145.32996</v>
      </c>
      <c r="J39" s="331">
        <f>'Beta Calc'!Q39</f>
        <v>149.68199999999999</v>
      </c>
      <c r="K39" s="331">
        <f t="shared" si="9"/>
        <v>-4.3520399999999881</v>
      </c>
      <c r="M39" s="1066">
        <f>IFERROR('Capital IQ Sheet-GPC'!AT42,"n/a")</f>
        <v>0</v>
      </c>
      <c r="N39" s="331">
        <f t="shared" si="0"/>
        <v>2.2465753424657535</v>
      </c>
      <c r="O39" s="1522">
        <f t="shared" si="0"/>
        <v>1.1815068493150685E-2</v>
      </c>
      <c r="P39" s="1523"/>
      <c r="Q39" s="1524">
        <f>IFERROR(HLOOKUP($Q$6,'Equity Vol'!$B$8:$K39,ROWS('Equity Vol'!$C$8:$C39),FALSE),"n/a")</f>
        <v>0.6368240548266475</v>
      </c>
      <c r="R39" s="1525"/>
      <c r="S39" s="1526">
        <f t="shared" si="10"/>
        <v>0.40554487680585294</v>
      </c>
      <c r="T39" s="1526">
        <f t="shared" si="1"/>
        <v>0</v>
      </c>
      <c r="U39" s="1527">
        <f t="shared" si="2"/>
        <v>0</v>
      </c>
      <c r="V39" s="1527">
        <f t="shared" si="3"/>
        <v>0</v>
      </c>
      <c r="W39" s="1527">
        <f t="shared" si="4"/>
        <v>0</v>
      </c>
      <c r="X39" s="759">
        <f t="shared" si="5"/>
        <v>0</v>
      </c>
      <c r="Y39" s="1524">
        <f t="shared" si="11"/>
        <v>0.6368240548266475</v>
      </c>
      <c r="AA39" s="1177" t="str">
        <f>IF('MASTER PubCo Inputs'!B57=0,"",'MASTER PubCo Inputs'!B57)</f>
        <v>NasdaqGS:ABUS</v>
      </c>
      <c r="AB39" s="331">
        <f>'Beta Calc'!Z39</f>
        <v>-4.3520399999999997</v>
      </c>
      <c r="AC39" s="1178">
        <f t="shared" si="6"/>
        <v>1.1546319456101628E-14</v>
      </c>
      <c r="AI39" s="1179"/>
    </row>
    <row r="40" spans="2:35" ht="14.85" customHeight="1">
      <c r="D40" s="331"/>
      <c r="E40" s="331"/>
      <c r="F40" s="331"/>
      <c r="G40" s="331"/>
      <c r="H40" s="331"/>
      <c r="I40" s="331"/>
      <c r="J40" s="331"/>
      <c r="K40" s="331"/>
      <c r="R40" s="724"/>
    </row>
    <row r="41" spans="2:35" ht="14.85" customHeight="1">
      <c r="B41" s="1181" t="s">
        <v>111</v>
      </c>
      <c r="C41" s="1182"/>
      <c r="D41" s="1184">
        <f>MAX(D10:D39)</f>
        <v>1692.82537</v>
      </c>
      <c r="E41" s="1184">
        <f t="shared" ref="E41:K41" si="12">MAX(E10:E39)</f>
        <v>32.048000000000002</v>
      </c>
      <c r="F41" s="1184">
        <f t="shared" si="12"/>
        <v>185.565</v>
      </c>
      <c r="G41" s="1184">
        <f t="shared" si="12"/>
        <v>9.6269999999999994E-2</v>
      </c>
      <c r="H41" s="1184">
        <f t="shared" si="12"/>
        <v>185.51400000000001</v>
      </c>
      <c r="I41" s="1184">
        <f t="shared" si="12"/>
        <v>1694.4007799999999</v>
      </c>
      <c r="J41" s="1184">
        <f t="shared" si="12"/>
        <v>408.70499999999998</v>
      </c>
      <c r="K41" s="1184">
        <f t="shared" si="12"/>
        <v>1387.752</v>
      </c>
      <c r="L41" s="1182"/>
      <c r="M41" s="1326">
        <f t="shared" ref="M41:O41" si="13">MAX(M10:M39)</f>
        <v>0</v>
      </c>
      <c r="N41" s="1184">
        <f t="shared" si="13"/>
        <v>2.2465753424657535</v>
      </c>
      <c r="O41" s="1528">
        <f t="shared" si="13"/>
        <v>1.1815068493150685E-2</v>
      </c>
      <c r="P41" s="1529"/>
      <c r="Q41" s="1530">
        <f>MAX(Q10:Q39)</f>
        <v>1.1933416076473253</v>
      </c>
      <c r="R41" s="1531"/>
      <c r="S41" s="1532">
        <f t="shared" ref="S41:W41" si="14">MAX(S10:S40)</f>
        <v>1.424064192542303</v>
      </c>
      <c r="T41" s="1532">
        <f t="shared" si="14"/>
        <v>9.4864601371643467</v>
      </c>
      <c r="U41" s="1533">
        <f t="shared" si="14"/>
        <v>8.5587417850323018</v>
      </c>
      <c r="V41" s="1533">
        <f t="shared" si="14"/>
        <v>1</v>
      </c>
      <c r="W41" s="1533">
        <f t="shared" si="14"/>
        <v>1</v>
      </c>
      <c r="X41" s="1184">
        <f t="shared" ref="X41:Y41" si="15">MAX(X10:X39)</f>
        <v>1386.2178567120036</v>
      </c>
      <c r="Y41" s="1534">
        <f t="shared" si="15"/>
        <v>1.1765613084971698</v>
      </c>
      <c r="AB41" s="1535">
        <f ca="1">+'Asset Vol_M&amp;A Early'!Y48</f>
        <v>0.29995213147202171</v>
      </c>
      <c r="AC41" s="1536" t="s">
        <v>1815</v>
      </c>
      <c r="AD41" s="1536"/>
      <c r="AE41" s="1536"/>
      <c r="AF41" s="775"/>
    </row>
    <row r="42" spans="2:35" ht="14.85" customHeight="1">
      <c r="B42" s="1187" t="s">
        <v>115</v>
      </c>
      <c r="C42" s="1188"/>
      <c r="D42" s="1190">
        <f t="shared" ref="D42:K42" si="16">QUARTILE(D10:D39,3)</f>
        <v>535.13891249999995</v>
      </c>
      <c r="E42" s="1190">
        <f t="shared" si="16"/>
        <v>0.69918499999999995</v>
      </c>
      <c r="F42" s="1190">
        <f t="shared" si="16"/>
        <v>0</v>
      </c>
      <c r="G42" s="1190">
        <f t="shared" si="16"/>
        <v>0</v>
      </c>
      <c r="H42" s="1190">
        <f t="shared" si="16"/>
        <v>2.5620824999999998</v>
      </c>
      <c r="I42" s="1190">
        <f t="shared" si="16"/>
        <v>544.96866749999992</v>
      </c>
      <c r="J42" s="1190">
        <f t="shared" si="16"/>
        <v>164.18174999999999</v>
      </c>
      <c r="K42" s="1190">
        <f t="shared" si="16"/>
        <v>330.71264999999994</v>
      </c>
      <c r="L42" s="1188"/>
      <c r="M42" s="1328">
        <f>QUARTILE(M10:M39,3)</f>
        <v>0</v>
      </c>
      <c r="N42" s="1190">
        <f>QUARTILE(N10:N39,3)</f>
        <v>2.2465753424657535</v>
      </c>
      <c r="O42" s="1537">
        <f>QUARTILE(O10:O39,3)</f>
        <v>1.1815068493150685E-2</v>
      </c>
      <c r="P42" s="1538"/>
      <c r="Q42" s="1539">
        <f>QUARTILE(Q10:Q39,3)</f>
        <v>0.93465921247621375</v>
      </c>
      <c r="R42" s="1540"/>
      <c r="S42" s="1541">
        <f>QUARTILE(S10:S40,3)</f>
        <v>0.87372584414434695</v>
      </c>
      <c r="T42" s="1541">
        <f>QUARTILE(T10:T40,3)</f>
        <v>5.412668930278401</v>
      </c>
      <c r="U42" s="1542">
        <f>QUARTILE(U10:U40,3)</f>
        <v>4.2672427053844251</v>
      </c>
      <c r="V42" s="1542">
        <f>QUARTILE(V10:V40,3)</f>
        <v>0.99999817703533589</v>
      </c>
      <c r="W42" s="1542">
        <f>QUARTILE(W10:W40,3)</f>
        <v>0.99978795649320906</v>
      </c>
      <c r="X42" s="1190">
        <f>QUARTILE(X10:X39,3)</f>
        <v>187.44436856776682</v>
      </c>
      <c r="Y42" s="1543">
        <f>QUARTILE(Y10:Y39,3)</f>
        <v>0.9300990559726432</v>
      </c>
      <c r="AB42" s="1544">
        <f>+'Asset Vol_M&amp;A Early'!Y50</f>
        <v>0.31</v>
      </c>
      <c r="AC42" s="467" t="s">
        <v>1816</v>
      </c>
      <c r="AD42" s="467"/>
      <c r="AE42" s="467"/>
      <c r="AF42" s="468"/>
    </row>
    <row r="43" spans="2:35" ht="14.85" customHeight="1">
      <c r="B43" s="1187" t="s">
        <v>113</v>
      </c>
      <c r="C43" s="1188"/>
      <c r="D43" s="1190">
        <f>AVERAGE(D10:D39)</f>
        <v>349.13332166666657</v>
      </c>
      <c r="E43" s="1190">
        <f t="shared" ref="E43:K43" si="17">AVERAGE(E10:E39)</f>
        <v>2.8426580000000001</v>
      </c>
      <c r="F43" s="1190">
        <f t="shared" si="17"/>
        <v>6.5502309999999992</v>
      </c>
      <c r="G43" s="1190">
        <f t="shared" si="17"/>
        <v>-1.699733333333333E-2</v>
      </c>
      <c r="H43" s="1190">
        <f t="shared" si="17"/>
        <v>9.3758916666666661</v>
      </c>
      <c r="I43" s="1190">
        <f t="shared" si="17"/>
        <v>358.50921333333332</v>
      </c>
      <c r="J43" s="1190">
        <f t="shared" si="17"/>
        <v>109.87659433333336</v>
      </c>
      <c r="K43" s="1190">
        <f t="shared" si="17"/>
        <v>248.63261900000001</v>
      </c>
      <c r="L43" s="1188"/>
      <c r="M43" s="1328">
        <f t="shared" ref="M43:O43" si="18">AVERAGE(M10:M39)</f>
        <v>0</v>
      </c>
      <c r="N43" s="1190">
        <f t="shared" si="18"/>
        <v>2.2465753424657531</v>
      </c>
      <c r="O43" s="1537">
        <f t="shared" si="18"/>
        <v>1.1815068493150676E-2</v>
      </c>
      <c r="P43" s="1538"/>
      <c r="Q43" s="1539">
        <f>AVERAGE(Q10:Q39)</f>
        <v>0.84033637690695717</v>
      </c>
      <c r="R43" s="1540"/>
      <c r="S43" s="1541">
        <f t="shared" ref="S43:W43" si="19">AVERAGE(S10:S40)</f>
        <v>0.72949287308122057</v>
      </c>
      <c r="T43" s="1541">
        <f t="shared" si="19"/>
        <v>2.7901383823925352</v>
      </c>
      <c r="U43" s="1542">
        <f t="shared" si="19"/>
        <v>2.13712733256141</v>
      </c>
      <c r="V43" s="1542">
        <f t="shared" si="19"/>
        <v>0.54110293386112351</v>
      </c>
      <c r="W43" s="1542">
        <f t="shared" si="19"/>
        <v>0.50835795411589901</v>
      </c>
      <c r="X43" s="1190">
        <f t="shared" ref="X43:Y43" si="20">AVERAGE(X10:X39)</f>
        <v>173.77524604980695</v>
      </c>
      <c r="Y43" s="1543">
        <f t="shared" si="20"/>
        <v>0.82282269466510949</v>
      </c>
      <c r="AB43" s="1544">
        <f>+'Asset Vol_M&amp;A Early'!Y44</f>
        <v>0.77713642838913188</v>
      </c>
      <c r="AC43" s="467" t="s">
        <v>1814</v>
      </c>
      <c r="AD43" s="467"/>
      <c r="AE43" s="467"/>
      <c r="AF43" s="1545" t="s">
        <v>2280</v>
      </c>
    </row>
    <row r="44" spans="2:35" ht="14.85" customHeight="1">
      <c r="B44" s="1187" t="s">
        <v>44</v>
      </c>
      <c r="C44" s="1188"/>
      <c r="D44" s="1190">
        <f>MEDIAN(D10:D39)</f>
        <v>252.89796000000001</v>
      </c>
      <c r="E44" s="1190">
        <f t="shared" ref="E44:K44" si="21">MEDIAN(E10:E39)</f>
        <v>0</v>
      </c>
      <c r="F44" s="1190">
        <f t="shared" si="21"/>
        <v>0</v>
      </c>
      <c r="G44" s="1190">
        <f t="shared" si="21"/>
        <v>0</v>
      </c>
      <c r="H44" s="1190">
        <f t="shared" si="21"/>
        <v>0.17863499999999999</v>
      </c>
      <c r="I44" s="1190">
        <f t="shared" si="21"/>
        <v>253.41356500000001</v>
      </c>
      <c r="J44" s="1190">
        <f t="shared" si="21"/>
        <v>91.676500000000004</v>
      </c>
      <c r="K44" s="1190">
        <f t="shared" si="21"/>
        <v>208.32753500000001</v>
      </c>
      <c r="L44" s="1188"/>
      <c r="M44" s="1328">
        <f t="shared" ref="M44:O44" si="22">MEDIAN(M10:M39)</f>
        <v>0</v>
      </c>
      <c r="N44" s="1190">
        <f t="shared" si="22"/>
        <v>2.2465753424657535</v>
      </c>
      <c r="O44" s="1537">
        <f t="shared" si="22"/>
        <v>1.1815068493150685E-2</v>
      </c>
      <c r="P44" s="1538"/>
      <c r="Q44" s="1539">
        <f>MEDIAN(Q10:Q39)</f>
        <v>0.80956798122350371</v>
      </c>
      <c r="R44" s="1540"/>
      <c r="S44" s="1541">
        <f t="shared" ref="S44:W44" si="23">MEDIAN(S10:S40)</f>
        <v>0.65555740591618328</v>
      </c>
      <c r="T44" s="1541">
        <f t="shared" si="23"/>
        <v>1.7137184843128479</v>
      </c>
      <c r="U44" s="1542">
        <f t="shared" si="23"/>
        <v>0.37124036654275505</v>
      </c>
      <c r="V44" s="1542">
        <f t="shared" si="23"/>
        <v>0.95268701219757168</v>
      </c>
      <c r="W44" s="1542">
        <f t="shared" si="23"/>
        <v>0.64037803064352272</v>
      </c>
      <c r="X44" s="1190">
        <f t="shared" ref="X44:Y44" si="24">MEDIAN(X10:X39)</f>
        <v>35.486092340774491</v>
      </c>
      <c r="Y44" s="1543">
        <f t="shared" si="24"/>
        <v>0.77713642838913188</v>
      </c>
      <c r="AB44" s="1546" t="str">
        <f ca="1">IF(ROUND(AB41,3)=ROUND(AB43,3),"","Update Volatility - OPM")</f>
        <v>Update Volatility - OPM</v>
      </c>
      <c r="AC44" s="467"/>
      <c r="AD44" s="467"/>
      <c r="AE44" s="467"/>
      <c r="AF44" s="468"/>
    </row>
    <row r="45" spans="2:35" ht="14.85" customHeight="1">
      <c r="B45" s="1187" t="s">
        <v>114</v>
      </c>
      <c r="C45" s="1188"/>
      <c r="D45" s="1190">
        <f>QUARTILE(D10:D39,1)</f>
        <v>106.88460499999999</v>
      </c>
      <c r="E45" s="1190">
        <f t="shared" ref="E45:K45" si="25">QUARTILE(E10:E39,1)</f>
        <v>0</v>
      </c>
      <c r="F45" s="1190">
        <f t="shared" si="25"/>
        <v>0</v>
      </c>
      <c r="G45" s="1190">
        <f t="shared" si="25"/>
        <v>0</v>
      </c>
      <c r="H45" s="1190">
        <f t="shared" si="25"/>
        <v>0</v>
      </c>
      <c r="I45" s="1190">
        <f t="shared" si="25"/>
        <v>114.9033675</v>
      </c>
      <c r="J45" s="1190">
        <f t="shared" si="25"/>
        <v>21.772500000000001</v>
      </c>
      <c r="K45" s="1190">
        <f t="shared" si="25"/>
        <v>58.667125000000013</v>
      </c>
      <c r="L45" s="1188"/>
      <c r="M45" s="1328">
        <f t="shared" ref="M45:O45" si="26">QUARTILE(M10:M39,1)</f>
        <v>0</v>
      </c>
      <c r="N45" s="1190">
        <f t="shared" si="26"/>
        <v>2.2465753424657535</v>
      </c>
      <c r="O45" s="1537">
        <f t="shared" si="26"/>
        <v>1.1815068493150685E-2</v>
      </c>
      <c r="P45" s="1538"/>
      <c r="Q45" s="1539">
        <f>QUARTILE(Q10:Q39,1)</f>
        <v>0.74778708577490494</v>
      </c>
      <c r="R45" s="1540"/>
      <c r="S45" s="1541">
        <f t="shared" ref="S45:W45" si="27">QUARTILE(S10:S40,1)</f>
        <v>0.55919548889814052</v>
      </c>
      <c r="T45" s="1541">
        <f t="shared" si="27"/>
        <v>0</v>
      </c>
      <c r="U45" s="1542">
        <f t="shared" si="27"/>
        <v>0</v>
      </c>
      <c r="V45" s="1542">
        <f t="shared" si="27"/>
        <v>0</v>
      </c>
      <c r="W45" s="1542">
        <f t="shared" si="27"/>
        <v>0</v>
      </c>
      <c r="X45" s="1190">
        <f t="shared" ref="X45:Y45" si="28">QUARTILE(X10:X39,1)</f>
        <v>0</v>
      </c>
      <c r="Y45" s="1543">
        <f t="shared" si="28"/>
        <v>0.738234281563799</v>
      </c>
      <c r="AB45" s="1547" t="str">
        <f>IF(ROUND(AB42,3)=ROUND(AB43,3),"","Update Volatility - DLOM")</f>
        <v>Update Volatility - DLOM</v>
      </c>
      <c r="AC45" s="346"/>
      <c r="AD45" s="346"/>
      <c r="AE45" s="346"/>
      <c r="AF45" s="897"/>
    </row>
    <row r="46" spans="2:35" ht="14.85" customHeight="1">
      <c r="B46" s="1192" t="s">
        <v>112</v>
      </c>
      <c r="C46" s="858"/>
      <c r="D46" s="867">
        <f t="shared" ref="D46:K46" si="29">MIN(D10:D39)</f>
        <v>7.33019</v>
      </c>
      <c r="E46" s="867">
        <f t="shared" si="29"/>
        <v>0</v>
      </c>
      <c r="F46" s="867">
        <f t="shared" si="29"/>
        <v>0</v>
      </c>
      <c r="G46" s="867">
        <f t="shared" si="29"/>
        <v>-0.55518999999999996</v>
      </c>
      <c r="H46" s="867">
        <f t="shared" si="29"/>
        <v>0</v>
      </c>
      <c r="I46" s="867">
        <f t="shared" si="29"/>
        <v>7.33019</v>
      </c>
      <c r="J46" s="867">
        <f t="shared" si="29"/>
        <v>0</v>
      </c>
      <c r="K46" s="867">
        <f t="shared" si="29"/>
        <v>-4.3520399999999881</v>
      </c>
      <c r="L46" s="858"/>
      <c r="M46" s="1330">
        <f>MIN(M10:M39)</f>
        <v>0</v>
      </c>
      <c r="N46" s="867">
        <f>MIN(N10:N39)</f>
        <v>2.2465753424657535</v>
      </c>
      <c r="O46" s="1548">
        <f>MIN(O10:O39)</f>
        <v>1.1815068493150685E-2</v>
      </c>
      <c r="P46" s="1549"/>
      <c r="Q46" s="1550">
        <f>MIN(Q10:Q39)</f>
        <v>0.6189501235098539</v>
      </c>
      <c r="R46" s="1551"/>
      <c r="S46" s="1552">
        <f>MIN(S10:S40)</f>
        <v>0.38309925539286338</v>
      </c>
      <c r="T46" s="1552">
        <f>MIN(T10:T40)</f>
        <v>0</v>
      </c>
      <c r="U46" s="1553">
        <f>MIN(U10:U40)</f>
        <v>0</v>
      </c>
      <c r="V46" s="1553">
        <f>MIN(V10:V40)</f>
        <v>0</v>
      </c>
      <c r="W46" s="1553">
        <f>MIN(W10:W40)</f>
        <v>0</v>
      </c>
      <c r="X46" s="867">
        <f>MIN(X10:X39)</f>
        <v>0</v>
      </c>
      <c r="Y46" s="1554">
        <f>MIN(Y10:Y39)</f>
        <v>0.61880676515451261</v>
      </c>
      <c r="AB46" s="433" t="str">
        <f ca="1">IF(K48&lt;&gt;K50,"Check","")</f>
        <v/>
      </c>
    </row>
    <row r="47" spans="2:35" ht="14.85" customHeight="1">
      <c r="AB47" s="1104" t="str">
        <f ca="1">IF(AND(AB44=$AF$45,AB46=$AF$45,AB45=$AF$45),"","Check")</f>
        <v>Check</v>
      </c>
    </row>
    <row r="48" spans="2:35" ht="14.85" customHeight="1">
      <c r="B48" s="1555" t="str">
        <f>B2</f>
        <v>ABC, Inc.</v>
      </c>
      <c r="C48" s="1556" t="s">
        <v>269</v>
      </c>
      <c r="D48" s="1557"/>
      <c r="E48" s="1557"/>
      <c r="F48" s="1557"/>
      <c r="G48" s="1557"/>
      <c r="H48" s="1558">
        <f ca="1">-'Val Summ'!$H$20/1000</f>
        <v>2.0379999999999998</v>
      </c>
      <c r="I48" s="1559">
        <f t="shared" ref="I48" si="30">SUM(D48:G48)</f>
        <v>0</v>
      </c>
      <c r="J48" s="1557"/>
      <c r="K48" s="1558">
        <f ca="1">'Val Summ'!$H$17/1000</f>
        <v>61.23</v>
      </c>
      <c r="L48" s="1557"/>
      <c r="M48" s="1560">
        <f>DLOM!G17</f>
        <v>0</v>
      </c>
      <c r="N48" s="1561">
        <f>N$6</f>
        <v>2.2465753424657535</v>
      </c>
      <c r="O48" s="1562">
        <f>O$6</f>
        <v>1.1815068493150685E-2</v>
      </c>
      <c r="P48" s="1563"/>
      <c r="Q48" s="1564">
        <v>0.31</v>
      </c>
      <c r="R48" s="1557"/>
      <c r="S48" s="1565">
        <f>IF(Q48="n/a","n/a",Q48^2)</f>
        <v>9.6100000000000005E-2</v>
      </c>
      <c r="T48" s="1565">
        <f ca="1">IF(OR(K48="n/a",S48="n/a"),"n/a",IF(H48=0,0,IF(M48=0,(LN(K48/H48)+((O48+(S48/2))*N48))/((S48*N48)^0.5),(LN(K48/H48)+((O48-M48+(S48/2))*N48))/((S48*N48)^0.5))))</f>
        <v>7.6125907455147548</v>
      </c>
      <c r="U48" s="1566">
        <f ca="1">IF(T48="n/a","n/a",IF(H48=0,0,T48-(S48*N48)^0.5))</f>
        <v>7.1479447615538918</v>
      </c>
      <c r="V48" s="1566">
        <f ca="1">IF(OR(T48="n/a",S48="n/a"),"n/a",IF(H48=0,0,NORMSDIST(T48)))</f>
        <v>0.99999999999998657</v>
      </c>
      <c r="W48" s="1566">
        <f ca="1">IF(OR(U48="n/a",S48="n/a"),"n/a",IF(H48=0,0,NORMSDIST(U48)))</f>
        <v>0.99999999999955957</v>
      </c>
      <c r="X48" s="1566">
        <f ca="1">IF(OR(K48="n/a",S48="n/a"),"n/a",IF(M48=0,(K48*V48)-((H48*EXP(1)^(-O48*N48))*W48),(K48*(2.718^(-M48*N48))*V48)-(H48*(2.718^(-O48*N48))*W48)))</f>
        <v>59.24538390332787</v>
      </c>
      <c r="Y48" s="1567">
        <f ca="1">IF(LEN(B48)&gt;0,IF(H48=0,Q48,IF(ISERROR(Q48/((K48/X48)*V48)),"n/a",Q48/((K48/X48)*V48))))</f>
        <v>0.29995213147202171</v>
      </c>
    </row>
    <row r="49" spans="1:25" ht="14.85" customHeight="1">
      <c r="C49" s="414"/>
      <c r="D49" s="414"/>
      <c r="E49" s="414"/>
      <c r="F49" s="414"/>
      <c r="G49" s="414"/>
      <c r="H49" s="414"/>
      <c r="I49" s="414"/>
      <c r="J49" s="414"/>
    </row>
    <row r="50" spans="1:25" ht="14.85" customHeight="1">
      <c r="B50" s="1555" t="str">
        <f>B48</f>
        <v>ABC, Inc.</v>
      </c>
      <c r="C50" s="1556" t="s">
        <v>308</v>
      </c>
      <c r="D50" s="1557"/>
      <c r="E50" s="1557"/>
      <c r="F50" s="1557"/>
      <c r="G50" s="1557"/>
      <c r="H50" s="1558"/>
      <c r="I50" s="1573">
        <f ca="1">K50+J50</f>
        <v>61.23</v>
      </c>
      <c r="J50" s="1557"/>
      <c r="K50" s="1568">
        <f ca="1">K48</f>
        <v>61.23</v>
      </c>
      <c r="L50" s="1557"/>
      <c r="M50" s="1569">
        <f>M48</f>
        <v>0</v>
      </c>
      <c r="N50" s="1561">
        <f>N$6</f>
        <v>2.2465753424657535</v>
      </c>
      <c r="O50" s="1562">
        <f>O$6</f>
        <v>1.1815068493150685E-2</v>
      </c>
      <c r="P50" s="1563"/>
      <c r="Q50" s="1564">
        <v>0.31</v>
      </c>
      <c r="R50" s="1557"/>
      <c r="S50" s="1565">
        <f>IF(Q50="n/a","n/a",Q50^2)</f>
        <v>9.6100000000000005E-2</v>
      </c>
      <c r="T50" s="1565">
        <f ca="1">IF(OR(K50="n/a",S50="n/a"),"n/a",IF(H50=0,0,IF(M50=0,(LN(K50/H50)+((O50+(S50/2))*N50))/((S50*N50)^0.5),(LN(K50/H50)+((O50-M50+(S50/2))*N50))/((S50*N50)^0.5))))</f>
        <v>0</v>
      </c>
      <c r="U50" s="1566">
        <f ca="1">IF(T50="n/a","n/a",IF(H50=0,0,T50-(S50*N50)^0.5))</f>
        <v>0</v>
      </c>
      <c r="V50" s="1566">
        <f ca="1">IF(OR(T50="n/a",S50="n/a"),"n/a",IF(H50=0,0,NORMSDIST(T50)))</f>
        <v>0</v>
      </c>
      <c r="W50" s="1566">
        <f ca="1">IF(OR(U50="n/a",S50="n/a"),"n/a",IF(H50=0,0,NORMSDIST(U50)))</f>
        <v>0</v>
      </c>
      <c r="X50" s="1566">
        <f ca="1">IF(OR(K50="n/a",S50="n/a"),"n/a",IF(M50=0,(K50*V50)-((H50*EXP(1)^(-O50*N50))*W50),(K50*(2.718^(-M50*N50))*V50)-(H50*(2.718^(-O50*N50))*W50)))</f>
        <v>0</v>
      </c>
      <c r="Y50" s="1567">
        <f>IF(LEN(B50)&gt;0,IF(H50=0,Q50,IF(ISERROR(Q50/((K50/X50)*V50)),"n/a",Q50/((K50/X50)*V50))))</f>
        <v>0.31</v>
      </c>
    </row>
    <row r="51" spans="1:25" ht="14.85" customHeight="1"/>
    <row r="52" spans="1:25" ht="14.85" customHeight="1">
      <c r="B52" s="356" t="s">
        <v>86</v>
      </c>
    </row>
    <row r="53" spans="1:25" ht="14.85" customHeight="1">
      <c r="A53" s="357" t="s">
        <v>270</v>
      </c>
      <c r="B53" s="274" t="s">
        <v>3513</v>
      </c>
    </row>
    <row r="54" spans="1:25" s="359" customFormat="1" ht="14.85" customHeight="1">
      <c r="A54" s="1570" t="s">
        <v>269</v>
      </c>
      <c r="B54" s="1571" t="s">
        <v>1140</v>
      </c>
      <c r="P54" s="1572"/>
    </row>
    <row r="55" spans="1:25" s="359" customFormat="1" ht="14.85" customHeight="1">
      <c r="A55" s="1570" t="s">
        <v>308</v>
      </c>
      <c r="B55" s="1571" t="s">
        <v>1141</v>
      </c>
      <c r="P55" s="1572"/>
    </row>
    <row r="56" spans="1:25" ht="14.85" customHeight="1"/>
    <row r="57" spans="1:25" ht="14.85" customHeight="1">
      <c r="B57" s="356" t="s">
        <v>116</v>
      </c>
    </row>
    <row r="58" spans="1:25" ht="14.85" customHeight="1"/>
    <row r="59" spans="1:25" ht="14.85" customHeight="1">
      <c r="B59" s="250" t="s">
        <v>1844</v>
      </c>
    </row>
    <row r="60" spans="1:25" ht="14.85" customHeight="1">
      <c r="B60" s="250" t="s">
        <v>1845</v>
      </c>
    </row>
    <row r="61" spans="1:25" ht="14.85" customHeight="1">
      <c r="B61" s="250" t="s">
        <v>1846</v>
      </c>
    </row>
    <row r="62" spans="1:25" ht="14.85" customHeight="1">
      <c r="B62" s="250" t="s">
        <v>1847</v>
      </c>
    </row>
    <row r="63" spans="1:25" ht="14.85" customHeight="1">
      <c r="B63" s="250" t="s">
        <v>1848</v>
      </c>
    </row>
    <row r="64" spans="1:25" ht="14.85" customHeight="1">
      <c r="B64" s="250" t="s">
        <v>1849</v>
      </c>
    </row>
    <row r="65" spans="2:2" ht="14.85" customHeight="1">
      <c r="B65" s="250" t="s">
        <v>1850</v>
      </c>
    </row>
    <row r="66" spans="2:2" ht="14.85" customHeight="1"/>
    <row r="67" spans="2:2" ht="14.85" customHeight="1">
      <c r="B67" s="250" t="s">
        <v>1851</v>
      </c>
    </row>
    <row r="68" spans="2:2" ht="14.85" customHeight="1">
      <c r="B68" s="250" t="s">
        <v>1852</v>
      </c>
    </row>
    <row r="69" spans="2:2" ht="14.85" customHeight="1">
      <c r="B69" s="250" t="s">
        <v>1853</v>
      </c>
    </row>
    <row r="70" spans="2:2" ht="14.85" customHeight="1">
      <c r="B70" s="250" t="s">
        <v>1854</v>
      </c>
    </row>
    <row r="71" spans="2:2" ht="14.85" customHeight="1">
      <c r="B71" s="250" t="s">
        <v>1855</v>
      </c>
    </row>
    <row r="72" spans="2:2" ht="14.85" customHeight="1">
      <c r="B72" s="250" t="s">
        <v>1856</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44" priority="9" operator="equal">
      <formula>"(Invalid Identifier)"</formula>
    </cfRule>
  </conditionalFormatting>
  <conditionalFormatting sqref="C4:I4">
    <cfRule type="cellIs" dxfId="143" priority="8" stopIfTrue="1" operator="equal">
      <formula>"input"</formula>
    </cfRule>
  </conditionalFormatting>
  <conditionalFormatting sqref="J4">
    <cfRule type="cellIs" dxfId="142" priority="6" stopIfTrue="1" operator="equal">
      <formula>"input"</formula>
    </cfRule>
  </conditionalFormatting>
  <conditionalFormatting sqref="J4">
    <cfRule type="cellIs" dxfId="141" priority="7" stopIfTrue="1" operator="equal">
      <formula>"input"</formula>
    </cfRule>
  </conditionalFormatting>
  <conditionalFormatting sqref="K4:X4">
    <cfRule type="cellIs" dxfId="140" priority="4" stopIfTrue="1" operator="equal">
      <formula>"input"</formula>
    </cfRule>
  </conditionalFormatting>
  <conditionalFormatting sqref="K4:X4">
    <cfRule type="cellIs" dxfId="139" priority="5" stopIfTrue="1" operator="equal">
      <formula>"input"</formula>
    </cfRule>
  </conditionalFormatting>
  <conditionalFormatting sqref="Y4">
    <cfRule type="cellIs" dxfId="138" priority="2" stopIfTrue="1" operator="equal">
      <formula>"input"</formula>
    </cfRule>
  </conditionalFormatting>
  <conditionalFormatting sqref="Y4">
    <cfRule type="cellIs" dxfId="137" priority="3" stopIfTrue="1" operator="equal">
      <formula>"input"</formula>
    </cfRule>
  </conditionalFormatting>
  <conditionalFormatting sqref="B4">
    <cfRule type="cellIs" dxfId="136" priority="1" stopIfTrue="1" operator="equal">
      <formula>"input"</formula>
    </cfRule>
  </conditionalFormatting>
  <pageMargins left="0.5" right="0.5" top="0.5" bottom="0.5" header="0.5" footer="0.5"/>
  <pageSetup scale="71" fitToWidth="0" fitToHeight="0" orientation="landscape" r:id="rId1"/>
  <rowBreaks count="1" manualBreakCount="1">
    <brk id="51" max="25" man="1"/>
  </rowBreaks>
  <legacyDrawing r:id="rId2"/>
  <legacyDrawingHF r:id="rId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72"/>
  <dimension ref="A1:AI764"/>
  <sheetViews>
    <sheetView showGridLines="0" view="pageBreakPreview" zoomScale="80" zoomScaleNormal="100" zoomScaleSheetLayoutView="80" workbookViewId="0"/>
  </sheetViews>
  <sheetFormatPr defaultRowHeight="12.75" outlineLevelRow="1" outlineLevelCol="1"/>
  <cols>
    <col min="1" max="1" width="4.5" style="250" customWidth="1"/>
    <col min="2" max="2" width="42.1640625" style="250" customWidth="1"/>
    <col min="3" max="3" width="3.5" style="250" customWidth="1"/>
    <col min="4" max="4" width="13.1640625" style="250" customWidth="1"/>
    <col min="5" max="5" width="10.83203125" style="250" hidden="1" customWidth="1" outlineLevel="1"/>
    <col min="6" max="7" width="9.83203125" style="250" hidden="1" customWidth="1" outlineLevel="1"/>
    <col min="8" max="8" width="12.83203125" style="250" customWidth="1" collapsed="1"/>
    <col min="9" max="11" width="12.83203125" style="250" customWidth="1"/>
    <col min="12" max="12" width="2.83203125" style="250" customWidth="1"/>
    <col min="13" max="15" width="12.83203125" style="250" customWidth="1"/>
    <col min="16" max="16" width="2.83203125" style="724" customWidth="1"/>
    <col min="17" max="17" width="12.83203125" style="250" customWidth="1"/>
    <col min="18" max="18" width="2.83203125" style="250" customWidth="1"/>
    <col min="19" max="19" width="11.6640625" style="250" hidden="1" customWidth="1" outlineLevel="1"/>
    <col min="20" max="23" width="8.83203125" style="250" hidden="1" customWidth="1" outlineLevel="1"/>
    <col min="24" max="24" width="12.83203125" style="250" customWidth="1" collapsed="1"/>
    <col min="25" max="25" width="12.83203125" style="250" customWidth="1"/>
    <col min="26" max="26" width="4.5" style="250" customWidth="1"/>
    <col min="27" max="27" width="17.5" style="250" bestFit="1" customWidth="1"/>
    <col min="28" max="28" width="14.33203125" style="250" bestFit="1" customWidth="1"/>
    <col min="29" max="29" width="9.6640625" style="250" bestFit="1" customWidth="1"/>
    <col min="30" max="30" width="10.1640625" style="250" bestFit="1" customWidth="1"/>
    <col min="31" max="16384" width="9.33203125" style="250"/>
  </cols>
  <sheetData>
    <row r="1" spans="2:35" ht="10.7" customHeight="1" thickBot="1">
      <c r="P1" s="250"/>
    </row>
    <row r="2" spans="2:35" ht="16.5" customHeight="1" thickTop="1">
      <c r="B2" s="258" t="str">
        <f>'MASTER PubCo Inputs'!$C$5</f>
        <v>ABC, Inc.</v>
      </c>
      <c r="C2" s="258"/>
      <c r="D2" s="258"/>
      <c r="E2" s="258"/>
      <c r="F2" s="258"/>
      <c r="G2" s="258"/>
      <c r="H2" s="258"/>
      <c r="I2" s="258"/>
      <c r="J2" s="258"/>
      <c r="K2" s="258"/>
      <c r="L2" s="258"/>
      <c r="M2" s="258"/>
      <c r="N2" s="258"/>
      <c r="O2" s="258"/>
      <c r="P2" s="258"/>
      <c r="Q2" s="258"/>
      <c r="R2" s="258"/>
      <c r="S2" s="258"/>
      <c r="T2" s="258"/>
      <c r="U2" s="258"/>
      <c r="V2" s="258"/>
      <c r="W2" s="258"/>
      <c r="X2" s="258"/>
      <c r="Y2" s="258"/>
      <c r="AA2" s="1151" t="s">
        <v>87</v>
      </c>
      <c r="AB2" s="1152">
        <f>+'Comp.1'!$AL$2</f>
        <v>42735</v>
      </c>
    </row>
    <row r="3" spans="2:35" ht="15.75" customHeight="1">
      <c r="B3" s="259" t="str">
        <f>VLOOKUP(B4,Outline!$E$8:$G$79,COLUMNS(Outline!$E$8:$G$8),FALSE)</f>
        <v>Exhibit H.7</v>
      </c>
      <c r="C3" s="259"/>
      <c r="D3" s="259"/>
      <c r="E3" s="259"/>
      <c r="F3" s="259"/>
      <c r="G3" s="259"/>
      <c r="H3" s="259"/>
      <c r="I3" s="259"/>
      <c r="J3" s="259"/>
      <c r="K3" s="259"/>
      <c r="L3" s="259"/>
      <c r="M3" s="259"/>
      <c r="N3" s="259"/>
      <c r="O3" s="259"/>
      <c r="P3" s="259"/>
      <c r="Q3" s="259"/>
      <c r="R3" s="259"/>
      <c r="S3" s="259"/>
      <c r="T3" s="259"/>
      <c r="U3" s="259"/>
      <c r="V3" s="259"/>
      <c r="W3" s="259"/>
      <c r="X3" s="259"/>
      <c r="Y3" s="259"/>
      <c r="AA3" s="1153" t="s">
        <v>489</v>
      </c>
      <c r="AB3" s="1154" t="str">
        <f>+'Comp.1'!$AL$3</f>
        <v>F</v>
      </c>
    </row>
    <row r="4" spans="2:35" ht="16.5" customHeight="1" thickBot="1">
      <c r="B4" s="924" t="str">
        <f>"Asset Volatility - "&amp;TEXT(DLOM!H6,"")</f>
        <v>Asset Volatility - M&amp;A Late</v>
      </c>
      <c r="C4" s="924"/>
      <c r="D4" s="924"/>
      <c r="E4" s="924"/>
      <c r="F4" s="924"/>
      <c r="G4" s="924"/>
      <c r="H4" s="924"/>
      <c r="I4" s="924"/>
      <c r="J4" s="925"/>
      <c r="K4" s="925"/>
      <c r="L4" s="925"/>
      <c r="M4" s="925"/>
      <c r="N4" s="925"/>
      <c r="O4" s="925"/>
      <c r="P4" s="925"/>
      <c r="Q4" s="925"/>
      <c r="R4" s="925"/>
      <c r="S4" s="925"/>
      <c r="T4" s="925"/>
      <c r="U4" s="925"/>
      <c r="V4" s="925"/>
      <c r="W4" s="925"/>
      <c r="X4" s="925"/>
      <c r="Y4" s="925" t="str">
        <f>+'MASTER PubCo Inputs'!$C$24</f>
        <v>(in millions of USD)</v>
      </c>
      <c r="AA4" s="1153" t="s">
        <v>490</v>
      </c>
      <c r="AB4" s="1154" t="str">
        <f>+'Comp.1'!$AL$4</f>
        <v>USD</v>
      </c>
    </row>
    <row r="5" spans="2:35" ht="14.85" customHeight="1" thickTop="1">
      <c r="B5" s="724"/>
      <c r="AA5" s="518" t="s">
        <v>89</v>
      </c>
      <c r="AB5" s="1155" t="str">
        <f>+'Comp.1'!$AL$5</f>
        <v>H</v>
      </c>
    </row>
    <row r="6" spans="2:35" ht="14.85" customHeight="1" outlineLevel="1">
      <c r="N6" s="1506">
        <f>DLOM!H11</f>
        <v>3.2465753424657535</v>
      </c>
      <c r="O6" s="1507">
        <f>'Risk-Free Rates'!E67</f>
        <v>1.4530136986301369E-2</v>
      </c>
      <c r="Q6" s="1508">
        <f>HLOOKUP(ROUND(N6,0),'Equity Vol'!$D$8:$K$8,1,TRUE)</f>
        <v>3</v>
      </c>
    </row>
    <row r="7" spans="2:35" ht="14.85" customHeight="1">
      <c r="D7" s="1509" t="s">
        <v>91</v>
      </c>
      <c r="E7" s="1510"/>
      <c r="F7" s="1510"/>
      <c r="G7" s="1510"/>
      <c r="H7" s="1510"/>
      <c r="I7" s="1510"/>
      <c r="J7" s="1510"/>
      <c r="K7" s="1511"/>
      <c r="M7" s="1509" t="s">
        <v>92</v>
      </c>
      <c r="N7" s="1510"/>
      <c r="O7" s="1510"/>
      <c r="P7" s="1512"/>
      <c r="Q7" s="1511"/>
      <c r="S7" s="1509" t="s">
        <v>93</v>
      </c>
      <c r="T7" s="1510"/>
      <c r="U7" s="1510"/>
      <c r="V7" s="1510"/>
      <c r="W7" s="1510"/>
      <c r="X7" s="1513" t="s">
        <v>93</v>
      </c>
      <c r="Y7" s="1514"/>
    </row>
    <row r="8" spans="2:35" s="272" customFormat="1" ht="42.75" customHeight="1">
      <c r="B8" s="1515" t="s">
        <v>815</v>
      </c>
      <c r="D8" s="1516" t="s">
        <v>94</v>
      </c>
      <c r="E8" s="1517" t="s">
        <v>95</v>
      </c>
      <c r="F8" s="1517" t="s">
        <v>96</v>
      </c>
      <c r="G8" s="1517" t="s">
        <v>97</v>
      </c>
      <c r="H8" s="1517" t="s">
        <v>98</v>
      </c>
      <c r="I8" s="1517" t="s">
        <v>99</v>
      </c>
      <c r="J8" s="1517" t="s">
        <v>100</v>
      </c>
      <c r="K8" s="1518" t="s">
        <v>101</v>
      </c>
      <c r="L8" s="347"/>
      <c r="M8" s="1516" t="s">
        <v>73</v>
      </c>
      <c r="N8" s="1517" t="s">
        <v>102</v>
      </c>
      <c r="O8" s="1518" t="s">
        <v>72</v>
      </c>
      <c r="P8" s="1292"/>
      <c r="Q8" s="1519" t="s">
        <v>103</v>
      </c>
      <c r="R8" s="1292"/>
      <c r="S8" s="1516" t="s">
        <v>104</v>
      </c>
      <c r="T8" s="1517" t="s">
        <v>84</v>
      </c>
      <c r="U8" s="1517" t="s">
        <v>85</v>
      </c>
      <c r="V8" s="1517" t="s">
        <v>105</v>
      </c>
      <c r="W8" s="1517" t="s">
        <v>106</v>
      </c>
      <c r="X8" s="1520" t="s">
        <v>107</v>
      </c>
      <c r="Y8" s="1518" t="s">
        <v>3512</v>
      </c>
      <c r="AA8" s="1170" t="s">
        <v>108</v>
      </c>
      <c r="AB8" s="1171" t="s">
        <v>109</v>
      </c>
      <c r="AC8" s="1171" t="s">
        <v>110</v>
      </c>
      <c r="AD8" s="1521"/>
    </row>
    <row r="9" spans="2:35" ht="14.85" customHeight="1"/>
    <row r="10" spans="2:35" ht="14.85" customHeight="1">
      <c r="B10" s="250" t="str">
        <f>'Comp.1'!B12</f>
        <v>Spark Therapeutics, Inc.</v>
      </c>
      <c r="D10" s="331">
        <f>'Beta Calc'!K10</f>
        <v>1692.82537</v>
      </c>
      <c r="E10" s="331">
        <f>'Beta Calc'!L10</f>
        <v>1.57541</v>
      </c>
      <c r="F10" s="331">
        <f>'Beta Calc'!M10</f>
        <v>0</v>
      </c>
      <c r="G10" s="331">
        <f>'Beta Calc'!N10</f>
        <v>0</v>
      </c>
      <c r="H10" s="331">
        <f>SUM(E10:G10)</f>
        <v>1.57541</v>
      </c>
      <c r="I10" s="331">
        <f>SUM(D10:G10)</f>
        <v>1694.4007799999999</v>
      </c>
      <c r="J10" s="331">
        <f>'Beta Calc'!Q10</f>
        <v>306.64877999999999</v>
      </c>
      <c r="K10" s="331">
        <f>I10-J10</f>
        <v>1387.752</v>
      </c>
      <c r="M10" s="1066">
        <f>IFERROR('Capital IQ Sheet-GPC'!AT13,"n/a")</f>
        <v>0</v>
      </c>
      <c r="N10" s="331">
        <f t="shared" ref="N10:O39" si="0">N$6</f>
        <v>3.2465753424657535</v>
      </c>
      <c r="O10" s="1522">
        <f t="shared" si="0"/>
        <v>1.4530136986301369E-2</v>
      </c>
      <c r="P10" s="1523"/>
      <c r="Q10" s="1524" t="str">
        <f>IFERROR(HLOOKUP($Q$6,'Equity Vol'!$B$8:$K10,ROWS('Equity Vol'!$C$8:$C10),FALSE),"n/a")</f>
        <v>n/a</v>
      </c>
      <c r="R10" s="1525"/>
      <c r="S10" s="1526" t="str">
        <f>IFERROR(IF(Q10="n/a","n/a",Q10^2),"n/a")</f>
        <v>n/a</v>
      </c>
      <c r="T10" s="1526" t="str">
        <f t="shared" ref="T10:T39" si="1">IF(OR(K10="n/a",S10="n/a"),"n/a",IF(H10=0,0,IF(M10=0,(LN(K10/H10)+((O10+(S10/2))*N10))/((S10*N10)^0.5),(LN(K10/H10)+((O10-M10+(S10/2))*N10))/((S10*N10)^0.5))))</f>
        <v>n/a</v>
      </c>
      <c r="U10" s="1527" t="str">
        <f t="shared" ref="U10:U39" si="2">IF(T10="n/a","n/a",IF(H10=0,0,T10-(S10*N10)^0.5))</f>
        <v>n/a</v>
      </c>
      <c r="V10" s="1527" t="str">
        <f t="shared" ref="V10:V39" si="3">IF(OR(T10="n/a",S10="n/a"),"n/a",IF(H10=0,0,NORMSDIST(T10)))</f>
        <v>n/a</v>
      </c>
      <c r="W10" s="1527" t="str">
        <f t="shared" ref="W10:W39" si="4">IF(OR(U10="n/a",S10="n/a"),"n/a",IF(H10=0,0,NORMSDIST(U10)))</f>
        <v>n/a</v>
      </c>
      <c r="X10" s="759" t="str">
        <f t="shared" ref="X10:X39" si="5">IF(OR(K10="n/a",S10="n/a"),"n/a",IF(M10=0,(K10*V10)-((H10*EXP(1)^(-O10*N10))*W10),(K10*(2.718^(-M10*N10))*V10)-(H10*(2.718^(-O10*N10))*W10)))</f>
        <v>n/a</v>
      </c>
      <c r="Y10" s="1524" t="str">
        <f>IFERROR(IF(LEN(B10)&gt;0,IF(H10=0,Q10,IF(ISERROR(Q10/((K10/X10)*V10)),"n/a",Q10/((K10/X10)*V10)))),"n/a")</f>
        <v>n/a</v>
      </c>
      <c r="AA10" s="1177" t="str">
        <f>IF('MASTER PubCo Inputs'!B28=0,"",'MASTER PubCo Inputs'!B28)</f>
        <v>NasdaqGS:ONCE</v>
      </c>
      <c r="AB10" s="331">
        <f>'Beta Calc'!Z10</f>
        <v>1387.752</v>
      </c>
      <c r="AC10" s="1178">
        <f t="shared" ref="AC10:AC39" si="6">K10-AB10</f>
        <v>0</v>
      </c>
      <c r="AI10" s="1179"/>
    </row>
    <row r="11" spans="2:35" ht="14.85" customHeight="1">
      <c r="B11" s="250" t="str">
        <f>'Comp.1'!B13</f>
        <v>CRISPR Therapeutics AG</v>
      </c>
      <c r="D11" s="331">
        <f>'Beta Calc'!K11</f>
        <v>868.62804000000006</v>
      </c>
      <c r="E11" s="331">
        <f>'Beta Calc'!L11</f>
        <v>0</v>
      </c>
      <c r="F11" s="331">
        <f>'Beta Calc'!M11</f>
        <v>185.565</v>
      </c>
      <c r="G11" s="331">
        <f>'Beta Calc'!N11</f>
        <v>-5.0999999999999997E-2</v>
      </c>
      <c r="H11" s="331">
        <f t="shared" ref="H11:H39" si="7">SUM(E11:G11)</f>
        <v>185.51400000000001</v>
      </c>
      <c r="I11" s="331">
        <f t="shared" ref="I11:I39" si="8">SUM(D11:G11)</f>
        <v>1054.1420400000002</v>
      </c>
      <c r="J11" s="331">
        <f>'Beta Calc'!Q11</f>
        <v>228.613</v>
      </c>
      <c r="K11" s="331">
        <f t="shared" ref="K11:K39" si="9">I11-J11</f>
        <v>825.52904000000012</v>
      </c>
      <c r="M11" s="1066">
        <f>IFERROR('Capital IQ Sheet-GPC'!AT14,"n/a")</f>
        <v>0</v>
      </c>
      <c r="N11" s="331">
        <f t="shared" si="0"/>
        <v>3.2465753424657535</v>
      </c>
      <c r="O11" s="1522">
        <f t="shared" si="0"/>
        <v>1.4530136986301369E-2</v>
      </c>
      <c r="P11" s="1523"/>
      <c r="Q11" s="1524" t="str">
        <f>IFERROR(HLOOKUP($Q$6,'Equity Vol'!$B$8:$K11,ROWS('Equity Vol'!$C$8:$C11),FALSE),"n/a")</f>
        <v>n/a</v>
      </c>
      <c r="R11" s="1525"/>
      <c r="S11" s="1526" t="str">
        <f t="shared" ref="S11:S39" si="10">IFERROR(IF(Q11="n/a","n/a",Q11^2),"n/a")</f>
        <v>n/a</v>
      </c>
      <c r="T11" s="1526" t="str">
        <f t="shared" si="1"/>
        <v>n/a</v>
      </c>
      <c r="U11" s="1527" t="str">
        <f t="shared" si="2"/>
        <v>n/a</v>
      </c>
      <c r="V11" s="1527" t="str">
        <f t="shared" si="3"/>
        <v>n/a</v>
      </c>
      <c r="W11" s="1527" t="str">
        <f t="shared" si="4"/>
        <v>n/a</v>
      </c>
      <c r="X11" s="759" t="str">
        <f t="shared" si="5"/>
        <v>n/a</v>
      </c>
      <c r="Y11" s="1524" t="str">
        <f t="shared" ref="Y11:Y39" si="11">IFERROR(IF(LEN(B11)&gt;0,IF(H11=0,Q11,IF(ISERROR(Q11/((K11/X11)*V11)),"n/a",Q11/((K11/X11)*V11)))),"n/a")</f>
        <v>n/a</v>
      </c>
      <c r="AA11" s="1177" t="str">
        <f>IF('MASTER PubCo Inputs'!B29=0,"",'MASTER PubCo Inputs'!B29)</f>
        <v>NasdaqGM:CRSP</v>
      </c>
      <c r="AB11" s="331">
        <f>'Beta Calc'!Z11</f>
        <v>825.52904000000001</v>
      </c>
      <c r="AC11" s="1178">
        <f t="shared" si="6"/>
        <v>0</v>
      </c>
      <c r="AI11" s="1179"/>
    </row>
    <row r="12" spans="2:35" ht="14.85" customHeight="1">
      <c r="B12" s="250" t="str">
        <f>'Comp.1'!B14</f>
        <v>WAVE Life Sciences Ltd.</v>
      </c>
      <c r="D12" s="331">
        <f>'Beta Calc'!K12</f>
        <v>835.72670000000005</v>
      </c>
      <c r="E12" s="331">
        <f>'Beta Calc'!L12</f>
        <v>9.2999999999999999E-2</v>
      </c>
      <c r="F12" s="331">
        <f>'Beta Calc'!M12</f>
        <v>7.8739999999999997</v>
      </c>
      <c r="G12" s="331">
        <f>'Beta Calc'!N12</f>
        <v>0</v>
      </c>
      <c r="H12" s="331">
        <f t="shared" si="7"/>
        <v>7.9669999999999996</v>
      </c>
      <c r="I12" s="331">
        <f t="shared" si="8"/>
        <v>843.69370000000004</v>
      </c>
      <c r="J12" s="331">
        <f>'Beta Calc'!Q12</f>
        <v>169.01499999999999</v>
      </c>
      <c r="K12" s="331">
        <f t="shared" si="9"/>
        <v>674.67870000000005</v>
      </c>
      <c r="M12" s="1066">
        <f>IFERROR('Capital IQ Sheet-GPC'!AT15,"n/a")</f>
        <v>0</v>
      </c>
      <c r="N12" s="331">
        <f t="shared" si="0"/>
        <v>3.2465753424657535</v>
      </c>
      <c r="O12" s="1522">
        <f t="shared" si="0"/>
        <v>1.4530136986301369E-2</v>
      </c>
      <c r="P12" s="1523"/>
      <c r="Q12" s="1524" t="str">
        <f>IFERROR(HLOOKUP($Q$6,'Equity Vol'!$B$8:$K12,ROWS('Equity Vol'!$C$8:$C12),FALSE),"n/a")</f>
        <v>n/a</v>
      </c>
      <c r="R12" s="1525"/>
      <c r="S12" s="1526" t="str">
        <f t="shared" si="10"/>
        <v>n/a</v>
      </c>
      <c r="T12" s="1526" t="str">
        <f t="shared" si="1"/>
        <v>n/a</v>
      </c>
      <c r="U12" s="1527" t="str">
        <f t="shared" si="2"/>
        <v>n/a</v>
      </c>
      <c r="V12" s="1527" t="str">
        <f t="shared" si="3"/>
        <v>n/a</v>
      </c>
      <c r="W12" s="1527" t="str">
        <f t="shared" si="4"/>
        <v>n/a</v>
      </c>
      <c r="X12" s="759" t="str">
        <f t="shared" si="5"/>
        <v>n/a</v>
      </c>
      <c r="Y12" s="1524" t="str">
        <f t="shared" si="11"/>
        <v>n/a</v>
      </c>
      <c r="AA12" s="1177" t="str">
        <f>IF('MASTER PubCo Inputs'!B30=0,"",'MASTER PubCo Inputs'!B30)</f>
        <v>NasdaqGM:WVE</v>
      </c>
      <c r="AB12" s="331">
        <f>'Beta Calc'!Z12</f>
        <v>674.67870000000005</v>
      </c>
      <c r="AC12" s="1178">
        <f t="shared" si="6"/>
        <v>0</v>
      </c>
      <c r="AI12" s="1179"/>
    </row>
    <row r="13" spans="2:35" ht="14.85" customHeight="1">
      <c r="B13" s="250" t="str">
        <f>'Comp.1'!B15</f>
        <v>Regenxbio Inc.</v>
      </c>
      <c r="D13" s="331">
        <f>'Beta Calc'!K13</f>
        <v>589.07718</v>
      </c>
      <c r="E13" s="331">
        <f>'Beta Calc'!L13</f>
        <v>0</v>
      </c>
      <c r="F13" s="331">
        <f>'Beta Calc'!M13</f>
        <v>0</v>
      </c>
      <c r="G13" s="331">
        <f>'Beta Calc'!N13</f>
        <v>0</v>
      </c>
      <c r="H13" s="331">
        <f t="shared" si="7"/>
        <v>0</v>
      </c>
      <c r="I13" s="331">
        <f t="shared" si="8"/>
        <v>589.07718</v>
      </c>
      <c r="J13" s="331">
        <f>'Beta Calc'!Q13</f>
        <v>91.77</v>
      </c>
      <c r="K13" s="331">
        <f t="shared" si="9"/>
        <v>497.30718000000002</v>
      </c>
      <c r="M13" s="1066">
        <f>IFERROR('Capital IQ Sheet-GPC'!AT16,"n/a")</f>
        <v>0</v>
      </c>
      <c r="N13" s="331">
        <f t="shared" si="0"/>
        <v>3.2465753424657535</v>
      </c>
      <c r="O13" s="1522">
        <f t="shared" si="0"/>
        <v>1.4530136986301369E-2</v>
      </c>
      <c r="P13" s="1523"/>
      <c r="Q13" s="1524" t="str">
        <f>IFERROR(HLOOKUP($Q$6,'Equity Vol'!$B$8:$K13,ROWS('Equity Vol'!$C$8:$C13),FALSE),"n/a")</f>
        <v>n/a</v>
      </c>
      <c r="R13" s="1525"/>
      <c r="S13" s="1526" t="str">
        <f t="shared" si="10"/>
        <v>n/a</v>
      </c>
      <c r="T13" s="1526" t="str">
        <f t="shared" si="1"/>
        <v>n/a</v>
      </c>
      <c r="U13" s="1527" t="str">
        <f t="shared" si="2"/>
        <v>n/a</v>
      </c>
      <c r="V13" s="1527" t="str">
        <f t="shared" si="3"/>
        <v>n/a</v>
      </c>
      <c r="W13" s="1527" t="str">
        <f t="shared" si="4"/>
        <v>n/a</v>
      </c>
      <c r="X13" s="759" t="str">
        <f t="shared" si="5"/>
        <v>n/a</v>
      </c>
      <c r="Y13" s="1524" t="str">
        <f t="shared" si="11"/>
        <v>n/a</v>
      </c>
      <c r="AA13" s="1177" t="str">
        <f>IF('MASTER PubCo Inputs'!B31=0,"",'MASTER PubCo Inputs'!B31)</f>
        <v>NasdaqGS:RGNX</v>
      </c>
      <c r="AB13" s="331">
        <f>'Beta Calc'!Z13</f>
        <v>497.30718000000002</v>
      </c>
      <c r="AC13" s="1178">
        <f t="shared" si="6"/>
        <v>0</v>
      </c>
      <c r="AI13" s="1179"/>
    </row>
    <row r="14" spans="2:35" ht="14.85" customHeight="1">
      <c r="B14" s="250" t="str">
        <f>'Comp.1'!B16</f>
        <v>Inovio Pharmaceuticals, Inc.</v>
      </c>
      <c r="D14" s="331">
        <f>'Beta Calc'!K14</f>
        <v>524.34855000000005</v>
      </c>
      <c r="E14" s="331">
        <f>'Beta Calc'!L14</f>
        <v>0</v>
      </c>
      <c r="F14" s="331">
        <f>'Beta Calc'!M14</f>
        <v>0</v>
      </c>
      <c r="G14" s="331">
        <f>'Beta Calc'!N14</f>
        <v>9.6269999999999994E-2</v>
      </c>
      <c r="H14" s="331">
        <f t="shared" si="7"/>
        <v>9.6269999999999994E-2</v>
      </c>
      <c r="I14" s="331">
        <f t="shared" si="8"/>
        <v>524.44482000000005</v>
      </c>
      <c r="J14" s="331">
        <f>'Beta Calc'!Q14</f>
        <v>119.68635</v>
      </c>
      <c r="K14" s="331">
        <f t="shared" si="9"/>
        <v>404.75847000000005</v>
      </c>
      <c r="M14" s="1066">
        <f>IFERROR('Capital IQ Sheet-GPC'!AT17,"n/a")</f>
        <v>0</v>
      </c>
      <c r="N14" s="331">
        <f t="shared" si="0"/>
        <v>3.2465753424657535</v>
      </c>
      <c r="O14" s="1522">
        <f t="shared" si="0"/>
        <v>1.4530136986301369E-2</v>
      </c>
      <c r="P14" s="1523"/>
      <c r="Q14" s="1524">
        <f>IFERROR(HLOOKUP($Q$6,'Equity Vol'!$B$8:$K14,ROWS('Equity Vol'!$C$8:$C14),FALSE),"n/a")</f>
        <v>0.65354069738568776</v>
      </c>
      <c r="R14" s="1525"/>
      <c r="S14" s="1526">
        <f t="shared" si="10"/>
        <v>0.42711544313937111</v>
      </c>
      <c r="T14" s="1526">
        <f t="shared" si="1"/>
        <v>7.7145492574369907</v>
      </c>
      <c r="U14" s="1527">
        <f t="shared" si="2"/>
        <v>6.5369829255122811</v>
      </c>
      <c r="V14" s="1527">
        <f t="shared" si="3"/>
        <v>0.99999999999999389</v>
      </c>
      <c r="W14" s="1527">
        <f t="shared" si="4"/>
        <v>0.99999999996861388</v>
      </c>
      <c r="X14" s="759">
        <f t="shared" si="5"/>
        <v>404.66663591184891</v>
      </c>
      <c r="Y14" s="1524">
        <f t="shared" si="11"/>
        <v>0.65339241805749371</v>
      </c>
      <c r="AA14" s="1177" t="str">
        <f>IF('MASTER PubCo Inputs'!B32=0,"",'MASTER PubCo Inputs'!B32)</f>
        <v>NasdaqGS:INO</v>
      </c>
      <c r="AB14" s="331">
        <f>'Beta Calc'!Z14</f>
        <v>404.75846999999999</v>
      </c>
      <c r="AC14" s="1178">
        <f t="shared" si="6"/>
        <v>0</v>
      </c>
      <c r="AI14" s="1179"/>
    </row>
    <row r="15" spans="2:35" ht="14.85" customHeight="1">
      <c r="B15" s="250" t="str">
        <f>'Comp.1'!B17</f>
        <v>Enanta Pharmaceuticals, Inc.</v>
      </c>
      <c r="D15" s="331">
        <f>'Beta Calc'!K15</f>
        <v>598.48901000000001</v>
      </c>
      <c r="E15" s="331">
        <f>'Beta Calc'!L15</f>
        <v>0.70699999999999996</v>
      </c>
      <c r="F15" s="331">
        <f>'Beta Calc'!M15</f>
        <v>1.2370000000000001</v>
      </c>
      <c r="G15" s="331">
        <f>'Beta Calc'!N15</f>
        <v>0</v>
      </c>
      <c r="H15" s="331">
        <f t="shared" si="7"/>
        <v>1.944</v>
      </c>
      <c r="I15" s="331">
        <f t="shared" si="8"/>
        <v>600.43300999999997</v>
      </c>
      <c r="J15" s="331">
        <f>'Beta Calc'!Q15</f>
        <v>218.465</v>
      </c>
      <c r="K15" s="331">
        <f t="shared" si="9"/>
        <v>381.96800999999994</v>
      </c>
      <c r="M15" s="1066">
        <f>IFERROR('Capital IQ Sheet-GPC'!AT18,"n/a")</f>
        <v>0</v>
      </c>
      <c r="N15" s="331">
        <f t="shared" si="0"/>
        <v>3.2465753424657535</v>
      </c>
      <c r="O15" s="1522">
        <f t="shared" si="0"/>
        <v>1.4530136986301369E-2</v>
      </c>
      <c r="P15" s="1523"/>
      <c r="Q15" s="1524">
        <f>IFERROR(HLOOKUP($Q$6,'Equity Vol'!$B$8:$K15,ROWS('Equity Vol'!$C$8:$C15),FALSE),"n/a")</f>
        <v>0.61508994844412945</v>
      </c>
      <c r="R15" s="1525"/>
      <c r="S15" s="1526">
        <f t="shared" si="10"/>
        <v>0.37833564467700181</v>
      </c>
      <c r="T15" s="1526">
        <f t="shared" si="1"/>
        <v>5.361356559822342</v>
      </c>
      <c r="U15" s="1527">
        <f t="shared" si="2"/>
        <v>4.2530717700754836</v>
      </c>
      <c r="V15" s="1527">
        <f t="shared" si="3"/>
        <v>0.99999995870035163</v>
      </c>
      <c r="W15" s="1527">
        <f t="shared" si="4"/>
        <v>0.9999894571020197</v>
      </c>
      <c r="X15" s="759">
        <f t="shared" si="5"/>
        <v>380.1135890603091</v>
      </c>
      <c r="Y15" s="1524">
        <f t="shared" si="11"/>
        <v>0.61210376637049768</v>
      </c>
      <c r="AA15" s="1177" t="str">
        <f>IF('MASTER PubCo Inputs'!B33=0,"",'MASTER PubCo Inputs'!B33)</f>
        <v>NasdaqGS:ENTA</v>
      </c>
      <c r="AB15" s="331">
        <f>'Beta Calc'!Z15</f>
        <v>389.81500999999997</v>
      </c>
      <c r="AC15" s="1178">
        <f t="shared" si="6"/>
        <v>-7.8470000000000368</v>
      </c>
      <c r="AI15" s="1179"/>
    </row>
    <row r="16" spans="2:35" ht="14.85" customHeight="1">
      <c r="B16" s="250" t="str">
        <f>'Comp.1'!B18</f>
        <v>Editas Medicine, Inc.</v>
      </c>
      <c r="D16" s="331">
        <f>'Beta Calc'!K16</f>
        <v>508.51056999999997</v>
      </c>
      <c r="E16" s="331">
        <f>'Beta Calc'!L16</f>
        <v>32.048000000000002</v>
      </c>
      <c r="F16" s="331">
        <f>'Beta Calc'!M16</f>
        <v>0</v>
      </c>
      <c r="G16" s="331">
        <f>'Beta Calc'!N16</f>
        <v>0</v>
      </c>
      <c r="H16" s="331">
        <f t="shared" si="7"/>
        <v>32.048000000000002</v>
      </c>
      <c r="I16" s="331">
        <f t="shared" si="8"/>
        <v>540.55856999999992</v>
      </c>
      <c r="J16" s="331">
        <f>'Beta Calc'!Q16</f>
        <v>199.874</v>
      </c>
      <c r="K16" s="331">
        <f t="shared" si="9"/>
        <v>340.68456999999989</v>
      </c>
      <c r="M16" s="1066">
        <f>IFERROR('Capital IQ Sheet-GPC'!AT19,"n/a")</f>
        <v>0</v>
      </c>
      <c r="N16" s="331">
        <f t="shared" si="0"/>
        <v>3.2465753424657535</v>
      </c>
      <c r="O16" s="1522">
        <f t="shared" si="0"/>
        <v>1.4530136986301369E-2</v>
      </c>
      <c r="P16" s="1523"/>
      <c r="Q16" s="1524" t="str">
        <f>IFERROR(HLOOKUP($Q$6,'Equity Vol'!$B$8:$K16,ROWS('Equity Vol'!$C$8:$C16),FALSE),"n/a")</f>
        <v>n/a</v>
      </c>
      <c r="R16" s="1525"/>
      <c r="S16" s="1526" t="str">
        <f t="shared" si="10"/>
        <v>n/a</v>
      </c>
      <c r="T16" s="1526" t="str">
        <f t="shared" si="1"/>
        <v>n/a</v>
      </c>
      <c r="U16" s="1527" t="str">
        <f t="shared" si="2"/>
        <v>n/a</v>
      </c>
      <c r="V16" s="1527" t="str">
        <f t="shared" si="3"/>
        <v>n/a</v>
      </c>
      <c r="W16" s="1527" t="str">
        <f t="shared" si="4"/>
        <v>n/a</v>
      </c>
      <c r="X16" s="759" t="str">
        <f t="shared" si="5"/>
        <v>n/a</v>
      </c>
      <c r="Y16" s="1524" t="str">
        <f t="shared" si="11"/>
        <v>n/a</v>
      </c>
      <c r="AA16" s="1177" t="str">
        <f>IF('MASTER PubCo Inputs'!B34=0,"",'MASTER PubCo Inputs'!B34)</f>
        <v>NasdaqGS:EDIT</v>
      </c>
      <c r="AB16" s="331">
        <f>'Beta Calc'!Z16</f>
        <v>340.68457000000001</v>
      </c>
      <c r="AC16" s="1178">
        <f t="shared" si="6"/>
        <v>0</v>
      </c>
      <c r="AI16" s="1179"/>
    </row>
    <row r="17" spans="2:35" ht="14.85" customHeight="1">
      <c r="B17" s="250" t="str">
        <f>'Comp.1'!B19</f>
        <v>NantKwest, Inc.</v>
      </c>
      <c r="D17" s="331">
        <f>'Beta Calc'!K17</f>
        <v>538.73569999999995</v>
      </c>
      <c r="E17" s="331">
        <f>'Beta Calc'!L17</f>
        <v>7.7030000000000003</v>
      </c>
      <c r="F17" s="331">
        <f>'Beta Calc'!M17</f>
        <v>0</v>
      </c>
      <c r="G17" s="331">
        <f>'Beta Calc'!N17</f>
        <v>0</v>
      </c>
      <c r="H17" s="331">
        <f t="shared" si="7"/>
        <v>7.7030000000000003</v>
      </c>
      <c r="I17" s="331">
        <f t="shared" si="8"/>
        <v>546.43869999999993</v>
      </c>
      <c r="J17" s="331">
        <f>'Beta Calc'!Q17</f>
        <v>209.256</v>
      </c>
      <c r="K17" s="331">
        <f t="shared" si="9"/>
        <v>337.18269999999995</v>
      </c>
      <c r="M17" s="1066">
        <f>IFERROR('Capital IQ Sheet-GPC'!AT20,"n/a")</f>
        <v>0</v>
      </c>
      <c r="N17" s="331">
        <f t="shared" si="0"/>
        <v>3.2465753424657535</v>
      </c>
      <c r="O17" s="1522">
        <f t="shared" si="0"/>
        <v>1.4530136986301369E-2</v>
      </c>
      <c r="P17" s="1523"/>
      <c r="Q17" s="1524" t="str">
        <f>IFERROR(HLOOKUP($Q$6,'Equity Vol'!$B$8:$K17,ROWS('Equity Vol'!$C$8:$C17),FALSE),"n/a")</f>
        <v>n/a</v>
      </c>
      <c r="R17" s="1525"/>
      <c r="S17" s="1526" t="str">
        <f t="shared" si="10"/>
        <v>n/a</v>
      </c>
      <c r="T17" s="1526" t="str">
        <f t="shared" si="1"/>
        <v>n/a</v>
      </c>
      <c r="U17" s="1527" t="str">
        <f t="shared" si="2"/>
        <v>n/a</v>
      </c>
      <c r="V17" s="1527" t="str">
        <f t="shared" si="3"/>
        <v>n/a</v>
      </c>
      <c r="W17" s="1527" t="str">
        <f t="shared" si="4"/>
        <v>n/a</v>
      </c>
      <c r="X17" s="759" t="str">
        <f t="shared" si="5"/>
        <v>n/a</v>
      </c>
      <c r="Y17" s="1524" t="str">
        <f t="shared" si="11"/>
        <v>n/a</v>
      </c>
      <c r="AA17" s="1177" t="str">
        <f>IF('MASTER PubCo Inputs'!B35=0,"",'MASTER PubCo Inputs'!B35)</f>
        <v>NasdaqGS:NK</v>
      </c>
      <c r="AB17" s="331">
        <f>'Beta Calc'!Z17</f>
        <v>337.18270000000001</v>
      </c>
      <c r="AC17" s="1178">
        <f t="shared" si="6"/>
        <v>0</v>
      </c>
      <c r="AI17" s="1179"/>
    </row>
    <row r="18" spans="2:35" ht="14.85" customHeight="1">
      <c r="B18" s="250" t="str">
        <f>'Comp.1'!B20</f>
        <v>Cocrystal Pharma, Inc.</v>
      </c>
      <c r="D18" s="331">
        <f>'Beta Calc'!K18</f>
        <v>317.20850000000002</v>
      </c>
      <c r="E18" s="331">
        <f>'Beta Calc'!L18</f>
        <v>0</v>
      </c>
      <c r="F18" s="331">
        <f>'Beta Calc'!M18</f>
        <v>0</v>
      </c>
      <c r="G18" s="331">
        <f>'Beta Calc'!N18</f>
        <v>0</v>
      </c>
      <c r="H18" s="331">
        <f t="shared" si="7"/>
        <v>0</v>
      </c>
      <c r="I18" s="331">
        <f t="shared" si="8"/>
        <v>317.20850000000002</v>
      </c>
      <c r="J18" s="331">
        <f>'Beta Calc'!Q18</f>
        <v>5.9059999999999997</v>
      </c>
      <c r="K18" s="331">
        <f t="shared" si="9"/>
        <v>311.30250000000001</v>
      </c>
      <c r="M18" s="1066">
        <f>IFERROR('Capital IQ Sheet-GPC'!AT21,"n/a")</f>
        <v>0</v>
      </c>
      <c r="N18" s="331">
        <f t="shared" si="0"/>
        <v>3.2465753424657535</v>
      </c>
      <c r="O18" s="1522">
        <f t="shared" si="0"/>
        <v>1.4530136986301369E-2</v>
      </c>
      <c r="P18" s="1523"/>
      <c r="Q18" s="1524">
        <f>IFERROR(HLOOKUP($Q$6,'Equity Vol'!$B$8:$K18,ROWS('Equity Vol'!$C$8:$C18),FALSE),"n/a")</f>
        <v>0.8052399960875728</v>
      </c>
      <c r="R18" s="1525"/>
      <c r="S18" s="1526">
        <f t="shared" si="10"/>
        <v>0.64841145129911426</v>
      </c>
      <c r="T18" s="1526">
        <f t="shared" si="1"/>
        <v>0</v>
      </c>
      <c r="U18" s="1527">
        <f t="shared" si="2"/>
        <v>0</v>
      </c>
      <c r="V18" s="1527">
        <f t="shared" si="3"/>
        <v>0</v>
      </c>
      <c r="W18" s="1527">
        <f t="shared" si="4"/>
        <v>0</v>
      </c>
      <c r="X18" s="759">
        <f t="shared" si="5"/>
        <v>0</v>
      </c>
      <c r="Y18" s="1524">
        <f t="shared" si="11"/>
        <v>0.8052399960875728</v>
      </c>
      <c r="AA18" s="1177" t="str">
        <f>IF('MASTER PubCo Inputs'!B36=0,"",'MASTER PubCo Inputs'!B36)</f>
        <v>OTCBB:COCP</v>
      </c>
      <c r="AB18" s="331">
        <f>'Beta Calc'!Z18</f>
        <v>311.30250000000001</v>
      </c>
      <c r="AC18" s="1178">
        <f t="shared" si="6"/>
        <v>0</v>
      </c>
      <c r="AI18" s="1179"/>
    </row>
    <row r="19" spans="2:35" ht="14.85" customHeight="1">
      <c r="B19" s="250" t="str">
        <f>'Comp.1'!B21</f>
        <v>Intellia Therapeutics Inc.</v>
      </c>
      <c r="D19" s="331">
        <f>'Beta Calc'!K19</f>
        <v>566.92646000000002</v>
      </c>
      <c r="E19" s="331">
        <f>'Beta Calc'!L19</f>
        <v>0</v>
      </c>
      <c r="F19" s="331">
        <f>'Beta Calc'!M19</f>
        <v>0</v>
      </c>
      <c r="G19" s="331">
        <f>'Beta Calc'!N19</f>
        <v>0</v>
      </c>
      <c r="H19" s="331">
        <f t="shared" si="7"/>
        <v>0</v>
      </c>
      <c r="I19" s="331">
        <f t="shared" si="8"/>
        <v>566.92646000000002</v>
      </c>
      <c r="J19" s="331">
        <f>'Beta Calc'!Q19</f>
        <v>290.61799999999999</v>
      </c>
      <c r="K19" s="331">
        <f t="shared" si="9"/>
        <v>276.30846000000003</v>
      </c>
      <c r="M19" s="1066">
        <f>IFERROR('Capital IQ Sheet-GPC'!AT22,"n/a")</f>
        <v>0</v>
      </c>
      <c r="N19" s="331">
        <f t="shared" si="0"/>
        <v>3.2465753424657535</v>
      </c>
      <c r="O19" s="1522">
        <f t="shared" si="0"/>
        <v>1.4530136986301369E-2</v>
      </c>
      <c r="P19" s="1523"/>
      <c r="Q19" s="1524" t="str">
        <f>IFERROR(HLOOKUP($Q$6,'Equity Vol'!$B$8:$K19,ROWS('Equity Vol'!$C$8:$C19),FALSE),"n/a")</f>
        <v>n/a</v>
      </c>
      <c r="R19" s="1525"/>
      <c r="S19" s="1526" t="str">
        <f t="shared" si="10"/>
        <v>n/a</v>
      </c>
      <c r="T19" s="1526" t="str">
        <f t="shared" si="1"/>
        <v>n/a</v>
      </c>
      <c r="U19" s="1527" t="str">
        <f t="shared" si="2"/>
        <v>n/a</v>
      </c>
      <c r="V19" s="1527" t="str">
        <f t="shared" si="3"/>
        <v>n/a</v>
      </c>
      <c r="W19" s="1527" t="str">
        <f t="shared" si="4"/>
        <v>n/a</v>
      </c>
      <c r="X19" s="759" t="str">
        <f t="shared" si="5"/>
        <v>n/a</v>
      </c>
      <c r="Y19" s="1524" t="str">
        <f t="shared" si="11"/>
        <v>n/a</v>
      </c>
      <c r="AA19" s="1177" t="str">
        <f>IF('MASTER PubCo Inputs'!B37=0,"",'MASTER PubCo Inputs'!B37)</f>
        <v>NasdaqGM:NTLA</v>
      </c>
      <c r="AB19" s="331">
        <f>'Beta Calc'!Z19</f>
        <v>276.30846000000003</v>
      </c>
      <c r="AC19" s="1178">
        <f t="shared" si="6"/>
        <v>0</v>
      </c>
      <c r="AI19" s="1179"/>
    </row>
    <row r="20" spans="2:35" ht="14.85" customHeight="1">
      <c r="B20" s="250" t="str">
        <f>'Comp.1'!B22</f>
        <v>GenSight Biologics S.A.</v>
      </c>
      <c r="D20" s="331">
        <f>'Beta Calc'!K20</f>
        <v>256.04862000000003</v>
      </c>
      <c r="E20" s="331">
        <f>'Beta Calc'!L20</f>
        <v>0.67574000000000001</v>
      </c>
      <c r="F20" s="331">
        <f>'Beta Calc'!M20</f>
        <v>0</v>
      </c>
      <c r="G20" s="331">
        <f>'Beta Calc'!N20</f>
        <v>0</v>
      </c>
      <c r="H20" s="331">
        <f t="shared" si="7"/>
        <v>0.67574000000000001</v>
      </c>
      <c r="I20" s="331">
        <f t="shared" si="8"/>
        <v>256.72436000000005</v>
      </c>
      <c r="J20" s="331">
        <f>'Beta Calc'!Q20</f>
        <v>32.647199999999998</v>
      </c>
      <c r="K20" s="331">
        <f t="shared" si="9"/>
        <v>224.07716000000005</v>
      </c>
      <c r="M20" s="1066">
        <f>IFERROR('Capital IQ Sheet-GPC'!AT23,"n/a")</f>
        <v>0</v>
      </c>
      <c r="N20" s="331">
        <f t="shared" si="0"/>
        <v>3.2465753424657535</v>
      </c>
      <c r="O20" s="1522">
        <f t="shared" si="0"/>
        <v>1.4530136986301369E-2</v>
      </c>
      <c r="P20" s="1523"/>
      <c r="Q20" s="1524" t="str">
        <f>IFERROR(HLOOKUP($Q$6,'Equity Vol'!$B$8:$K20,ROWS('Equity Vol'!$C$8:$C20),FALSE),"n/a")</f>
        <v>n/a</v>
      </c>
      <c r="R20" s="1525"/>
      <c r="S20" s="1526" t="str">
        <f t="shared" si="10"/>
        <v>n/a</v>
      </c>
      <c r="T20" s="1526" t="str">
        <f t="shared" si="1"/>
        <v>n/a</v>
      </c>
      <c r="U20" s="1527" t="str">
        <f t="shared" si="2"/>
        <v>n/a</v>
      </c>
      <c r="V20" s="1527" t="str">
        <f t="shared" si="3"/>
        <v>n/a</v>
      </c>
      <c r="W20" s="1527" t="str">
        <f t="shared" si="4"/>
        <v>n/a</v>
      </c>
      <c r="X20" s="759" t="str">
        <f t="shared" si="5"/>
        <v>n/a</v>
      </c>
      <c r="Y20" s="1524" t="str">
        <f t="shared" si="11"/>
        <v>n/a</v>
      </c>
      <c r="AA20" s="1177" t="str">
        <f>IF('MASTER PubCo Inputs'!B38=0,"",'MASTER PubCo Inputs'!B38)</f>
        <v>ENXTPA:SIGHT</v>
      </c>
      <c r="AB20" s="331">
        <f>'Beta Calc'!Z20</f>
        <v>224.93052</v>
      </c>
      <c r="AC20" s="1178">
        <f t="shared" si="6"/>
        <v>-0.85335999999995238</v>
      </c>
      <c r="AI20" s="1179"/>
    </row>
    <row r="21" spans="2:35" ht="14.85" customHeight="1">
      <c r="B21" s="250" t="str">
        <f>'Comp.1'!B23</f>
        <v>Advaxis, Inc.</v>
      </c>
      <c r="D21" s="331">
        <f>'Beta Calc'!K21</f>
        <v>331.10462000000001</v>
      </c>
      <c r="E21" s="331">
        <f>'Beta Calc'!L21</f>
        <v>0</v>
      </c>
      <c r="F21" s="331">
        <f>'Beta Calc'!M21</f>
        <v>0</v>
      </c>
      <c r="G21" s="331">
        <f>'Beta Calc'!N21</f>
        <v>0</v>
      </c>
      <c r="H21" s="331">
        <f t="shared" si="7"/>
        <v>0</v>
      </c>
      <c r="I21" s="331">
        <f t="shared" si="8"/>
        <v>331.10462000000001</v>
      </c>
      <c r="J21" s="331">
        <f>'Beta Calc'!Q21</f>
        <v>78.717920000000007</v>
      </c>
      <c r="K21" s="331">
        <f t="shared" si="9"/>
        <v>252.38670000000002</v>
      </c>
      <c r="M21" s="1066">
        <f>IFERROR('Capital IQ Sheet-GPC'!AT24,"n/a")</f>
        <v>0</v>
      </c>
      <c r="N21" s="331">
        <f t="shared" si="0"/>
        <v>3.2465753424657535</v>
      </c>
      <c r="O21" s="1522">
        <f t="shared" si="0"/>
        <v>1.4530136986301369E-2</v>
      </c>
      <c r="P21" s="1523"/>
      <c r="Q21" s="1524">
        <f>IFERROR(HLOOKUP($Q$6,'Equity Vol'!$B$8:$K21,ROWS('Equity Vol'!$C$8:$C21),FALSE),"n/a")</f>
        <v>0.90964738135601619</v>
      </c>
      <c r="R21" s="1525"/>
      <c r="S21" s="1526">
        <f t="shared" si="10"/>
        <v>0.82745835840785753</v>
      </c>
      <c r="T21" s="1526">
        <f t="shared" si="1"/>
        <v>0</v>
      </c>
      <c r="U21" s="1527">
        <f t="shared" si="2"/>
        <v>0</v>
      </c>
      <c r="V21" s="1527">
        <f t="shared" si="3"/>
        <v>0</v>
      </c>
      <c r="W21" s="1527">
        <f t="shared" si="4"/>
        <v>0</v>
      </c>
      <c r="X21" s="759">
        <f t="shared" si="5"/>
        <v>0</v>
      </c>
      <c r="Y21" s="1524">
        <f t="shared" si="11"/>
        <v>0.90964738135601619</v>
      </c>
      <c r="AA21" s="1177" t="str">
        <f>IF('MASTER PubCo Inputs'!B39=0,"",'MASTER PubCo Inputs'!B39)</f>
        <v>NasdaqCM:ADXS</v>
      </c>
      <c r="AB21" s="331">
        <f>'Beta Calc'!Z21</f>
        <v>252.38669999999999</v>
      </c>
      <c r="AC21" s="1178">
        <f t="shared" si="6"/>
        <v>0</v>
      </c>
      <c r="AI21" s="1179"/>
    </row>
    <row r="22" spans="2:35" ht="14.85" customHeight="1">
      <c r="B22" s="250" t="str">
        <f>'Comp.1'!B24</f>
        <v>Audentes Therapeutics, Inc.</v>
      </c>
      <c r="D22" s="331">
        <f>'Beta Calc'!K22</f>
        <v>356.94443000000001</v>
      </c>
      <c r="E22" s="331">
        <f>'Beta Calc'!L22</f>
        <v>0</v>
      </c>
      <c r="F22" s="331">
        <f>'Beta Calc'!M22</f>
        <v>0</v>
      </c>
      <c r="G22" s="331">
        <f>'Beta Calc'!N22</f>
        <v>0</v>
      </c>
      <c r="H22" s="331">
        <f t="shared" si="7"/>
        <v>0</v>
      </c>
      <c r="I22" s="331">
        <f t="shared" si="8"/>
        <v>356.94443000000001</v>
      </c>
      <c r="J22" s="331">
        <f>'Beta Calc'!Q22</f>
        <v>119.18</v>
      </c>
      <c r="K22" s="331">
        <f t="shared" si="9"/>
        <v>237.76443</v>
      </c>
      <c r="M22" s="1066">
        <f>IFERROR('Capital IQ Sheet-GPC'!AT25,"n/a")</f>
        <v>0</v>
      </c>
      <c r="N22" s="331">
        <f t="shared" si="0"/>
        <v>3.2465753424657535</v>
      </c>
      <c r="O22" s="1522">
        <f t="shared" si="0"/>
        <v>1.4530136986301369E-2</v>
      </c>
      <c r="P22" s="1523"/>
      <c r="Q22" s="1524" t="str">
        <f>IFERROR(HLOOKUP($Q$6,'Equity Vol'!$B$8:$K22,ROWS('Equity Vol'!$C$8:$C22),FALSE),"n/a")</f>
        <v>n/a</v>
      </c>
      <c r="R22" s="1525"/>
      <c r="S22" s="1526" t="str">
        <f t="shared" si="10"/>
        <v>n/a</v>
      </c>
      <c r="T22" s="1526" t="str">
        <f t="shared" si="1"/>
        <v>n/a</v>
      </c>
      <c r="U22" s="1527" t="str">
        <f t="shared" si="2"/>
        <v>n/a</v>
      </c>
      <c r="V22" s="1527" t="str">
        <f t="shared" si="3"/>
        <v>n/a</v>
      </c>
      <c r="W22" s="1527" t="str">
        <f t="shared" si="4"/>
        <v>n/a</v>
      </c>
      <c r="X22" s="759" t="str">
        <f t="shared" si="5"/>
        <v>n/a</v>
      </c>
      <c r="Y22" s="1524" t="str">
        <f t="shared" si="11"/>
        <v>n/a</v>
      </c>
      <c r="AA22" s="1177" t="str">
        <f>IF('MASTER PubCo Inputs'!B40=0,"",'MASTER PubCo Inputs'!B40)</f>
        <v>NasdaqGM:BOLD</v>
      </c>
      <c r="AB22" s="331">
        <f>'Beta Calc'!Z22</f>
        <v>237.76443</v>
      </c>
      <c r="AC22" s="1178">
        <f t="shared" si="6"/>
        <v>0</v>
      </c>
      <c r="AI22" s="1179"/>
    </row>
    <row r="23" spans="2:35" ht="14.85" customHeight="1">
      <c r="B23" s="250" t="str">
        <f>'Comp.1'!B25</f>
        <v>Syros Pharmaceuticals, Inc.</v>
      </c>
      <c r="D23" s="331">
        <f>'Beta Calc'!K23</f>
        <v>317.50677000000002</v>
      </c>
      <c r="E23" s="331">
        <f>'Beta Calc'!L23</f>
        <v>0.26100000000000001</v>
      </c>
      <c r="F23" s="331">
        <f>'Beta Calc'!M23</f>
        <v>0</v>
      </c>
      <c r="G23" s="331">
        <f>'Beta Calc'!N23</f>
        <v>0</v>
      </c>
      <c r="H23" s="331">
        <f t="shared" si="7"/>
        <v>0.26100000000000001</v>
      </c>
      <c r="I23" s="331">
        <f t="shared" si="8"/>
        <v>317.76777000000004</v>
      </c>
      <c r="J23" s="331">
        <f>'Beta Calc'!Q23</f>
        <v>93.494</v>
      </c>
      <c r="K23" s="331">
        <f t="shared" si="9"/>
        <v>224.27377000000004</v>
      </c>
      <c r="M23" s="1066">
        <f>IFERROR('Capital IQ Sheet-GPC'!AT26,"n/a")</f>
        <v>0</v>
      </c>
      <c r="N23" s="331">
        <f t="shared" si="0"/>
        <v>3.2465753424657535</v>
      </c>
      <c r="O23" s="1522">
        <f t="shared" si="0"/>
        <v>1.4530136986301369E-2</v>
      </c>
      <c r="P23" s="1523"/>
      <c r="Q23" s="1524" t="str">
        <f>IFERROR(HLOOKUP($Q$6,'Equity Vol'!$B$8:$K23,ROWS('Equity Vol'!$C$8:$C23),FALSE),"n/a")</f>
        <v>n/a</v>
      </c>
      <c r="R23" s="1525"/>
      <c r="S23" s="1526" t="str">
        <f t="shared" si="10"/>
        <v>n/a</v>
      </c>
      <c r="T23" s="1526" t="str">
        <f t="shared" si="1"/>
        <v>n/a</v>
      </c>
      <c r="U23" s="1527" t="str">
        <f t="shared" si="2"/>
        <v>n/a</v>
      </c>
      <c r="V23" s="1527" t="str">
        <f t="shared" si="3"/>
        <v>n/a</v>
      </c>
      <c r="W23" s="1527" t="str">
        <f t="shared" si="4"/>
        <v>n/a</v>
      </c>
      <c r="X23" s="759" t="str">
        <f t="shared" si="5"/>
        <v>n/a</v>
      </c>
      <c r="Y23" s="1524" t="str">
        <f t="shared" si="11"/>
        <v>n/a</v>
      </c>
      <c r="AA23" s="1177" t="str">
        <f>IF('MASTER PubCo Inputs'!B41=0,"",'MASTER PubCo Inputs'!B41)</f>
        <v>NasdaqGS:SYRS</v>
      </c>
      <c r="AB23" s="331">
        <f>'Beta Calc'!Z23</f>
        <v>224.27377000000001</v>
      </c>
      <c r="AC23" s="1178">
        <f t="shared" si="6"/>
        <v>0</v>
      </c>
      <c r="AI23" s="1179"/>
    </row>
    <row r="24" spans="2:35" ht="14.85" customHeight="1">
      <c r="B24" s="250" t="str">
        <f>'Comp.1'!B26</f>
        <v>Abeona Therapeutics Inc.</v>
      </c>
      <c r="D24" s="331">
        <f>'Beta Calc'!K24</f>
        <v>249.7473</v>
      </c>
      <c r="E24" s="331">
        <f>'Beta Calc'!L24</f>
        <v>0</v>
      </c>
      <c r="F24" s="331">
        <f>'Beta Calc'!M24</f>
        <v>0</v>
      </c>
      <c r="G24" s="331">
        <f>'Beta Calc'!N24</f>
        <v>0</v>
      </c>
      <c r="H24" s="331">
        <f t="shared" si="7"/>
        <v>0</v>
      </c>
      <c r="I24" s="331">
        <f t="shared" si="8"/>
        <v>249.7473</v>
      </c>
      <c r="J24" s="331">
        <f>'Beta Calc'!Q24</f>
        <v>31.184999999999999</v>
      </c>
      <c r="K24" s="331">
        <f t="shared" si="9"/>
        <v>218.56229999999999</v>
      </c>
      <c r="M24" s="1066">
        <f>IFERROR('Capital IQ Sheet-GPC'!AT27,"n/a")</f>
        <v>0</v>
      </c>
      <c r="N24" s="331">
        <f t="shared" si="0"/>
        <v>3.2465753424657535</v>
      </c>
      <c r="O24" s="1522">
        <f t="shared" si="0"/>
        <v>1.4530136986301369E-2</v>
      </c>
      <c r="P24" s="1523"/>
      <c r="Q24" s="1524">
        <f>IFERROR(HLOOKUP($Q$6,'Equity Vol'!$B$8:$K24,ROWS('Equity Vol'!$C$8:$C24),FALSE),"n/a")</f>
        <v>0.99599672896108482</v>
      </c>
      <c r="R24" s="1525"/>
      <c r="S24" s="1526">
        <f t="shared" si="10"/>
        <v>0.99200948410118062</v>
      </c>
      <c r="T24" s="1526">
        <f t="shared" si="1"/>
        <v>0</v>
      </c>
      <c r="U24" s="1527">
        <f t="shared" si="2"/>
        <v>0</v>
      </c>
      <c r="V24" s="1527">
        <f t="shared" si="3"/>
        <v>0</v>
      </c>
      <c r="W24" s="1527">
        <f t="shared" si="4"/>
        <v>0</v>
      </c>
      <c r="X24" s="759">
        <f t="shared" si="5"/>
        <v>0</v>
      </c>
      <c r="Y24" s="1524">
        <f t="shared" si="11"/>
        <v>0.99599672896108482</v>
      </c>
      <c r="AA24" s="1177" t="str">
        <f>IF('MASTER PubCo Inputs'!B42=0,"",'MASTER PubCo Inputs'!B42)</f>
        <v>NasdaqCM:ABEO</v>
      </c>
      <c r="AB24" s="331">
        <f>'Beta Calc'!Z24</f>
        <v>218.56229999999999</v>
      </c>
      <c r="AC24" s="1178">
        <f t="shared" si="6"/>
        <v>0</v>
      </c>
      <c r="AI24" s="1179"/>
    </row>
    <row r="25" spans="2:35" ht="14.85" customHeight="1">
      <c r="B25" s="250" t="str">
        <f>'Comp.1'!B27</f>
        <v>Idera Pharmaceuticals, Inc.</v>
      </c>
      <c r="D25" s="331">
        <f>'Beta Calc'!K25</f>
        <v>249.53377</v>
      </c>
      <c r="E25" s="331">
        <f>'Beta Calc'!L25</f>
        <v>0.56899999999999995</v>
      </c>
      <c r="F25" s="331">
        <f>'Beta Calc'!M25</f>
        <v>0</v>
      </c>
      <c r="G25" s="331">
        <f>'Beta Calc'!N25</f>
        <v>0</v>
      </c>
      <c r="H25" s="331">
        <f t="shared" si="7"/>
        <v>0.56899999999999995</v>
      </c>
      <c r="I25" s="331">
        <f t="shared" si="8"/>
        <v>250.10276999999999</v>
      </c>
      <c r="J25" s="331">
        <f>'Beta Calc'!Q25</f>
        <v>52.01</v>
      </c>
      <c r="K25" s="331">
        <f t="shared" si="9"/>
        <v>198.09277</v>
      </c>
      <c r="M25" s="1066">
        <f>IFERROR('Capital IQ Sheet-GPC'!AT28,"n/a")</f>
        <v>0</v>
      </c>
      <c r="N25" s="331">
        <f t="shared" si="0"/>
        <v>3.2465753424657535</v>
      </c>
      <c r="O25" s="1522">
        <f t="shared" si="0"/>
        <v>1.4530136986301369E-2</v>
      </c>
      <c r="P25" s="1523"/>
      <c r="Q25" s="1524">
        <f>IFERROR(HLOOKUP($Q$6,'Equity Vol'!$B$8:$K25,ROWS('Equity Vol'!$C$8:$C25),FALSE),"n/a")</f>
        <v>0.80520266549599839</v>
      </c>
      <c r="R25" s="1525"/>
      <c r="S25" s="1526">
        <f t="shared" si="10"/>
        <v>0.64835133252186072</v>
      </c>
      <c r="T25" s="1526">
        <f t="shared" si="1"/>
        <v>4.7918925620708412</v>
      </c>
      <c r="U25" s="1527">
        <f t="shared" si="2"/>
        <v>3.3410578197861494</v>
      </c>
      <c r="V25" s="1527">
        <f t="shared" si="3"/>
        <v>0.99999917392312998</v>
      </c>
      <c r="W25" s="1527">
        <f t="shared" si="4"/>
        <v>0.99958270079803779</v>
      </c>
      <c r="X25" s="759">
        <f t="shared" si="5"/>
        <v>197.55005114279473</v>
      </c>
      <c r="Y25" s="1524">
        <f t="shared" si="11"/>
        <v>0.80299729844461731</v>
      </c>
      <c r="AA25" s="1177" t="str">
        <f>IF('MASTER PubCo Inputs'!B43=0,"",'MASTER PubCo Inputs'!B43)</f>
        <v>NasdaqCM:IDRA</v>
      </c>
      <c r="AB25" s="331">
        <f>'Beta Calc'!Z25</f>
        <v>198.09277</v>
      </c>
      <c r="AC25" s="1178">
        <f t="shared" si="6"/>
        <v>0</v>
      </c>
      <c r="AI25" s="1179"/>
    </row>
    <row r="26" spans="2:35" ht="14.85" customHeight="1">
      <c r="B26" s="250" t="str">
        <f>'Comp.1'!B28</f>
        <v>Achillion Pharmaceuticals, Inc.</v>
      </c>
      <c r="D26" s="331">
        <f>'Beta Calc'!K26</f>
        <v>565.85888</v>
      </c>
      <c r="E26" s="331">
        <f>'Beta Calc'!L26</f>
        <v>0.28899999999999998</v>
      </c>
      <c r="F26" s="331">
        <f>'Beta Calc'!M26</f>
        <v>0</v>
      </c>
      <c r="G26" s="331">
        <f>'Beta Calc'!N26</f>
        <v>0</v>
      </c>
      <c r="H26" s="331">
        <f t="shared" si="7"/>
        <v>0.28899999999999998</v>
      </c>
      <c r="I26" s="331">
        <f t="shared" si="8"/>
        <v>566.14787999999999</v>
      </c>
      <c r="J26" s="331">
        <f>'Beta Calc'!Q26</f>
        <v>408.70499999999998</v>
      </c>
      <c r="K26" s="331">
        <f t="shared" si="9"/>
        <v>157.44288</v>
      </c>
      <c r="M26" s="1066">
        <f>IFERROR('Capital IQ Sheet-GPC'!AT29,"n/a")</f>
        <v>0</v>
      </c>
      <c r="N26" s="331">
        <f t="shared" si="0"/>
        <v>3.2465753424657535</v>
      </c>
      <c r="O26" s="1522">
        <f t="shared" si="0"/>
        <v>1.4530136986301369E-2</v>
      </c>
      <c r="P26" s="1523"/>
      <c r="Q26" s="1524">
        <f>IFERROR(HLOOKUP($Q$6,'Equity Vol'!$B$8:$K26,ROWS('Equity Vol'!$C$8:$C26),FALSE),"n/a")</f>
        <v>0.80172115434392432</v>
      </c>
      <c r="R26" s="1525"/>
      <c r="S26" s="1526">
        <f t="shared" si="10"/>
        <v>0.64275680932255452</v>
      </c>
      <c r="T26" s="1526">
        <f t="shared" si="1"/>
        <v>5.1163919662806325</v>
      </c>
      <c r="U26" s="1527">
        <f t="shared" si="2"/>
        <v>3.6718302997711798</v>
      </c>
      <c r="V26" s="1527">
        <f t="shared" si="3"/>
        <v>0.99999984428223543</v>
      </c>
      <c r="W26" s="1527">
        <f t="shared" si="4"/>
        <v>0.99987959021130712</v>
      </c>
      <c r="X26" s="759">
        <f t="shared" si="5"/>
        <v>157.16720516867113</v>
      </c>
      <c r="Y26" s="1524">
        <f t="shared" si="11"/>
        <v>0.80031750418908876</v>
      </c>
      <c r="AA26" s="1177" t="str">
        <f>IF('MASTER PubCo Inputs'!B44=0,"",'MASTER PubCo Inputs'!B44)</f>
        <v>NasdaqGS:ACHN</v>
      </c>
      <c r="AB26" s="331">
        <f>'Beta Calc'!Z26</f>
        <v>157.44288</v>
      </c>
      <c r="AC26" s="1178">
        <f t="shared" si="6"/>
        <v>0</v>
      </c>
      <c r="AI26" s="1179"/>
    </row>
    <row r="27" spans="2:35" ht="14.85" customHeight="1">
      <c r="B27" s="250" t="str">
        <f>'Comp.1'!B29</f>
        <v>ContraVir Pharmaceuticals, Inc.</v>
      </c>
      <c r="D27" s="331">
        <f>'Beta Calc'!K27</f>
        <v>118.69085</v>
      </c>
      <c r="E27" s="331">
        <f>'Beta Calc'!L27</f>
        <v>0</v>
      </c>
      <c r="F27" s="331">
        <f>'Beta Calc'!M27</f>
        <v>1.83091</v>
      </c>
      <c r="G27" s="331">
        <f>'Beta Calc'!N27</f>
        <v>0</v>
      </c>
      <c r="H27" s="331">
        <f t="shared" si="7"/>
        <v>1.83091</v>
      </c>
      <c r="I27" s="331">
        <f t="shared" si="8"/>
        <v>120.52176</v>
      </c>
      <c r="J27" s="331">
        <f>'Beta Calc'!Q27</f>
        <v>3.0281600000000002</v>
      </c>
      <c r="K27" s="331">
        <f t="shared" si="9"/>
        <v>117.4936</v>
      </c>
      <c r="M27" s="1066">
        <f>IFERROR('Capital IQ Sheet-GPC'!AT30,"n/a")</f>
        <v>0</v>
      </c>
      <c r="N27" s="331">
        <f t="shared" si="0"/>
        <v>3.2465753424657535</v>
      </c>
      <c r="O27" s="1522">
        <f t="shared" si="0"/>
        <v>1.4530136986301369E-2</v>
      </c>
      <c r="P27" s="1523"/>
      <c r="Q27" s="1524">
        <f>IFERROR(HLOOKUP($Q$6,'Equity Vol'!$B$8:$K27,ROWS('Equity Vol'!$C$8:$C27),FALSE),"n/a")</f>
        <v>1.396853832524193</v>
      </c>
      <c r="R27" s="1525"/>
      <c r="S27" s="1526">
        <f t="shared" si="10"/>
        <v>1.9512006294375264</v>
      </c>
      <c r="T27" s="1526">
        <f t="shared" si="1"/>
        <v>2.9306456940934309</v>
      </c>
      <c r="U27" s="1527">
        <f t="shared" si="2"/>
        <v>0.41375875747201585</v>
      </c>
      <c r="V27" s="1527">
        <f t="shared" si="3"/>
        <v>0.99830870832835472</v>
      </c>
      <c r="W27" s="1527">
        <f t="shared" si="4"/>
        <v>0.66047460453780671</v>
      </c>
      <c r="X27" s="759">
        <f t="shared" si="5"/>
        <v>116.14133500115796</v>
      </c>
      <c r="Y27" s="1524">
        <f t="shared" si="11"/>
        <v>1.3831163244745461</v>
      </c>
      <c r="AA27" s="1177" t="str">
        <f>IF('MASTER PubCo Inputs'!B45=0,"",'MASTER PubCo Inputs'!B45)</f>
        <v>NasdaqCM:CTRV</v>
      </c>
      <c r="AB27" s="331">
        <f>'Beta Calc'!Z27</f>
        <v>117.4936</v>
      </c>
      <c r="AC27" s="1178">
        <f t="shared" si="6"/>
        <v>0</v>
      </c>
      <c r="AI27" s="1179"/>
    </row>
    <row r="28" spans="2:35" ht="14.85" customHeight="1">
      <c r="B28" s="250" t="str">
        <f>'Comp.1'!B30</f>
        <v>Sangamo Therapeutics, Inc.</v>
      </c>
      <c r="D28" s="331">
        <f>'Beta Calc'!K28</f>
        <v>225.99635000000001</v>
      </c>
      <c r="E28" s="331">
        <f>'Beta Calc'!L28</f>
        <v>0</v>
      </c>
      <c r="F28" s="331">
        <f>'Beta Calc'!M28</f>
        <v>0</v>
      </c>
      <c r="G28" s="331">
        <f>'Beta Calc'!N28</f>
        <v>0</v>
      </c>
      <c r="H28" s="331">
        <f t="shared" si="7"/>
        <v>0</v>
      </c>
      <c r="I28" s="331">
        <f t="shared" si="8"/>
        <v>225.99635000000001</v>
      </c>
      <c r="J28" s="331">
        <f>'Beta Calc'!Q28</f>
        <v>145.58099999999999</v>
      </c>
      <c r="K28" s="331">
        <f t="shared" si="9"/>
        <v>80.415350000000018</v>
      </c>
      <c r="M28" s="1066">
        <f>IFERROR('Capital IQ Sheet-GPC'!AT31,"n/a")</f>
        <v>0</v>
      </c>
      <c r="N28" s="331">
        <f t="shared" si="0"/>
        <v>3.2465753424657535</v>
      </c>
      <c r="O28" s="1522">
        <f t="shared" si="0"/>
        <v>1.4530136986301369E-2</v>
      </c>
      <c r="P28" s="1523"/>
      <c r="Q28" s="1524">
        <f>IFERROR(HLOOKUP($Q$6,'Equity Vol'!$B$8:$K28,ROWS('Equity Vol'!$C$8:$C28),FALSE),"n/a")</f>
        <v>0.72988664995178043</v>
      </c>
      <c r="R28" s="1525"/>
      <c r="S28" s="1526">
        <f t="shared" si="10"/>
        <v>0.53273452177783287</v>
      </c>
      <c r="T28" s="1526">
        <f t="shared" si="1"/>
        <v>0</v>
      </c>
      <c r="U28" s="1527">
        <f t="shared" si="2"/>
        <v>0</v>
      </c>
      <c r="V28" s="1527">
        <f t="shared" si="3"/>
        <v>0</v>
      </c>
      <c r="W28" s="1527">
        <f t="shared" si="4"/>
        <v>0</v>
      </c>
      <c r="X28" s="759">
        <f t="shared" si="5"/>
        <v>0</v>
      </c>
      <c r="Y28" s="1524">
        <f t="shared" si="11"/>
        <v>0.72988664995178043</v>
      </c>
      <c r="AA28" s="1177" t="str">
        <f>IF('MASTER PubCo Inputs'!B46=0,"",'MASTER PubCo Inputs'!B46)</f>
        <v>NasdaqGS:SGMO</v>
      </c>
      <c r="AB28" s="331">
        <f>'Beta Calc'!Z28</f>
        <v>80.415350000000004</v>
      </c>
      <c r="AC28" s="1178">
        <f t="shared" si="6"/>
        <v>0</v>
      </c>
      <c r="AI28" s="1179"/>
    </row>
    <row r="29" spans="2:35" ht="14.85" customHeight="1">
      <c r="B29" s="250" t="str">
        <f>'Comp.1'!B31</f>
        <v>Immune Design Corp.</v>
      </c>
      <c r="D29" s="331">
        <f>'Beta Calc'!K29</f>
        <v>186.75745000000001</v>
      </c>
      <c r="E29" s="331">
        <f>'Beta Calc'!L29</f>
        <v>0</v>
      </c>
      <c r="F29" s="331">
        <f>'Beta Calc'!M29</f>
        <v>0</v>
      </c>
      <c r="G29" s="331">
        <f>'Beta Calc'!N29</f>
        <v>0</v>
      </c>
      <c r="H29" s="331">
        <f t="shared" si="7"/>
        <v>0</v>
      </c>
      <c r="I29" s="331">
        <f t="shared" si="8"/>
        <v>186.75745000000001</v>
      </c>
      <c r="J29" s="331">
        <f>'Beta Calc'!Q29</f>
        <v>112.471</v>
      </c>
      <c r="K29" s="331">
        <f t="shared" si="9"/>
        <v>74.286450000000002</v>
      </c>
      <c r="M29" s="1066">
        <f>IFERROR('Capital IQ Sheet-GPC'!AT32,"n/a")</f>
        <v>0</v>
      </c>
      <c r="N29" s="331">
        <f t="shared" si="0"/>
        <v>3.2465753424657535</v>
      </c>
      <c r="O29" s="1522">
        <f t="shared" si="0"/>
        <v>1.4530136986301369E-2</v>
      </c>
      <c r="P29" s="1523"/>
      <c r="Q29" s="1524">
        <f>IFERROR(HLOOKUP($Q$6,'Equity Vol'!$B$8:$K29,ROWS('Equity Vol'!$C$8:$C29),FALSE),"n/a")</f>
        <v>0.87802203473928597</v>
      </c>
      <c r="R29" s="1525"/>
      <c r="S29" s="1526">
        <f t="shared" si="10"/>
        <v>0.77092269348771592</v>
      </c>
      <c r="T29" s="1526">
        <f t="shared" si="1"/>
        <v>0</v>
      </c>
      <c r="U29" s="1527">
        <f t="shared" si="2"/>
        <v>0</v>
      </c>
      <c r="V29" s="1527">
        <f t="shared" si="3"/>
        <v>0</v>
      </c>
      <c r="W29" s="1527">
        <f t="shared" si="4"/>
        <v>0</v>
      </c>
      <c r="X29" s="759">
        <f t="shared" si="5"/>
        <v>0</v>
      </c>
      <c r="Y29" s="1524">
        <f t="shared" si="11"/>
        <v>0.87802203473928597</v>
      </c>
      <c r="AA29" s="1177" t="str">
        <f>IF('MASTER PubCo Inputs'!B47=0,"",'MASTER PubCo Inputs'!B47)</f>
        <v>NasdaqGM:IMDZ</v>
      </c>
      <c r="AB29" s="331">
        <f>'Beta Calc'!Z29</f>
        <v>74.286450000000002</v>
      </c>
      <c r="AC29" s="1178">
        <f t="shared" si="6"/>
        <v>0</v>
      </c>
      <c r="AI29" s="1179"/>
    </row>
    <row r="30" spans="2:35" ht="14.85" customHeight="1">
      <c r="B30" s="250" t="str">
        <f>'Comp.1'!B32</f>
        <v>Fate Therapeutics, Inc.</v>
      </c>
      <c r="D30" s="331">
        <f>'Beta Calc'!K30</f>
        <v>100.39557000000001</v>
      </c>
      <c r="E30" s="331">
        <f>'Beta Calc'!L30</f>
        <v>12.635</v>
      </c>
      <c r="F30" s="331">
        <f>'Beta Calc'!M30</f>
        <v>0</v>
      </c>
      <c r="G30" s="331">
        <f>'Beta Calc'!N30</f>
        <v>0</v>
      </c>
      <c r="H30" s="331">
        <f t="shared" si="7"/>
        <v>12.635</v>
      </c>
      <c r="I30" s="331">
        <f t="shared" si="8"/>
        <v>113.03057000000001</v>
      </c>
      <c r="J30" s="331">
        <f>'Beta Calc'!Q30</f>
        <v>46.619</v>
      </c>
      <c r="K30" s="331">
        <f t="shared" si="9"/>
        <v>66.411570000000012</v>
      </c>
      <c r="M30" s="1066">
        <f>IFERROR('Capital IQ Sheet-GPC'!AT33,"n/a")</f>
        <v>0</v>
      </c>
      <c r="N30" s="331">
        <f t="shared" si="0"/>
        <v>3.2465753424657535</v>
      </c>
      <c r="O30" s="1522">
        <f t="shared" si="0"/>
        <v>1.4530136986301369E-2</v>
      </c>
      <c r="P30" s="1523"/>
      <c r="Q30" s="1524">
        <f>IFERROR(HLOOKUP($Q$6,'Equity Vol'!$B$8:$K30,ROWS('Equity Vol'!$C$8:$C30),FALSE),"n/a")</f>
        <v>0.81948065839335027</v>
      </c>
      <c r="R30" s="1525"/>
      <c r="S30" s="1526">
        <f t="shared" si="10"/>
        <v>0.6715485494807989</v>
      </c>
      <c r="T30" s="1526">
        <f t="shared" si="1"/>
        <v>1.8940564216055831</v>
      </c>
      <c r="U30" s="1527">
        <f t="shared" si="2"/>
        <v>0.41749522679752338</v>
      </c>
      <c r="V30" s="1527">
        <f t="shared" si="3"/>
        <v>0.97089123939327782</v>
      </c>
      <c r="W30" s="1527">
        <f t="shared" si="4"/>
        <v>0.66184189254646786</v>
      </c>
      <c r="X30" s="759">
        <f t="shared" si="5"/>
        <v>56.501359091374084</v>
      </c>
      <c r="Y30" s="1524">
        <f t="shared" si="11"/>
        <v>0.71809726489676096</v>
      </c>
      <c r="AA30" s="1177" t="str">
        <f>IF('MASTER PubCo Inputs'!B48=0,"",'MASTER PubCo Inputs'!B48)</f>
        <v>NasdaqGM:FATE</v>
      </c>
      <c r="AB30" s="331">
        <f>'Beta Calc'!Z30</f>
        <v>66.411569999999998</v>
      </c>
      <c r="AC30" s="1178">
        <f t="shared" si="6"/>
        <v>0</v>
      </c>
      <c r="AI30" s="1179"/>
    </row>
    <row r="31" spans="2:35" ht="14.85" customHeight="1">
      <c r="B31" s="250" t="str">
        <f>'Comp.1'!B33</f>
        <v>Arrowhead Pharmaceuticals, Inc.</v>
      </c>
      <c r="D31" s="331">
        <f>'Beta Calc'!K31</f>
        <v>102.94919</v>
      </c>
      <c r="E31" s="331">
        <f>'Beta Calc'!L31</f>
        <v>3.32328</v>
      </c>
      <c r="F31" s="331">
        <f>'Beta Calc'!M31</f>
        <v>2.0000000000000002E-5</v>
      </c>
      <c r="G31" s="331">
        <f>'Beta Calc'!N31</f>
        <v>-0.55518999999999996</v>
      </c>
      <c r="H31" s="331">
        <f t="shared" si="7"/>
        <v>2.7681100000000001</v>
      </c>
      <c r="I31" s="331">
        <f t="shared" si="8"/>
        <v>105.71730000000001</v>
      </c>
      <c r="J31" s="331">
        <f>'Beta Calc'!Q31</f>
        <v>44.647100000000002</v>
      </c>
      <c r="K31" s="331">
        <f t="shared" si="9"/>
        <v>61.070200000000007</v>
      </c>
      <c r="M31" s="1066">
        <f>IFERROR('Capital IQ Sheet-GPC'!AT34,"n/a")</f>
        <v>0</v>
      </c>
      <c r="N31" s="331">
        <f t="shared" si="0"/>
        <v>3.2465753424657535</v>
      </c>
      <c r="O31" s="1522">
        <f t="shared" si="0"/>
        <v>1.4530136986301369E-2</v>
      </c>
      <c r="P31" s="1523"/>
      <c r="Q31" s="1524">
        <f>IFERROR(HLOOKUP($Q$6,'Equity Vol'!$B$8:$K31,ROWS('Equity Vol'!$C$8:$C31),FALSE),"n/a")</f>
        <v>0.83310850932360714</v>
      </c>
      <c r="R31" s="1525"/>
      <c r="S31" s="1526">
        <f t="shared" si="10"/>
        <v>0.69406978830740285</v>
      </c>
      <c r="T31" s="1526">
        <f t="shared" si="1"/>
        <v>2.8430226428328247</v>
      </c>
      <c r="U31" s="1527">
        <f t="shared" si="2"/>
        <v>1.3419064379142183</v>
      </c>
      <c r="V31" s="1527">
        <f t="shared" si="3"/>
        <v>0.99776560522456015</v>
      </c>
      <c r="W31" s="1527">
        <f t="shared" si="4"/>
        <v>0.91018683296461933</v>
      </c>
      <c r="X31" s="759">
        <f t="shared" si="5"/>
        <v>58.530340734940822</v>
      </c>
      <c r="Y31" s="1524">
        <f t="shared" si="11"/>
        <v>0.80024828391108171</v>
      </c>
      <c r="AA31" s="1177" t="str">
        <f>IF('MASTER PubCo Inputs'!B49=0,"",'MASTER PubCo Inputs'!B49)</f>
        <v>NasdaqGS:ARWR</v>
      </c>
      <c r="AB31" s="331">
        <f>'Beta Calc'!Z31</f>
        <v>61.0702</v>
      </c>
      <c r="AC31" s="1178">
        <f t="shared" si="6"/>
        <v>0</v>
      </c>
      <c r="AI31" s="1179"/>
    </row>
    <row r="32" spans="2:35" ht="14.85" customHeight="1">
      <c r="B32" s="250" t="str">
        <f>'Comp.1'!B34</f>
        <v>Regulus Therapeutics Inc.</v>
      </c>
      <c r="D32" s="331">
        <f>'Beta Calc'!K32</f>
        <v>129.66210000000001</v>
      </c>
      <c r="E32" s="331">
        <f>'Beta Calc'!L32</f>
        <v>19.786999999999999</v>
      </c>
      <c r="F32" s="331">
        <f>'Beta Calc'!M32</f>
        <v>0</v>
      </c>
      <c r="G32" s="331">
        <f>'Beta Calc'!N32</f>
        <v>0</v>
      </c>
      <c r="H32" s="331">
        <f t="shared" si="7"/>
        <v>19.786999999999999</v>
      </c>
      <c r="I32" s="331">
        <f t="shared" si="8"/>
        <v>149.44910000000002</v>
      </c>
      <c r="J32" s="331">
        <f>'Beta Calc'!Q32</f>
        <v>91.582999999999998</v>
      </c>
      <c r="K32" s="331">
        <f t="shared" si="9"/>
        <v>57.866100000000017</v>
      </c>
      <c r="M32" s="1066">
        <f>IFERROR('Capital IQ Sheet-GPC'!AT35,"n/a")</f>
        <v>0</v>
      </c>
      <c r="N32" s="331">
        <f t="shared" si="0"/>
        <v>3.2465753424657535</v>
      </c>
      <c r="O32" s="1522">
        <f t="shared" si="0"/>
        <v>1.4530136986301369E-2</v>
      </c>
      <c r="P32" s="1523"/>
      <c r="Q32" s="1524">
        <f>IFERROR(HLOOKUP($Q$6,'Equity Vol'!$B$8:$K32,ROWS('Equity Vol'!$C$8:$C32),FALSE),"n/a")</f>
        <v>0.94732611198066297</v>
      </c>
      <c r="R32" s="1525"/>
      <c r="S32" s="1526">
        <f t="shared" si="10"/>
        <v>0.89742676244039954</v>
      </c>
      <c r="T32" s="1526">
        <f t="shared" si="1"/>
        <v>1.5097760776957816</v>
      </c>
      <c r="U32" s="1527">
        <f t="shared" si="2"/>
        <v>-0.19714032289561012</v>
      </c>
      <c r="V32" s="1527">
        <f t="shared" si="3"/>
        <v>0.93444971441264957</v>
      </c>
      <c r="W32" s="1527">
        <f t="shared" si="4"/>
        <v>0.42185886472094486</v>
      </c>
      <c r="X32" s="759">
        <f t="shared" si="5"/>
        <v>46.110265644021858</v>
      </c>
      <c r="Y32" s="1524">
        <f t="shared" si="11"/>
        <v>0.80782443155993344</v>
      </c>
      <c r="AA32" s="1177" t="str">
        <f>IF('MASTER PubCo Inputs'!B50=0,"",'MASTER PubCo Inputs'!B50)</f>
        <v>NasdaqGM:RGLS</v>
      </c>
      <c r="AB32" s="331">
        <f>'Beta Calc'!Z32</f>
        <v>57.866100000000003</v>
      </c>
      <c r="AC32" s="1178">
        <f t="shared" si="6"/>
        <v>0</v>
      </c>
      <c r="AI32" s="1179"/>
    </row>
    <row r="33" spans="2:35" ht="14.85" customHeight="1">
      <c r="B33" s="250" t="str">
        <f>'Comp.1'!B35</f>
        <v>CEL-SCI Corporation</v>
      </c>
      <c r="D33" s="331">
        <f>'Beta Calc'!K33</f>
        <v>32.817689999999999</v>
      </c>
      <c r="E33" s="331">
        <f>'Beta Calc'!L33</f>
        <v>2.31E-3</v>
      </c>
      <c r="F33" s="331">
        <f>'Beta Calc'!M33</f>
        <v>0</v>
      </c>
      <c r="G33" s="331">
        <f>'Beta Calc'!N33</f>
        <v>0</v>
      </c>
      <c r="H33" s="331">
        <f t="shared" si="7"/>
        <v>2.31E-3</v>
      </c>
      <c r="I33" s="331">
        <f t="shared" si="8"/>
        <v>32.82</v>
      </c>
      <c r="J33" s="331">
        <f>'Beta Calc'!Q33</f>
        <v>5.21896</v>
      </c>
      <c r="K33" s="331">
        <f t="shared" si="9"/>
        <v>27.601040000000001</v>
      </c>
      <c r="M33" s="1066">
        <f>IFERROR('Capital IQ Sheet-GPC'!AT36,"n/a")</f>
        <v>0</v>
      </c>
      <c r="N33" s="331">
        <f t="shared" si="0"/>
        <v>3.2465753424657535</v>
      </c>
      <c r="O33" s="1522">
        <f t="shared" si="0"/>
        <v>1.4530136986301369E-2</v>
      </c>
      <c r="P33" s="1523"/>
      <c r="Q33" s="1524">
        <f>IFERROR(HLOOKUP($Q$6,'Equity Vol'!$B$8:$K33,ROWS('Equity Vol'!$C$8:$C33),FALSE),"n/a")</f>
        <v>0.79750368267574068</v>
      </c>
      <c r="R33" s="1525"/>
      <c r="S33" s="1526">
        <f t="shared" si="10"/>
        <v>0.63601212388136852</v>
      </c>
      <c r="T33" s="1526">
        <f t="shared" si="1"/>
        <v>7.2847864147239951</v>
      </c>
      <c r="U33" s="1527">
        <f t="shared" si="2"/>
        <v>5.8478238964575908</v>
      </c>
      <c r="V33" s="1527">
        <f t="shared" si="3"/>
        <v>0.99999999999983891</v>
      </c>
      <c r="W33" s="1527">
        <f t="shared" si="4"/>
        <v>0.99999999750977298</v>
      </c>
      <c r="X33" s="759">
        <f t="shared" si="5"/>
        <v>27.59883643976805</v>
      </c>
      <c r="Y33" s="1524">
        <f t="shared" si="11"/>
        <v>0.79744001306776835</v>
      </c>
      <c r="AA33" s="1177" t="str">
        <f>IF('MASTER PubCo Inputs'!B51=0,"",'MASTER PubCo Inputs'!B51)</f>
        <v>AMEX:CVM</v>
      </c>
      <c r="AB33" s="331">
        <f>'Beta Calc'!Z33</f>
        <v>27.601040000000001</v>
      </c>
      <c r="AC33" s="1178">
        <f t="shared" si="6"/>
        <v>0</v>
      </c>
      <c r="AI33" s="1179"/>
    </row>
    <row r="34" spans="2:35" ht="14.85" customHeight="1">
      <c r="B34" s="250" t="str">
        <f>'Comp.1'!B36</f>
        <v>PhaseRx, Inc.</v>
      </c>
      <c r="D34" s="331">
        <f>'Beta Calc'!K34</f>
        <v>24.549689999999998</v>
      </c>
      <c r="E34" s="331">
        <f>'Beta Calc'!L34</f>
        <v>5.6109999999999998</v>
      </c>
      <c r="F34" s="331">
        <f>'Beta Calc'!M34</f>
        <v>0</v>
      </c>
      <c r="G34" s="331">
        <f>'Beta Calc'!N34</f>
        <v>0</v>
      </c>
      <c r="H34" s="331">
        <f t="shared" si="7"/>
        <v>5.6109999999999998</v>
      </c>
      <c r="I34" s="331">
        <f t="shared" si="8"/>
        <v>30.160689999999999</v>
      </c>
      <c r="J34" s="331">
        <f>'Beta Calc'!Q34</f>
        <v>18.635000000000002</v>
      </c>
      <c r="K34" s="331">
        <f t="shared" si="9"/>
        <v>11.525689999999997</v>
      </c>
      <c r="M34" s="1066">
        <f>IFERROR('Capital IQ Sheet-GPC'!AT37,"n/a")</f>
        <v>0</v>
      </c>
      <c r="N34" s="331">
        <f t="shared" si="0"/>
        <v>3.2465753424657535</v>
      </c>
      <c r="O34" s="1522">
        <f t="shared" si="0"/>
        <v>1.4530136986301369E-2</v>
      </c>
      <c r="P34" s="1523"/>
      <c r="Q34" s="1524" t="str">
        <f>IFERROR(HLOOKUP($Q$6,'Equity Vol'!$B$8:$K34,ROWS('Equity Vol'!$C$8:$C34),FALSE),"n/a")</f>
        <v>n/a</v>
      </c>
      <c r="R34" s="1525"/>
      <c r="S34" s="1526" t="str">
        <f t="shared" si="10"/>
        <v>n/a</v>
      </c>
      <c r="T34" s="1526" t="str">
        <f t="shared" si="1"/>
        <v>n/a</v>
      </c>
      <c r="U34" s="1527" t="str">
        <f t="shared" si="2"/>
        <v>n/a</v>
      </c>
      <c r="V34" s="1527" t="str">
        <f t="shared" si="3"/>
        <v>n/a</v>
      </c>
      <c r="W34" s="1527" t="str">
        <f t="shared" si="4"/>
        <v>n/a</v>
      </c>
      <c r="X34" s="759" t="str">
        <f t="shared" si="5"/>
        <v>n/a</v>
      </c>
      <c r="Y34" s="1524" t="str">
        <f t="shared" si="11"/>
        <v>n/a</v>
      </c>
      <c r="AA34" s="1177" t="str">
        <f>IF('MASTER PubCo Inputs'!B52=0,"",'MASTER PubCo Inputs'!B52)</f>
        <v>NasdaqCM:PZRX</v>
      </c>
      <c r="AB34" s="331">
        <f>'Beta Calc'!Z34</f>
        <v>11.525690000000001</v>
      </c>
      <c r="AC34" s="1178">
        <f t="shared" si="6"/>
        <v>0</v>
      </c>
      <c r="AI34" s="1179"/>
    </row>
    <row r="35" spans="2:35" ht="14.85" customHeight="1">
      <c r="B35" s="250" t="str">
        <f>'Comp.1'!B37</f>
        <v>Marina Biotech, Inc.</v>
      </c>
      <c r="D35" s="331">
        <f>'Beta Calc'!K35</f>
        <v>9.8748500000000003</v>
      </c>
      <c r="E35" s="331">
        <f>'Beta Calc'!L35</f>
        <v>0</v>
      </c>
      <c r="F35" s="331">
        <f>'Beta Calc'!M35</f>
        <v>0</v>
      </c>
      <c r="G35" s="331">
        <f>'Beta Calc'!N35</f>
        <v>0</v>
      </c>
      <c r="H35" s="331">
        <f t="shared" si="7"/>
        <v>0</v>
      </c>
      <c r="I35" s="331">
        <f t="shared" si="8"/>
        <v>9.8748500000000003</v>
      </c>
      <c r="J35" s="331">
        <f>'Beta Calc'!Q35</f>
        <v>0</v>
      </c>
      <c r="K35" s="331">
        <f t="shared" si="9"/>
        <v>9.8748500000000003</v>
      </c>
      <c r="M35" s="1066">
        <f>IFERROR('Capital IQ Sheet-GPC'!AT38,"n/a")</f>
        <v>0</v>
      </c>
      <c r="N35" s="331">
        <f t="shared" si="0"/>
        <v>3.2465753424657535</v>
      </c>
      <c r="O35" s="1522">
        <f t="shared" si="0"/>
        <v>1.4530136986301369E-2</v>
      </c>
      <c r="P35" s="1523"/>
      <c r="Q35" s="1524" t="str">
        <f>IFERROR(HLOOKUP($Q$6,'Equity Vol'!$B$8:$K35,ROWS('Equity Vol'!$C$8:$C35),FALSE),"n/a")</f>
        <v>n/a</v>
      </c>
      <c r="R35" s="1525"/>
      <c r="S35" s="1526" t="str">
        <f t="shared" si="10"/>
        <v>n/a</v>
      </c>
      <c r="T35" s="1526" t="str">
        <f t="shared" si="1"/>
        <v>n/a</v>
      </c>
      <c r="U35" s="1527" t="str">
        <f t="shared" si="2"/>
        <v>n/a</v>
      </c>
      <c r="V35" s="1527" t="str">
        <f t="shared" si="3"/>
        <v>n/a</v>
      </c>
      <c r="W35" s="1527" t="str">
        <f t="shared" si="4"/>
        <v>n/a</v>
      </c>
      <c r="X35" s="759" t="str">
        <f t="shared" si="5"/>
        <v>n/a</v>
      </c>
      <c r="Y35" s="1524" t="str">
        <f t="shared" si="11"/>
        <v>n/a</v>
      </c>
      <c r="AA35" s="1177" t="str">
        <f>IF('MASTER PubCo Inputs'!B53=0,"",'MASTER PubCo Inputs'!B53)</f>
        <v>OTCPK:MRNA</v>
      </c>
      <c r="AB35" s="331">
        <f>'Beta Calc'!Z35</f>
        <v>0</v>
      </c>
      <c r="AC35" s="1178">
        <f t="shared" si="6"/>
        <v>9.8748500000000003</v>
      </c>
      <c r="AI35" s="1179"/>
    </row>
    <row r="36" spans="2:35" ht="14.85" customHeight="1">
      <c r="B36" s="250" t="str">
        <f>'Comp.1'!B38</f>
        <v>RXi Pharmaceuticals Corporation</v>
      </c>
      <c r="D36" s="331">
        <f>'Beta Calc'!K36</f>
        <v>9.9657699999999991</v>
      </c>
      <c r="E36" s="331">
        <f>'Beta Calc'!L36</f>
        <v>0</v>
      </c>
      <c r="F36" s="331">
        <f>'Beta Calc'!M36</f>
        <v>0</v>
      </c>
      <c r="G36" s="331">
        <f>'Beta Calc'!N36</f>
        <v>0</v>
      </c>
      <c r="H36" s="331">
        <f t="shared" si="7"/>
        <v>0</v>
      </c>
      <c r="I36" s="331">
        <f t="shared" si="8"/>
        <v>9.9657699999999991</v>
      </c>
      <c r="J36" s="331">
        <f>'Beta Calc'!Q36</f>
        <v>4.3789999999999996</v>
      </c>
      <c r="K36" s="331">
        <f t="shared" si="9"/>
        <v>5.5867699999999996</v>
      </c>
      <c r="M36" s="1066">
        <f>IFERROR('Capital IQ Sheet-GPC'!AT39,"n/a")</f>
        <v>0</v>
      </c>
      <c r="N36" s="331">
        <f t="shared" si="0"/>
        <v>3.2465753424657535</v>
      </c>
      <c r="O36" s="1522">
        <f t="shared" si="0"/>
        <v>1.4530136986301369E-2</v>
      </c>
      <c r="P36" s="1523"/>
      <c r="Q36" s="1524">
        <f>IFERROR(HLOOKUP($Q$6,'Equity Vol'!$B$8:$K36,ROWS('Equity Vol'!$C$8:$C36),FALSE),"n/a")</f>
        <v>0.9097061604101625</v>
      </c>
      <c r="R36" s="1525"/>
      <c r="S36" s="1526">
        <f t="shared" si="10"/>
        <v>0.82756529828820036</v>
      </c>
      <c r="T36" s="1526">
        <f t="shared" si="1"/>
        <v>0</v>
      </c>
      <c r="U36" s="1527">
        <f t="shared" si="2"/>
        <v>0</v>
      </c>
      <c r="V36" s="1527">
        <f t="shared" si="3"/>
        <v>0</v>
      </c>
      <c r="W36" s="1527">
        <f t="shared" si="4"/>
        <v>0</v>
      </c>
      <c r="X36" s="759">
        <f t="shared" si="5"/>
        <v>0</v>
      </c>
      <c r="Y36" s="1524">
        <f t="shared" si="11"/>
        <v>0.9097061604101625</v>
      </c>
      <c r="AA36" s="1177" t="str">
        <f>IF('MASTER PubCo Inputs'!B54=0,"",'MASTER PubCo Inputs'!B54)</f>
        <v>NasdaqCM:RXII</v>
      </c>
      <c r="AB36" s="331">
        <f>'Beta Calc'!Z36</f>
        <v>5.5867699999999996</v>
      </c>
      <c r="AC36" s="1178">
        <f t="shared" si="6"/>
        <v>0</v>
      </c>
      <c r="AI36" s="1179"/>
    </row>
    <row r="37" spans="2:35" ht="14.85" customHeight="1">
      <c r="B37" s="250" t="str">
        <f>'Comp.1'!B39</f>
        <v>Benitec Biopharma Limited</v>
      </c>
      <c r="D37" s="331">
        <f>'Beta Calc'!K37</f>
        <v>12.459519999999999</v>
      </c>
      <c r="E37" s="331">
        <f>'Beta Calc'!L37</f>
        <v>0</v>
      </c>
      <c r="F37" s="331">
        <f>'Beta Calc'!M37</f>
        <v>0</v>
      </c>
      <c r="G37" s="331">
        <f>'Beta Calc'!N37</f>
        <v>0</v>
      </c>
      <c r="H37" s="331">
        <f t="shared" si="7"/>
        <v>0</v>
      </c>
      <c r="I37" s="331">
        <f t="shared" si="8"/>
        <v>12.459519999999999</v>
      </c>
      <c r="J37" s="331">
        <f>'Beta Calc'!Q37</f>
        <v>10.266360000000001</v>
      </c>
      <c r="K37" s="331">
        <f t="shared" si="9"/>
        <v>2.1931599999999989</v>
      </c>
      <c r="M37" s="1066">
        <f>IFERROR('Capital IQ Sheet-GPC'!AT40,"n/a")</f>
        <v>0</v>
      </c>
      <c r="N37" s="331">
        <f t="shared" si="0"/>
        <v>3.2465753424657535</v>
      </c>
      <c r="O37" s="1522">
        <f t="shared" si="0"/>
        <v>1.4530136986301369E-2</v>
      </c>
      <c r="P37" s="1523"/>
      <c r="Q37" s="1524">
        <f>IFERROR(HLOOKUP($Q$6,'Equity Vol'!$B$8:$K37,ROWS('Equity Vol'!$C$8:$C37),FALSE),"n/a")</f>
        <v>0.98094228131580063</v>
      </c>
      <c r="R37" s="1525"/>
      <c r="S37" s="1526">
        <f t="shared" si="10"/>
        <v>0.9622477592730474</v>
      </c>
      <c r="T37" s="1526">
        <f t="shared" si="1"/>
        <v>0</v>
      </c>
      <c r="U37" s="1527">
        <f t="shared" si="2"/>
        <v>0</v>
      </c>
      <c r="V37" s="1527">
        <f t="shared" si="3"/>
        <v>0</v>
      </c>
      <c r="W37" s="1527">
        <f t="shared" si="4"/>
        <v>0</v>
      </c>
      <c r="X37" s="759">
        <f t="shared" si="5"/>
        <v>0</v>
      </c>
      <c r="Y37" s="1524">
        <f t="shared" si="11"/>
        <v>0.98094228131580063</v>
      </c>
      <c r="AA37" s="1177" t="str">
        <f>IF('MASTER PubCo Inputs'!B55=0,"",'MASTER PubCo Inputs'!B55)</f>
        <v>ASX:BLT</v>
      </c>
      <c r="AB37" s="331">
        <f>'Beta Calc'!Z37</f>
        <v>2.5731899999999999</v>
      </c>
      <c r="AC37" s="1178">
        <f t="shared" si="6"/>
        <v>-0.38003000000000098</v>
      </c>
      <c r="AI37" s="1179"/>
    </row>
    <row r="38" spans="2:35" ht="14.85" customHeight="1">
      <c r="B38" s="250" t="str">
        <f>'Comp.1'!B40</f>
        <v>GenVec, Inc.</v>
      </c>
      <c r="D38" s="331">
        <f>'Beta Calc'!K38</f>
        <v>7.33019</v>
      </c>
      <c r="E38" s="331">
        <f>'Beta Calc'!L38</f>
        <v>0</v>
      </c>
      <c r="F38" s="331">
        <f>'Beta Calc'!M38</f>
        <v>0</v>
      </c>
      <c r="G38" s="331">
        <f>'Beta Calc'!N38</f>
        <v>0</v>
      </c>
      <c r="H38" s="331">
        <f t="shared" si="7"/>
        <v>0</v>
      </c>
      <c r="I38" s="331">
        <f t="shared" si="8"/>
        <v>7.33019</v>
      </c>
      <c r="J38" s="331">
        <f>'Beta Calc'!Q38</f>
        <v>8.3960000000000008</v>
      </c>
      <c r="K38" s="331">
        <f t="shared" si="9"/>
        <v>-1.0658100000000008</v>
      </c>
      <c r="M38" s="1066">
        <f>IFERROR('Capital IQ Sheet-GPC'!AT41,"n/a")</f>
        <v>0</v>
      </c>
      <c r="N38" s="331">
        <f t="shared" si="0"/>
        <v>3.2465753424657535</v>
      </c>
      <c r="O38" s="1522">
        <f t="shared" si="0"/>
        <v>1.4530136986301369E-2</v>
      </c>
      <c r="P38" s="1523"/>
      <c r="Q38" s="1524">
        <f>IFERROR(HLOOKUP($Q$6,'Equity Vol'!$B$8:$K38,ROWS('Equity Vol'!$C$8:$C38),FALSE),"n/a")</f>
        <v>0.99510388967342045</v>
      </c>
      <c r="R38" s="1525"/>
      <c r="S38" s="1526">
        <f t="shared" si="10"/>
        <v>0.99023175124317098</v>
      </c>
      <c r="T38" s="1526">
        <f t="shared" si="1"/>
        <v>0</v>
      </c>
      <c r="U38" s="1527">
        <f t="shared" si="2"/>
        <v>0</v>
      </c>
      <c r="V38" s="1527">
        <f t="shared" si="3"/>
        <v>0</v>
      </c>
      <c r="W38" s="1527">
        <f t="shared" si="4"/>
        <v>0</v>
      </c>
      <c r="X38" s="759">
        <f t="shared" si="5"/>
        <v>0</v>
      </c>
      <c r="Y38" s="1524">
        <f t="shared" si="11"/>
        <v>0.99510388967342045</v>
      </c>
      <c r="AA38" s="1177" t="str">
        <f>IF('MASTER PubCo Inputs'!B56=0,"",'MASTER PubCo Inputs'!B56)</f>
        <v>NasdaqCM:GNVC</v>
      </c>
      <c r="AB38" s="331">
        <f>'Beta Calc'!Z38</f>
        <v>-1.0658099999999999</v>
      </c>
      <c r="AC38" s="1178">
        <f t="shared" si="6"/>
        <v>0</v>
      </c>
      <c r="AI38" s="1179"/>
    </row>
    <row r="39" spans="2:35" ht="14.85" customHeight="1">
      <c r="B39" s="250" t="str">
        <f>'Comp.1'!B41</f>
        <v>Arbutus Biopharma Corporation</v>
      </c>
      <c r="D39" s="331">
        <f>'Beta Calc'!K39</f>
        <v>145.32996</v>
      </c>
      <c r="E39" s="331">
        <f>'Beta Calc'!L39</f>
        <v>0</v>
      </c>
      <c r="F39" s="331">
        <f>'Beta Calc'!M39</f>
        <v>0</v>
      </c>
      <c r="G39" s="331">
        <f>'Beta Calc'!N39</f>
        <v>0</v>
      </c>
      <c r="H39" s="331">
        <f t="shared" si="7"/>
        <v>0</v>
      </c>
      <c r="I39" s="331">
        <f t="shared" si="8"/>
        <v>145.32996</v>
      </c>
      <c r="J39" s="331">
        <f>'Beta Calc'!Q39</f>
        <v>149.68199999999999</v>
      </c>
      <c r="K39" s="331">
        <f t="shared" si="9"/>
        <v>-4.3520399999999881</v>
      </c>
      <c r="M39" s="1066">
        <f>IFERROR('Capital IQ Sheet-GPC'!AT42,"n/a")</f>
        <v>0</v>
      </c>
      <c r="N39" s="331">
        <f t="shared" si="0"/>
        <v>3.2465753424657535</v>
      </c>
      <c r="O39" s="1522">
        <f t="shared" si="0"/>
        <v>1.4530136986301369E-2</v>
      </c>
      <c r="P39" s="1523"/>
      <c r="Q39" s="1524">
        <f>IFERROR(HLOOKUP($Q$6,'Equity Vol'!$B$8:$K39,ROWS('Equity Vol'!$C$8:$C39),FALSE),"n/a")</f>
        <v>0.8118930978537976</v>
      </c>
      <c r="R39" s="1525"/>
      <c r="S39" s="1526">
        <f t="shared" si="10"/>
        <v>0.65917040234263613</v>
      </c>
      <c r="T39" s="1526">
        <f t="shared" si="1"/>
        <v>0</v>
      </c>
      <c r="U39" s="1527">
        <f t="shared" si="2"/>
        <v>0</v>
      </c>
      <c r="V39" s="1527">
        <f t="shared" si="3"/>
        <v>0</v>
      </c>
      <c r="W39" s="1527">
        <f t="shared" si="4"/>
        <v>0</v>
      </c>
      <c r="X39" s="759">
        <f t="shared" si="5"/>
        <v>0</v>
      </c>
      <c r="Y39" s="1524">
        <f t="shared" si="11"/>
        <v>0.8118930978537976</v>
      </c>
      <c r="AA39" s="1177" t="str">
        <f>IF('MASTER PubCo Inputs'!B57=0,"",'MASTER PubCo Inputs'!B57)</f>
        <v>NasdaqGS:ABUS</v>
      </c>
      <c r="AB39" s="331">
        <f>'Beta Calc'!Z39</f>
        <v>-4.3520399999999997</v>
      </c>
      <c r="AC39" s="1178">
        <f t="shared" si="6"/>
        <v>1.1546319456101628E-14</v>
      </c>
      <c r="AI39" s="1179"/>
    </row>
    <row r="40" spans="2:35" ht="14.85" customHeight="1">
      <c r="D40" s="331"/>
      <c r="E40" s="331"/>
      <c r="F40" s="331"/>
      <c r="G40" s="331"/>
      <c r="H40" s="331"/>
      <c r="I40" s="331"/>
      <c r="J40" s="331"/>
      <c r="K40" s="331"/>
      <c r="R40" s="724"/>
    </row>
    <row r="41" spans="2:35" ht="14.85" customHeight="1">
      <c r="B41" s="1181" t="s">
        <v>111</v>
      </c>
      <c r="C41" s="1182"/>
      <c r="D41" s="1184">
        <f>MAX(D10:D39)</f>
        <v>1692.82537</v>
      </c>
      <c r="E41" s="1184">
        <f t="shared" ref="E41:K41" si="12">MAX(E10:E39)</f>
        <v>32.048000000000002</v>
      </c>
      <c r="F41" s="1184">
        <f t="shared" si="12"/>
        <v>185.565</v>
      </c>
      <c r="G41" s="1184">
        <f t="shared" si="12"/>
        <v>9.6269999999999994E-2</v>
      </c>
      <c r="H41" s="1184">
        <f t="shared" si="12"/>
        <v>185.51400000000001</v>
      </c>
      <c r="I41" s="1184">
        <f t="shared" si="12"/>
        <v>1694.4007799999999</v>
      </c>
      <c r="J41" s="1184">
        <f t="shared" si="12"/>
        <v>408.70499999999998</v>
      </c>
      <c r="K41" s="1184">
        <f t="shared" si="12"/>
        <v>1387.752</v>
      </c>
      <c r="L41" s="1182"/>
      <c r="M41" s="1326">
        <f t="shared" ref="M41:O41" si="13">MAX(M10:M39)</f>
        <v>0</v>
      </c>
      <c r="N41" s="1184">
        <f t="shared" si="13"/>
        <v>3.2465753424657535</v>
      </c>
      <c r="O41" s="1528">
        <f t="shared" si="13"/>
        <v>1.4530136986301369E-2</v>
      </c>
      <c r="P41" s="1529"/>
      <c r="Q41" s="1530">
        <f>MAX(Q10:Q39)</f>
        <v>1.396853832524193</v>
      </c>
      <c r="R41" s="1531"/>
      <c r="S41" s="1532">
        <f t="shared" ref="S41:W41" si="14">MAX(S10:S40)</f>
        <v>1.9512006294375264</v>
      </c>
      <c r="T41" s="1532">
        <f t="shared" si="14"/>
        <v>7.7145492574369907</v>
      </c>
      <c r="U41" s="1533">
        <f t="shared" si="14"/>
        <v>6.5369829255122811</v>
      </c>
      <c r="V41" s="1533">
        <f t="shared" si="14"/>
        <v>0.99999999999999389</v>
      </c>
      <c r="W41" s="1533">
        <f t="shared" si="14"/>
        <v>0.99999999996861388</v>
      </c>
      <c r="X41" s="1184">
        <f t="shared" ref="X41:Y41" si="15">MAX(X10:X39)</f>
        <v>404.66663591184891</v>
      </c>
      <c r="Y41" s="1534">
        <f t="shared" si="15"/>
        <v>1.3831163244745461</v>
      </c>
      <c r="AB41" s="1535">
        <f ca="1">+'Asset Vol_M&amp;A Late'!Y48</f>
        <v>0.30015729294415744</v>
      </c>
      <c r="AC41" s="1536" t="s">
        <v>1815</v>
      </c>
      <c r="AD41" s="1536"/>
      <c r="AE41" s="1536"/>
      <c r="AF41" s="775"/>
    </row>
    <row r="42" spans="2:35" ht="14.85" customHeight="1">
      <c r="B42" s="1187" t="s">
        <v>115</v>
      </c>
      <c r="C42" s="1188"/>
      <c r="D42" s="1190">
        <f t="shared" ref="D42:K42" si="16">QUARTILE(D10:D39,3)</f>
        <v>535.13891249999995</v>
      </c>
      <c r="E42" s="1190">
        <f t="shared" si="16"/>
        <v>0.69918499999999995</v>
      </c>
      <c r="F42" s="1190">
        <f t="shared" si="16"/>
        <v>0</v>
      </c>
      <c r="G42" s="1190">
        <f t="shared" si="16"/>
        <v>0</v>
      </c>
      <c r="H42" s="1190">
        <f t="shared" si="16"/>
        <v>2.5620824999999998</v>
      </c>
      <c r="I42" s="1190">
        <f t="shared" si="16"/>
        <v>544.96866749999992</v>
      </c>
      <c r="J42" s="1190">
        <f t="shared" si="16"/>
        <v>164.18174999999999</v>
      </c>
      <c r="K42" s="1190">
        <f t="shared" si="16"/>
        <v>330.71264999999994</v>
      </c>
      <c r="L42" s="1188"/>
      <c r="M42" s="1328">
        <f>QUARTILE(M10:M39,3)</f>
        <v>0</v>
      </c>
      <c r="N42" s="1190">
        <f>QUARTILE(N10:N39,3)</f>
        <v>3.2465753424657535</v>
      </c>
      <c r="O42" s="1537">
        <f>QUARTILE(O10:O39,3)</f>
        <v>1.4530136986301369E-2</v>
      </c>
      <c r="P42" s="1538"/>
      <c r="Q42" s="1539">
        <f>QUARTILE(Q10:Q39,3)</f>
        <v>0.93792112408803785</v>
      </c>
      <c r="R42" s="1540"/>
      <c r="S42" s="1541">
        <f>QUARTILE(S10:S40,3)</f>
        <v>0.87996139640234972</v>
      </c>
      <c r="T42" s="1541">
        <f>QUARTILE(T10:T40,3)</f>
        <v>4.3265808450764887</v>
      </c>
      <c r="U42" s="1542">
        <f>QUARTILE(U10:U40,3)</f>
        <v>2.8412699743181666</v>
      </c>
      <c r="V42" s="1542">
        <f>QUARTILE(V10:V40,3)</f>
        <v>0.99957655752443619</v>
      </c>
      <c r="W42" s="1542">
        <f>QUARTILE(W10:W40,3)</f>
        <v>0.97723373383968315</v>
      </c>
      <c r="X42" s="1190">
        <f>QUARTILE(X10:X39,3)</f>
        <v>101.73858643460368</v>
      </c>
      <c r="Y42" s="1543">
        <f>QUARTILE(Y10:Y39,3)</f>
        <v>0.90969146564662595</v>
      </c>
      <c r="AB42" s="1544">
        <f>+'Asset Vol_M&amp;A Late'!Y50</f>
        <v>0.31</v>
      </c>
      <c r="AC42" s="467" t="s">
        <v>1816</v>
      </c>
      <c r="AD42" s="467"/>
      <c r="AE42" s="467"/>
      <c r="AF42" s="468"/>
    </row>
    <row r="43" spans="2:35" ht="14.85" customHeight="1">
      <c r="B43" s="1187" t="s">
        <v>113</v>
      </c>
      <c r="C43" s="1188"/>
      <c r="D43" s="1190">
        <f>AVERAGE(D10:D39)</f>
        <v>349.13332166666657</v>
      </c>
      <c r="E43" s="1190">
        <f t="shared" ref="E43:K43" si="17">AVERAGE(E10:E39)</f>
        <v>2.8426580000000001</v>
      </c>
      <c r="F43" s="1190">
        <f t="shared" si="17"/>
        <v>6.5502309999999992</v>
      </c>
      <c r="G43" s="1190">
        <f t="shared" si="17"/>
        <v>-1.699733333333333E-2</v>
      </c>
      <c r="H43" s="1190">
        <f t="shared" si="17"/>
        <v>9.3758916666666661</v>
      </c>
      <c r="I43" s="1190">
        <f t="shared" si="17"/>
        <v>358.50921333333332</v>
      </c>
      <c r="J43" s="1190">
        <f t="shared" si="17"/>
        <v>109.87659433333336</v>
      </c>
      <c r="K43" s="1190">
        <f t="shared" si="17"/>
        <v>248.63261900000001</v>
      </c>
      <c r="L43" s="1188"/>
      <c r="M43" s="1328">
        <f t="shared" ref="M43:O43" si="18">AVERAGE(M10:M39)</f>
        <v>0</v>
      </c>
      <c r="N43" s="1190">
        <f t="shared" si="18"/>
        <v>3.2465753424657513</v>
      </c>
      <c r="O43" s="1537">
        <f t="shared" si="18"/>
        <v>1.4530136986301361E-2</v>
      </c>
      <c r="P43" s="1538"/>
      <c r="Q43" s="1539">
        <f>AVERAGE(Q10:Q39)</f>
        <v>0.87145919338423417</v>
      </c>
      <c r="R43" s="1540"/>
      <c r="S43" s="1541">
        <f t="shared" ref="S43:W43" si="19">AVERAGE(S10:S40)</f>
        <v>0.78653160019050228</v>
      </c>
      <c r="T43" s="1541">
        <f t="shared" si="19"/>
        <v>2.1914709775868015</v>
      </c>
      <c r="U43" s="1542">
        <f t="shared" si="19"/>
        <v>1.4237103783828242</v>
      </c>
      <c r="V43" s="1542">
        <f t="shared" si="19"/>
        <v>0.49452301357024403</v>
      </c>
      <c r="W43" s="1542">
        <f t="shared" si="19"/>
        <v>0.42521188557553286</v>
      </c>
      <c r="X43" s="1190">
        <f t="shared" ref="X43:Y43" si="20">AVERAGE(X10:X39)</f>
        <v>80.24331212193816</v>
      </c>
      <c r="Y43" s="1543">
        <f t="shared" si="20"/>
        <v>0.85510975140670609</v>
      </c>
      <c r="AB43" s="1544">
        <f>+'Asset Vol_M&amp;A Late'!Y44</f>
        <v>0.80653221382375317</v>
      </c>
      <c r="AC43" s="467" t="s">
        <v>1814</v>
      </c>
      <c r="AD43" s="467"/>
      <c r="AE43" s="467"/>
      <c r="AF43" s="1545" t="s">
        <v>2280</v>
      </c>
    </row>
    <row r="44" spans="2:35" ht="14.85" customHeight="1">
      <c r="B44" s="1187" t="s">
        <v>44</v>
      </c>
      <c r="C44" s="1188"/>
      <c r="D44" s="1190">
        <f>MEDIAN(D10:D39)</f>
        <v>252.89796000000001</v>
      </c>
      <c r="E44" s="1190">
        <f t="shared" ref="E44:K44" si="21">MEDIAN(E10:E39)</f>
        <v>0</v>
      </c>
      <c r="F44" s="1190">
        <f t="shared" si="21"/>
        <v>0</v>
      </c>
      <c r="G44" s="1190">
        <f t="shared" si="21"/>
        <v>0</v>
      </c>
      <c r="H44" s="1190">
        <f t="shared" si="21"/>
        <v>0.17863499999999999</v>
      </c>
      <c r="I44" s="1190">
        <f t="shared" si="21"/>
        <v>253.41356500000001</v>
      </c>
      <c r="J44" s="1190">
        <f t="shared" si="21"/>
        <v>91.676500000000004</v>
      </c>
      <c r="K44" s="1190">
        <f t="shared" si="21"/>
        <v>208.32753500000001</v>
      </c>
      <c r="L44" s="1188"/>
      <c r="M44" s="1328">
        <f t="shared" ref="M44:O44" si="22">MEDIAN(M10:M39)</f>
        <v>0</v>
      </c>
      <c r="N44" s="1190">
        <f t="shared" si="22"/>
        <v>3.2465753424657535</v>
      </c>
      <c r="O44" s="1537">
        <f t="shared" si="22"/>
        <v>1.4530136986301369E-2</v>
      </c>
      <c r="P44" s="1538"/>
      <c r="Q44" s="1539">
        <f>MEDIAN(Q10:Q39)</f>
        <v>0.82629458385847876</v>
      </c>
      <c r="R44" s="1540"/>
      <c r="S44" s="1541">
        <f t="shared" ref="S44:W44" si="23">MEDIAN(S10:S40)</f>
        <v>0.68280916889410093</v>
      </c>
      <c r="T44" s="1541">
        <f t="shared" si="23"/>
        <v>0.7548880388478908</v>
      </c>
      <c r="U44" s="1542">
        <f t="shared" si="23"/>
        <v>0</v>
      </c>
      <c r="V44" s="1542">
        <f t="shared" si="23"/>
        <v>0.46722485720632478</v>
      </c>
      <c r="W44" s="1542">
        <f t="shared" si="23"/>
        <v>0.21092943236047243</v>
      </c>
      <c r="X44" s="1190">
        <f t="shared" ref="X44:Y44" si="24">MEDIAN(X10:X39)</f>
        <v>13.799418219884025</v>
      </c>
      <c r="Y44" s="1543">
        <f t="shared" si="24"/>
        <v>0.80653221382375317</v>
      </c>
      <c r="AB44" s="1546" t="str">
        <f ca="1">IF(ROUND(AB41,3)=ROUND(AB43,3),"","Update Volatility - OPM")</f>
        <v>Update Volatility - OPM</v>
      </c>
      <c r="AC44" s="467"/>
      <c r="AD44" s="467"/>
      <c r="AE44" s="467"/>
      <c r="AF44" s="468"/>
    </row>
    <row r="45" spans="2:35" ht="14.85" customHeight="1">
      <c r="B45" s="1187" t="s">
        <v>114</v>
      </c>
      <c r="C45" s="1188"/>
      <c r="D45" s="1190">
        <f>QUARTILE(D10:D39,1)</f>
        <v>106.88460499999999</v>
      </c>
      <c r="E45" s="1190">
        <f t="shared" ref="E45:K45" si="25">QUARTILE(E10:E39,1)</f>
        <v>0</v>
      </c>
      <c r="F45" s="1190">
        <f t="shared" si="25"/>
        <v>0</v>
      </c>
      <c r="G45" s="1190">
        <f t="shared" si="25"/>
        <v>0</v>
      </c>
      <c r="H45" s="1190">
        <f t="shared" si="25"/>
        <v>0</v>
      </c>
      <c r="I45" s="1190">
        <f t="shared" si="25"/>
        <v>114.9033675</v>
      </c>
      <c r="J45" s="1190">
        <f t="shared" si="25"/>
        <v>21.772500000000001</v>
      </c>
      <c r="K45" s="1190">
        <f t="shared" si="25"/>
        <v>58.667125000000013</v>
      </c>
      <c r="L45" s="1188"/>
      <c r="M45" s="1328">
        <f t="shared" ref="M45:O45" si="26">QUARTILE(M10:M39,1)</f>
        <v>0</v>
      </c>
      <c r="N45" s="1190">
        <f t="shared" si="26"/>
        <v>3.2465753424657535</v>
      </c>
      <c r="O45" s="1537">
        <f t="shared" si="26"/>
        <v>1.4530136986301369E-2</v>
      </c>
      <c r="P45" s="1538"/>
      <c r="Q45" s="1539">
        <f>QUARTILE(Q10:Q39,1)</f>
        <v>0.80259153213194279</v>
      </c>
      <c r="R45" s="1540"/>
      <c r="S45" s="1541">
        <f t="shared" ref="S45:W45" si="27">QUARTILE(S10:S40,1)</f>
        <v>0.64415544012238102</v>
      </c>
      <c r="T45" s="1541">
        <f t="shared" si="27"/>
        <v>0</v>
      </c>
      <c r="U45" s="1542">
        <f t="shared" si="27"/>
        <v>0</v>
      </c>
      <c r="V45" s="1542">
        <f t="shared" si="27"/>
        <v>0</v>
      </c>
      <c r="W45" s="1542">
        <f t="shared" si="27"/>
        <v>0</v>
      </c>
      <c r="X45" s="1190">
        <f t="shared" ref="X45:Y45" si="28">QUARTILE(X10:X39,1)</f>
        <v>0</v>
      </c>
      <c r="Y45" s="1543">
        <f t="shared" si="28"/>
        <v>0.79814208077859672</v>
      </c>
      <c r="AB45" s="1547" t="str">
        <f>IF(ROUND(AB42,3)=ROUND(AB43,3),"","Update Volatility - DLOM")</f>
        <v>Update Volatility - DLOM</v>
      </c>
      <c r="AC45" s="346"/>
      <c r="AD45" s="346"/>
      <c r="AE45" s="346"/>
      <c r="AF45" s="897"/>
    </row>
    <row r="46" spans="2:35" ht="14.85" customHeight="1">
      <c r="B46" s="1192" t="s">
        <v>112</v>
      </c>
      <c r="C46" s="858"/>
      <c r="D46" s="867">
        <f t="shared" ref="D46:K46" si="29">MIN(D10:D39)</f>
        <v>7.33019</v>
      </c>
      <c r="E46" s="867">
        <f t="shared" si="29"/>
        <v>0</v>
      </c>
      <c r="F46" s="867">
        <f t="shared" si="29"/>
        <v>0</v>
      </c>
      <c r="G46" s="867">
        <f t="shared" si="29"/>
        <v>-0.55518999999999996</v>
      </c>
      <c r="H46" s="867">
        <f t="shared" si="29"/>
        <v>0</v>
      </c>
      <c r="I46" s="867">
        <f t="shared" si="29"/>
        <v>7.33019</v>
      </c>
      <c r="J46" s="867">
        <f t="shared" si="29"/>
        <v>0</v>
      </c>
      <c r="K46" s="867">
        <f t="shared" si="29"/>
        <v>-4.3520399999999881</v>
      </c>
      <c r="L46" s="858"/>
      <c r="M46" s="1330">
        <f>MIN(M10:M39)</f>
        <v>0</v>
      </c>
      <c r="N46" s="867">
        <f>MIN(N10:N39)</f>
        <v>3.2465753424657535</v>
      </c>
      <c r="O46" s="1548">
        <f>MIN(O10:O39)</f>
        <v>1.4530136986301369E-2</v>
      </c>
      <c r="P46" s="1549"/>
      <c r="Q46" s="1550">
        <f>MIN(Q10:Q39)</f>
        <v>0.61508994844412945</v>
      </c>
      <c r="R46" s="1551"/>
      <c r="S46" s="1552">
        <f>MIN(S10:S40)</f>
        <v>0.37833564467700181</v>
      </c>
      <c r="T46" s="1552">
        <f>MIN(T10:T40)</f>
        <v>0</v>
      </c>
      <c r="U46" s="1553">
        <f>MIN(U10:U40)</f>
        <v>-0.19714032289561012</v>
      </c>
      <c r="V46" s="1553">
        <f>MIN(V10:V40)</f>
        <v>0</v>
      </c>
      <c r="W46" s="1553">
        <f>MIN(W10:W40)</f>
        <v>0</v>
      </c>
      <c r="X46" s="867">
        <f>MIN(X10:X39)</f>
        <v>0</v>
      </c>
      <c r="Y46" s="1554">
        <f>MIN(Y10:Y39)</f>
        <v>0.61210376637049768</v>
      </c>
      <c r="AB46" s="433" t="str">
        <f ca="1">IF(K48&lt;&gt;K50,"Check","")</f>
        <v/>
      </c>
    </row>
    <row r="47" spans="2:35" ht="14.85" customHeight="1">
      <c r="AB47" s="1104" t="str">
        <f ca="1">IF(AND(AB44=$AF$45,AB46=$AF$45,AB45=$AF$45),"","Check")</f>
        <v>Check</v>
      </c>
    </row>
    <row r="48" spans="2:35" ht="14.85" customHeight="1">
      <c r="B48" s="1555" t="str">
        <f>B2</f>
        <v>ABC, Inc.</v>
      </c>
      <c r="C48" s="1556" t="s">
        <v>269</v>
      </c>
      <c r="D48" s="1557"/>
      <c r="E48" s="1557"/>
      <c r="F48" s="1557"/>
      <c r="G48" s="1557"/>
      <c r="H48" s="1558">
        <f ca="1">-'Val Summ'!$H$20/1000</f>
        <v>2.0379999999999998</v>
      </c>
      <c r="I48" s="1559">
        <f t="shared" ref="I48" si="30">SUM(D48:G48)</f>
        <v>0</v>
      </c>
      <c r="J48" s="1557"/>
      <c r="K48" s="1558">
        <f ca="1">'Val Summ'!$H$17/1000</f>
        <v>61.23</v>
      </c>
      <c r="L48" s="1557"/>
      <c r="M48" s="1560">
        <f>DLOM!H17</f>
        <v>0</v>
      </c>
      <c r="N48" s="1561">
        <f>N$6</f>
        <v>3.2465753424657535</v>
      </c>
      <c r="O48" s="1562">
        <f>O$6</f>
        <v>1.4530136986301369E-2</v>
      </c>
      <c r="P48" s="1563"/>
      <c r="Q48" s="1564">
        <v>0.31</v>
      </c>
      <c r="R48" s="1557"/>
      <c r="S48" s="1565">
        <f>IF(Q48="n/a","n/a",Q48^2)</f>
        <v>9.6100000000000005E-2</v>
      </c>
      <c r="T48" s="1565">
        <f ca="1">IF(OR(K48="n/a",S48="n/a"),"n/a",IF(H48=0,0,IF(M48=0,(LN(K48/H48)+((O48+(S48/2))*N48))/((S48*N48)^0.5),(LN(K48/H48)+((O48-M48+(S48/2))*N48))/((S48*N48)^0.5))))</f>
        <v>6.455530692889921</v>
      </c>
      <c r="U48" s="1566">
        <f ca="1">IF(T48="n/a","n/a",IF(H48=0,0,T48-(S48*N48)^0.5))</f>
        <v>5.8969647698235752</v>
      </c>
      <c r="V48" s="1566">
        <f ca="1">IF(OR(T48="n/a",S48="n/a"),"n/a",IF(H48=0,0,NORMSDIST(T48)))</f>
        <v>0.9999999999460798</v>
      </c>
      <c r="W48" s="1566">
        <f ca="1">IF(OR(U48="n/a",S48="n/a"),"n/a",IF(H48=0,0,NORMSDIST(U48)))</f>
        <v>0.99999999814875562</v>
      </c>
      <c r="X48" s="1566">
        <f ca="1">IF(OR(K48="n/a",S48="n/a"),"n/a",IF(M48=0,(K48*V48)-((H48*EXP(1)^(-O48*N48))*W48),(K48*(2.718^(-M48*N48))*V48)-(H48*(2.718^(-O48*N48))*W48)))</f>
        <v>59.285906599934769</v>
      </c>
      <c r="Y48" s="1567">
        <f ca="1">IF(LEN(B48)&gt;0,IF(H48=0,Q48,IF(ISERROR(Q48/((K48/X48)*V48)),"n/a",Q48/((K48/X48)*V48))))</f>
        <v>0.30015729294415744</v>
      </c>
    </row>
    <row r="49" spans="1:25" ht="14.85" customHeight="1">
      <c r="C49" s="414"/>
      <c r="D49" s="414"/>
      <c r="E49" s="414"/>
      <c r="F49" s="414"/>
      <c r="G49" s="414"/>
      <c r="H49" s="414"/>
      <c r="I49" s="414"/>
      <c r="J49" s="414"/>
    </row>
    <row r="50" spans="1:25" ht="14.85" customHeight="1">
      <c r="B50" s="1555" t="str">
        <f>B48</f>
        <v>ABC, Inc.</v>
      </c>
      <c r="C50" s="1556" t="s">
        <v>308</v>
      </c>
      <c r="D50" s="1557"/>
      <c r="E50" s="1557"/>
      <c r="F50" s="1557"/>
      <c r="G50" s="1557"/>
      <c r="H50" s="1558"/>
      <c r="I50" s="1559">
        <f ca="1">K50+J50</f>
        <v>61.23</v>
      </c>
      <c r="J50" s="1557"/>
      <c r="K50" s="1568">
        <f ca="1">K48</f>
        <v>61.23</v>
      </c>
      <c r="L50" s="1557"/>
      <c r="M50" s="1569">
        <f>M48</f>
        <v>0</v>
      </c>
      <c r="N50" s="1561">
        <f>N$6</f>
        <v>3.2465753424657535</v>
      </c>
      <c r="O50" s="1562">
        <f>O$6</f>
        <v>1.4530136986301369E-2</v>
      </c>
      <c r="P50" s="1563"/>
      <c r="Q50" s="1564">
        <v>0.31</v>
      </c>
      <c r="R50" s="1557"/>
      <c r="S50" s="1565">
        <f>IF(Q50="n/a","n/a",Q50^2)</f>
        <v>9.6100000000000005E-2</v>
      </c>
      <c r="T50" s="1565">
        <f ca="1">IF(OR(K50="n/a",S50="n/a"),"n/a",IF(H50=0,0,IF(M50=0,(LN(K50/H50)+((O50+(S50/2))*N50))/((S50*N50)^0.5),(LN(K50/H50)+((O50-M50+(S50/2))*N50))/((S50*N50)^0.5))))</f>
        <v>0</v>
      </c>
      <c r="U50" s="1566">
        <f ca="1">IF(T50="n/a","n/a",IF(H50=0,0,T50-(S50*N50)^0.5))</f>
        <v>0</v>
      </c>
      <c r="V50" s="1566">
        <f ca="1">IF(OR(T50="n/a",S50="n/a"),"n/a",IF(H50=0,0,NORMSDIST(T50)))</f>
        <v>0</v>
      </c>
      <c r="W50" s="1566">
        <f ca="1">IF(OR(U50="n/a",S50="n/a"),"n/a",IF(H50=0,0,NORMSDIST(U50)))</f>
        <v>0</v>
      </c>
      <c r="X50" s="1566">
        <f ca="1">IF(OR(K50="n/a",S50="n/a"),"n/a",IF(M50=0,(K50*V50)-((H50*EXP(1)^(-O50*N50))*W50),(K50*(2.718^(-M50*N50))*V50)-(H50*(2.718^(-O50*N50))*W50)))</f>
        <v>0</v>
      </c>
      <c r="Y50" s="1567">
        <f>IF(LEN(B50)&gt;0,IF(H50=0,Q50,IF(ISERROR(Q50/((K50/X50)*V50)),"n/a",Q50/((K50/X50)*V50))))</f>
        <v>0.31</v>
      </c>
    </row>
    <row r="51" spans="1:25" ht="14.85" customHeight="1"/>
    <row r="52" spans="1:25" ht="14.85" customHeight="1">
      <c r="B52" s="356" t="s">
        <v>86</v>
      </c>
    </row>
    <row r="53" spans="1:25" ht="14.85" customHeight="1">
      <c r="A53" s="357" t="s">
        <v>270</v>
      </c>
      <c r="B53" s="274" t="s">
        <v>3513</v>
      </c>
    </row>
    <row r="54" spans="1:25" s="359" customFormat="1" ht="14.85" customHeight="1">
      <c r="A54" s="1570" t="s">
        <v>269</v>
      </c>
      <c r="B54" s="1571" t="s">
        <v>1140</v>
      </c>
      <c r="P54" s="1572"/>
    </row>
    <row r="55" spans="1:25" s="359" customFormat="1" ht="14.85" customHeight="1">
      <c r="A55" s="1570" t="s">
        <v>308</v>
      </c>
      <c r="B55" s="1571" t="s">
        <v>1141</v>
      </c>
      <c r="P55" s="1572"/>
    </row>
    <row r="56" spans="1:25" ht="14.85" customHeight="1"/>
    <row r="57" spans="1:25" ht="14.85" customHeight="1">
      <c r="B57" s="356" t="s">
        <v>116</v>
      </c>
    </row>
    <row r="58" spans="1:25" ht="14.85" customHeight="1"/>
    <row r="59" spans="1:25" ht="14.85" customHeight="1">
      <c r="B59" s="250" t="s">
        <v>1844</v>
      </c>
    </row>
    <row r="60" spans="1:25" ht="14.85" customHeight="1">
      <c r="B60" s="250" t="s">
        <v>1845</v>
      </c>
    </row>
    <row r="61" spans="1:25" ht="14.85" customHeight="1">
      <c r="B61" s="250" t="s">
        <v>1846</v>
      </c>
    </row>
    <row r="62" spans="1:25" ht="14.85" customHeight="1">
      <c r="B62" s="250" t="s">
        <v>1847</v>
      </c>
    </row>
    <row r="63" spans="1:25" ht="14.85" customHeight="1">
      <c r="B63" s="250" t="s">
        <v>1848</v>
      </c>
    </row>
    <row r="64" spans="1:25" ht="14.85" customHeight="1">
      <c r="B64" s="250" t="s">
        <v>1849</v>
      </c>
    </row>
    <row r="65" spans="2:2" ht="14.85" customHeight="1">
      <c r="B65" s="250" t="s">
        <v>1850</v>
      </c>
    </row>
    <row r="66" spans="2:2" ht="14.85" customHeight="1"/>
    <row r="67" spans="2:2" ht="14.85" customHeight="1">
      <c r="B67" s="250" t="s">
        <v>1851</v>
      </c>
    </row>
    <row r="68" spans="2:2" ht="14.85" customHeight="1">
      <c r="B68" s="250" t="s">
        <v>1852</v>
      </c>
    </row>
    <row r="69" spans="2:2" ht="14.85" customHeight="1">
      <c r="B69" s="250" t="s">
        <v>1853</v>
      </c>
    </row>
    <row r="70" spans="2:2" ht="14.85" customHeight="1">
      <c r="B70" s="250" t="s">
        <v>1854</v>
      </c>
    </row>
    <row r="71" spans="2:2" ht="14.85" customHeight="1">
      <c r="B71" s="250" t="s">
        <v>1855</v>
      </c>
    </row>
    <row r="72" spans="2:2" ht="14.85" customHeight="1">
      <c r="B72" s="250" t="s">
        <v>1856</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135" priority="9" operator="equal">
      <formula>"(Invalid Identifier)"</formula>
    </cfRule>
  </conditionalFormatting>
  <conditionalFormatting sqref="C4:I4">
    <cfRule type="cellIs" dxfId="134" priority="8" stopIfTrue="1" operator="equal">
      <formula>"input"</formula>
    </cfRule>
  </conditionalFormatting>
  <conditionalFormatting sqref="J4">
    <cfRule type="cellIs" dxfId="133" priority="6" stopIfTrue="1" operator="equal">
      <formula>"input"</formula>
    </cfRule>
  </conditionalFormatting>
  <conditionalFormatting sqref="J4">
    <cfRule type="cellIs" dxfId="132" priority="7" stopIfTrue="1" operator="equal">
      <formula>"input"</formula>
    </cfRule>
  </conditionalFormatting>
  <conditionalFormatting sqref="K4:X4">
    <cfRule type="cellIs" dxfId="131" priority="4" stopIfTrue="1" operator="equal">
      <formula>"input"</formula>
    </cfRule>
  </conditionalFormatting>
  <conditionalFormatting sqref="K4:X4">
    <cfRule type="cellIs" dxfId="130" priority="5" stopIfTrue="1" operator="equal">
      <formula>"input"</formula>
    </cfRule>
  </conditionalFormatting>
  <conditionalFormatting sqref="Y4">
    <cfRule type="cellIs" dxfId="129" priority="2" stopIfTrue="1" operator="equal">
      <formula>"input"</formula>
    </cfRule>
  </conditionalFormatting>
  <conditionalFormatting sqref="Y4">
    <cfRule type="cellIs" dxfId="128" priority="3" stopIfTrue="1" operator="equal">
      <formula>"input"</formula>
    </cfRule>
  </conditionalFormatting>
  <conditionalFormatting sqref="B4">
    <cfRule type="cellIs" dxfId="127" priority="1" stopIfTrue="1" operator="equal">
      <formula>"input"</formula>
    </cfRule>
  </conditionalFormatting>
  <pageMargins left="0.5" right="0.5" top="0.5" bottom="0.5" header="0.5" footer="0.5"/>
  <pageSetup scale="72" fitToWidth="0" fitToHeight="0" orientation="landscape" r:id="rId1"/>
  <legacyDrawing r:id="rId2"/>
  <legacyDrawingHF r:id="rId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2"/>
  <dimension ref="A1:R764"/>
  <sheetViews>
    <sheetView showGridLines="0" view="pageBreakPreview" zoomScale="80" zoomScaleNormal="100" zoomScaleSheetLayoutView="80" workbookViewId="0"/>
  </sheetViews>
  <sheetFormatPr defaultRowHeight="12.75"/>
  <cols>
    <col min="1" max="1" width="4.5" style="250" customWidth="1"/>
    <col min="2" max="2" width="45.5" style="250" customWidth="1"/>
    <col min="3" max="3" width="2.83203125" style="250" customWidth="1"/>
    <col min="4" max="11" width="14.83203125" style="250" customWidth="1"/>
    <col min="12" max="12" width="4.5" style="250" customWidth="1"/>
    <col min="13" max="13" width="9.5" style="250" bestFit="1" customWidth="1"/>
    <col min="14" max="14" width="11.33203125" style="250" bestFit="1" customWidth="1"/>
    <col min="15" max="15" width="14.1640625" style="251" customWidth="1"/>
    <col min="16" max="16" width="9.5" style="250" bestFit="1" customWidth="1"/>
    <col min="17" max="17" width="14.1640625" style="250" bestFit="1" customWidth="1"/>
    <col min="18" max="18" width="9.5" style="250" bestFit="1" customWidth="1"/>
    <col min="19" max="16384" width="9.33203125" style="250"/>
  </cols>
  <sheetData>
    <row r="1" spans="2:18" ht="10.7" customHeight="1" thickBot="1"/>
    <row r="2" spans="2:18" ht="16.5" customHeight="1" thickTop="1">
      <c r="B2" s="258" t="str">
        <f>'MASTER PubCo Inputs'!$C$5</f>
        <v>ABC, Inc.</v>
      </c>
      <c r="C2" s="258"/>
      <c r="D2" s="258"/>
      <c r="E2" s="258"/>
      <c r="F2" s="258"/>
      <c r="G2" s="258"/>
      <c r="H2" s="258"/>
      <c r="I2" s="258"/>
      <c r="J2" s="258"/>
      <c r="K2" s="258"/>
    </row>
    <row r="3" spans="2:18" ht="15.75" customHeight="1">
      <c r="B3" s="259" t="str">
        <f>VLOOKUP(B4,Outline!$E$8:$G$79,COLUMNS(Outline!$E$8:$G$8),FALSE)</f>
        <v>Exhibit H.8</v>
      </c>
      <c r="C3" s="259"/>
      <c r="D3" s="259"/>
      <c r="E3" s="259"/>
      <c r="F3" s="259"/>
      <c r="G3" s="259"/>
      <c r="H3" s="259"/>
      <c r="I3" s="259"/>
      <c r="J3" s="259"/>
      <c r="K3" s="259"/>
      <c r="O3" s="1281" t="s">
        <v>1137</v>
      </c>
      <c r="P3" s="1323">
        <v>1.5</v>
      </c>
      <c r="Q3" s="1281" t="s">
        <v>1138</v>
      </c>
      <c r="R3" s="1323">
        <v>0</v>
      </c>
    </row>
    <row r="4" spans="2:18" ht="16.5" customHeight="1" thickBot="1">
      <c r="B4" s="924" t="s">
        <v>117</v>
      </c>
      <c r="C4" s="924"/>
      <c r="D4" s="924"/>
      <c r="E4" s="924"/>
      <c r="F4" s="924"/>
      <c r="G4" s="924"/>
      <c r="H4" s="924"/>
      <c r="I4" s="924"/>
      <c r="J4" s="924"/>
      <c r="K4" s="924"/>
    </row>
    <row r="5" spans="2:18" s="467" customFormat="1" ht="14.85" customHeight="1" thickTop="1">
      <c r="B5" s="250"/>
      <c r="C5" s="250"/>
      <c r="D5" s="250"/>
      <c r="E5" s="250"/>
      <c r="F5" s="250"/>
      <c r="G5" s="250"/>
      <c r="H5" s="250"/>
      <c r="I5" s="250"/>
      <c r="J5" s="250"/>
      <c r="K5" s="250"/>
      <c r="L5" s="250"/>
      <c r="O5" s="318"/>
    </row>
    <row r="6" spans="2:18" ht="14.85" customHeight="1">
      <c r="D6" s="1574" t="s">
        <v>3514</v>
      </c>
      <c r="E6" s="1574"/>
      <c r="F6" s="1574"/>
      <c r="G6" s="1574"/>
      <c r="H6" s="1574"/>
      <c r="I6" s="1574"/>
      <c r="J6" s="1574"/>
      <c r="K6" s="1574"/>
      <c r="M6" s="1575" t="s">
        <v>87</v>
      </c>
      <c r="N6" s="1576">
        <f>'MASTER PubCo Inputs'!$C$6</f>
        <v>42735</v>
      </c>
    </row>
    <row r="7" spans="2:18" ht="14.85" customHeight="1">
      <c r="D7" s="1577" t="s">
        <v>118</v>
      </c>
      <c r="E7" s="1357"/>
      <c r="F7" s="1357"/>
      <c r="G7" s="1357"/>
      <c r="H7" s="1578"/>
      <c r="I7" s="1357"/>
      <c r="J7" s="1357"/>
      <c r="K7" s="1578"/>
    </row>
    <row r="8" spans="2:18" ht="14.85" customHeight="1">
      <c r="B8" s="1515" t="s">
        <v>815</v>
      </c>
      <c r="D8" s="1579">
        <v>1</v>
      </c>
      <c r="E8" s="1580">
        <v>2</v>
      </c>
      <c r="F8" s="1580">
        <v>3</v>
      </c>
      <c r="G8" s="1580">
        <v>4</v>
      </c>
      <c r="H8" s="1580">
        <v>5</v>
      </c>
      <c r="I8" s="1580">
        <v>6</v>
      </c>
      <c r="J8" s="1580">
        <v>7</v>
      </c>
      <c r="K8" s="1581">
        <v>8</v>
      </c>
      <c r="M8" s="1171" t="s">
        <v>108</v>
      </c>
      <c r="O8" s="252" t="s">
        <v>2187</v>
      </c>
    </row>
    <row r="9" spans="2:18" ht="14.85" customHeight="1"/>
    <row r="10" spans="2:18" ht="14.85" customHeight="1">
      <c r="B10" s="250" t="str">
        <f>'Comp.1'!B12</f>
        <v>Spark Therapeutics, Inc.</v>
      </c>
      <c r="D10" s="1066">
        <f>IF('Capital IQ Sheet-GPC'!BS13&gt;'Equity Vol'!$P$3,"n/a",IF('Capital IQ Sheet-GPC'!BS13&lt;'Equity Vol'!$R$3,"n/a",'Capital IQ Sheet-GPC'!BS13))</f>
        <v>0.77767472070583177</v>
      </c>
      <c r="E10" s="1066">
        <f>IF('Capital IQ Sheet-GPC'!BT13&gt;'Equity Vol'!$P$3,"n/a",IF('Capital IQ Sheet-GPC'!BT13&lt;'Equity Vol'!$R$3,"n/a",'Capital IQ Sheet-GPC'!BT13))</f>
        <v>0.7672442493850854</v>
      </c>
      <c r="F10" s="1066" t="str">
        <f>IF('Capital IQ Sheet-GPC'!BU13&gt;'Equity Vol'!$P$3,"n/a",IF('Capital IQ Sheet-GPC'!BU13&lt;'Equity Vol'!$R$3,"n/a",'Capital IQ Sheet-GPC'!BU13))</f>
        <v>n/a</v>
      </c>
      <c r="G10" s="1066" t="str">
        <f>IF('Capital IQ Sheet-GPC'!BV13&gt;'Equity Vol'!$P$3,"n/a",IF('Capital IQ Sheet-GPC'!BV13&lt;'Equity Vol'!$R$3,"n/a",'Capital IQ Sheet-GPC'!BV13))</f>
        <v>n/a</v>
      </c>
      <c r="H10" s="1066" t="str">
        <f>IF('Capital IQ Sheet-GPC'!BW13&gt;'Equity Vol'!$P$3,"n/a",IF('Capital IQ Sheet-GPC'!BW13&lt;'Equity Vol'!$R$3,"n/a",'Capital IQ Sheet-GPC'!BW13))</f>
        <v>n/a</v>
      </c>
      <c r="I10" s="1066" t="str">
        <f>IF('Capital IQ Sheet-GPC'!BX13&gt;'Equity Vol'!$P$3,"n/a",IF('Capital IQ Sheet-GPC'!BX13&lt;'Equity Vol'!$R$3,"n/a",'Capital IQ Sheet-GPC'!BX13))</f>
        <v>n/a</v>
      </c>
      <c r="J10" s="1066" t="str">
        <f>IF('Capital IQ Sheet-GPC'!BY13&gt;'Equity Vol'!$P$3,"n/a",IF('Capital IQ Sheet-GPC'!BY13&lt;'Equity Vol'!$R$3,"n/a",'Capital IQ Sheet-GPC'!BY13))</f>
        <v>n/a</v>
      </c>
      <c r="K10" s="1066" t="str">
        <f>IF('Capital IQ Sheet-GPC'!BZ13&gt;'Equity Vol'!$P$3,"n/a",IF('Capital IQ Sheet-GPC'!BZ13&lt;'Equity Vol'!$R$3,"n/a",'Capital IQ Sheet-GPC'!BZ13))</f>
        <v>n/a</v>
      </c>
      <c r="M10" s="1582" t="str">
        <f>'Asset Vol_OPM'!AA10</f>
        <v>NasdaqGS:ONCE</v>
      </c>
      <c r="O10" s="1583">
        <f>'Capital IQ Sheet-GPC'!G13</f>
        <v>42034</v>
      </c>
    </row>
    <row r="11" spans="2:18" ht="14.85" customHeight="1">
      <c r="B11" s="250" t="str">
        <f>'Comp.1'!B13</f>
        <v>CRISPR Therapeutics AG</v>
      </c>
      <c r="D11" s="1066">
        <f>IF('Capital IQ Sheet-GPC'!BS14&gt;'Equity Vol'!$P$3,"n/a",IF('Capital IQ Sheet-GPC'!BS14&lt;'Equity Vol'!$R$3,"n/a",'Capital IQ Sheet-GPC'!BS14))</f>
        <v>0.92672097514187046</v>
      </c>
      <c r="E11" s="1066" t="str">
        <f>IF('Capital IQ Sheet-GPC'!BT14&gt;'Equity Vol'!$P$3,"n/a",IF('Capital IQ Sheet-GPC'!BT14&lt;'Equity Vol'!$R$3,"n/a",'Capital IQ Sheet-GPC'!BT14))</f>
        <v>n/a</v>
      </c>
      <c r="F11" s="1066" t="str">
        <f>IF('Capital IQ Sheet-GPC'!BU14&gt;'Equity Vol'!$P$3,"n/a",IF('Capital IQ Sheet-GPC'!BU14&lt;'Equity Vol'!$R$3,"n/a",'Capital IQ Sheet-GPC'!BU14))</f>
        <v>n/a</v>
      </c>
      <c r="G11" s="1066" t="str">
        <f>IF('Capital IQ Sheet-GPC'!BV14&gt;'Equity Vol'!$P$3,"n/a",IF('Capital IQ Sheet-GPC'!BV14&lt;'Equity Vol'!$R$3,"n/a",'Capital IQ Sheet-GPC'!BV14))</f>
        <v>n/a</v>
      </c>
      <c r="H11" s="1066" t="str">
        <f>IF('Capital IQ Sheet-GPC'!BW14&gt;'Equity Vol'!$P$3,"n/a",IF('Capital IQ Sheet-GPC'!BW14&lt;'Equity Vol'!$R$3,"n/a",'Capital IQ Sheet-GPC'!BW14))</f>
        <v>n/a</v>
      </c>
      <c r="I11" s="1066" t="str">
        <f>IF('Capital IQ Sheet-GPC'!BX14&gt;'Equity Vol'!$P$3,"n/a",IF('Capital IQ Sheet-GPC'!BX14&lt;'Equity Vol'!$R$3,"n/a",'Capital IQ Sheet-GPC'!BX14))</f>
        <v>n/a</v>
      </c>
      <c r="J11" s="1066" t="str">
        <f>IF('Capital IQ Sheet-GPC'!BY14&gt;'Equity Vol'!$P$3,"n/a",IF('Capital IQ Sheet-GPC'!BY14&lt;'Equity Vol'!$R$3,"n/a",'Capital IQ Sheet-GPC'!BY14))</f>
        <v>n/a</v>
      </c>
      <c r="K11" s="1066" t="str">
        <f>IF('Capital IQ Sheet-GPC'!BZ14&gt;'Equity Vol'!$P$3,"n/a",IF('Capital IQ Sheet-GPC'!BZ14&lt;'Equity Vol'!$R$3,"n/a",'Capital IQ Sheet-GPC'!BZ14))</f>
        <v>n/a</v>
      </c>
      <c r="M11" s="1582" t="str">
        <f>'Asset Vol_OPM'!AA11</f>
        <v>NasdaqGM:CRSP</v>
      </c>
      <c r="O11" s="1583">
        <f>'Capital IQ Sheet-GPC'!G14</f>
        <v>42662</v>
      </c>
    </row>
    <row r="12" spans="2:18" ht="14.85" customHeight="1">
      <c r="B12" s="250" t="str">
        <f>'Comp.1'!B14</f>
        <v>WAVE Life Sciences Ltd.</v>
      </c>
      <c r="D12" s="1066">
        <f>IF('Capital IQ Sheet-GPC'!BS15&gt;'Equity Vol'!$P$3,"n/a",IF('Capital IQ Sheet-GPC'!BS15&lt;'Equity Vol'!$R$3,"n/a",'Capital IQ Sheet-GPC'!BS15))</f>
        <v>0.81416033280155464</v>
      </c>
      <c r="E12" s="1066">
        <f>IF('Capital IQ Sheet-GPC'!BT15&gt;'Equity Vol'!$P$3,"n/a",IF('Capital IQ Sheet-GPC'!BT15&lt;'Equity Vol'!$R$3,"n/a",'Capital IQ Sheet-GPC'!BT15))</f>
        <v>0.79703443847278144</v>
      </c>
      <c r="F12" s="1066" t="str">
        <f>IF('Capital IQ Sheet-GPC'!BU15&gt;'Equity Vol'!$P$3,"n/a",IF('Capital IQ Sheet-GPC'!BU15&lt;'Equity Vol'!$R$3,"n/a",'Capital IQ Sheet-GPC'!BU15))</f>
        <v>n/a</v>
      </c>
      <c r="G12" s="1066" t="str">
        <f>IF('Capital IQ Sheet-GPC'!BV15&gt;'Equity Vol'!$P$3,"n/a",IF('Capital IQ Sheet-GPC'!BV15&lt;'Equity Vol'!$R$3,"n/a",'Capital IQ Sheet-GPC'!BV15))</f>
        <v>n/a</v>
      </c>
      <c r="H12" s="1066" t="str">
        <f>IF('Capital IQ Sheet-GPC'!BW15&gt;'Equity Vol'!$P$3,"n/a",IF('Capital IQ Sheet-GPC'!BW15&lt;'Equity Vol'!$R$3,"n/a",'Capital IQ Sheet-GPC'!BW15))</f>
        <v>n/a</v>
      </c>
      <c r="I12" s="1066" t="str">
        <f>IF('Capital IQ Sheet-GPC'!BX15&gt;'Equity Vol'!$P$3,"n/a",IF('Capital IQ Sheet-GPC'!BX15&lt;'Equity Vol'!$R$3,"n/a",'Capital IQ Sheet-GPC'!BX15))</f>
        <v>n/a</v>
      </c>
      <c r="J12" s="1066" t="str">
        <f>IF('Capital IQ Sheet-GPC'!BY15&gt;'Equity Vol'!$P$3,"n/a",IF('Capital IQ Sheet-GPC'!BY15&lt;'Equity Vol'!$R$3,"n/a",'Capital IQ Sheet-GPC'!BY15))</f>
        <v>n/a</v>
      </c>
      <c r="K12" s="1066" t="str">
        <f>IF('Capital IQ Sheet-GPC'!BZ15&gt;'Equity Vol'!$P$3,"n/a",IF('Capital IQ Sheet-GPC'!BZ15&lt;'Equity Vol'!$R$3,"n/a",'Capital IQ Sheet-GPC'!BZ15))</f>
        <v>n/a</v>
      </c>
      <c r="M12" s="1582" t="str">
        <f>'Asset Vol_OPM'!AA12</f>
        <v>NasdaqGM:WVE</v>
      </c>
      <c r="O12" s="1583">
        <f>'Capital IQ Sheet-GPC'!G15</f>
        <v>42319</v>
      </c>
    </row>
    <row r="13" spans="2:18" ht="14.85" customHeight="1">
      <c r="B13" s="250" t="str">
        <f>'Comp.1'!B15</f>
        <v>Regenxbio Inc.</v>
      </c>
      <c r="D13" s="1066">
        <f>IF('Capital IQ Sheet-GPC'!BS16&gt;'Equity Vol'!$P$3,"n/a",IF('Capital IQ Sheet-GPC'!BS16&lt;'Equity Vol'!$R$3,"n/a",'Capital IQ Sheet-GPC'!BS16))</f>
        <v>0.66008168675338585</v>
      </c>
      <c r="E13" s="1066">
        <f>IF('Capital IQ Sheet-GPC'!BT16&gt;'Equity Vol'!$P$3,"n/a",IF('Capital IQ Sheet-GPC'!BT16&lt;'Equity Vol'!$R$3,"n/a",'Capital IQ Sheet-GPC'!BT16))</f>
        <v>0.74596470213292698</v>
      </c>
      <c r="F13" s="1066" t="str">
        <f>IF('Capital IQ Sheet-GPC'!BU16&gt;'Equity Vol'!$P$3,"n/a",IF('Capital IQ Sheet-GPC'!BU16&lt;'Equity Vol'!$R$3,"n/a",'Capital IQ Sheet-GPC'!BU16))</f>
        <v>n/a</v>
      </c>
      <c r="G13" s="1066" t="str">
        <f>IF('Capital IQ Sheet-GPC'!BV16&gt;'Equity Vol'!$P$3,"n/a",IF('Capital IQ Sheet-GPC'!BV16&lt;'Equity Vol'!$R$3,"n/a",'Capital IQ Sheet-GPC'!BV16))</f>
        <v>n/a</v>
      </c>
      <c r="H13" s="1066" t="str">
        <f>IF('Capital IQ Sheet-GPC'!BW16&gt;'Equity Vol'!$P$3,"n/a",IF('Capital IQ Sheet-GPC'!BW16&lt;'Equity Vol'!$R$3,"n/a",'Capital IQ Sheet-GPC'!BW16))</f>
        <v>n/a</v>
      </c>
      <c r="I13" s="1066" t="str">
        <f>IF('Capital IQ Sheet-GPC'!BX16&gt;'Equity Vol'!$P$3,"n/a",IF('Capital IQ Sheet-GPC'!BX16&lt;'Equity Vol'!$R$3,"n/a",'Capital IQ Sheet-GPC'!BX16))</f>
        <v>n/a</v>
      </c>
      <c r="J13" s="1066" t="str">
        <f>IF('Capital IQ Sheet-GPC'!BY16&gt;'Equity Vol'!$P$3,"n/a",IF('Capital IQ Sheet-GPC'!BY16&lt;'Equity Vol'!$R$3,"n/a",'Capital IQ Sheet-GPC'!BY16))</f>
        <v>n/a</v>
      </c>
      <c r="K13" s="1066" t="str">
        <f>IF('Capital IQ Sheet-GPC'!BZ16&gt;'Equity Vol'!$P$3,"n/a",IF('Capital IQ Sheet-GPC'!BZ16&lt;'Equity Vol'!$R$3,"n/a",'Capital IQ Sheet-GPC'!BZ16))</f>
        <v>n/a</v>
      </c>
      <c r="M13" s="1582" t="str">
        <f>'Asset Vol_OPM'!AA13</f>
        <v>NasdaqGS:RGNX</v>
      </c>
      <c r="O13" s="1583">
        <f>'Capital IQ Sheet-GPC'!G16</f>
        <v>42264</v>
      </c>
    </row>
    <row r="14" spans="2:18" ht="14.85" customHeight="1">
      <c r="B14" s="250" t="str">
        <f>'Comp.1'!B16</f>
        <v>Inovio Pharmaceuticals, Inc.</v>
      </c>
      <c r="D14" s="1066">
        <f>IF('Capital IQ Sheet-GPC'!BS17&gt;'Equity Vol'!$P$3,"n/a",IF('Capital IQ Sheet-GPC'!BS17&lt;'Equity Vol'!$R$3,"n/a",'Capital IQ Sheet-GPC'!BS17))</f>
        <v>0.62500700103077034</v>
      </c>
      <c r="E14" s="1066">
        <f>IF('Capital IQ Sheet-GPC'!BT17&gt;'Equity Vol'!$P$3,"n/a",IF('Capital IQ Sheet-GPC'!BT17&lt;'Equity Vol'!$R$3,"n/a",'Capital IQ Sheet-GPC'!BT17))</f>
        <v>0.6189501235098539</v>
      </c>
      <c r="F14" s="1066">
        <f>IF('Capital IQ Sheet-GPC'!BU17&gt;'Equity Vol'!$P$3,"n/a",IF('Capital IQ Sheet-GPC'!BU17&lt;'Equity Vol'!$R$3,"n/a",'Capital IQ Sheet-GPC'!BU17))</f>
        <v>0.65354069738568776</v>
      </c>
      <c r="G14" s="1066">
        <f>IF('Capital IQ Sheet-GPC'!BV17&gt;'Equity Vol'!$P$3,"n/a",IF('Capital IQ Sheet-GPC'!BV17&lt;'Equity Vol'!$R$3,"n/a",'Capital IQ Sheet-GPC'!BV17))</f>
        <v>0.77214933500830729</v>
      </c>
      <c r="H14" s="1066">
        <f>IF('Capital IQ Sheet-GPC'!BW17&gt;'Equity Vol'!$P$3,"n/a",IF('Capital IQ Sheet-GPC'!BW17&lt;'Equity Vol'!$R$3,"n/a",'Capital IQ Sheet-GPC'!BW17))</f>
        <v>0.75967062904787386</v>
      </c>
      <c r="I14" s="1066">
        <f>IF('Capital IQ Sheet-GPC'!BX17&gt;'Equity Vol'!$P$3,"n/a",IF('Capital IQ Sheet-GPC'!BX17&lt;'Equity Vol'!$R$3,"n/a",'Capital IQ Sheet-GPC'!BX17))</f>
        <v>0.7315267347243225</v>
      </c>
      <c r="J14" s="1066">
        <f>IF('Capital IQ Sheet-GPC'!BY17&gt;'Equity Vol'!$P$3,"n/a",IF('Capital IQ Sheet-GPC'!BY17&lt;'Equity Vol'!$R$3,"n/a",'Capital IQ Sheet-GPC'!BY17))</f>
        <v>0.70943612296271397</v>
      </c>
      <c r="K14" s="1066">
        <f>IF('Capital IQ Sheet-GPC'!BZ17&gt;'Equity Vol'!$P$3,"n/a",IF('Capital IQ Sheet-GPC'!BZ17&lt;'Equity Vol'!$R$3,"n/a",'Capital IQ Sheet-GPC'!BZ17))</f>
        <v>1.0083075894994566</v>
      </c>
      <c r="M14" s="1582" t="str">
        <f>'Asset Vol_OPM'!AA14</f>
        <v>NasdaqGS:INO</v>
      </c>
      <c r="O14" s="1583">
        <f>'Capital IQ Sheet-GPC'!G17</f>
        <v>36137</v>
      </c>
    </row>
    <row r="15" spans="2:18" ht="14.85" customHeight="1">
      <c r="B15" s="250" t="str">
        <f>'Comp.1'!B17</f>
        <v>Enanta Pharmaceuticals, Inc.</v>
      </c>
      <c r="D15" s="1066">
        <f>IF('Capital IQ Sheet-GPC'!BS18&gt;'Equity Vol'!$P$3,"n/a",IF('Capital IQ Sheet-GPC'!BS18&lt;'Equity Vol'!$R$3,"n/a",'Capital IQ Sheet-GPC'!BS18))</f>
        <v>0.50325979341735505</v>
      </c>
      <c r="E15" s="1066">
        <f>IF('Capital IQ Sheet-GPC'!BT18&gt;'Equity Vol'!$P$3,"n/a",IF('Capital IQ Sheet-GPC'!BT18&lt;'Equity Vol'!$R$3,"n/a",'Capital IQ Sheet-GPC'!BT18))</f>
        <v>0.62241218308329371</v>
      </c>
      <c r="F15" s="1066">
        <f>IF('Capital IQ Sheet-GPC'!BU18&gt;'Equity Vol'!$P$3,"n/a",IF('Capital IQ Sheet-GPC'!BU18&lt;'Equity Vol'!$R$3,"n/a",'Capital IQ Sheet-GPC'!BU18))</f>
        <v>0.61508994844412945</v>
      </c>
      <c r="G15" s="1066">
        <f>IF('Capital IQ Sheet-GPC'!BV18&gt;'Equity Vol'!$P$3,"n/a",IF('Capital IQ Sheet-GPC'!BV18&lt;'Equity Vol'!$R$3,"n/a",'Capital IQ Sheet-GPC'!BV18))</f>
        <v>0.59320343181979973</v>
      </c>
      <c r="H15" s="1066" t="str">
        <f>IF('Capital IQ Sheet-GPC'!BW18&gt;'Equity Vol'!$P$3,"n/a",IF('Capital IQ Sheet-GPC'!BW18&lt;'Equity Vol'!$R$3,"n/a",'Capital IQ Sheet-GPC'!BW18))</f>
        <v>n/a</v>
      </c>
      <c r="I15" s="1066" t="str">
        <f>IF('Capital IQ Sheet-GPC'!BX18&gt;'Equity Vol'!$P$3,"n/a",IF('Capital IQ Sheet-GPC'!BX18&lt;'Equity Vol'!$R$3,"n/a",'Capital IQ Sheet-GPC'!BX18))</f>
        <v>n/a</v>
      </c>
      <c r="J15" s="1066" t="str">
        <f>IF('Capital IQ Sheet-GPC'!BY18&gt;'Equity Vol'!$P$3,"n/a",IF('Capital IQ Sheet-GPC'!BY18&lt;'Equity Vol'!$R$3,"n/a",'Capital IQ Sheet-GPC'!BY18))</f>
        <v>n/a</v>
      </c>
      <c r="K15" s="1066" t="str">
        <f>IF('Capital IQ Sheet-GPC'!BZ18&gt;'Equity Vol'!$P$3,"n/a",IF('Capital IQ Sheet-GPC'!BZ18&lt;'Equity Vol'!$R$3,"n/a",'Capital IQ Sheet-GPC'!BZ18))</f>
        <v>n/a</v>
      </c>
      <c r="M15" s="1582" t="str">
        <f>'Asset Vol_OPM'!AA15</f>
        <v>NasdaqGS:ENTA</v>
      </c>
      <c r="O15" s="1583">
        <f>'Capital IQ Sheet-GPC'!G18</f>
        <v>41354</v>
      </c>
    </row>
    <row r="16" spans="2:18" ht="14.85" customHeight="1">
      <c r="B16" s="250" t="str">
        <f>'Comp.1'!B18</f>
        <v>Editas Medicine, Inc.</v>
      </c>
      <c r="D16" s="1066">
        <f>IF('Capital IQ Sheet-GPC'!BS19&gt;'Equity Vol'!$P$3,"n/a",IF('Capital IQ Sheet-GPC'!BS19&lt;'Equity Vol'!$R$3,"n/a",'Capital IQ Sheet-GPC'!BS19))</f>
        <v>0.89665359846864712</v>
      </c>
      <c r="E16" s="1066" t="str">
        <f>IF('Capital IQ Sheet-GPC'!BT19&gt;'Equity Vol'!$P$3,"n/a",IF('Capital IQ Sheet-GPC'!BT19&lt;'Equity Vol'!$R$3,"n/a",'Capital IQ Sheet-GPC'!BT19))</f>
        <v>n/a</v>
      </c>
      <c r="F16" s="1066" t="str">
        <f>IF('Capital IQ Sheet-GPC'!BU19&gt;'Equity Vol'!$P$3,"n/a",IF('Capital IQ Sheet-GPC'!BU19&lt;'Equity Vol'!$R$3,"n/a",'Capital IQ Sheet-GPC'!BU19))</f>
        <v>n/a</v>
      </c>
      <c r="G16" s="1066" t="str">
        <f>IF('Capital IQ Sheet-GPC'!BV19&gt;'Equity Vol'!$P$3,"n/a",IF('Capital IQ Sheet-GPC'!BV19&lt;'Equity Vol'!$R$3,"n/a",'Capital IQ Sheet-GPC'!BV19))</f>
        <v>n/a</v>
      </c>
      <c r="H16" s="1066" t="str">
        <f>IF('Capital IQ Sheet-GPC'!BW19&gt;'Equity Vol'!$P$3,"n/a",IF('Capital IQ Sheet-GPC'!BW19&lt;'Equity Vol'!$R$3,"n/a",'Capital IQ Sheet-GPC'!BW19))</f>
        <v>n/a</v>
      </c>
      <c r="I16" s="1066" t="str">
        <f>IF('Capital IQ Sheet-GPC'!BX19&gt;'Equity Vol'!$P$3,"n/a",IF('Capital IQ Sheet-GPC'!BX19&lt;'Equity Vol'!$R$3,"n/a",'Capital IQ Sheet-GPC'!BX19))</f>
        <v>n/a</v>
      </c>
      <c r="J16" s="1066" t="str">
        <f>IF('Capital IQ Sheet-GPC'!BY19&gt;'Equity Vol'!$P$3,"n/a",IF('Capital IQ Sheet-GPC'!BY19&lt;'Equity Vol'!$R$3,"n/a",'Capital IQ Sheet-GPC'!BY19))</f>
        <v>n/a</v>
      </c>
      <c r="K16" s="1066" t="str">
        <f>IF('Capital IQ Sheet-GPC'!BZ19&gt;'Equity Vol'!$P$3,"n/a",IF('Capital IQ Sheet-GPC'!BZ19&lt;'Equity Vol'!$R$3,"n/a",'Capital IQ Sheet-GPC'!BZ19))</f>
        <v>n/a</v>
      </c>
      <c r="M16" s="1582" t="str">
        <f>'Asset Vol_OPM'!AA16</f>
        <v>NasdaqGS:EDIT</v>
      </c>
      <c r="O16" s="1583">
        <f>'Capital IQ Sheet-GPC'!G19</f>
        <v>42403</v>
      </c>
    </row>
    <row r="17" spans="2:15" ht="14.85" customHeight="1">
      <c r="B17" s="250" t="str">
        <f>'Comp.1'!B19</f>
        <v>NantKwest, Inc.</v>
      </c>
      <c r="D17" s="1066">
        <f>IF('Capital IQ Sheet-GPC'!BS20&gt;'Equity Vol'!$P$3,"n/a",IF('Capital IQ Sheet-GPC'!BS20&lt;'Equity Vol'!$R$3,"n/a",'Capital IQ Sheet-GPC'!BS20))</f>
        <v>0.82806905565295919</v>
      </c>
      <c r="E17" s="1066">
        <f>IF('Capital IQ Sheet-GPC'!BT20&gt;'Equity Vol'!$P$3,"n/a",IF('Capital IQ Sheet-GPC'!BT20&lt;'Equity Vol'!$R$3,"n/a",'Capital IQ Sheet-GPC'!BT20))</f>
        <v>0.87724623477379815</v>
      </c>
      <c r="F17" s="1066" t="str">
        <f>IF('Capital IQ Sheet-GPC'!BU20&gt;'Equity Vol'!$P$3,"n/a",IF('Capital IQ Sheet-GPC'!BU20&lt;'Equity Vol'!$R$3,"n/a",'Capital IQ Sheet-GPC'!BU20))</f>
        <v>n/a</v>
      </c>
      <c r="G17" s="1066" t="str">
        <f>IF('Capital IQ Sheet-GPC'!BV20&gt;'Equity Vol'!$P$3,"n/a",IF('Capital IQ Sheet-GPC'!BV20&lt;'Equity Vol'!$R$3,"n/a",'Capital IQ Sheet-GPC'!BV20))</f>
        <v>n/a</v>
      </c>
      <c r="H17" s="1066" t="str">
        <f>IF('Capital IQ Sheet-GPC'!BW20&gt;'Equity Vol'!$P$3,"n/a",IF('Capital IQ Sheet-GPC'!BW20&lt;'Equity Vol'!$R$3,"n/a",'Capital IQ Sheet-GPC'!BW20))</f>
        <v>n/a</v>
      </c>
      <c r="I17" s="1066" t="str">
        <f>IF('Capital IQ Sheet-GPC'!BX20&gt;'Equity Vol'!$P$3,"n/a",IF('Capital IQ Sheet-GPC'!BX20&lt;'Equity Vol'!$R$3,"n/a",'Capital IQ Sheet-GPC'!BX20))</f>
        <v>n/a</v>
      </c>
      <c r="J17" s="1066" t="str">
        <f>IF('Capital IQ Sheet-GPC'!BY20&gt;'Equity Vol'!$P$3,"n/a",IF('Capital IQ Sheet-GPC'!BY20&lt;'Equity Vol'!$R$3,"n/a",'Capital IQ Sheet-GPC'!BY20))</f>
        <v>n/a</v>
      </c>
      <c r="K17" s="1066" t="str">
        <f>IF('Capital IQ Sheet-GPC'!BZ20&gt;'Equity Vol'!$P$3,"n/a",IF('Capital IQ Sheet-GPC'!BZ20&lt;'Equity Vol'!$R$3,"n/a",'Capital IQ Sheet-GPC'!BZ20))</f>
        <v>n/a</v>
      </c>
      <c r="M17" s="1582" t="str">
        <f>'Asset Vol_OPM'!AA17</f>
        <v>NasdaqGS:NK</v>
      </c>
      <c r="O17" s="1583">
        <f>'Capital IQ Sheet-GPC'!G20</f>
        <v>42213</v>
      </c>
    </row>
    <row r="18" spans="2:15" ht="14.85" customHeight="1">
      <c r="B18" s="250" t="str">
        <f>'Comp.1'!B20</f>
        <v>Cocrystal Pharma, Inc.</v>
      </c>
      <c r="D18" s="1066">
        <f>IF('Capital IQ Sheet-GPC'!BS21&gt;'Equity Vol'!$P$3,"n/a",IF('Capital IQ Sheet-GPC'!BS21&lt;'Equity Vol'!$R$3,"n/a",'Capital IQ Sheet-GPC'!BS21))</f>
        <v>0.78212139552972182</v>
      </c>
      <c r="E18" s="1066">
        <f>IF('Capital IQ Sheet-GPC'!BT21&gt;'Equity Vol'!$P$3,"n/a",IF('Capital IQ Sheet-GPC'!BT21&lt;'Equity Vol'!$R$3,"n/a",'Capital IQ Sheet-GPC'!BT21))</f>
        <v>0.82210152397422587</v>
      </c>
      <c r="F18" s="1066">
        <f>IF('Capital IQ Sheet-GPC'!BU21&gt;'Equity Vol'!$P$3,"n/a",IF('Capital IQ Sheet-GPC'!BU21&lt;'Equity Vol'!$R$3,"n/a",'Capital IQ Sheet-GPC'!BU21))</f>
        <v>0.8052399960875728</v>
      </c>
      <c r="G18" s="1066" t="str">
        <f>IF('Capital IQ Sheet-GPC'!BV21&gt;'Equity Vol'!$P$3,"n/a",IF('Capital IQ Sheet-GPC'!BV21&lt;'Equity Vol'!$R$3,"n/a",'Capital IQ Sheet-GPC'!BV21))</f>
        <v>n/a</v>
      </c>
      <c r="H18" s="1066" t="str">
        <f>IF('Capital IQ Sheet-GPC'!BW21&gt;'Equity Vol'!$P$3,"n/a",IF('Capital IQ Sheet-GPC'!BW21&lt;'Equity Vol'!$R$3,"n/a",'Capital IQ Sheet-GPC'!BW21))</f>
        <v>n/a</v>
      </c>
      <c r="I18" s="1066" t="str">
        <f>IF('Capital IQ Sheet-GPC'!BX21&gt;'Equity Vol'!$P$3,"n/a",IF('Capital IQ Sheet-GPC'!BX21&lt;'Equity Vol'!$R$3,"n/a",'Capital IQ Sheet-GPC'!BX21))</f>
        <v>n/a</v>
      </c>
      <c r="J18" s="1066" t="str">
        <f>IF('Capital IQ Sheet-GPC'!BY21&gt;'Equity Vol'!$P$3,"n/a",IF('Capital IQ Sheet-GPC'!BY21&lt;'Equity Vol'!$R$3,"n/a",'Capital IQ Sheet-GPC'!BY21))</f>
        <v>n/a</v>
      </c>
      <c r="K18" s="1066" t="str">
        <f>IF('Capital IQ Sheet-GPC'!BZ21&gt;'Equity Vol'!$P$3,"n/a",IF('Capital IQ Sheet-GPC'!BZ21&lt;'Equity Vol'!$R$3,"n/a",'Capital IQ Sheet-GPC'!BZ21))</f>
        <v>n/a</v>
      </c>
      <c r="M18" s="1582" t="str">
        <f>'Asset Vol_OPM'!AA18</f>
        <v>OTCBB:COCP</v>
      </c>
      <c r="O18" s="1583">
        <f>'Capital IQ Sheet-GPC'!G21</f>
        <v>41642</v>
      </c>
    </row>
    <row r="19" spans="2:15" ht="14.85" customHeight="1">
      <c r="B19" s="250" t="str">
        <f>'Comp.1'!B21</f>
        <v>Intellia Therapeutics Inc.</v>
      </c>
      <c r="D19" s="1066">
        <f>IF('Capital IQ Sheet-GPC'!BS22&gt;'Equity Vol'!$P$3,"n/a",IF('Capital IQ Sheet-GPC'!BS22&lt;'Equity Vol'!$R$3,"n/a",'Capital IQ Sheet-GPC'!BS22))</f>
        <v>0.73849289680398411</v>
      </c>
      <c r="E19" s="1066" t="str">
        <f>IF('Capital IQ Sheet-GPC'!BT22&gt;'Equity Vol'!$P$3,"n/a",IF('Capital IQ Sheet-GPC'!BT22&lt;'Equity Vol'!$R$3,"n/a",'Capital IQ Sheet-GPC'!BT22))</f>
        <v>n/a</v>
      </c>
      <c r="F19" s="1066" t="str">
        <f>IF('Capital IQ Sheet-GPC'!BU22&gt;'Equity Vol'!$P$3,"n/a",IF('Capital IQ Sheet-GPC'!BU22&lt;'Equity Vol'!$R$3,"n/a",'Capital IQ Sheet-GPC'!BU22))</f>
        <v>n/a</v>
      </c>
      <c r="G19" s="1066" t="str">
        <f>IF('Capital IQ Sheet-GPC'!BV22&gt;'Equity Vol'!$P$3,"n/a",IF('Capital IQ Sheet-GPC'!BV22&lt;'Equity Vol'!$R$3,"n/a",'Capital IQ Sheet-GPC'!BV22))</f>
        <v>n/a</v>
      </c>
      <c r="H19" s="1066" t="str">
        <f>IF('Capital IQ Sheet-GPC'!BW22&gt;'Equity Vol'!$P$3,"n/a",IF('Capital IQ Sheet-GPC'!BW22&lt;'Equity Vol'!$R$3,"n/a",'Capital IQ Sheet-GPC'!BW22))</f>
        <v>n/a</v>
      </c>
      <c r="I19" s="1066" t="str">
        <f>IF('Capital IQ Sheet-GPC'!BX22&gt;'Equity Vol'!$P$3,"n/a",IF('Capital IQ Sheet-GPC'!BX22&lt;'Equity Vol'!$R$3,"n/a",'Capital IQ Sheet-GPC'!BX22))</f>
        <v>n/a</v>
      </c>
      <c r="J19" s="1066" t="str">
        <f>IF('Capital IQ Sheet-GPC'!BY22&gt;'Equity Vol'!$P$3,"n/a",IF('Capital IQ Sheet-GPC'!BY22&lt;'Equity Vol'!$R$3,"n/a",'Capital IQ Sheet-GPC'!BY22))</f>
        <v>n/a</v>
      </c>
      <c r="K19" s="1066" t="str">
        <f>IF('Capital IQ Sheet-GPC'!BZ22&gt;'Equity Vol'!$P$3,"n/a",IF('Capital IQ Sheet-GPC'!BZ22&lt;'Equity Vol'!$R$3,"n/a",'Capital IQ Sheet-GPC'!BZ22))</f>
        <v>n/a</v>
      </c>
      <c r="M19" s="1582" t="str">
        <f>'Asset Vol_OPM'!AA19</f>
        <v>NasdaqGM:NTLA</v>
      </c>
      <c r="O19" s="1583">
        <f>'Capital IQ Sheet-GPC'!G22</f>
        <v>42496</v>
      </c>
    </row>
    <row r="20" spans="2:15" ht="14.85" customHeight="1">
      <c r="B20" s="250" t="str">
        <f>'Comp.1'!B22</f>
        <v>GenSight Biologics S.A.</v>
      </c>
      <c r="D20" s="1066">
        <f>IF('Capital IQ Sheet-GPC'!BS23&gt;'Equity Vol'!$P$3,"n/a",IF('Capital IQ Sheet-GPC'!BS23&lt;'Equity Vol'!$R$3,"n/a",'Capital IQ Sheet-GPC'!BS23))</f>
        <v>0.30494613818516308</v>
      </c>
      <c r="E20" s="1066" t="str">
        <f>IF('Capital IQ Sheet-GPC'!BT23&gt;'Equity Vol'!$P$3,"n/a",IF('Capital IQ Sheet-GPC'!BT23&lt;'Equity Vol'!$R$3,"n/a",'Capital IQ Sheet-GPC'!BT23))</f>
        <v>n/a</v>
      </c>
      <c r="F20" s="1066" t="str">
        <f>IF('Capital IQ Sheet-GPC'!BU23&gt;'Equity Vol'!$P$3,"n/a",IF('Capital IQ Sheet-GPC'!BU23&lt;'Equity Vol'!$R$3,"n/a",'Capital IQ Sheet-GPC'!BU23))</f>
        <v>n/a</v>
      </c>
      <c r="G20" s="1066" t="str">
        <f>IF('Capital IQ Sheet-GPC'!BV23&gt;'Equity Vol'!$P$3,"n/a",IF('Capital IQ Sheet-GPC'!BV23&lt;'Equity Vol'!$R$3,"n/a",'Capital IQ Sheet-GPC'!BV23))</f>
        <v>n/a</v>
      </c>
      <c r="H20" s="1066" t="str">
        <f>IF('Capital IQ Sheet-GPC'!BW23&gt;'Equity Vol'!$P$3,"n/a",IF('Capital IQ Sheet-GPC'!BW23&lt;'Equity Vol'!$R$3,"n/a",'Capital IQ Sheet-GPC'!BW23))</f>
        <v>n/a</v>
      </c>
      <c r="I20" s="1066" t="str">
        <f>IF('Capital IQ Sheet-GPC'!BX23&gt;'Equity Vol'!$P$3,"n/a",IF('Capital IQ Sheet-GPC'!BX23&lt;'Equity Vol'!$R$3,"n/a",'Capital IQ Sheet-GPC'!BX23))</f>
        <v>n/a</v>
      </c>
      <c r="J20" s="1066" t="str">
        <f>IF('Capital IQ Sheet-GPC'!BY23&gt;'Equity Vol'!$P$3,"n/a",IF('Capital IQ Sheet-GPC'!BY23&lt;'Equity Vol'!$R$3,"n/a",'Capital IQ Sheet-GPC'!BY23))</f>
        <v>n/a</v>
      </c>
      <c r="K20" s="1066" t="str">
        <f>IF('Capital IQ Sheet-GPC'!BZ23&gt;'Equity Vol'!$P$3,"n/a",IF('Capital IQ Sheet-GPC'!BZ23&lt;'Equity Vol'!$R$3,"n/a",'Capital IQ Sheet-GPC'!BZ23))</f>
        <v>n/a</v>
      </c>
      <c r="M20" s="1582" t="str">
        <f>'Asset Vol_OPM'!AA20</f>
        <v>ENXTPA:SIGHT</v>
      </c>
      <c r="O20" s="1583">
        <f>'Capital IQ Sheet-GPC'!G23</f>
        <v>42564</v>
      </c>
    </row>
    <row r="21" spans="2:15" ht="14.85" customHeight="1">
      <c r="B21" s="250" t="str">
        <f>'Comp.1'!B23</f>
        <v>Advaxis, Inc.</v>
      </c>
      <c r="D21" s="1066">
        <f>IF('Capital IQ Sheet-GPC'!BS24&gt;'Equity Vol'!$P$3,"n/a",IF('Capital IQ Sheet-GPC'!BS24&lt;'Equity Vol'!$R$3,"n/a",'Capital IQ Sheet-GPC'!BS24))</f>
        <v>0.90151721249655303</v>
      </c>
      <c r="E21" s="1066">
        <f>IF('Capital IQ Sheet-GPC'!BT24&gt;'Equity Vol'!$P$3,"n/a",IF('Capital IQ Sheet-GPC'!BT24&lt;'Equity Vol'!$R$3,"n/a",'Capital IQ Sheet-GPC'!BT24))</f>
        <v>1.0114092642984704</v>
      </c>
      <c r="F21" s="1066">
        <f>IF('Capital IQ Sheet-GPC'!BU24&gt;'Equity Vol'!$P$3,"n/a",IF('Capital IQ Sheet-GPC'!BU24&lt;'Equity Vol'!$R$3,"n/a",'Capital IQ Sheet-GPC'!BU24))</f>
        <v>0.90964738135601619</v>
      </c>
      <c r="G21" s="1066">
        <f>IF('Capital IQ Sheet-GPC'!BV24&gt;'Equity Vol'!$P$3,"n/a",IF('Capital IQ Sheet-GPC'!BV24&lt;'Equity Vol'!$R$3,"n/a",'Capital IQ Sheet-GPC'!BV24))</f>
        <v>1.0742375822796089</v>
      </c>
      <c r="H21" s="1066">
        <f>IF('Capital IQ Sheet-GPC'!BW24&gt;'Equity Vol'!$P$3,"n/a",IF('Capital IQ Sheet-GPC'!BW24&lt;'Equity Vol'!$R$3,"n/a",'Capital IQ Sheet-GPC'!BW24))</f>
        <v>1.0412099777317645</v>
      </c>
      <c r="I21" s="1066">
        <f>IF('Capital IQ Sheet-GPC'!BX24&gt;'Equity Vol'!$P$3,"n/a",IF('Capital IQ Sheet-GPC'!BX24&lt;'Equity Vol'!$R$3,"n/a",'Capital IQ Sheet-GPC'!BX24))</f>
        <v>0.98050617584828204</v>
      </c>
      <c r="J21" s="1066">
        <f>IF('Capital IQ Sheet-GPC'!BY24&gt;'Equity Vol'!$P$3,"n/a",IF('Capital IQ Sheet-GPC'!BY24&lt;'Equity Vol'!$R$3,"n/a",'Capital IQ Sheet-GPC'!BY24))</f>
        <v>0.95189274818239156</v>
      </c>
      <c r="K21" s="1066">
        <f>IF('Capital IQ Sheet-GPC'!BZ24&gt;'Equity Vol'!$P$3,"n/a",IF('Capital IQ Sheet-GPC'!BZ24&lt;'Equity Vol'!$R$3,"n/a",'Capital IQ Sheet-GPC'!BZ24))</f>
        <v>1.202555986908926</v>
      </c>
      <c r="M21" s="1582" t="str">
        <f>'Asset Vol_OPM'!AA21</f>
        <v>NasdaqCM:ADXS</v>
      </c>
      <c r="O21" s="1583">
        <f>'Capital IQ Sheet-GPC'!G24</f>
        <v>38561</v>
      </c>
    </row>
    <row r="22" spans="2:15" ht="14.85" customHeight="1">
      <c r="B22" s="250" t="str">
        <f>'Comp.1'!B24</f>
        <v>Audentes Therapeutics, Inc.</v>
      </c>
      <c r="D22" s="1066">
        <f>IF('Capital IQ Sheet-GPC'!BS25&gt;'Equity Vol'!$P$3,"n/a",IF('Capital IQ Sheet-GPC'!BS25&lt;'Equity Vol'!$R$3,"n/a",'Capital IQ Sheet-GPC'!BS25))</f>
        <v>0.54716779865156173</v>
      </c>
      <c r="E22" s="1066" t="str">
        <f>IF('Capital IQ Sheet-GPC'!BT25&gt;'Equity Vol'!$P$3,"n/a",IF('Capital IQ Sheet-GPC'!BT25&lt;'Equity Vol'!$R$3,"n/a",'Capital IQ Sheet-GPC'!BT25))</f>
        <v>n/a</v>
      </c>
      <c r="F22" s="1066" t="str">
        <f>IF('Capital IQ Sheet-GPC'!BU25&gt;'Equity Vol'!$P$3,"n/a",IF('Capital IQ Sheet-GPC'!BU25&lt;'Equity Vol'!$R$3,"n/a",'Capital IQ Sheet-GPC'!BU25))</f>
        <v>n/a</v>
      </c>
      <c r="G22" s="1066" t="str">
        <f>IF('Capital IQ Sheet-GPC'!BV25&gt;'Equity Vol'!$P$3,"n/a",IF('Capital IQ Sheet-GPC'!BV25&lt;'Equity Vol'!$R$3,"n/a",'Capital IQ Sheet-GPC'!BV25))</f>
        <v>n/a</v>
      </c>
      <c r="H22" s="1066" t="str">
        <f>IF('Capital IQ Sheet-GPC'!BW25&gt;'Equity Vol'!$P$3,"n/a",IF('Capital IQ Sheet-GPC'!BW25&lt;'Equity Vol'!$R$3,"n/a",'Capital IQ Sheet-GPC'!BW25))</f>
        <v>n/a</v>
      </c>
      <c r="I22" s="1066" t="str">
        <f>IF('Capital IQ Sheet-GPC'!BX25&gt;'Equity Vol'!$P$3,"n/a",IF('Capital IQ Sheet-GPC'!BX25&lt;'Equity Vol'!$R$3,"n/a",'Capital IQ Sheet-GPC'!BX25))</f>
        <v>n/a</v>
      </c>
      <c r="J22" s="1066" t="str">
        <f>IF('Capital IQ Sheet-GPC'!BY25&gt;'Equity Vol'!$P$3,"n/a",IF('Capital IQ Sheet-GPC'!BY25&lt;'Equity Vol'!$R$3,"n/a",'Capital IQ Sheet-GPC'!BY25))</f>
        <v>n/a</v>
      </c>
      <c r="K22" s="1066" t="str">
        <f>IF('Capital IQ Sheet-GPC'!BZ25&gt;'Equity Vol'!$P$3,"n/a",IF('Capital IQ Sheet-GPC'!BZ25&lt;'Equity Vol'!$R$3,"n/a",'Capital IQ Sheet-GPC'!BZ25))</f>
        <v>n/a</v>
      </c>
      <c r="M22" s="1582" t="str">
        <f>'Asset Vol_OPM'!AA22</f>
        <v>NasdaqGM:BOLD</v>
      </c>
      <c r="O22" s="1583">
        <f>'Capital IQ Sheet-GPC'!G25</f>
        <v>42571</v>
      </c>
    </row>
    <row r="23" spans="2:15" ht="14.85" customHeight="1">
      <c r="B23" s="250" t="str">
        <f>'Comp.1'!B25</f>
        <v>Syros Pharmaceuticals, Inc.</v>
      </c>
      <c r="D23" s="1066">
        <f>IF('Capital IQ Sheet-GPC'!BS26&gt;'Equity Vol'!$P$3,"n/a",IF('Capital IQ Sheet-GPC'!BS26&lt;'Equity Vol'!$R$3,"n/a",'Capital IQ Sheet-GPC'!BS26))</f>
        <v>0.83000273906617572</v>
      </c>
      <c r="E23" s="1066" t="str">
        <f>IF('Capital IQ Sheet-GPC'!BT26&gt;'Equity Vol'!$P$3,"n/a",IF('Capital IQ Sheet-GPC'!BT26&lt;'Equity Vol'!$R$3,"n/a",'Capital IQ Sheet-GPC'!BT26))</f>
        <v>n/a</v>
      </c>
      <c r="F23" s="1066" t="str">
        <f>IF('Capital IQ Sheet-GPC'!BU26&gt;'Equity Vol'!$P$3,"n/a",IF('Capital IQ Sheet-GPC'!BU26&lt;'Equity Vol'!$R$3,"n/a",'Capital IQ Sheet-GPC'!BU26))</f>
        <v>n/a</v>
      </c>
      <c r="G23" s="1066" t="str">
        <f>IF('Capital IQ Sheet-GPC'!BV26&gt;'Equity Vol'!$P$3,"n/a",IF('Capital IQ Sheet-GPC'!BV26&lt;'Equity Vol'!$R$3,"n/a",'Capital IQ Sheet-GPC'!BV26))</f>
        <v>n/a</v>
      </c>
      <c r="H23" s="1066" t="str">
        <f>IF('Capital IQ Sheet-GPC'!BW26&gt;'Equity Vol'!$P$3,"n/a",IF('Capital IQ Sheet-GPC'!BW26&lt;'Equity Vol'!$R$3,"n/a",'Capital IQ Sheet-GPC'!BW26))</f>
        <v>n/a</v>
      </c>
      <c r="I23" s="1066" t="str">
        <f>IF('Capital IQ Sheet-GPC'!BX26&gt;'Equity Vol'!$P$3,"n/a",IF('Capital IQ Sheet-GPC'!BX26&lt;'Equity Vol'!$R$3,"n/a",'Capital IQ Sheet-GPC'!BX26))</f>
        <v>n/a</v>
      </c>
      <c r="J23" s="1066" t="str">
        <f>IF('Capital IQ Sheet-GPC'!BY26&gt;'Equity Vol'!$P$3,"n/a",IF('Capital IQ Sheet-GPC'!BY26&lt;'Equity Vol'!$R$3,"n/a",'Capital IQ Sheet-GPC'!BY26))</f>
        <v>n/a</v>
      </c>
      <c r="K23" s="1066" t="str">
        <f>IF('Capital IQ Sheet-GPC'!BZ26&gt;'Equity Vol'!$P$3,"n/a",IF('Capital IQ Sheet-GPC'!BZ26&lt;'Equity Vol'!$R$3,"n/a",'Capital IQ Sheet-GPC'!BZ26))</f>
        <v>n/a</v>
      </c>
      <c r="M23" s="1582" t="str">
        <f>'Asset Vol_OPM'!AA23</f>
        <v>NasdaqGS:SYRS</v>
      </c>
      <c r="O23" s="1583">
        <f>'Capital IQ Sheet-GPC'!G26</f>
        <v>42551</v>
      </c>
    </row>
    <row r="24" spans="2:15" ht="14.85" customHeight="1">
      <c r="B24" s="250" t="str">
        <f>'Comp.1'!B26</f>
        <v>Abeona Therapeutics Inc.</v>
      </c>
      <c r="D24" s="1066">
        <f>IF('Capital IQ Sheet-GPC'!BS27&gt;'Equity Vol'!$P$3,"n/a",IF('Capital IQ Sheet-GPC'!BS27&lt;'Equity Vol'!$R$3,"n/a",'Capital IQ Sheet-GPC'!BS27))</f>
        <v>0.74036174837069324</v>
      </c>
      <c r="E24" s="1066">
        <f>IF('Capital IQ Sheet-GPC'!BT27&gt;'Equity Vol'!$P$3,"n/a",IF('Capital IQ Sheet-GPC'!BT27&lt;'Equity Vol'!$R$3,"n/a",'Capital IQ Sheet-GPC'!BT27))</f>
        <v>1.0161279587876995</v>
      </c>
      <c r="F24" s="1066">
        <f>IF('Capital IQ Sheet-GPC'!BU27&gt;'Equity Vol'!$P$3,"n/a",IF('Capital IQ Sheet-GPC'!BU27&lt;'Equity Vol'!$R$3,"n/a",'Capital IQ Sheet-GPC'!BU27))</f>
        <v>0.99599672896108482</v>
      </c>
      <c r="G24" s="1066">
        <f>IF('Capital IQ Sheet-GPC'!BV27&gt;'Equity Vol'!$P$3,"n/a",IF('Capital IQ Sheet-GPC'!BV27&lt;'Equity Vol'!$R$3,"n/a",'Capital IQ Sheet-GPC'!BV27))</f>
        <v>1.0074578957998359</v>
      </c>
      <c r="H24" s="1066">
        <f>IF('Capital IQ Sheet-GPC'!BW27&gt;'Equity Vol'!$P$3,"n/a",IF('Capital IQ Sheet-GPC'!BW27&lt;'Equity Vol'!$R$3,"n/a",'Capital IQ Sheet-GPC'!BW27))</f>
        <v>1.0777389955753038</v>
      </c>
      <c r="I24" s="1066">
        <f>IF('Capital IQ Sheet-GPC'!BX27&gt;'Equity Vol'!$P$3,"n/a",IF('Capital IQ Sheet-GPC'!BX27&lt;'Equity Vol'!$R$3,"n/a",'Capital IQ Sheet-GPC'!BX27))</f>
        <v>1.0163456904071684</v>
      </c>
      <c r="J24" s="1066">
        <f>IF('Capital IQ Sheet-GPC'!BY27&gt;'Equity Vol'!$P$3,"n/a",IF('Capital IQ Sheet-GPC'!BY27&lt;'Equity Vol'!$R$3,"n/a",'Capital IQ Sheet-GPC'!BY27))</f>
        <v>0.96307818231197206</v>
      </c>
      <c r="K24" s="1066">
        <f>IF('Capital IQ Sheet-GPC'!BZ27&gt;'Equity Vol'!$P$3,"n/a",IF('Capital IQ Sheet-GPC'!BZ27&lt;'Equity Vol'!$R$3,"n/a",'Capital IQ Sheet-GPC'!BZ27))</f>
        <v>1.0073478684724886</v>
      </c>
      <c r="M24" s="1582" t="str">
        <f>'Asset Vol_OPM'!AA24</f>
        <v>NasdaqCM:ABEO</v>
      </c>
      <c r="O24" s="1583">
        <f>'Capital IQ Sheet-GPC'!G27</f>
        <v>35090</v>
      </c>
    </row>
    <row r="25" spans="2:15" ht="14.85" customHeight="1">
      <c r="B25" s="250" t="str">
        <f>'Comp.1'!B27</f>
        <v>Idera Pharmaceuticals, Inc.</v>
      </c>
      <c r="D25" s="1066">
        <f>IF('Capital IQ Sheet-GPC'!BS28&gt;'Equity Vol'!$P$3,"n/a",IF('Capital IQ Sheet-GPC'!BS28&lt;'Equity Vol'!$R$3,"n/a",'Capital IQ Sheet-GPC'!BS28))</f>
        <v>0.76022699192998089</v>
      </c>
      <c r="E25" s="1066">
        <f>IF('Capital IQ Sheet-GPC'!BT28&gt;'Equity Vol'!$P$3,"n/a",IF('Capital IQ Sheet-GPC'!BT28&lt;'Equity Vol'!$R$3,"n/a",'Capital IQ Sheet-GPC'!BT28))</f>
        <v>0.75325423670083858</v>
      </c>
      <c r="F25" s="1066">
        <f>IF('Capital IQ Sheet-GPC'!BU28&gt;'Equity Vol'!$P$3,"n/a",IF('Capital IQ Sheet-GPC'!BU28&lt;'Equity Vol'!$R$3,"n/a",'Capital IQ Sheet-GPC'!BU28))</f>
        <v>0.80520266549599839</v>
      </c>
      <c r="G25" s="1066">
        <f>IF('Capital IQ Sheet-GPC'!BV28&gt;'Equity Vol'!$P$3,"n/a",IF('Capital IQ Sheet-GPC'!BV28&lt;'Equity Vol'!$R$3,"n/a",'Capital IQ Sheet-GPC'!BV28))</f>
        <v>0.90589864721013202</v>
      </c>
      <c r="H25" s="1066">
        <f>IF('Capital IQ Sheet-GPC'!BW28&gt;'Equity Vol'!$P$3,"n/a",IF('Capital IQ Sheet-GPC'!BW28&lt;'Equity Vol'!$R$3,"n/a",'Capital IQ Sheet-GPC'!BW28))</f>
        <v>0.9057602474049008</v>
      </c>
      <c r="I25" s="1066">
        <f>IF('Capital IQ Sheet-GPC'!BX28&gt;'Equity Vol'!$P$3,"n/a",IF('Capital IQ Sheet-GPC'!BX28&lt;'Equity Vol'!$R$3,"n/a",'Capital IQ Sheet-GPC'!BX28))</f>
        <v>0.8745116303842424</v>
      </c>
      <c r="J25" s="1066">
        <f>IF('Capital IQ Sheet-GPC'!BY28&gt;'Equity Vol'!$P$3,"n/a",IF('Capital IQ Sheet-GPC'!BY28&lt;'Equity Vol'!$R$3,"n/a",'Capital IQ Sheet-GPC'!BY28))</f>
        <v>0.84013884124992089</v>
      </c>
      <c r="K25" s="1066">
        <f>IF('Capital IQ Sheet-GPC'!BZ28&gt;'Equity Vol'!$P$3,"n/a",IF('Capital IQ Sheet-GPC'!BZ28&lt;'Equity Vol'!$R$3,"n/a",'Capital IQ Sheet-GPC'!BZ28))</f>
        <v>0.83235412823632671</v>
      </c>
      <c r="M25" s="1582" t="str">
        <f>'Asset Vol_OPM'!AA25</f>
        <v>NasdaqCM:IDRA</v>
      </c>
      <c r="O25" s="1583">
        <f>'Capital IQ Sheet-GPC'!G28</f>
        <v>35089</v>
      </c>
    </row>
    <row r="26" spans="2:15" ht="14.85" customHeight="1">
      <c r="B26" s="250" t="str">
        <f>'Comp.1'!B28</f>
        <v>Achillion Pharmaceuticals, Inc.</v>
      </c>
      <c r="D26" s="1066">
        <f>IF('Capital IQ Sheet-GPC'!BS29&gt;'Equity Vol'!$P$3,"n/a",IF('Capital IQ Sheet-GPC'!BS29&lt;'Equity Vol'!$R$3,"n/a",'Capital IQ Sheet-GPC'!BS29))</f>
        <v>0.61039878806996517</v>
      </c>
      <c r="E26" s="1066">
        <f>IF('Capital IQ Sheet-GPC'!BT29&gt;'Equity Vol'!$P$3,"n/a",IF('Capital IQ Sheet-GPC'!BT29&lt;'Equity Vol'!$R$3,"n/a",'Capital IQ Sheet-GPC'!BT29))</f>
        <v>0.65060803171501025</v>
      </c>
      <c r="F26" s="1066">
        <f>IF('Capital IQ Sheet-GPC'!BU29&gt;'Equity Vol'!$P$3,"n/a",IF('Capital IQ Sheet-GPC'!BU29&lt;'Equity Vol'!$R$3,"n/a",'Capital IQ Sheet-GPC'!BU29))</f>
        <v>0.80172115434392432</v>
      </c>
      <c r="G26" s="1066">
        <f>IF('Capital IQ Sheet-GPC'!BV29&gt;'Equity Vol'!$P$3,"n/a",IF('Capital IQ Sheet-GPC'!BV29&lt;'Equity Vol'!$R$3,"n/a",'Capital IQ Sheet-GPC'!BV29))</f>
        <v>0.8728708379384067</v>
      </c>
      <c r="H26" s="1066">
        <f>IF('Capital IQ Sheet-GPC'!BW29&gt;'Equity Vol'!$P$3,"n/a",IF('Capital IQ Sheet-GPC'!BW29&lt;'Equity Vol'!$R$3,"n/a",'Capital IQ Sheet-GPC'!BW29))</f>
        <v>0.85388772335499374</v>
      </c>
      <c r="I26" s="1066">
        <f>IF('Capital IQ Sheet-GPC'!BX29&gt;'Equity Vol'!$P$3,"n/a",IF('Capital IQ Sheet-GPC'!BX29&lt;'Equity Vol'!$R$3,"n/a",'Capital IQ Sheet-GPC'!BX29))</f>
        <v>0.84211164162369512</v>
      </c>
      <c r="J26" s="1066">
        <f>IF('Capital IQ Sheet-GPC'!BY29&gt;'Equity Vol'!$P$3,"n/a",IF('Capital IQ Sheet-GPC'!BY29&lt;'Equity Vol'!$R$3,"n/a",'Capital IQ Sheet-GPC'!BY29))</f>
        <v>0.82093613565478285</v>
      </c>
      <c r="K26" s="1066">
        <f>IF('Capital IQ Sheet-GPC'!BZ29&gt;'Equity Vol'!$P$3,"n/a",IF('Capital IQ Sheet-GPC'!BZ29&lt;'Equity Vol'!$R$3,"n/a",'Capital IQ Sheet-GPC'!BZ29))</f>
        <v>0.85930587479122611</v>
      </c>
      <c r="M26" s="1582" t="str">
        <f>'Asset Vol_OPM'!AA26</f>
        <v>NasdaqGS:ACHN</v>
      </c>
      <c r="O26" s="1583">
        <f>'Capital IQ Sheet-GPC'!G29</f>
        <v>39016</v>
      </c>
    </row>
    <row r="27" spans="2:15" ht="14.85" customHeight="1">
      <c r="B27" s="250" t="str">
        <f>'Comp.1'!B29</f>
        <v>ContraVir Pharmaceuticals, Inc.</v>
      </c>
      <c r="D27" s="1066">
        <f>IF('Capital IQ Sheet-GPC'!BS30&gt;'Equity Vol'!$P$3,"n/a",IF('Capital IQ Sheet-GPC'!BS30&lt;'Equity Vol'!$R$3,"n/a",'Capital IQ Sheet-GPC'!BS30))</f>
        <v>1.0131174505067317</v>
      </c>
      <c r="E27" s="1066">
        <f>IF('Capital IQ Sheet-GPC'!BT30&gt;'Equity Vol'!$P$3,"n/a",IF('Capital IQ Sheet-GPC'!BT30&lt;'Equity Vol'!$R$3,"n/a",'Capital IQ Sheet-GPC'!BT30))</f>
        <v>1.1933416076473253</v>
      </c>
      <c r="F27" s="1066">
        <f>IF('Capital IQ Sheet-GPC'!BU30&gt;'Equity Vol'!$P$3,"n/a",IF('Capital IQ Sheet-GPC'!BU30&lt;'Equity Vol'!$R$3,"n/a",'Capital IQ Sheet-GPC'!BU30))</f>
        <v>1.396853832524193</v>
      </c>
      <c r="G27" s="1066" t="str">
        <f>IF('Capital IQ Sheet-GPC'!BV30&gt;'Equity Vol'!$P$3,"n/a",IF('Capital IQ Sheet-GPC'!BV30&lt;'Equity Vol'!$R$3,"n/a",'Capital IQ Sheet-GPC'!BV30))</f>
        <v>n/a</v>
      </c>
      <c r="H27" s="1066" t="str">
        <f>IF('Capital IQ Sheet-GPC'!BW30&gt;'Equity Vol'!$P$3,"n/a",IF('Capital IQ Sheet-GPC'!BW30&lt;'Equity Vol'!$R$3,"n/a",'Capital IQ Sheet-GPC'!BW30))</f>
        <v>n/a</v>
      </c>
      <c r="I27" s="1066" t="str">
        <f>IF('Capital IQ Sheet-GPC'!BX30&gt;'Equity Vol'!$P$3,"n/a",IF('Capital IQ Sheet-GPC'!BX30&lt;'Equity Vol'!$R$3,"n/a",'Capital IQ Sheet-GPC'!BX30))</f>
        <v>n/a</v>
      </c>
      <c r="J27" s="1066" t="str">
        <f>IF('Capital IQ Sheet-GPC'!BY30&gt;'Equity Vol'!$P$3,"n/a",IF('Capital IQ Sheet-GPC'!BY30&lt;'Equity Vol'!$R$3,"n/a",'Capital IQ Sheet-GPC'!BY30))</f>
        <v>n/a</v>
      </c>
      <c r="K27" s="1066" t="str">
        <f>IF('Capital IQ Sheet-GPC'!BZ30&gt;'Equity Vol'!$P$3,"n/a",IF('Capital IQ Sheet-GPC'!BZ30&lt;'Equity Vol'!$R$3,"n/a",'Capital IQ Sheet-GPC'!BZ30))</f>
        <v>n/a</v>
      </c>
      <c r="M27" s="1582" t="str">
        <f>'Asset Vol_OPM'!AA27</f>
        <v>NasdaqCM:CTRV</v>
      </c>
      <c r="O27" s="1583">
        <f>'Capital IQ Sheet-GPC'!G30</f>
        <v>41680</v>
      </c>
    </row>
    <row r="28" spans="2:15" ht="14.85" customHeight="1">
      <c r="B28" s="250" t="str">
        <f>'Comp.1'!B30</f>
        <v>Sangamo Therapeutics, Inc.</v>
      </c>
      <c r="D28" s="1066">
        <f>IF('Capital IQ Sheet-GPC'!BS31&gt;'Equity Vol'!$P$3,"n/a",IF('Capital IQ Sheet-GPC'!BS31&lt;'Equity Vol'!$R$3,"n/a",'Capital IQ Sheet-GPC'!BS31))</f>
        <v>0.77908973534733306</v>
      </c>
      <c r="E28" s="1066">
        <f>IF('Capital IQ Sheet-GPC'!BT31&gt;'Equity Vol'!$P$3,"n/a",IF('Capital IQ Sheet-GPC'!BT31&lt;'Equity Vol'!$R$3,"n/a",'Capital IQ Sheet-GPC'!BT31))</f>
        <v>0.75591191240814581</v>
      </c>
      <c r="F28" s="1066">
        <f>IF('Capital IQ Sheet-GPC'!BU31&gt;'Equity Vol'!$P$3,"n/a",IF('Capital IQ Sheet-GPC'!BU31&lt;'Equity Vol'!$R$3,"n/a",'Capital IQ Sheet-GPC'!BU31))</f>
        <v>0.72988664995178043</v>
      </c>
      <c r="G28" s="1066">
        <f>IF('Capital IQ Sheet-GPC'!BV31&gt;'Equity Vol'!$P$3,"n/a",IF('Capital IQ Sheet-GPC'!BV31&lt;'Equity Vol'!$R$3,"n/a",'Capital IQ Sheet-GPC'!BV31))</f>
        <v>0.69704641565401437</v>
      </c>
      <c r="H28" s="1066">
        <f>IF('Capital IQ Sheet-GPC'!BW31&gt;'Equity Vol'!$P$3,"n/a",IF('Capital IQ Sheet-GPC'!BW31&lt;'Equity Vol'!$R$3,"n/a",'Capital IQ Sheet-GPC'!BW31))</f>
        <v>0.67878652003980433</v>
      </c>
      <c r="I28" s="1066">
        <f>IF('Capital IQ Sheet-GPC'!BX31&gt;'Equity Vol'!$P$3,"n/a",IF('Capital IQ Sheet-GPC'!BX31&lt;'Equity Vol'!$R$3,"n/a",'Capital IQ Sheet-GPC'!BX31))</f>
        <v>0.68960930690777289</v>
      </c>
      <c r="J28" s="1066">
        <f>IF('Capital IQ Sheet-GPC'!BY31&gt;'Equity Vol'!$P$3,"n/a",IF('Capital IQ Sheet-GPC'!BY31&lt;'Equity Vol'!$R$3,"n/a",'Capital IQ Sheet-GPC'!BY31))</f>
        <v>0.68075935270679633</v>
      </c>
      <c r="K28" s="1066">
        <f>IF('Capital IQ Sheet-GPC'!BZ31&gt;'Equity Vol'!$P$3,"n/a",IF('Capital IQ Sheet-GPC'!BZ31&lt;'Equity Vol'!$R$3,"n/a",'Capital IQ Sheet-GPC'!BZ31))</f>
        <v>0.71199663925791412</v>
      </c>
      <c r="M28" s="1582" t="str">
        <f>'Asset Vol_OPM'!AA28</f>
        <v>NasdaqGS:SGMO</v>
      </c>
      <c r="O28" s="1583">
        <f>'Capital IQ Sheet-GPC'!G31</f>
        <v>36622</v>
      </c>
    </row>
    <row r="29" spans="2:15" ht="14.85" customHeight="1">
      <c r="B29" s="250" t="str">
        <f>'Comp.1'!B31</f>
        <v>Immune Design Corp.</v>
      </c>
      <c r="D29" s="1066">
        <f>IF('Capital IQ Sheet-GPC'!BS32&gt;'Equity Vol'!$P$3,"n/a",IF('Capital IQ Sheet-GPC'!BS32&lt;'Equity Vol'!$R$3,"n/a",'Capital IQ Sheet-GPC'!BS32))</f>
        <v>0.85456554676673191</v>
      </c>
      <c r="E29" s="1066">
        <f>IF('Capital IQ Sheet-GPC'!BT32&gt;'Equity Vol'!$P$3,"n/a",IF('Capital IQ Sheet-GPC'!BT32&lt;'Equity Vol'!$R$3,"n/a",'Capital IQ Sheet-GPC'!BT32))</f>
        <v>0.89607154655257915</v>
      </c>
      <c r="F29" s="1066">
        <f>IF('Capital IQ Sheet-GPC'!BU32&gt;'Equity Vol'!$P$3,"n/a",IF('Capital IQ Sheet-GPC'!BU32&lt;'Equity Vol'!$R$3,"n/a",'Capital IQ Sheet-GPC'!BU32))</f>
        <v>0.87802203473928597</v>
      </c>
      <c r="G29" s="1066" t="str">
        <f>IF('Capital IQ Sheet-GPC'!BV32&gt;'Equity Vol'!$P$3,"n/a",IF('Capital IQ Sheet-GPC'!BV32&lt;'Equity Vol'!$R$3,"n/a",'Capital IQ Sheet-GPC'!BV32))</f>
        <v>n/a</v>
      </c>
      <c r="H29" s="1066" t="str">
        <f>IF('Capital IQ Sheet-GPC'!BW32&gt;'Equity Vol'!$P$3,"n/a",IF('Capital IQ Sheet-GPC'!BW32&lt;'Equity Vol'!$R$3,"n/a",'Capital IQ Sheet-GPC'!BW32))</f>
        <v>n/a</v>
      </c>
      <c r="I29" s="1066" t="str">
        <f>IF('Capital IQ Sheet-GPC'!BX32&gt;'Equity Vol'!$P$3,"n/a",IF('Capital IQ Sheet-GPC'!BX32&lt;'Equity Vol'!$R$3,"n/a",'Capital IQ Sheet-GPC'!BX32))</f>
        <v>n/a</v>
      </c>
      <c r="J29" s="1066" t="str">
        <f>IF('Capital IQ Sheet-GPC'!BY32&gt;'Equity Vol'!$P$3,"n/a",IF('Capital IQ Sheet-GPC'!BY32&lt;'Equity Vol'!$R$3,"n/a",'Capital IQ Sheet-GPC'!BY32))</f>
        <v>n/a</v>
      </c>
      <c r="K29" s="1066" t="str">
        <f>IF('Capital IQ Sheet-GPC'!BZ32&gt;'Equity Vol'!$P$3,"n/a",IF('Capital IQ Sheet-GPC'!BZ32&lt;'Equity Vol'!$R$3,"n/a",'Capital IQ Sheet-GPC'!BZ32))</f>
        <v>n/a</v>
      </c>
      <c r="M29" s="1582" t="str">
        <f>'Asset Vol_OPM'!AA29</f>
        <v>NasdaqGM:IMDZ</v>
      </c>
      <c r="O29" s="1583">
        <f>'Capital IQ Sheet-GPC'!G32</f>
        <v>41844</v>
      </c>
    </row>
    <row r="30" spans="2:15" ht="14.85" customHeight="1">
      <c r="B30" s="250" t="str">
        <f>'Comp.1'!B32</f>
        <v>Fate Therapeutics, Inc.</v>
      </c>
      <c r="D30" s="1066">
        <f>IF('Capital IQ Sheet-GPC'!BS33&gt;'Equity Vol'!$P$3,"n/a",IF('Capital IQ Sheet-GPC'!BS33&lt;'Equity Vol'!$R$3,"n/a",'Capital IQ Sheet-GPC'!BS33))</f>
        <v>0.83694308969446407</v>
      </c>
      <c r="E30" s="1066">
        <f>IF('Capital IQ Sheet-GPC'!BT33&gt;'Equity Vol'!$P$3,"n/a",IF('Capital IQ Sheet-GPC'!BT33&lt;'Equity Vol'!$R$3,"n/a",'Capital IQ Sheet-GPC'!BT33))</f>
        <v>0.87702243861868245</v>
      </c>
      <c r="F30" s="1066">
        <f>IF('Capital IQ Sheet-GPC'!BU33&gt;'Equity Vol'!$P$3,"n/a",IF('Capital IQ Sheet-GPC'!BU33&lt;'Equity Vol'!$R$3,"n/a",'Capital IQ Sheet-GPC'!BU33))</f>
        <v>0.81948065839335027</v>
      </c>
      <c r="G30" s="1066">
        <f>IF('Capital IQ Sheet-GPC'!BV33&gt;'Equity Vol'!$P$3,"n/a",IF('Capital IQ Sheet-GPC'!BV33&lt;'Equity Vol'!$R$3,"n/a",'Capital IQ Sheet-GPC'!BV33))</f>
        <v>0.82425686431352063</v>
      </c>
      <c r="H30" s="1066" t="str">
        <f>IF('Capital IQ Sheet-GPC'!BW33&gt;'Equity Vol'!$P$3,"n/a",IF('Capital IQ Sheet-GPC'!BW33&lt;'Equity Vol'!$R$3,"n/a",'Capital IQ Sheet-GPC'!BW33))</f>
        <v>n/a</v>
      </c>
      <c r="I30" s="1066" t="str">
        <f>IF('Capital IQ Sheet-GPC'!BX33&gt;'Equity Vol'!$P$3,"n/a",IF('Capital IQ Sheet-GPC'!BX33&lt;'Equity Vol'!$R$3,"n/a",'Capital IQ Sheet-GPC'!BX33))</f>
        <v>n/a</v>
      </c>
      <c r="J30" s="1066" t="str">
        <f>IF('Capital IQ Sheet-GPC'!BY33&gt;'Equity Vol'!$P$3,"n/a",IF('Capital IQ Sheet-GPC'!BY33&lt;'Equity Vol'!$R$3,"n/a",'Capital IQ Sheet-GPC'!BY33))</f>
        <v>n/a</v>
      </c>
      <c r="K30" s="1066" t="str">
        <f>IF('Capital IQ Sheet-GPC'!BZ33&gt;'Equity Vol'!$P$3,"n/a",IF('Capital IQ Sheet-GPC'!BZ33&lt;'Equity Vol'!$R$3,"n/a",'Capital IQ Sheet-GPC'!BZ33))</f>
        <v>n/a</v>
      </c>
      <c r="M30" s="1582" t="str">
        <f>'Asset Vol_OPM'!AA30</f>
        <v>NasdaqGM:FATE</v>
      </c>
      <c r="O30" s="1583">
        <f>'Capital IQ Sheet-GPC'!G33</f>
        <v>41548</v>
      </c>
    </row>
    <row r="31" spans="2:15" ht="14.85" customHeight="1">
      <c r="B31" s="250" t="str">
        <f>'Comp.1'!B33</f>
        <v>Arrowhead Pharmaceuticals, Inc.</v>
      </c>
      <c r="D31" s="1066">
        <f>IF('Capital IQ Sheet-GPC'!BS34&gt;'Equity Vol'!$P$3,"n/a",IF('Capital IQ Sheet-GPC'!BS34&lt;'Equity Vol'!$R$3,"n/a",'Capital IQ Sheet-GPC'!BS34))</f>
        <v>0.73661696293375278</v>
      </c>
      <c r="E31" s="1066">
        <f>IF('Capital IQ Sheet-GPC'!BT34&gt;'Equity Vol'!$P$3,"n/a",IF('Capital IQ Sheet-GPC'!BT34&lt;'Equity Vol'!$R$3,"n/a",'Capital IQ Sheet-GPC'!BT34))</f>
        <v>0.72102275983348885</v>
      </c>
      <c r="F31" s="1066">
        <f>IF('Capital IQ Sheet-GPC'!BU34&gt;'Equity Vol'!$P$3,"n/a",IF('Capital IQ Sheet-GPC'!BU34&lt;'Equity Vol'!$R$3,"n/a",'Capital IQ Sheet-GPC'!BU34))</f>
        <v>0.83310850932360714</v>
      </c>
      <c r="G31" s="1066">
        <f>IF('Capital IQ Sheet-GPC'!BV34&gt;'Equity Vol'!$P$3,"n/a",IF('Capital IQ Sheet-GPC'!BV34&lt;'Equity Vol'!$R$3,"n/a",'Capital IQ Sheet-GPC'!BV34))</f>
        <v>0.79059769874606856</v>
      </c>
      <c r="H31" s="1066">
        <f>IF('Capital IQ Sheet-GPC'!BW34&gt;'Equity Vol'!$P$3,"n/a",IF('Capital IQ Sheet-GPC'!BW34&lt;'Equity Vol'!$R$3,"n/a",'Capital IQ Sheet-GPC'!BW34))</f>
        <v>0.74884430504061683</v>
      </c>
      <c r="I31" s="1066">
        <f>IF('Capital IQ Sheet-GPC'!BX34&gt;'Equity Vol'!$P$3,"n/a",IF('Capital IQ Sheet-GPC'!BX34&lt;'Equity Vol'!$R$3,"n/a",'Capital IQ Sheet-GPC'!BX34))</f>
        <v>0.75486080704272351</v>
      </c>
      <c r="J31" s="1066">
        <f>IF('Capital IQ Sheet-GPC'!BY34&gt;'Equity Vol'!$P$3,"n/a",IF('Capital IQ Sheet-GPC'!BY34&lt;'Equity Vol'!$R$3,"n/a",'Capital IQ Sheet-GPC'!BY34))</f>
        <v>0.79750215502601585</v>
      </c>
      <c r="K31" s="1066">
        <f>IF('Capital IQ Sheet-GPC'!BZ34&gt;'Equity Vol'!$P$3,"n/a",IF('Capital IQ Sheet-GPC'!BZ34&lt;'Equity Vol'!$R$3,"n/a",'Capital IQ Sheet-GPC'!BZ34))</f>
        <v>0.85359327331403279</v>
      </c>
      <c r="M31" s="1582" t="str">
        <f>'Asset Vol_OPM'!AA31</f>
        <v>NasdaqGS:ARWR</v>
      </c>
      <c r="O31" s="1583">
        <f>'Capital IQ Sheet-GPC'!G34</f>
        <v>37999</v>
      </c>
    </row>
    <row r="32" spans="2:15" ht="14.85" customHeight="1">
      <c r="B32" s="250" t="str">
        <f>'Comp.1'!B34</f>
        <v>Regulus Therapeutics Inc.</v>
      </c>
      <c r="D32" s="1066">
        <f>IF('Capital IQ Sheet-GPC'!BS35&gt;'Equity Vol'!$P$3,"n/a",IF('Capital IQ Sheet-GPC'!BS35&lt;'Equity Vol'!$R$3,"n/a",'Capital IQ Sheet-GPC'!BS35))</f>
        <v>1.0446789664928366</v>
      </c>
      <c r="E32" s="1066">
        <f>IF('Capital IQ Sheet-GPC'!BT35&gt;'Equity Vol'!$P$3,"n/a",IF('Capital IQ Sheet-GPC'!BT35&lt;'Equity Vol'!$R$3,"n/a",'Capital IQ Sheet-GPC'!BT35))</f>
        <v>0.91431217256686126</v>
      </c>
      <c r="F32" s="1066">
        <f>IF('Capital IQ Sheet-GPC'!BU35&gt;'Equity Vol'!$P$3,"n/a",IF('Capital IQ Sheet-GPC'!BU35&lt;'Equity Vol'!$R$3,"n/a",'Capital IQ Sheet-GPC'!BU35))</f>
        <v>0.94732611198066297</v>
      </c>
      <c r="G32" s="1066">
        <f>IF('Capital IQ Sheet-GPC'!BV35&gt;'Equity Vol'!$P$3,"n/a",IF('Capital IQ Sheet-GPC'!BV35&lt;'Equity Vol'!$R$3,"n/a",'Capital IQ Sheet-GPC'!BV35))</f>
        <v>0.86622688036044537</v>
      </c>
      <c r="H32" s="1066">
        <f>IF('Capital IQ Sheet-GPC'!BW35&gt;'Equity Vol'!$P$3,"n/a",IF('Capital IQ Sheet-GPC'!BW35&lt;'Equity Vol'!$R$3,"n/a",'Capital IQ Sheet-GPC'!BW35))</f>
        <v>0.85920187744439425</v>
      </c>
      <c r="I32" s="1066" t="str">
        <f>IF('Capital IQ Sheet-GPC'!BX35&gt;'Equity Vol'!$P$3,"n/a",IF('Capital IQ Sheet-GPC'!BX35&lt;'Equity Vol'!$R$3,"n/a",'Capital IQ Sheet-GPC'!BX35))</f>
        <v>n/a</v>
      </c>
      <c r="J32" s="1066" t="str">
        <f>IF('Capital IQ Sheet-GPC'!BY35&gt;'Equity Vol'!$P$3,"n/a",IF('Capital IQ Sheet-GPC'!BY35&lt;'Equity Vol'!$R$3,"n/a",'Capital IQ Sheet-GPC'!BY35))</f>
        <v>n/a</v>
      </c>
      <c r="K32" s="1066" t="str">
        <f>IF('Capital IQ Sheet-GPC'!BZ35&gt;'Equity Vol'!$P$3,"n/a",IF('Capital IQ Sheet-GPC'!BZ35&lt;'Equity Vol'!$R$3,"n/a",'Capital IQ Sheet-GPC'!BZ35))</f>
        <v>n/a</v>
      </c>
      <c r="M32" s="1582" t="str">
        <f>'Asset Vol_OPM'!AA32</f>
        <v>NasdaqGM:RGLS</v>
      </c>
      <c r="O32" s="1583">
        <f>'Capital IQ Sheet-GPC'!G35</f>
        <v>41186</v>
      </c>
    </row>
    <row r="33" spans="2:15" ht="14.85" customHeight="1">
      <c r="B33" s="250" t="str">
        <f>'Comp.1'!B35</f>
        <v>CEL-SCI Corporation</v>
      </c>
      <c r="D33" s="1066">
        <f>IF('Capital IQ Sheet-GPC'!BS36&gt;'Equity Vol'!$P$3,"n/a",IF('Capital IQ Sheet-GPC'!BS36&lt;'Equity Vol'!$R$3,"n/a",'Capital IQ Sheet-GPC'!BS36))</f>
        <v>0.83803751866109888</v>
      </c>
      <c r="E33" s="1066">
        <f>IF('Capital IQ Sheet-GPC'!BT36&gt;'Equity Vol'!$P$3,"n/a",IF('Capital IQ Sheet-GPC'!BT36&lt;'Equity Vol'!$R$3,"n/a",'Capital IQ Sheet-GPC'!BT36))</f>
        <v>0.79234406162523929</v>
      </c>
      <c r="F33" s="1066">
        <f>IF('Capital IQ Sheet-GPC'!BU36&gt;'Equity Vol'!$P$3,"n/a",IF('Capital IQ Sheet-GPC'!BU36&lt;'Equity Vol'!$R$3,"n/a",'Capital IQ Sheet-GPC'!BU36))</f>
        <v>0.79750368267574068</v>
      </c>
      <c r="G33" s="1066">
        <f>IF('Capital IQ Sheet-GPC'!BV36&gt;'Equity Vol'!$P$3,"n/a",IF('Capital IQ Sheet-GPC'!BV36&lt;'Equity Vol'!$R$3,"n/a",'Capital IQ Sheet-GPC'!BV36))</f>
        <v>0.78543514696831052</v>
      </c>
      <c r="H33" s="1066">
        <f>IF('Capital IQ Sheet-GPC'!BW36&gt;'Equity Vol'!$P$3,"n/a",IF('Capital IQ Sheet-GPC'!BW36&lt;'Equity Vol'!$R$3,"n/a",'Capital IQ Sheet-GPC'!BW36))</f>
        <v>0.7775543150554266</v>
      </c>
      <c r="I33" s="1066">
        <f>IF('Capital IQ Sheet-GPC'!BX36&gt;'Equity Vol'!$P$3,"n/a",IF('Capital IQ Sheet-GPC'!BX36&lt;'Equity Vol'!$R$3,"n/a",'Capital IQ Sheet-GPC'!BX36))</f>
        <v>0.75058668801827222</v>
      </c>
      <c r="J33" s="1066">
        <f>IF('Capital IQ Sheet-GPC'!BY36&gt;'Equity Vol'!$P$3,"n/a",IF('Capital IQ Sheet-GPC'!BY36&lt;'Equity Vol'!$R$3,"n/a",'Capital IQ Sheet-GPC'!BY36))</f>
        <v>0.74456570064465366</v>
      </c>
      <c r="K33" s="1066">
        <f>IF('Capital IQ Sheet-GPC'!BZ36&gt;'Equity Vol'!$P$3,"n/a",IF('Capital IQ Sheet-GPC'!BZ36&lt;'Equity Vol'!$R$3,"n/a",'Capital IQ Sheet-GPC'!BZ36))</f>
        <v>0.8644817081877354</v>
      </c>
      <c r="M33" s="1582" t="str">
        <f>'Asset Vol_OPM'!AA33</f>
        <v>AMEX:CVM</v>
      </c>
      <c r="O33" s="1583">
        <f>'Capital IQ Sheet-GPC'!G36</f>
        <v>30658</v>
      </c>
    </row>
    <row r="34" spans="2:15" ht="14.85" customHeight="1">
      <c r="B34" s="250" t="str">
        <f>'Comp.1'!B36</f>
        <v>PhaseRx, Inc.</v>
      </c>
      <c r="D34" s="1066" t="str">
        <f>IF('Capital IQ Sheet-GPC'!BS37&gt;'Equity Vol'!$P$3,"n/a",IF('Capital IQ Sheet-GPC'!BS37&lt;'Equity Vol'!$R$3,"n/a",'Capital IQ Sheet-GPC'!BS37))</f>
        <v>n/a</v>
      </c>
      <c r="E34" s="1066" t="str">
        <f>IF('Capital IQ Sheet-GPC'!BT37&gt;'Equity Vol'!$P$3,"n/a",IF('Capital IQ Sheet-GPC'!BT37&lt;'Equity Vol'!$R$3,"n/a",'Capital IQ Sheet-GPC'!BT37))</f>
        <v>n/a</v>
      </c>
      <c r="F34" s="1066" t="str">
        <f>IF('Capital IQ Sheet-GPC'!BU37&gt;'Equity Vol'!$P$3,"n/a",IF('Capital IQ Sheet-GPC'!BU37&lt;'Equity Vol'!$R$3,"n/a",'Capital IQ Sheet-GPC'!BU37))</f>
        <v>n/a</v>
      </c>
      <c r="G34" s="1066" t="str">
        <f>IF('Capital IQ Sheet-GPC'!BV37&gt;'Equity Vol'!$P$3,"n/a",IF('Capital IQ Sheet-GPC'!BV37&lt;'Equity Vol'!$R$3,"n/a",'Capital IQ Sheet-GPC'!BV37))</f>
        <v>n/a</v>
      </c>
      <c r="H34" s="1066" t="str">
        <f>IF('Capital IQ Sheet-GPC'!BW37&gt;'Equity Vol'!$P$3,"n/a",IF('Capital IQ Sheet-GPC'!BW37&lt;'Equity Vol'!$R$3,"n/a",'Capital IQ Sheet-GPC'!BW37))</f>
        <v>n/a</v>
      </c>
      <c r="I34" s="1066" t="str">
        <f>IF('Capital IQ Sheet-GPC'!BX37&gt;'Equity Vol'!$P$3,"n/a",IF('Capital IQ Sheet-GPC'!BX37&lt;'Equity Vol'!$R$3,"n/a",'Capital IQ Sheet-GPC'!BX37))</f>
        <v>n/a</v>
      </c>
      <c r="J34" s="1066" t="str">
        <f>IF('Capital IQ Sheet-GPC'!BY37&gt;'Equity Vol'!$P$3,"n/a",IF('Capital IQ Sheet-GPC'!BY37&lt;'Equity Vol'!$R$3,"n/a",'Capital IQ Sheet-GPC'!BY37))</f>
        <v>n/a</v>
      </c>
      <c r="K34" s="1066" t="str">
        <f>IF('Capital IQ Sheet-GPC'!BZ37&gt;'Equity Vol'!$P$3,"n/a",IF('Capital IQ Sheet-GPC'!BZ37&lt;'Equity Vol'!$R$3,"n/a",'Capital IQ Sheet-GPC'!BZ37))</f>
        <v>n/a</v>
      </c>
      <c r="M34" s="1582" t="str">
        <f>'Asset Vol_OPM'!AA34</f>
        <v>NasdaqCM:PZRX</v>
      </c>
      <c r="O34" s="1583">
        <f>'Capital IQ Sheet-GPC'!G37</f>
        <v>42508</v>
      </c>
    </row>
    <row r="35" spans="2:15" ht="14.85" customHeight="1">
      <c r="B35" s="250" t="str">
        <f>'Comp.1'!B37</f>
        <v>Marina Biotech, Inc.</v>
      </c>
      <c r="D35" s="1066" t="str">
        <f>IF('Capital IQ Sheet-GPC'!BS38&gt;'Equity Vol'!$P$3,"n/a",IF('Capital IQ Sheet-GPC'!BS38&lt;'Equity Vol'!$R$3,"n/a",'Capital IQ Sheet-GPC'!BS38))</f>
        <v>n/a</v>
      </c>
      <c r="E35" s="1066" t="str">
        <f>IF('Capital IQ Sheet-GPC'!BT38&gt;'Equity Vol'!$P$3,"n/a",IF('Capital IQ Sheet-GPC'!BT38&lt;'Equity Vol'!$R$3,"n/a",'Capital IQ Sheet-GPC'!BT38))</f>
        <v>n/a</v>
      </c>
      <c r="F35" s="1066" t="str">
        <f>IF('Capital IQ Sheet-GPC'!BU38&gt;'Equity Vol'!$P$3,"n/a",IF('Capital IQ Sheet-GPC'!BU38&lt;'Equity Vol'!$R$3,"n/a",'Capital IQ Sheet-GPC'!BU38))</f>
        <v>n/a</v>
      </c>
      <c r="G35" s="1066" t="str">
        <f>IF('Capital IQ Sheet-GPC'!BV38&gt;'Equity Vol'!$P$3,"n/a",IF('Capital IQ Sheet-GPC'!BV38&lt;'Equity Vol'!$R$3,"n/a",'Capital IQ Sheet-GPC'!BV38))</f>
        <v>n/a</v>
      </c>
      <c r="H35" s="1066" t="str">
        <f>IF('Capital IQ Sheet-GPC'!BW38&gt;'Equity Vol'!$P$3,"n/a",IF('Capital IQ Sheet-GPC'!BW38&lt;'Equity Vol'!$R$3,"n/a",'Capital IQ Sheet-GPC'!BW38))</f>
        <v>n/a</v>
      </c>
      <c r="I35" s="1066" t="str">
        <f>IF('Capital IQ Sheet-GPC'!BX38&gt;'Equity Vol'!$P$3,"n/a",IF('Capital IQ Sheet-GPC'!BX38&lt;'Equity Vol'!$R$3,"n/a",'Capital IQ Sheet-GPC'!BX38))</f>
        <v>n/a</v>
      </c>
      <c r="J35" s="1066" t="str">
        <f>IF('Capital IQ Sheet-GPC'!BY38&gt;'Equity Vol'!$P$3,"n/a",IF('Capital IQ Sheet-GPC'!BY38&lt;'Equity Vol'!$R$3,"n/a",'Capital IQ Sheet-GPC'!BY38))</f>
        <v>n/a</v>
      </c>
      <c r="K35" s="1066" t="str">
        <f>IF('Capital IQ Sheet-GPC'!BZ38&gt;'Equity Vol'!$P$3,"n/a",IF('Capital IQ Sheet-GPC'!BZ38&lt;'Equity Vol'!$R$3,"n/a",'Capital IQ Sheet-GPC'!BZ38))</f>
        <v>n/a</v>
      </c>
      <c r="M35" s="1582" t="str">
        <f>'Asset Vol_OPM'!AA35</f>
        <v>OTCPK:MRNA</v>
      </c>
      <c r="O35" s="1583">
        <f>'Capital IQ Sheet-GPC'!G38</f>
        <v>42690</v>
      </c>
    </row>
    <row r="36" spans="2:15" ht="14.85" customHeight="1">
      <c r="B36" s="250" t="str">
        <f>'Comp.1'!B38</f>
        <v>RXi Pharmaceuticals Corporation</v>
      </c>
      <c r="D36" s="1066">
        <f>IF('Capital IQ Sheet-GPC'!BS39&gt;'Equity Vol'!$P$3,"n/a",IF('Capital IQ Sheet-GPC'!BS39&lt;'Equity Vol'!$R$3,"n/a",'Capital IQ Sheet-GPC'!BS39))</f>
        <v>1.0089141372390369</v>
      </c>
      <c r="E36" s="1066">
        <f>IF('Capital IQ Sheet-GPC'!BT39&gt;'Equity Vol'!$P$3,"n/a",IF('Capital IQ Sheet-GPC'!BT39&lt;'Equity Vol'!$R$3,"n/a",'Capital IQ Sheet-GPC'!BT39))</f>
        <v>0.94144155911266458</v>
      </c>
      <c r="F36" s="1066">
        <f>IF('Capital IQ Sheet-GPC'!BU39&gt;'Equity Vol'!$P$3,"n/a",IF('Capital IQ Sheet-GPC'!BU39&lt;'Equity Vol'!$R$3,"n/a",'Capital IQ Sheet-GPC'!BU39))</f>
        <v>0.9097061604101625</v>
      </c>
      <c r="G36" s="1066">
        <f>IF('Capital IQ Sheet-GPC'!BV39&gt;'Equity Vol'!$P$3,"n/a",IF('Capital IQ Sheet-GPC'!BV39&lt;'Equity Vol'!$R$3,"n/a",'Capital IQ Sheet-GPC'!BV39))</f>
        <v>0.92299971134205117</v>
      </c>
      <c r="H36" s="1066">
        <f>IF('Capital IQ Sheet-GPC'!BW39&gt;'Equity Vol'!$P$3,"n/a",IF('Capital IQ Sheet-GPC'!BW39&lt;'Equity Vol'!$R$3,"n/a",'Capital IQ Sheet-GPC'!BW39))</f>
        <v>0.98778150228867834</v>
      </c>
      <c r="I36" s="1066" t="str">
        <f>IF('Capital IQ Sheet-GPC'!BX39&gt;'Equity Vol'!$P$3,"n/a",IF('Capital IQ Sheet-GPC'!BX39&lt;'Equity Vol'!$R$3,"n/a",'Capital IQ Sheet-GPC'!BX39))</f>
        <v>n/a</v>
      </c>
      <c r="J36" s="1066" t="str">
        <f>IF('Capital IQ Sheet-GPC'!BY39&gt;'Equity Vol'!$P$3,"n/a",IF('Capital IQ Sheet-GPC'!BY39&lt;'Equity Vol'!$R$3,"n/a",'Capital IQ Sheet-GPC'!BY39))</f>
        <v>n/a</v>
      </c>
      <c r="K36" s="1066" t="str">
        <f>IF('Capital IQ Sheet-GPC'!BZ39&gt;'Equity Vol'!$P$3,"n/a",IF('Capital IQ Sheet-GPC'!BZ39&lt;'Equity Vol'!$R$3,"n/a",'Capital IQ Sheet-GPC'!BZ39))</f>
        <v>n/a</v>
      </c>
      <c r="M36" s="1582" t="str">
        <f>'Asset Vol_OPM'!AA36</f>
        <v>NasdaqCM:RXII</v>
      </c>
      <c r="O36" s="1583">
        <f>'Capital IQ Sheet-GPC'!G39</f>
        <v>41039</v>
      </c>
    </row>
    <row r="37" spans="2:15" ht="14.85" customHeight="1">
      <c r="B37" s="250" t="str">
        <f>'Comp.1'!B39</f>
        <v>Benitec Biopharma Limited</v>
      </c>
      <c r="D37" s="1066">
        <f>IF('Capital IQ Sheet-GPC'!BS40&gt;'Equity Vol'!$P$3,"n/a",IF('Capital IQ Sheet-GPC'!BS40&lt;'Equity Vol'!$R$3,"n/a",'Capital IQ Sheet-GPC'!BS40))</f>
        <v>1.204711380134504</v>
      </c>
      <c r="E37" s="1066">
        <f>IF('Capital IQ Sheet-GPC'!BT40&gt;'Equity Vol'!$P$3,"n/a",IF('Capital IQ Sheet-GPC'!BT40&lt;'Equity Vol'!$R$3,"n/a",'Capital IQ Sheet-GPC'!BT40))</f>
        <v>0.97983618266092853</v>
      </c>
      <c r="F37" s="1066">
        <f>IF('Capital IQ Sheet-GPC'!BU40&gt;'Equity Vol'!$P$3,"n/a",IF('Capital IQ Sheet-GPC'!BU40&lt;'Equity Vol'!$R$3,"n/a",'Capital IQ Sheet-GPC'!BU40))</f>
        <v>0.98094228131580063</v>
      </c>
      <c r="G37" s="1066">
        <f>IF('Capital IQ Sheet-GPC'!BV40&gt;'Equity Vol'!$P$3,"n/a",IF('Capital IQ Sheet-GPC'!BV40&lt;'Equity Vol'!$R$3,"n/a",'Capital IQ Sheet-GPC'!BV40))</f>
        <v>0.98012544660078516</v>
      </c>
      <c r="H37" s="1066">
        <f>IF('Capital IQ Sheet-GPC'!BW40&gt;'Equity Vol'!$P$3,"n/a",IF('Capital IQ Sheet-GPC'!BW40&lt;'Equity Vol'!$R$3,"n/a",'Capital IQ Sheet-GPC'!BW40))</f>
        <v>0.97562854984021263</v>
      </c>
      <c r="I37" s="1066">
        <f>IF('Capital IQ Sheet-GPC'!BX40&gt;'Equity Vol'!$P$3,"n/a",IF('Capital IQ Sheet-GPC'!BX40&lt;'Equity Vol'!$R$3,"n/a",'Capital IQ Sheet-GPC'!BX40))</f>
        <v>0.97346982530604764</v>
      </c>
      <c r="J37" s="1066">
        <f>IF('Capital IQ Sheet-GPC'!BY40&gt;'Equity Vol'!$P$3,"n/a",IF('Capital IQ Sheet-GPC'!BY40&lt;'Equity Vol'!$R$3,"n/a",'Capital IQ Sheet-GPC'!BY40))</f>
        <v>0.99209649294656366</v>
      </c>
      <c r="K37" s="1066">
        <f>IF('Capital IQ Sheet-GPC'!BZ40&gt;'Equity Vol'!$P$3,"n/a",IF('Capital IQ Sheet-GPC'!BZ40&lt;'Equity Vol'!$R$3,"n/a",'Capital IQ Sheet-GPC'!BZ40))</f>
        <v>1.0373487423697918</v>
      </c>
      <c r="M37" s="1582" t="str">
        <f>'Asset Vol_OPM'!AA37</f>
        <v>ASX:BLT</v>
      </c>
      <c r="O37" s="1583">
        <f>'Capital IQ Sheet-GPC'!G40</f>
        <v>37380</v>
      </c>
    </row>
    <row r="38" spans="2:15" ht="14.85" customHeight="1">
      <c r="B38" s="250" t="str">
        <f>'Comp.1'!B40</f>
        <v>GenVec, Inc.</v>
      </c>
      <c r="D38" s="1066">
        <f>IF('Capital IQ Sheet-GPC'!BS41&gt;'Equity Vol'!$P$3,"n/a",IF('Capital IQ Sheet-GPC'!BS41&lt;'Equity Vol'!$R$3,"n/a",'Capital IQ Sheet-GPC'!BS41))</f>
        <v>1.3374273785259052</v>
      </c>
      <c r="E38" s="1066">
        <f>IF('Capital IQ Sheet-GPC'!BT41&gt;'Equity Vol'!$P$3,"n/a",IF('Capital IQ Sheet-GPC'!BT41&lt;'Equity Vol'!$R$3,"n/a",'Capital IQ Sheet-GPC'!BT41))</f>
        <v>1.0969190492665144</v>
      </c>
      <c r="F38" s="1066">
        <f>IF('Capital IQ Sheet-GPC'!BU41&gt;'Equity Vol'!$P$3,"n/a",IF('Capital IQ Sheet-GPC'!BU41&lt;'Equity Vol'!$R$3,"n/a",'Capital IQ Sheet-GPC'!BU41))</f>
        <v>0.99510388967342045</v>
      </c>
      <c r="G38" s="1066">
        <f>IF('Capital IQ Sheet-GPC'!BV41&gt;'Equity Vol'!$P$3,"n/a",IF('Capital IQ Sheet-GPC'!BV41&lt;'Equity Vol'!$R$3,"n/a",'Capital IQ Sheet-GPC'!BV41))</f>
        <v>1.1138625987660433</v>
      </c>
      <c r="H38" s="1066">
        <f>IF('Capital IQ Sheet-GPC'!BW41&gt;'Equity Vol'!$P$3,"n/a",IF('Capital IQ Sheet-GPC'!BW41&lt;'Equity Vol'!$R$3,"n/a",'Capital IQ Sheet-GPC'!BW41))</f>
        <v>1.0170750567026225</v>
      </c>
      <c r="I38" s="1066">
        <f>IF('Capital IQ Sheet-GPC'!BX41&gt;'Equity Vol'!$P$3,"n/a",IF('Capital IQ Sheet-GPC'!BX41&lt;'Equity Vol'!$R$3,"n/a",'Capital IQ Sheet-GPC'!BX41))</f>
        <v>0.95780285250433184</v>
      </c>
      <c r="J38" s="1066">
        <f>IF('Capital IQ Sheet-GPC'!BY41&gt;'Equity Vol'!$P$3,"n/a",IF('Capital IQ Sheet-GPC'!BY41&lt;'Equity Vol'!$R$3,"n/a",'Capital IQ Sheet-GPC'!BY41))</f>
        <v>1.0592397659511921</v>
      </c>
      <c r="K38" s="1066">
        <f>IF('Capital IQ Sheet-GPC'!BZ41&gt;'Equity Vol'!$P$3,"n/a",IF('Capital IQ Sheet-GPC'!BZ41&lt;'Equity Vol'!$R$3,"n/a",'Capital IQ Sheet-GPC'!BZ41))</f>
        <v>1.0569467467471498</v>
      </c>
      <c r="M38" s="1582" t="str">
        <f>'Asset Vol_OPM'!AA38</f>
        <v>NasdaqCM:GNVC</v>
      </c>
      <c r="O38" s="1583">
        <f>'Capital IQ Sheet-GPC'!G41</f>
        <v>36872</v>
      </c>
    </row>
    <row r="39" spans="2:15" ht="14.85" customHeight="1">
      <c r="B39" s="250" t="str">
        <f>'Comp.1'!B41</f>
        <v>Arbutus Biopharma Corporation</v>
      </c>
      <c r="D39" s="1066">
        <f>IF('Capital IQ Sheet-GPC'!BS42&gt;'Equity Vol'!$P$3,"n/a",IF('Capital IQ Sheet-GPC'!BS42&lt;'Equity Vol'!$R$3,"n/a",'Capital IQ Sheet-GPC'!BS42))</f>
        <v>0.54921515354175443</v>
      </c>
      <c r="E39" s="1066">
        <f>IF('Capital IQ Sheet-GPC'!BT42&gt;'Equity Vol'!$P$3,"n/a",IF('Capital IQ Sheet-GPC'!BT42&lt;'Equity Vol'!$R$3,"n/a",'Capital IQ Sheet-GPC'!BT42))</f>
        <v>0.6368240548266475</v>
      </c>
      <c r="F39" s="1066">
        <f>IF('Capital IQ Sheet-GPC'!BU42&gt;'Equity Vol'!$P$3,"n/a",IF('Capital IQ Sheet-GPC'!BU42&lt;'Equity Vol'!$R$3,"n/a",'Capital IQ Sheet-GPC'!BU42))</f>
        <v>0.8118930978537976</v>
      </c>
      <c r="G39" s="1066">
        <f>IF('Capital IQ Sheet-GPC'!BV42&gt;'Equity Vol'!$P$3,"n/a",IF('Capital IQ Sheet-GPC'!BV42&lt;'Equity Vol'!$R$3,"n/a",'Capital IQ Sheet-GPC'!BV42))</f>
        <v>0.74958228537678606</v>
      </c>
      <c r="H39" s="1066">
        <f>IF('Capital IQ Sheet-GPC'!BW42&gt;'Equity Vol'!$P$3,"n/a",IF('Capital IQ Sheet-GPC'!BW42&lt;'Equity Vol'!$R$3,"n/a",'Capital IQ Sheet-GPC'!BW42))</f>
        <v>0.75033367742199064</v>
      </c>
      <c r="I39" s="1066">
        <f>IF('Capital IQ Sheet-GPC'!BX42&gt;'Equity Vol'!$P$3,"n/a",IF('Capital IQ Sheet-GPC'!BX42&lt;'Equity Vol'!$R$3,"n/a",'Capital IQ Sheet-GPC'!BX42))</f>
        <v>0.73646736437477023</v>
      </c>
      <c r="J39" s="1066">
        <f>IF('Capital IQ Sheet-GPC'!BY42&gt;'Equity Vol'!$P$3,"n/a",IF('Capital IQ Sheet-GPC'!BY42&lt;'Equity Vol'!$R$3,"n/a",'Capital IQ Sheet-GPC'!BY42))</f>
        <v>0.73833756066271383</v>
      </c>
      <c r="K39" s="1066" t="str">
        <f>IF('Capital IQ Sheet-GPC'!BZ42&gt;'Equity Vol'!$P$3,"n/a",IF('Capital IQ Sheet-GPC'!BZ42&lt;'Equity Vol'!$R$3,"n/a",'Capital IQ Sheet-GPC'!BZ42))</f>
        <v>n/a</v>
      </c>
      <c r="M39" s="1582" t="str">
        <f>'Asset Vol_OPM'!AA39</f>
        <v>NasdaqGS:ABUS</v>
      </c>
      <c r="O39" s="1583">
        <f>'Capital IQ Sheet-GPC'!G42</f>
        <v>40497</v>
      </c>
    </row>
    <row r="40" spans="2:15" ht="14.85" customHeight="1">
      <c r="D40" s="1066"/>
      <c r="E40" s="1066"/>
      <c r="F40" s="1066"/>
      <c r="G40" s="1066"/>
      <c r="H40" s="1066"/>
      <c r="I40" s="1066"/>
      <c r="J40" s="1066"/>
      <c r="K40" s="1066"/>
      <c r="M40" s="1582"/>
    </row>
    <row r="41" spans="2:15" ht="14.85" customHeight="1">
      <c r="B41" s="1181" t="s">
        <v>111</v>
      </c>
      <c r="C41" s="1584"/>
      <c r="D41" s="1326">
        <f t="shared" ref="D41:K41" si="0">MAX(D10:D39)</f>
        <v>1.3374273785259052</v>
      </c>
      <c r="E41" s="1326">
        <f t="shared" si="0"/>
        <v>1.1933416076473253</v>
      </c>
      <c r="F41" s="1326">
        <f t="shared" si="0"/>
        <v>1.396853832524193</v>
      </c>
      <c r="G41" s="1326">
        <f t="shared" si="0"/>
        <v>1.1138625987660433</v>
      </c>
      <c r="H41" s="1326">
        <f t="shared" si="0"/>
        <v>1.0777389955753038</v>
      </c>
      <c r="I41" s="1326">
        <f t="shared" si="0"/>
        <v>1.0163456904071684</v>
      </c>
      <c r="J41" s="1326">
        <f t="shared" si="0"/>
        <v>1.0592397659511921</v>
      </c>
      <c r="K41" s="1327">
        <f t="shared" si="0"/>
        <v>1.202555986908926</v>
      </c>
    </row>
    <row r="42" spans="2:15" ht="14.85" customHeight="1">
      <c r="B42" s="1187" t="s">
        <v>115</v>
      </c>
      <c r="C42" s="831"/>
      <c r="D42" s="1328">
        <f t="shared" ref="D42:K42" si="1">QUARTILE(D10:D39,3)</f>
        <v>0.89786950197562354</v>
      </c>
      <c r="E42" s="1328">
        <f t="shared" si="1"/>
        <v>0.93465921247621375</v>
      </c>
      <c r="F42" s="1328">
        <f t="shared" si="1"/>
        <v>0.93792112408803785</v>
      </c>
      <c r="G42" s="1328">
        <f t="shared" si="1"/>
        <v>0.95156257897141816</v>
      </c>
      <c r="H42" s="1328">
        <f t="shared" si="1"/>
        <v>0.98778150228867834</v>
      </c>
      <c r="I42" s="1328">
        <f t="shared" si="1"/>
        <v>0.96563633890518974</v>
      </c>
      <c r="J42" s="1328">
        <f t="shared" si="1"/>
        <v>0.95748546524718181</v>
      </c>
      <c r="K42" s="1329">
        <f t="shared" si="1"/>
        <v>1.030088454152208</v>
      </c>
    </row>
    <row r="43" spans="2:15" ht="14.85" customHeight="1">
      <c r="B43" s="1187" t="s">
        <v>113</v>
      </c>
      <c r="C43" s="831"/>
      <c r="D43" s="1328">
        <f t="shared" ref="D43:K43" si="2">AVERAGE(D10:D39)</f>
        <v>0.80179214974715429</v>
      </c>
      <c r="E43" s="1328">
        <f t="shared" si="2"/>
        <v>0.84033637690695717</v>
      </c>
      <c r="F43" s="1328">
        <f t="shared" si="2"/>
        <v>0.87145919338423417</v>
      </c>
      <c r="G43" s="1328">
        <f t="shared" si="2"/>
        <v>0.86373005187894103</v>
      </c>
      <c r="H43" s="1328">
        <f t="shared" si="2"/>
        <v>0.87949795207296799</v>
      </c>
      <c r="I43" s="1328">
        <f t="shared" si="2"/>
        <v>0.84616351974014781</v>
      </c>
      <c r="J43" s="1328">
        <f t="shared" si="2"/>
        <v>0.84527118711815608</v>
      </c>
      <c r="K43" s="1329">
        <f t="shared" si="2"/>
        <v>0.94342385577850474</v>
      </c>
    </row>
    <row r="44" spans="2:15" ht="14.85" customHeight="1">
      <c r="B44" s="1187" t="s">
        <v>44</v>
      </c>
      <c r="C44" s="831"/>
      <c r="D44" s="1328">
        <f t="shared" ref="D44:K44" si="3">MEDIAN(D10:D39)</f>
        <v>0.79814086416563823</v>
      </c>
      <c r="E44" s="1328">
        <f t="shared" si="3"/>
        <v>0.80956798122350371</v>
      </c>
      <c r="F44" s="1328">
        <f t="shared" si="3"/>
        <v>0.82629458385847876</v>
      </c>
      <c r="G44" s="1328">
        <f t="shared" si="3"/>
        <v>0.86622688036044537</v>
      </c>
      <c r="H44" s="1328">
        <f t="shared" si="3"/>
        <v>0.85920187744439425</v>
      </c>
      <c r="I44" s="1328">
        <f t="shared" si="3"/>
        <v>0.84211164162369512</v>
      </c>
      <c r="J44" s="1328">
        <f t="shared" si="3"/>
        <v>0.82093613565478285</v>
      </c>
      <c r="K44" s="1329">
        <f t="shared" si="3"/>
        <v>0.93591478833011199</v>
      </c>
    </row>
    <row r="45" spans="2:15" ht="14.85" customHeight="1">
      <c r="B45" s="1187" t="s">
        <v>114</v>
      </c>
      <c r="C45" s="831"/>
      <c r="D45" s="1328">
        <f t="shared" ref="D45:K45" si="4">QUARTILE(D10:D39,1)</f>
        <v>0.71748314388866108</v>
      </c>
      <c r="E45" s="1328">
        <f t="shared" si="4"/>
        <v>0.74778708577490494</v>
      </c>
      <c r="F45" s="1328">
        <f t="shared" si="4"/>
        <v>0.80259153213194279</v>
      </c>
      <c r="G45" s="1328">
        <f t="shared" si="4"/>
        <v>0.7787922409883089</v>
      </c>
      <c r="H45" s="1328">
        <f t="shared" si="4"/>
        <v>0.75967062904787386</v>
      </c>
      <c r="I45" s="1328">
        <f t="shared" si="4"/>
        <v>0.74352702619652122</v>
      </c>
      <c r="J45" s="1328">
        <f t="shared" si="4"/>
        <v>0.7414516306536838</v>
      </c>
      <c r="K45" s="1329">
        <f t="shared" si="4"/>
        <v>0.85502142368333112</v>
      </c>
    </row>
    <row r="46" spans="2:15" ht="14.85" customHeight="1">
      <c r="B46" s="1192" t="s">
        <v>112</v>
      </c>
      <c r="C46" s="1388"/>
      <c r="D46" s="1330">
        <f t="shared" ref="D46:K46" si="5">MIN(D10:D39)</f>
        <v>0.30494613818516308</v>
      </c>
      <c r="E46" s="1330">
        <f t="shared" si="5"/>
        <v>0.6189501235098539</v>
      </c>
      <c r="F46" s="1330">
        <f t="shared" si="5"/>
        <v>0.61508994844412945</v>
      </c>
      <c r="G46" s="1330">
        <f t="shared" si="5"/>
        <v>0.59320343181979973</v>
      </c>
      <c r="H46" s="1330">
        <f t="shared" si="5"/>
        <v>0.67878652003980433</v>
      </c>
      <c r="I46" s="1330">
        <f t="shared" si="5"/>
        <v>0.68960930690777289</v>
      </c>
      <c r="J46" s="1330">
        <f t="shared" si="5"/>
        <v>0.68075935270679633</v>
      </c>
      <c r="K46" s="1331">
        <f t="shared" si="5"/>
        <v>0.71199663925791412</v>
      </c>
    </row>
    <row r="47" spans="2:15" ht="14.85" customHeight="1"/>
    <row r="48" spans="2:15" ht="14.85" customHeight="1">
      <c r="B48" s="356" t="s">
        <v>116</v>
      </c>
    </row>
    <row r="49" spans="1:15" ht="14.85" customHeight="1">
      <c r="A49" s="1502" t="s">
        <v>270</v>
      </c>
      <c r="B49" s="2093" t="s">
        <v>2588</v>
      </c>
      <c r="C49" s="2093"/>
      <c r="D49" s="2093"/>
      <c r="E49" s="2093"/>
      <c r="F49" s="2093"/>
      <c r="G49" s="2093"/>
      <c r="H49" s="2093"/>
      <c r="I49" s="2093"/>
      <c r="J49" s="2093"/>
      <c r="K49" s="2093"/>
    </row>
    <row r="50" spans="1:15" ht="14.85" customHeight="1">
      <c r="A50" s="357" t="s">
        <v>269</v>
      </c>
      <c r="B50" s="2093" t="s">
        <v>2261</v>
      </c>
      <c r="C50" s="2093"/>
      <c r="D50" s="2093"/>
      <c r="E50" s="2093"/>
      <c r="F50" s="2093"/>
      <c r="G50" s="2093"/>
      <c r="H50" s="2093"/>
      <c r="I50" s="2094"/>
      <c r="J50" s="2094"/>
      <c r="K50" s="2094"/>
    </row>
    <row r="51" spans="1:15" ht="14.85" customHeight="1">
      <c r="A51" s="357" t="s">
        <v>308</v>
      </c>
      <c r="B51" s="250" t="str">
        <f>"Volatilities beyond "&amp;TEXT(P3,"0.0%")&amp;" are considered as outliers and not included in the analysis."</f>
        <v>Volatilities beyond 150.0% are considered as outliers and not included in the analysis.</v>
      </c>
    </row>
    <row r="52" spans="1:15" ht="14.85" customHeight="1">
      <c r="A52" s="1502" t="s">
        <v>309</v>
      </c>
      <c r="B52" s="2095" t="s">
        <v>2589</v>
      </c>
      <c r="C52" s="2095"/>
      <c r="D52" s="2095"/>
      <c r="E52" s="2095"/>
      <c r="F52" s="2095"/>
      <c r="G52" s="2095"/>
      <c r="H52" s="2095"/>
      <c r="I52" s="2095"/>
      <c r="J52" s="2095"/>
      <c r="K52" s="2095"/>
    </row>
    <row r="53" spans="1:15" ht="14.85" customHeight="1">
      <c r="A53" s="357"/>
    </row>
    <row r="54" spans="1:15" s="272" customFormat="1" ht="14.85" customHeight="1">
      <c r="B54" s="1585" t="s">
        <v>119</v>
      </c>
      <c r="C54" s="1586"/>
      <c r="D54" s="1587" t="s">
        <v>120</v>
      </c>
      <c r="E54" s="1587" t="s">
        <v>121</v>
      </c>
      <c r="F54" s="1587" t="s">
        <v>122</v>
      </c>
      <c r="G54" s="1587" t="s">
        <v>123</v>
      </c>
      <c r="H54" s="1588" t="s">
        <v>124</v>
      </c>
      <c r="I54" s="1589"/>
      <c r="J54" s="1589"/>
      <c r="K54" s="1589"/>
      <c r="O54" s="1590"/>
    </row>
    <row r="55" spans="1:15" ht="14.85" customHeight="1"/>
    <row r="56" spans="1:15" ht="14.85" customHeight="1">
      <c r="D56" s="333">
        <f>SUM(D10:D12,D24:D30)</f>
        <v>8.1132593793351582</v>
      </c>
      <c r="E56" s="333">
        <f t="shared" ref="E56:H56" si="6">SUM(E10:E12,E24:E30)</f>
        <v>7.7066164202881478</v>
      </c>
      <c r="F56" s="333">
        <f t="shared" si="6"/>
        <v>6.4271637244096169</v>
      </c>
      <c r="G56" s="333">
        <f t="shared" si="6"/>
        <v>4.3075306609159094</v>
      </c>
      <c r="H56" s="333">
        <f t="shared" si="6"/>
        <v>3.5161734863750023</v>
      </c>
      <c r="I56" s="333"/>
      <c r="J56" s="333"/>
      <c r="K56" s="333"/>
      <c r="L56" s="333"/>
    </row>
    <row r="57" spans="1:15" ht="14.85" customHeight="1">
      <c r="D57" s="333">
        <v>6.8621152681439881</v>
      </c>
      <c r="E57" s="333">
        <v>7.3109729417617446</v>
      </c>
      <c r="F57" s="333">
        <v>7.2585751105709271</v>
      </c>
      <c r="G57" s="333">
        <v>7.1922062699769693</v>
      </c>
      <c r="H57" s="333">
        <v>7.1432071472452066</v>
      </c>
      <c r="I57" s="333"/>
      <c r="J57" s="333"/>
      <c r="K57" s="333"/>
    </row>
    <row r="58" spans="1:15" ht="14.85" customHeight="1"/>
    <row r="59" spans="1:15" ht="14.85" customHeight="1"/>
    <row r="60" spans="1:15" ht="14.85" customHeight="1"/>
    <row r="61" spans="1:15" ht="14.85" customHeight="1"/>
    <row r="62" spans="1:15" ht="14.85" customHeight="1"/>
    <row r="63" spans="1:15" ht="14.85" customHeight="1"/>
    <row r="64" spans="1:15"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3">
    <mergeCell ref="B49:K49"/>
    <mergeCell ref="B50:K50"/>
    <mergeCell ref="B52:K52"/>
  </mergeCells>
  <conditionalFormatting sqref="B10:B40">
    <cfRule type="cellIs" dxfId="126" priority="4" operator="equal">
      <formula>"(Invalid Identifier)"</formula>
    </cfRule>
  </conditionalFormatting>
  <conditionalFormatting sqref="B4:K4">
    <cfRule type="cellIs" dxfId="125" priority="3" stopIfTrue="1" operator="equal">
      <formula>"input"</formula>
    </cfRule>
  </conditionalFormatting>
  <pageMargins left="0.5" right="0.5" top="0.5" bottom="0.5" header="0.5" footer="0.5"/>
  <pageSetup scale="84" orientation="landscape" r:id="rId1"/>
  <drawing r:id="rId2"/>
  <legacyDrawing r:id="rId3"/>
  <legacyDrawingHF r:id="rId4"/>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4"/>
  <dimension ref="B1:P764"/>
  <sheetViews>
    <sheetView showGridLines="0" view="pageBreakPreview" zoomScale="80" zoomScaleNormal="100" zoomScaleSheetLayoutView="80" workbookViewId="0"/>
  </sheetViews>
  <sheetFormatPr defaultRowHeight="12.75" outlineLevelRow="1"/>
  <cols>
    <col min="1" max="1" width="4.5" style="250" customWidth="1"/>
    <col min="2" max="2" width="81.33203125" style="250" customWidth="1"/>
    <col min="3" max="3" width="2.83203125" style="250" customWidth="1"/>
    <col min="4" max="5" width="30.83203125" style="250" customWidth="1"/>
    <col min="6" max="6" width="4.5" style="250" customWidth="1"/>
    <col min="7" max="7" width="19.5" style="250" bestFit="1" customWidth="1"/>
    <col min="8" max="8" width="1.83203125" style="250" customWidth="1"/>
    <col min="9" max="10" width="12.83203125" style="250" customWidth="1"/>
    <col min="11" max="11" width="1.83203125" style="250" customWidth="1"/>
    <col min="12" max="12" width="9.33203125" style="250"/>
    <col min="13" max="13" width="9.5" style="250" bestFit="1" customWidth="1"/>
    <col min="14" max="14" width="8.83203125" style="250" customWidth="1"/>
    <col min="15" max="15" width="11.5" style="250" bestFit="1" customWidth="1"/>
    <col min="16" max="16" width="10.83203125" style="250" bestFit="1" customWidth="1"/>
    <col min="17" max="16384" width="9.33203125" style="250"/>
  </cols>
  <sheetData>
    <row r="1" spans="2:16" ht="10.7" customHeight="1" thickBot="1"/>
    <row r="2" spans="2:16" ht="16.5" customHeight="1" thickTop="1">
      <c r="B2" s="258" t="str">
        <f>'MASTER PubCo Inputs'!$C$5</f>
        <v>ABC, Inc.</v>
      </c>
      <c r="C2" s="258"/>
      <c r="D2" s="258"/>
      <c r="E2" s="258"/>
    </row>
    <row r="3" spans="2:16" ht="15.75" customHeight="1">
      <c r="B3" s="259" t="str">
        <f>VLOOKUP(B4,Outline!$E$8:$G$79,COLUMNS(Outline!$E$8:$G$8),FALSE)</f>
        <v>Exhibit H.9</v>
      </c>
      <c r="C3" s="259"/>
      <c r="D3" s="259"/>
      <c r="E3" s="259"/>
    </row>
    <row r="4" spans="2:16" ht="16.5" customHeight="1" thickBot="1">
      <c r="B4" s="924" t="s">
        <v>125</v>
      </c>
      <c r="C4" s="924"/>
      <c r="D4" s="924"/>
      <c r="E4" s="924"/>
      <c r="G4" s="1575" t="s">
        <v>514</v>
      </c>
      <c r="H4" s="1591"/>
      <c r="I4" s="1592">
        <f>+'OPM 1'!$D$10</f>
        <v>2</v>
      </c>
      <c r="J4" s="1593" t="s">
        <v>2188</v>
      </c>
      <c r="K4" s="1594"/>
      <c r="L4" s="1595">
        <f>'OPM 1 Hybrid'!D10</f>
        <v>2.5</v>
      </c>
      <c r="M4" s="1460" t="s">
        <v>2295</v>
      </c>
      <c r="N4" s="1461" t="s">
        <v>2296</v>
      </c>
      <c r="O4" s="1461" t="s">
        <v>2307</v>
      </c>
      <c r="P4" s="1596" t="s">
        <v>2308</v>
      </c>
    </row>
    <row r="5" spans="2:16" ht="14.85" customHeight="1" thickTop="1">
      <c r="G5" s="1575" t="s">
        <v>87</v>
      </c>
      <c r="H5" s="1591"/>
      <c r="I5" s="1597">
        <f>'MASTER PubCo Inputs'!$C$6</f>
        <v>42735</v>
      </c>
      <c r="M5" s="466"/>
      <c r="N5" s="467"/>
      <c r="O5" s="467"/>
      <c r="P5" s="468"/>
    </row>
    <row r="6" spans="2:16" ht="14.85" customHeight="1">
      <c r="G6" s="1575" t="s">
        <v>513</v>
      </c>
      <c r="H6" s="1591"/>
      <c r="I6" s="1592">
        <f>DLOM!D15</f>
        <v>3</v>
      </c>
      <c r="J6" s="1593" t="s">
        <v>2208</v>
      </c>
      <c r="K6" s="1594"/>
      <c r="L6" s="1595">
        <f>'DLOM Hybrid'!K9</f>
        <v>2.5</v>
      </c>
      <c r="M6" s="1598">
        <f>DLOM!E11</f>
        <v>1.2465753424657535</v>
      </c>
      <c r="N6" s="1599">
        <f>DLOM!F11</f>
        <v>2.2465753424657535</v>
      </c>
      <c r="O6" s="1599">
        <f>DLOM!G11</f>
        <v>2.2465753424657535</v>
      </c>
      <c r="P6" s="1600">
        <f>DLOM!H11</f>
        <v>3.2465753424657535</v>
      </c>
    </row>
    <row r="7" spans="2:16" s="272" customFormat="1" ht="14.85" customHeight="1">
      <c r="B7" s="1601" t="s">
        <v>127</v>
      </c>
      <c r="D7" s="1602" t="s">
        <v>126</v>
      </c>
      <c r="E7" s="1603" t="s">
        <v>72</v>
      </c>
      <c r="G7" s="1604" t="s">
        <v>128</v>
      </c>
      <c r="H7" s="1605"/>
      <c r="I7" s="1605" t="s">
        <v>129</v>
      </c>
      <c r="J7" s="1606" t="s">
        <v>130</v>
      </c>
    </row>
    <row r="8" spans="2:16" ht="14.85" customHeight="1"/>
    <row r="9" spans="2:16" ht="14.85" customHeight="1">
      <c r="B9" s="250" t="str">
        <f>'Capital IQ Sheet-GPC'!E57</f>
        <v>United States Treasury Constant Maturity - 1 Month</v>
      </c>
      <c r="D9" s="435">
        <f>'Capital IQ Sheet-GPC'!C57</f>
        <v>8.3333333333333329E-2</v>
      </c>
      <c r="E9" s="491">
        <f>'Capital IQ Sheet-GPC'!D57</f>
        <v>3.8E-3</v>
      </c>
      <c r="G9" s="1607">
        <f>'Capital IQ Sheet-GPC'!B79</f>
        <v>0</v>
      </c>
      <c r="H9" s="435"/>
      <c r="I9" s="1608">
        <v>0</v>
      </c>
      <c r="J9" s="435">
        <f>D10</f>
        <v>0.25</v>
      </c>
    </row>
    <row r="10" spans="2:16" ht="14.85" customHeight="1">
      <c r="B10" s="250" t="str">
        <f>'Capital IQ Sheet-GPC'!E58</f>
        <v>United States Treasury Constant Maturity - 3 Month</v>
      </c>
      <c r="D10" s="435">
        <f>'Capital IQ Sheet-GPC'!C58</f>
        <v>0.25</v>
      </c>
      <c r="E10" s="491">
        <f>'Capital IQ Sheet-GPC'!D58</f>
        <v>4.7999999999999996E-3</v>
      </c>
      <c r="G10" s="1607">
        <f>'Capital IQ Sheet-GPC'!B80</f>
        <v>0</v>
      </c>
      <c r="H10" s="435"/>
      <c r="I10" s="435">
        <f>D9</f>
        <v>8.3333333333333329E-2</v>
      </c>
      <c r="J10" s="435">
        <f>D11</f>
        <v>0.5</v>
      </c>
    </row>
    <row r="11" spans="2:16" ht="14.85" customHeight="1">
      <c r="B11" s="250" t="str">
        <f>'Capital IQ Sheet-GPC'!E59</f>
        <v>United States Treasury Constant Maturity - 6 Month</v>
      </c>
      <c r="D11" s="435">
        <f>'Capital IQ Sheet-GPC'!C59</f>
        <v>0.5</v>
      </c>
      <c r="E11" s="491">
        <f>'Capital IQ Sheet-GPC'!D59</f>
        <v>6.1999999999999998E-3</v>
      </c>
      <c r="G11" s="1607">
        <f>'Capital IQ Sheet-GPC'!B81</f>
        <v>0</v>
      </c>
      <c r="H11" s="435"/>
      <c r="I11" s="435">
        <f t="shared" ref="I11:I19" si="0">D10</f>
        <v>0.25</v>
      </c>
      <c r="J11" s="435">
        <f t="shared" ref="J11:J18" si="1">D12</f>
        <v>1</v>
      </c>
    </row>
    <row r="12" spans="2:16" ht="14.85" customHeight="1">
      <c r="B12" s="250" t="str">
        <f>'Capital IQ Sheet-GPC'!E60</f>
        <v>United States Treasury Constant Maturity - 1 Year</v>
      </c>
      <c r="D12" s="435">
        <f>'Capital IQ Sheet-GPC'!C60</f>
        <v>1</v>
      </c>
      <c r="E12" s="491">
        <f>'Capital IQ Sheet-GPC'!D60</f>
        <v>8.0000000000000002E-3</v>
      </c>
      <c r="G12" s="1607">
        <f>'Capital IQ Sheet-GPC'!B82</f>
        <v>0</v>
      </c>
      <c r="H12" s="435"/>
      <c r="I12" s="435">
        <f t="shared" si="0"/>
        <v>0.5</v>
      </c>
      <c r="J12" s="435">
        <f t="shared" si="1"/>
        <v>2</v>
      </c>
    </row>
    <row r="13" spans="2:16" ht="14.85" customHeight="1">
      <c r="B13" s="250" t="str">
        <f>'Capital IQ Sheet-GPC'!E61</f>
        <v>United States Treasury Constant Maturity - 2 Year</v>
      </c>
      <c r="D13" s="435">
        <f>'Capital IQ Sheet-GPC'!C61</f>
        <v>2</v>
      </c>
      <c r="E13" s="491">
        <f>'Capital IQ Sheet-GPC'!D61</f>
        <v>1.11E-2</v>
      </c>
      <c r="G13" s="1607">
        <f>'Capital IQ Sheet-GPC'!B83</f>
        <v>0</v>
      </c>
      <c r="H13" s="435"/>
      <c r="I13" s="435">
        <f t="shared" si="0"/>
        <v>1</v>
      </c>
      <c r="J13" s="435">
        <f t="shared" si="1"/>
        <v>3</v>
      </c>
    </row>
    <row r="14" spans="2:16" ht="14.85" customHeight="1">
      <c r="B14" s="250" t="str">
        <f>'Capital IQ Sheet-GPC'!E62</f>
        <v>United States Treasury Constant Maturity - 3 Year</v>
      </c>
      <c r="D14" s="435">
        <f>'Capital IQ Sheet-GPC'!C62</f>
        <v>3</v>
      </c>
      <c r="E14" s="491">
        <f>'Capital IQ Sheet-GPC'!D62</f>
        <v>1.3999999999999999E-2</v>
      </c>
      <c r="G14" s="1607">
        <f>'Capital IQ Sheet-GPC'!B84</f>
        <v>0</v>
      </c>
      <c r="H14" s="435"/>
      <c r="I14" s="435">
        <f t="shared" si="0"/>
        <v>2</v>
      </c>
      <c r="J14" s="435">
        <f t="shared" si="1"/>
        <v>5</v>
      </c>
    </row>
    <row r="15" spans="2:16" ht="14.85" customHeight="1">
      <c r="B15" s="250" t="str">
        <f>'Capital IQ Sheet-GPC'!E63</f>
        <v>United States Treasury Constant Maturity - 5 Year</v>
      </c>
      <c r="D15" s="435">
        <f>'Capital IQ Sheet-GPC'!C63</f>
        <v>5</v>
      </c>
      <c r="E15" s="491">
        <f>'Capital IQ Sheet-GPC'!D63</f>
        <v>1.83E-2</v>
      </c>
      <c r="G15" s="1607">
        <f>'Capital IQ Sheet-GPC'!B85</f>
        <v>0</v>
      </c>
      <c r="H15" s="435"/>
      <c r="I15" s="435">
        <f t="shared" si="0"/>
        <v>3</v>
      </c>
      <c r="J15" s="435">
        <f t="shared" si="1"/>
        <v>7</v>
      </c>
    </row>
    <row r="16" spans="2:16" ht="14.85" customHeight="1">
      <c r="B16" s="250" t="str">
        <f>'Capital IQ Sheet-GPC'!E64</f>
        <v>United States Treasury Constant Maturity - 7 Year</v>
      </c>
      <c r="D16" s="435">
        <f>'Capital IQ Sheet-GPC'!C64</f>
        <v>7</v>
      </c>
      <c r="E16" s="491">
        <f>'Capital IQ Sheet-GPC'!D64</f>
        <v>2.18E-2</v>
      </c>
      <c r="G16" s="1607">
        <f>'Capital IQ Sheet-GPC'!B86</f>
        <v>0</v>
      </c>
      <c r="H16" s="435"/>
      <c r="I16" s="435">
        <f t="shared" si="0"/>
        <v>5</v>
      </c>
      <c r="J16" s="435">
        <f t="shared" si="1"/>
        <v>10</v>
      </c>
    </row>
    <row r="17" spans="2:10" ht="14.85" customHeight="1">
      <c r="B17" s="250" t="str">
        <f>'Capital IQ Sheet-GPC'!E65</f>
        <v>United States Treasury Constant Maturity - 10 Year</v>
      </c>
      <c r="D17" s="435">
        <f>'Capital IQ Sheet-GPC'!C65</f>
        <v>10</v>
      </c>
      <c r="E17" s="491">
        <f>'Capital IQ Sheet-GPC'!D65</f>
        <v>2.3700000000000002E-2</v>
      </c>
      <c r="G17" s="1607">
        <f>'Capital IQ Sheet-GPC'!B87</f>
        <v>0</v>
      </c>
      <c r="H17" s="435"/>
      <c r="I17" s="435">
        <f t="shared" si="0"/>
        <v>7</v>
      </c>
      <c r="J17" s="435">
        <f t="shared" si="1"/>
        <v>20</v>
      </c>
    </row>
    <row r="18" spans="2:10" ht="14.85" customHeight="1">
      <c r="B18" s="250" t="str">
        <f>'Capital IQ Sheet-GPC'!E66</f>
        <v>United States Treasury Constant Maturity - 20 Year</v>
      </c>
      <c r="D18" s="435">
        <f>'Capital IQ Sheet-GPC'!C66</f>
        <v>20</v>
      </c>
      <c r="E18" s="491">
        <f>'Capital IQ Sheet-GPC'!D66</f>
        <v>2.7300000000000001E-2</v>
      </c>
      <c r="G18" s="1607">
        <f>'Capital IQ Sheet-GPC'!B88</f>
        <v>0</v>
      </c>
      <c r="H18" s="435"/>
      <c r="I18" s="435">
        <f t="shared" si="0"/>
        <v>10</v>
      </c>
      <c r="J18" s="435">
        <f t="shared" si="1"/>
        <v>30</v>
      </c>
    </row>
    <row r="19" spans="2:10" ht="14.85" customHeight="1">
      <c r="B19" s="250" t="str">
        <f>'Capital IQ Sheet-GPC'!E67</f>
        <v>United States Treasury Constant Maturity - 30 Year</v>
      </c>
      <c r="D19" s="435">
        <f>'Capital IQ Sheet-GPC'!C67</f>
        <v>30</v>
      </c>
      <c r="E19" s="491">
        <f>'Capital IQ Sheet-GPC'!D67</f>
        <v>3.0200000000000001E-2</v>
      </c>
      <c r="G19" s="1607">
        <f>'Capital IQ Sheet-GPC'!B89</f>
        <v>0</v>
      </c>
      <c r="H19" s="435"/>
      <c r="I19" s="435">
        <f t="shared" si="0"/>
        <v>20</v>
      </c>
      <c r="J19" s="1609"/>
    </row>
    <row r="20" spans="2:10" ht="14.85" customHeight="1"/>
    <row r="21" spans="2:10" ht="14.85" customHeight="1">
      <c r="B21" s="1610" t="s">
        <v>511</v>
      </c>
      <c r="C21" s="1611"/>
      <c r="D21" s="1611"/>
      <c r="E21" s="1612"/>
      <c r="H21" s="1180"/>
      <c r="I21" s="1180"/>
      <c r="J21" s="1180"/>
    </row>
    <row r="22" spans="2:10" ht="14.85" customHeight="1">
      <c r="B22" s="830" t="s">
        <v>129</v>
      </c>
      <c r="C22" s="831"/>
      <c r="D22" s="1613">
        <f>SUMIFS($D$9:$D$19,$D$9:$D$19,"&lt;"&amp;D24,J$9:J$19,"&gt;"&amp;D24)</f>
        <v>0</v>
      </c>
      <c r="E22" s="1614" t="str">
        <f>IF(ISERROR(VLOOKUP(D22,$D$9:$E$19,COLUMNS($D$7:$E$7),FALSE)), "n/a", VLOOKUP(D22,$D$9:$E$19,COLUMNS($D$7:$E$7),FALSE))</f>
        <v>n/a</v>
      </c>
      <c r="G22" s="1615"/>
      <c r="H22" s="1180"/>
      <c r="I22" s="1180"/>
      <c r="J22" s="1180"/>
    </row>
    <row r="23" spans="2:10" ht="14.85" customHeight="1">
      <c r="B23" s="830" t="s">
        <v>130</v>
      </c>
      <c r="C23" s="831"/>
      <c r="D23" s="1613">
        <f>SUMIFS($D$9:$D$19,$D$9:$D$19,"&gt;"&amp;D24,I$9:I$19,"&lt;"&amp;D24)</f>
        <v>0</v>
      </c>
      <c r="E23" s="1614" t="str">
        <f>IF(ISERROR(VLOOKUP(D23,$D$9:$E$19,COLUMNS($D$7:$E$7),FALSE)), "n/a", VLOOKUP(D23,$D$9:$E$19,COLUMNS($D$7:$E$7),FALSE))</f>
        <v>n/a</v>
      </c>
      <c r="G23" s="491"/>
      <c r="H23" s="1180"/>
      <c r="I23" s="1180"/>
      <c r="J23" s="1180"/>
    </row>
    <row r="24" spans="2:10" ht="14.85" customHeight="1">
      <c r="B24" s="830" t="s">
        <v>102</v>
      </c>
      <c r="C24" s="831"/>
      <c r="D24" s="1613">
        <f>I4</f>
        <v>2</v>
      </c>
      <c r="E24" s="1614" t="str">
        <f>IF(ISERROR(+E22+(E23-E22)/(D23-D22)*(D24-D22)), "n/a", +E22+(E23-E22)/(D23-D22)*(D24-D22))</f>
        <v>n/a</v>
      </c>
      <c r="H24" s="1180"/>
      <c r="I24" s="1180"/>
      <c r="J24" s="1180"/>
    </row>
    <row r="25" spans="2:10" ht="14.85" customHeight="1">
      <c r="B25" s="830" t="s">
        <v>142</v>
      </c>
      <c r="C25" s="831"/>
      <c r="D25" s="1613">
        <f>D24</f>
        <v>2</v>
      </c>
      <c r="E25" s="1614">
        <f>IF(ISERROR(VLOOKUP(D25,$D$9:$E$19,COLUMNS($D$7:$E$7),FALSE)), "n/a", VLOOKUP(D25,$D$9:$E$19,COLUMNS($D$7:$E$7),FALSE))</f>
        <v>1.11E-2</v>
      </c>
      <c r="H25" s="1180"/>
      <c r="I25" s="1180"/>
      <c r="J25" s="1180"/>
    </row>
    <row r="26" spans="2:10" ht="14.85" customHeight="1">
      <c r="B26" s="869"/>
      <c r="C26" s="831"/>
      <c r="D26" s="831"/>
      <c r="E26" s="1616"/>
      <c r="H26" s="1180"/>
      <c r="I26" s="1180"/>
      <c r="J26" s="1180"/>
    </row>
    <row r="27" spans="2:10" ht="14.85" customHeight="1">
      <c r="B27" s="1192" t="s">
        <v>143</v>
      </c>
      <c r="C27" s="1617"/>
      <c r="D27" s="1617"/>
      <c r="E27" s="1618">
        <f>IF(E24="n/a",E25,E24)</f>
        <v>1.11E-2</v>
      </c>
      <c r="H27" s="723"/>
      <c r="I27" s="723"/>
      <c r="J27" s="723"/>
    </row>
    <row r="28" spans="2:10" ht="14.85" customHeight="1">
      <c r="H28" s="1180"/>
      <c r="I28" s="1180"/>
      <c r="J28" s="1180"/>
    </row>
    <row r="29" spans="2:10" ht="14.85" customHeight="1">
      <c r="B29" s="1610" t="s">
        <v>512</v>
      </c>
      <c r="C29" s="1611"/>
      <c r="D29" s="1611"/>
      <c r="E29" s="1612"/>
      <c r="H29" s="1180"/>
      <c r="I29" s="1180"/>
      <c r="J29" s="1180"/>
    </row>
    <row r="30" spans="2:10" ht="14.85" customHeight="1">
      <c r="B30" s="830" t="s">
        <v>129</v>
      </c>
      <c r="C30" s="831"/>
      <c r="D30" s="1613">
        <f>SUMIFS($D$9:$D$19,$D$9:$D$19,"&lt;"&amp;D32,$J$9:$J$19,"&gt;"&amp;D32)</f>
        <v>0</v>
      </c>
      <c r="E30" s="1614" t="str">
        <f>IF(ISERROR(VLOOKUP(D30,$D$9:$E$19,COLUMNS($D$7:$E$7),FALSE)), "n/a", VLOOKUP(D30,$D$9:$E$19,COLUMNS($D$7:$E$7),FALSE))</f>
        <v>n/a</v>
      </c>
      <c r="H30" s="1180"/>
      <c r="I30" s="1180"/>
      <c r="J30" s="1180"/>
    </row>
    <row r="31" spans="2:10" ht="14.85" customHeight="1">
      <c r="B31" s="830" t="s">
        <v>130</v>
      </c>
      <c r="C31" s="831"/>
      <c r="D31" s="1613">
        <f>SUMIFS($D$9:$D$19,$D$9:$D$19,"&gt;"&amp;D32,$I$9:$I$19,"&lt;"&amp;D32)</f>
        <v>0</v>
      </c>
      <c r="E31" s="1614" t="str">
        <f>IF(ISERROR(VLOOKUP(D31,$D$9:$E$19,COLUMNS($D$7:$E$7),FALSE)), "n/a", VLOOKUP(D31,$D$9:$E$19,COLUMNS($D$7:$E$7),FALSE))</f>
        <v>n/a</v>
      </c>
      <c r="G31" s="333"/>
      <c r="H31" s="1180"/>
      <c r="I31" s="1180"/>
      <c r="J31" s="1180"/>
    </row>
    <row r="32" spans="2:10" ht="14.85" customHeight="1">
      <c r="B32" s="830" t="s">
        <v>102</v>
      </c>
      <c r="C32" s="831"/>
      <c r="D32" s="1613">
        <f>I6</f>
        <v>3</v>
      </c>
      <c r="E32" s="1614" t="str">
        <f>IF(ISERROR(+E30+(E31-E30)/(D31-D30)*(D32-D30)), "n/a", +E30+(E31-E30)/(D31-D30)*(D32-D30))</f>
        <v>n/a</v>
      </c>
      <c r="H32" s="1180"/>
      <c r="I32" s="1180"/>
      <c r="J32" s="1180"/>
    </row>
    <row r="33" spans="2:10" ht="14.85" customHeight="1">
      <c r="B33" s="830" t="s">
        <v>142</v>
      </c>
      <c r="C33" s="831"/>
      <c r="D33" s="1613">
        <f>D32</f>
        <v>3</v>
      </c>
      <c r="E33" s="1614">
        <f>IF(ISERROR(VLOOKUP(D33,$D$9:$E$19,COLUMNS($D$7:$E$7),FALSE)), "n/a", VLOOKUP(D33,$D$9:$E$19,COLUMNS($D$7:$E$7),FALSE))</f>
        <v>1.3999999999999999E-2</v>
      </c>
      <c r="H33" s="1180"/>
      <c r="I33" s="1180"/>
      <c r="J33" s="1180"/>
    </row>
    <row r="34" spans="2:10" ht="14.85" customHeight="1">
      <c r="B34" s="869"/>
      <c r="C34" s="831"/>
      <c r="D34" s="831"/>
      <c r="E34" s="1616"/>
      <c r="H34" s="1180"/>
      <c r="I34" s="1180"/>
      <c r="J34" s="1180"/>
    </row>
    <row r="35" spans="2:10" ht="14.85" customHeight="1">
      <c r="B35" s="1192" t="s">
        <v>143</v>
      </c>
      <c r="C35" s="1617"/>
      <c r="D35" s="1617"/>
      <c r="E35" s="1618">
        <f>IF(E32="n/a",E33,E32)</f>
        <v>1.3999999999999999E-2</v>
      </c>
      <c r="H35" s="723"/>
      <c r="I35" s="723"/>
      <c r="J35" s="723"/>
    </row>
    <row r="36" spans="2:10" ht="14.85" customHeight="1"/>
    <row r="37" spans="2:10" ht="14.85" customHeight="1">
      <c r="B37" s="1610" t="s">
        <v>2313</v>
      </c>
      <c r="C37" s="1611"/>
      <c r="D37" s="1611"/>
      <c r="E37" s="1612"/>
      <c r="H37" s="1180"/>
      <c r="I37" s="1180"/>
      <c r="J37" s="1180"/>
    </row>
    <row r="38" spans="2:10" ht="14.85" customHeight="1">
      <c r="B38" s="830" t="s">
        <v>129</v>
      </c>
      <c r="C38" s="831"/>
      <c r="D38" s="1613">
        <f>SUMIFS($D$9:$D$19,$D$9:$D$19,"&lt;"&amp;D40,J$9:J$19,"&gt;"&amp;D40)</f>
        <v>1</v>
      </c>
      <c r="E38" s="1614">
        <f>IF(ISERROR(VLOOKUP(D38,$D$9:$E$19,COLUMNS($D$7:$E$7),FALSE)), "n/a", VLOOKUP(D38,$D$9:$E$19,COLUMNS($D$7:$E$7),FALSE))</f>
        <v>8.0000000000000002E-3</v>
      </c>
      <c r="G38" s="1615"/>
      <c r="H38" s="1180"/>
      <c r="I38" s="1180"/>
      <c r="J38" s="1180"/>
    </row>
    <row r="39" spans="2:10" ht="14.85" customHeight="1">
      <c r="B39" s="830" t="s">
        <v>130</v>
      </c>
      <c r="C39" s="831"/>
      <c r="D39" s="1613">
        <f>SUMIFS($D$9:$D$19,$D$9:$D$19,"&gt;"&amp;D40,I$9:I$19,"&lt;"&amp;D40)</f>
        <v>2</v>
      </c>
      <c r="E39" s="1614">
        <f>IF(ISERROR(VLOOKUP(D39,$D$9:$E$19,COLUMNS($D$7:$E$7),FALSE)), "n/a", VLOOKUP(D39,$D$9:$E$19,COLUMNS($D$7:$E$7),FALSE))</f>
        <v>1.11E-2</v>
      </c>
      <c r="G39" s="491"/>
      <c r="H39" s="1180"/>
      <c r="I39" s="1180"/>
      <c r="J39" s="1180"/>
    </row>
    <row r="40" spans="2:10" ht="14.85" customHeight="1">
      <c r="B40" s="830" t="s">
        <v>102</v>
      </c>
      <c r="C40" s="831"/>
      <c r="D40" s="1613">
        <f>M6</f>
        <v>1.2465753424657535</v>
      </c>
      <c r="E40" s="1614">
        <f>IF(ISERROR(+E38+(E39-E38)/(D39-D38)*(D40-D38)), "n/a", +E38+(E39-E38)/(D39-D38)*(D40-D38))</f>
        <v>8.7643835616438362E-3</v>
      </c>
      <c r="H40" s="1180"/>
      <c r="I40" s="1180"/>
      <c r="J40" s="1180"/>
    </row>
    <row r="41" spans="2:10" ht="14.85" customHeight="1">
      <c r="B41" s="830" t="s">
        <v>142</v>
      </c>
      <c r="C41" s="831"/>
      <c r="D41" s="1613">
        <f>D40</f>
        <v>1.2465753424657535</v>
      </c>
      <c r="E41" s="1614" t="str">
        <f>IF(ISERROR(VLOOKUP(D41,$D$9:$E$19,COLUMNS($D$7:$E$7),FALSE)), "n/a", VLOOKUP(D41,$D$9:$E$19,COLUMNS($D$7:$E$7),FALSE))</f>
        <v>n/a</v>
      </c>
      <c r="H41" s="1180"/>
      <c r="I41" s="1180"/>
      <c r="J41" s="1180"/>
    </row>
    <row r="42" spans="2:10" ht="14.85" customHeight="1">
      <c r="B42" s="869"/>
      <c r="C42" s="831"/>
      <c r="D42" s="831"/>
      <c r="E42" s="1616"/>
      <c r="H42" s="1180"/>
      <c r="I42" s="1180"/>
      <c r="J42" s="1180"/>
    </row>
    <row r="43" spans="2:10" ht="14.85" customHeight="1">
      <c r="B43" s="1192" t="s">
        <v>143</v>
      </c>
      <c r="C43" s="1617"/>
      <c r="D43" s="1617"/>
      <c r="E43" s="1618">
        <f>IF(E40="n/a",E41,E40)</f>
        <v>8.7643835616438362E-3</v>
      </c>
      <c r="H43" s="723"/>
      <c r="I43" s="723"/>
      <c r="J43" s="723"/>
    </row>
    <row r="44" spans="2:10" ht="14.85" customHeight="1">
      <c r="H44" s="1180"/>
      <c r="I44" s="1180"/>
      <c r="J44" s="1180"/>
    </row>
    <row r="45" spans="2:10" ht="14.85" customHeight="1">
      <c r="B45" s="1610" t="s">
        <v>2314</v>
      </c>
      <c r="C45" s="1611"/>
      <c r="D45" s="1611"/>
      <c r="E45" s="1612"/>
      <c r="H45" s="1180"/>
      <c r="I45" s="1180"/>
      <c r="J45" s="1180"/>
    </row>
    <row r="46" spans="2:10" ht="14.85" customHeight="1">
      <c r="B46" s="830" t="s">
        <v>129</v>
      </c>
      <c r="C46" s="831"/>
      <c r="D46" s="1613">
        <f>SUMIFS($D$9:$D$19,$D$9:$D$19,"&lt;"&amp;D48,$J$9:$J$19,"&gt;"&amp;D48)</f>
        <v>2</v>
      </c>
      <c r="E46" s="1614">
        <f>IF(ISERROR(VLOOKUP(D46,$D$9:$E$19,COLUMNS($D$7:$E$7),FALSE)), "n/a", VLOOKUP(D46,$D$9:$E$19,COLUMNS($D$7:$E$7),FALSE))</f>
        <v>1.11E-2</v>
      </c>
      <c r="H46" s="1180"/>
      <c r="I46" s="1180"/>
      <c r="J46" s="1180"/>
    </row>
    <row r="47" spans="2:10" ht="14.85" customHeight="1">
      <c r="B47" s="830" t="s">
        <v>130</v>
      </c>
      <c r="C47" s="831"/>
      <c r="D47" s="1613">
        <f>SUMIFS($D$9:$D$19,$D$9:$D$19,"&gt;"&amp;D48,$I$9:$I$19,"&lt;"&amp;D48)</f>
        <v>3</v>
      </c>
      <c r="E47" s="1614">
        <f>IF(ISERROR(VLOOKUP(D47,$D$9:$E$19,COLUMNS($D$7:$E$7),FALSE)), "n/a", VLOOKUP(D47,$D$9:$E$19,COLUMNS($D$7:$E$7),FALSE))</f>
        <v>1.3999999999999999E-2</v>
      </c>
      <c r="G47" s="333"/>
      <c r="H47" s="1180"/>
      <c r="I47" s="1180"/>
      <c r="J47" s="1180"/>
    </row>
    <row r="48" spans="2:10" ht="14.85" customHeight="1">
      <c r="B48" s="830" t="s">
        <v>102</v>
      </c>
      <c r="C48" s="831"/>
      <c r="D48" s="1613">
        <f>N6</f>
        <v>2.2465753424657535</v>
      </c>
      <c r="E48" s="1614">
        <f>IF(ISERROR(+E46+(E47-E46)/(D47-D46)*(D48-D46)), "n/a", +E46+(E47-E46)/(D47-D46)*(D48-D46))</f>
        <v>1.1815068493150685E-2</v>
      </c>
      <c r="H48" s="1180"/>
      <c r="I48" s="1180"/>
      <c r="J48" s="1180"/>
    </row>
    <row r="49" spans="2:10" ht="14.85" customHeight="1">
      <c r="B49" s="830" t="s">
        <v>142</v>
      </c>
      <c r="C49" s="831"/>
      <c r="D49" s="1613">
        <f>D48</f>
        <v>2.2465753424657535</v>
      </c>
      <c r="E49" s="1614" t="str">
        <f>IF(ISERROR(VLOOKUP(D49,$D$9:$E$19,COLUMNS($D$7:$E$7),FALSE)), "n/a", VLOOKUP(D49,$D$9:$E$19,COLUMNS($D$7:$E$7),FALSE))</f>
        <v>n/a</v>
      </c>
      <c r="H49" s="1180"/>
      <c r="I49" s="1180"/>
      <c r="J49" s="1180"/>
    </row>
    <row r="50" spans="2:10" ht="14.85" customHeight="1">
      <c r="B50" s="869"/>
      <c r="C50" s="831"/>
      <c r="D50" s="831"/>
      <c r="E50" s="1616"/>
      <c r="H50" s="1180"/>
      <c r="I50" s="1180"/>
      <c r="J50" s="1180"/>
    </row>
    <row r="51" spans="2:10" ht="14.85" customHeight="1">
      <c r="B51" s="1192" t="s">
        <v>143</v>
      </c>
      <c r="C51" s="1617"/>
      <c r="D51" s="1617"/>
      <c r="E51" s="1618">
        <f>IF(E48="n/a",E49,E48)</f>
        <v>1.1815068493150685E-2</v>
      </c>
      <c r="H51" s="723"/>
      <c r="I51" s="723"/>
      <c r="J51" s="723"/>
    </row>
    <row r="52" spans="2:10" ht="14.85" customHeight="1"/>
    <row r="53" spans="2:10" ht="14.85" customHeight="1">
      <c r="B53" s="1610" t="s">
        <v>2315</v>
      </c>
      <c r="C53" s="1611"/>
      <c r="D53" s="1611"/>
      <c r="E53" s="1612"/>
      <c r="H53" s="1180"/>
      <c r="I53" s="1180"/>
      <c r="J53" s="1180"/>
    </row>
    <row r="54" spans="2:10" ht="14.85" customHeight="1">
      <c r="B54" s="830" t="s">
        <v>129</v>
      </c>
      <c r="C54" s="831"/>
      <c r="D54" s="1613">
        <f>SUMIFS($D$9:$D$19,$D$9:$D$19,"&lt;"&amp;D56,J$9:J$19,"&gt;"&amp;D56)</f>
        <v>2</v>
      </c>
      <c r="E54" s="1614">
        <f>IF(ISERROR(VLOOKUP(D54,$D$9:$E$19,COLUMNS($D$7:$E$7),FALSE)), "n/a", VLOOKUP(D54,$D$9:$E$19,COLUMNS($D$7:$E$7),FALSE))</f>
        <v>1.11E-2</v>
      </c>
      <c r="G54" s="1615"/>
      <c r="H54" s="1180"/>
      <c r="I54" s="1180"/>
      <c r="J54" s="1180"/>
    </row>
    <row r="55" spans="2:10" ht="14.85" customHeight="1">
      <c r="B55" s="830" t="s">
        <v>130</v>
      </c>
      <c r="C55" s="831"/>
      <c r="D55" s="1613">
        <f>SUMIFS($D$9:$D$19,$D$9:$D$19,"&gt;"&amp;D56,I$9:I$19,"&lt;"&amp;D56)</f>
        <v>3</v>
      </c>
      <c r="E55" s="1614">
        <f>IF(ISERROR(VLOOKUP(D55,$D$9:$E$19,COLUMNS($D$7:$E$7),FALSE)), "n/a", VLOOKUP(D55,$D$9:$E$19,COLUMNS($D$7:$E$7),FALSE))</f>
        <v>1.3999999999999999E-2</v>
      </c>
      <c r="G55" s="491"/>
      <c r="H55" s="1180"/>
      <c r="I55" s="1180"/>
      <c r="J55" s="1180"/>
    </row>
    <row r="56" spans="2:10" ht="14.85" customHeight="1">
      <c r="B56" s="830" t="s">
        <v>102</v>
      </c>
      <c r="C56" s="831"/>
      <c r="D56" s="1613">
        <f>O6</f>
        <v>2.2465753424657535</v>
      </c>
      <c r="E56" s="1614">
        <f>IF(ISERROR(+E54+(E55-E54)/(D55-D54)*(D56-D54)), "n/a", +E54+(E55-E54)/(D55-D54)*(D56-D54))</f>
        <v>1.1815068493150685E-2</v>
      </c>
      <c r="H56" s="1180"/>
      <c r="I56" s="1180"/>
      <c r="J56" s="1180"/>
    </row>
    <row r="57" spans="2:10" ht="14.85" customHeight="1">
      <c r="B57" s="830" t="s">
        <v>142</v>
      </c>
      <c r="C57" s="831"/>
      <c r="D57" s="1613">
        <f>D56</f>
        <v>2.2465753424657535</v>
      </c>
      <c r="E57" s="1614" t="str">
        <f>IF(ISERROR(VLOOKUP(D57,$D$9:$E$19,COLUMNS($D$7:$E$7),FALSE)), "n/a", VLOOKUP(D57,$D$9:$E$19,COLUMNS($D$7:$E$7),FALSE))</f>
        <v>n/a</v>
      </c>
      <c r="H57" s="1180"/>
      <c r="I57" s="1180"/>
      <c r="J57" s="1180"/>
    </row>
    <row r="58" spans="2:10" ht="14.85" customHeight="1">
      <c r="B58" s="869"/>
      <c r="C58" s="831"/>
      <c r="D58" s="831"/>
      <c r="E58" s="1616"/>
      <c r="H58" s="1180"/>
      <c r="I58" s="1180"/>
      <c r="J58" s="1180"/>
    </row>
    <row r="59" spans="2:10" ht="14.85" customHeight="1">
      <c r="B59" s="1192" t="s">
        <v>143</v>
      </c>
      <c r="C59" s="1617"/>
      <c r="D59" s="1617"/>
      <c r="E59" s="1618">
        <f>IF(E56="n/a",E57,E56)</f>
        <v>1.1815068493150685E-2</v>
      </c>
      <c r="H59" s="723"/>
      <c r="I59" s="723"/>
      <c r="J59" s="723"/>
    </row>
    <row r="60" spans="2:10" ht="14.85" customHeight="1">
      <c r="H60" s="1180"/>
      <c r="I60" s="1180"/>
      <c r="J60" s="1180"/>
    </row>
    <row r="61" spans="2:10" ht="14.85" customHeight="1">
      <c r="B61" s="1610" t="s">
        <v>2316</v>
      </c>
      <c r="C61" s="1611"/>
      <c r="D61" s="1611"/>
      <c r="E61" s="1612"/>
      <c r="H61" s="1180"/>
      <c r="I61" s="1180"/>
      <c r="J61" s="1180"/>
    </row>
    <row r="62" spans="2:10" ht="14.85" customHeight="1">
      <c r="B62" s="830" t="s">
        <v>129</v>
      </c>
      <c r="C62" s="831"/>
      <c r="D62" s="1613">
        <f>SUMIFS($D$9:$D$19,$D$9:$D$19,"&lt;"&amp;D64,$J$9:$J$19,"&gt;"&amp;D64)</f>
        <v>3</v>
      </c>
      <c r="E62" s="1614">
        <f>IF(ISERROR(VLOOKUP(D62,$D$9:$E$19,COLUMNS($D$7:$E$7),FALSE)), "n/a", VLOOKUP(D62,$D$9:$E$19,COLUMNS($D$7:$E$7),FALSE))</f>
        <v>1.3999999999999999E-2</v>
      </c>
      <c r="H62" s="1180"/>
      <c r="I62" s="1180"/>
      <c r="J62" s="1180"/>
    </row>
    <row r="63" spans="2:10" ht="14.85" customHeight="1">
      <c r="B63" s="830" t="s">
        <v>130</v>
      </c>
      <c r="C63" s="831"/>
      <c r="D63" s="1613">
        <f>SUMIFS($D$9:$D$19,$D$9:$D$19,"&gt;"&amp;D64,$I$9:$I$19,"&lt;"&amp;D64)</f>
        <v>5</v>
      </c>
      <c r="E63" s="1614">
        <f>IF(ISERROR(VLOOKUP(D63,$D$9:$E$19,COLUMNS($D$7:$E$7),FALSE)), "n/a", VLOOKUP(D63,$D$9:$E$19,COLUMNS($D$7:$E$7),FALSE))</f>
        <v>1.83E-2</v>
      </c>
      <c r="G63" s="333"/>
      <c r="H63" s="1180"/>
      <c r="I63" s="1180"/>
      <c r="J63" s="1180"/>
    </row>
    <row r="64" spans="2:10" ht="14.85" customHeight="1">
      <c r="B64" s="830" t="s">
        <v>102</v>
      </c>
      <c r="C64" s="831"/>
      <c r="D64" s="1613">
        <f>P6</f>
        <v>3.2465753424657535</v>
      </c>
      <c r="E64" s="1614">
        <f>IF(ISERROR(+E62+(E63-E62)/(D63-D62)*(D64-D62)), "n/a", +E62+(E63-E62)/(D63-D62)*(D64-D62))</f>
        <v>1.4530136986301369E-2</v>
      </c>
      <c r="H64" s="1180"/>
      <c r="I64" s="1180"/>
      <c r="J64" s="1180"/>
    </row>
    <row r="65" spans="2:10" ht="14.85" customHeight="1">
      <c r="B65" s="830" t="s">
        <v>142</v>
      </c>
      <c r="C65" s="831"/>
      <c r="D65" s="1613">
        <f>D64</f>
        <v>3.2465753424657535</v>
      </c>
      <c r="E65" s="1614" t="str">
        <f>IF(ISERROR(VLOOKUP(D65,$D$9:$E$19,COLUMNS($D$7:$E$7),FALSE)), "n/a", VLOOKUP(D65,$D$9:$E$19,COLUMNS($D$7:$E$7),FALSE))</f>
        <v>n/a</v>
      </c>
      <c r="H65" s="1180"/>
      <c r="I65" s="1180"/>
      <c r="J65" s="1180"/>
    </row>
    <row r="66" spans="2:10" ht="14.85" customHeight="1">
      <c r="B66" s="869"/>
      <c r="C66" s="831"/>
      <c r="D66" s="831"/>
      <c r="E66" s="1616"/>
      <c r="H66" s="1180"/>
      <c r="I66" s="1180"/>
      <c r="J66" s="1180"/>
    </row>
    <row r="67" spans="2:10" ht="14.85" customHeight="1">
      <c r="B67" s="1192" t="s">
        <v>143</v>
      </c>
      <c r="C67" s="1617"/>
      <c r="D67" s="1617"/>
      <c r="E67" s="1618">
        <f>IF(E64="n/a",E65,E64)</f>
        <v>1.4530136986301369E-2</v>
      </c>
      <c r="H67" s="723"/>
      <c r="I67" s="723"/>
      <c r="J67" s="723"/>
    </row>
    <row r="68" spans="2:10" ht="14.85" customHeight="1"/>
    <row r="69" spans="2:10" ht="14.85" customHeight="1" outlineLevel="1">
      <c r="B69" s="1610" t="s">
        <v>2207</v>
      </c>
      <c r="C69" s="1611"/>
      <c r="D69" s="1611"/>
      <c r="E69" s="1612"/>
      <c r="H69" s="1180"/>
      <c r="I69" s="1180"/>
      <c r="J69" s="1180"/>
    </row>
    <row r="70" spans="2:10" ht="14.85" customHeight="1" outlineLevel="1">
      <c r="B70" s="830" t="s">
        <v>129</v>
      </c>
      <c r="C70" s="831"/>
      <c r="D70" s="1613">
        <f>SUMIFS($D$9:$D$19,$D$9:$D$19,"&lt;"&amp;D72,J$9:J$19,"&gt;"&amp;D72)</f>
        <v>2</v>
      </c>
      <c r="E70" s="1614">
        <f>IF(ISERROR(VLOOKUP(D70,$D$9:$E$19,COLUMNS($D$7:$E$7),FALSE)), "n/a", VLOOKUP(D70,$D$9:$E$19,COLUMNS($D$7:$E$7),FALSE))</f>
        <v>1.11E-2</v>
      </c>
      <c r="G70" s="1615"/>
      <c r="H70" s="1180"/>
      <c r="I70" s="1180"/>
      <c r="J70" s="1180"/>
    </row>
    <row r="71" spans="2:10" ht="14.85" customHeight="1" outlineLevel="1">
      <c r="B71" s="830" t="s">
        <v>130</v>
      </c>
      <c r="C71" s="831"/>
      <c r="D71" s="1613">
        <f>SUMIFS($D$9:$D$19,$D$9:$D$19,"&gt;"&amp;D72,I$9:I$19,"&lt;"&amp;D72)</f>
        <v>3</v>
      </c>
      <c r="E71" s="1614">
        <f>IF(ISERROR(VLOOKUP(D71,$D$9:$E$19,COLUMNS($D$7:$E$7),FALSE)), "n/a", VLOOKUP(D71,$D$9:$E$19,COLUMNS($D$7:$E$7),FALSE))</f>
        <v>1.3999999999999999E-2</v>
      </c>
      <c r="H71" s="1180"/>
      <c r="I71" s="1180"/>
      <c r="J71" s="1180"/>
    </row>
    <row r="72" spans="2:10" ht="14.85" customHeight="1" outlineLevel="1">
      <c r="B72" s="830" t="s">
        <v>102</v>
      </c>
      <c r="C72" s="831"/>
      <c r="D72" s="1613">
        <f>L4</f>
        <v>2.5</v>
      </c>
      <c r="E72" s="1614">
        <f>IF(ISERROR(+E70+(E71-E70)/(D71-D70)*(D72-D70)), "n/a", +E70+(E71-E70)/(D71-D70)*(D72-D70))</f>
        <v>1.2549999999999999E-2</v>
      </c>
      <c r="H72" s="1180"/>
      <c r="I72" s="1180"/>
      <c r="J72" s="1180"/>
    </row>
    <row r="73" spans="2:10" ht="14.85" customHeight="1" outlineLevel="1">
      <c r="B73" s="830" t="s">
        <v>142</v>
      </c>
      <c r="C73" s="831"/>
      <c r="D73" s="1613">
        <f>D72</f>
        <v>2.5</v>
      </c>
      <c r="E73" s="1614" t="str">
        <f>IF(ISERROR(VLOOKUP(D73,$D$9:$E$19,COLUMNS($D$7:$E$7),FALSE)), "n/a", VLOOKUP(D73,$D$9:$E$19,COLUMNS($D$7:$E$7),FALSE))</f>
        <v>n/a</v>
      </c>
      <c r="H73" s="1180"/>
      <c r="I73" s="1180"/>
      <c r="J73" s="1180"/>
    </row>
    <row r="74" spans="2:10" ht="14.85" customHeight="1" outlineLevel="1">
      <c r="B74" s="869"/>
      <c r="C74" s="831"/>
      <c r="D74" s="831"/>
      <c r="E74" s="1616"/>
      <c r="H74" s="1180"/>
      <c r="I74" s="1180"/>
      <c r="J74" s="1180"/>
    </row>
    <row r="75" spans="2:10" ht="14.85" customHeight="1" outlineLevel="1">
      <c r="B75" s="1192" t="s">
        <v>143</v>
      </c>
      <c r="C75" s="1617"/>
      <c r="D75" s="1617"/>
      <c r="E75" s="1618">
        <f>IF(E72="n/a",E73,E72)</f>
        <v>1.2549999999999999E-2</v>
      </c>
      <c r="H75" s="723"/>
      <c r="I75" s="723"/>
      <c r="J75" s="723"/>
    </row>
    <row r="76" spans="2:10" ht="14.85" customHeight="1" outlineLevel="1">
      <c r="H76" s="1180"/>
      <c r="I76" s="1180"/>
      <c r="J76" s="1180"/>
    </row>
    <row r="77" spans="2:10" ht="14.85" customHeight="1" outlineLevel="1">
      <c r="B77" s="1610" t="s">
        <v>2209</v>
      </c>
      <c r="C77" s="1611"/>
      <c r="D77" s="1611"/>
      <c r="E77" s="1612"/>
      <c r="H77" s="1180"/>
      <c r="I77" s="1180"/>
      <c r="J77" s="1180"/>
    </row>
    <row r="78" spans="2:10" ht="14.85" customHeight="1" outlineLevel="1">
      <c r="B78" s="830" t="s">
        <v>129</v>
      </c>
      <c r="C78" s="831"/>
      <c r="D78" s="1613">
        <f>SUMIFS($D$9:$D$19,$D$9:$D$19,"&lt;"&amp;D80,J$9:J$19,"&gt;"&amp;D80)</f>
        <v>2</v>
      </c>
      <c r="E78" s="1614">
        <f>IF(ISERROR(VLOOKUP(D78,$D$9:$E$19,COLUMNS($D$7:$E$7),FALSE)), "n/a", VLOOKUP(D78,$D$9:$E$19,COLUMNS($D$7:$E$7),FALSE))</f>
        <v>1.11E-2</v>
      </c>
      <c r="G78" s="1615"/>
      <c r="H78" s="1180"/>
      <c r="I78" s="1180"/>
      <c r="J78" s="1180"/>
    </row>
    <row r="79" spans="2:10" ht="14.85" customHeight="1" outlineLevel="1">
      <c r="B79" s="830" t="s">
        <v>130</v>
      </c>
      <c r="C79" s="831"/>
      <c r="D79" s="1613">
        <f>SUMIFS($D$9:$D$19,$D$9:$D$19,"&gt;"&amp;D80,I$9:I$19,"&lt;"&amp;D80)</f>
        <v>3</v>
      </c>
      <c r="E79" s="1614">
        <f>IF(ISERROR(VLOOKUP(D79,$D$9:$E$19,COLUMNS($D$7:$E$7),FALSE)), "n/a", VLOOKUP(D79,$D$9:$E$19,COLUMNS($D$7:$E$7),FALSE))</f>
        <v>1.3999999999999999E-2</v>
      </c>
      <c r="H79" s="1180"/>
      <c r="I79" s="1180"/>
      <c r="J79" s="1180"/>
    </row>
    <row r="80" spans="2:10" ht="14.85" customHeight="1" outlineLevel="1">
      <c r="B80" s="830" t="s">
        <v>102</v>
      </c>
      <c r="C80" s="831"/>
      <c r="D80" s="1613">
        <f>L6</f>
        <v>2.5</v>
      </c>
      <c r="E80" s="1614">
        <f>IF(ISERROR(+E78+(E79-E78)/(D79-D78)*(D80-D78)), "n/a", +E78+(E79-E78)/(D79-D78)*(D80-D78))</f>
        <v>1.2549999999999999E-2</v>
      </c>
      <c r="H80" s="1180"/>
      <c r="I80" s="1180"/>
      <c r="J80" s="1180"/>
    </row>
    <row r="81" spans="2:10" ht="14.85" customHeight="1" outlineLevel="1">
      <c r="B81" s="830" t="s">
        <v>142</v>
      </c>
      <c r="C81" s="831"/>
      <c r="D81" s="1613">
        <f>D80</f>
        <v>2.5</v>
      </c>
      <c r="E81" s="1614" t="str">
        <f>IF(ISERROR(VLOOKUP(D81,$D$9:$E$19,COLUMNS($D$7:$E$7),FALSE)), "n/a", VLOOKUP(D81,$D$9:$E$19,COLUMNS($D$7:$E$7),FALSE))</f>
        <v>n/a</v>
      </c>
      <c r="H81" s="1180"/>
      <c r="I81" s="1180"/>
      <c r="J81" s="1180"/>
    </row>
    <row r="82" spans="2:10" ht="14.85" customHeight="1" outlineLevel="1">
      <c r="B82" s="869"/>
      <c r="C82" s="831"/>
      <c r="D82" s="831"/>
      <c r="E82" s="1616"/>
      <c r="H82" s="1180"/>
      <c r="I82" s="1180"/>
      <c r="J82" s="1180"/>
    </row>
    <row r="83" spans="2:10" ht="14.85" customHeight="1" outlineLevel="1">
      <c r="B83" s="1192" t="s">
        <v>143</v>
      </c>
      <c r="C83" s="1617"/>
      <c r="D83" s="1617"/>
      <c r="E83" s="1618">
        <f>IF(E80="n/a",E81,E80)</f>
        <v>1.2549999999999999E-2</v>
      </c>
      <c r="H83" s="723"/>
      <c r="I83" s="723"/>
      <c r="J83" s="723"/>
    </row>
    <row r="84" spans="2:10" ht="14.85" customHeight="1">
      <c r="H84" s="1180"/>
      <c r="I84" s="1180"/>
      <c r="J84" s="1180"/>
    </row>
    <row r="85" spans="2:10" ht="14.85" customHeight="1">
      <c r="B85" s="356" t="s">
        <v>116</v>
      </c>
    </row>
    <row r="86" spans="2:10" ht="14.85" customHeight="1"/>
    <row r="87" spans="2:10" ht="14.85" customHeight="1"/>
    <row r="88" spans="2:10" ht="14.85" customHeight="1"/>
    <row r="89" spans="2:10" ht="14.85" customHeight="1"/>
    <row r="90" spans="2:10" ht="14.85" customHeight="1"/>
    <row r="91" spans="2:10" ht="14.85" customHeight="1"/>
    <row r="92" spans="2:10" ht="14.85" customHeight="1"/>
    <row r="93" spans="2:10" ht="14.85" customHeight="1"/>
    <row r="94" spans="2:10" ht="14.85" customHeight="1"/>
    <row r="95" spans="2:10" ht="14.85" customHeight="1"/>
    <row r="96" spans="2:10"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E4">
    <cfRule type="cellIs" dxfId="124" priority="3" stopIfTrue="1" operator="equal">
      <formula>"input"</formula>
    </cfRule>
  </conditionalFormatting>
  <pageMargins left="0.5" right="0.5" top="0.5" bottom="0.5" header="0.5" footer="0.5"/>
  <pageSetup scale="86" orientation="landscape" r:id="rId1"/>
  <rowBreaks count="2" manualBreakCount="2">
    <brk id="44" max="5" man="1"/>
    <brk id="68" max="5" man="1"/>
  </rowBreaks>
  <legacyDrawing r:id="rId2"/>
  <legacyDrawingHF r:id="rId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2"/>
  <dimension ref="A1:AF764"/>
  <sheetViews>
    <sheetView showGridLines="0" view="pageBreakPreview" zoomScale="80" zoomScaleNormal="100" zoomScaleSheetLayoutView="80" workbookViewId="0"/>
  </sheetViews>
  <sheetFormatPr defaultColWidth="9.33203125" defaultRowHeight="12.75" outlineLevelCol="1"/>
  <cols>
    <col min="1" max="1" width="4.5" style="1619" customWidth="1"/>
    <col min="2" max="2" width="14.83203125" style="1619" customWidth="1"/>
    <col min="3" max="3" width="13.6640625" style="1619" customWidth="1"/>
    <col min="4" max="4" width="32.83203125" style="1619" customWidth="1"/>
    <col min="5" max="5" width="32.33203125" style="1619" customWidth="1"/>
    <col min="6" max="6" width="11.33203125" style="1619" hidden="1" customWidth="1" outlineLevel="1"/>
    <col min="7" max="7" width="18.1640625" style="1619" customWidth="1" collapsed="1"/>
    <col min="8" max="8" width="20.5" style="1619" customWidth="1"/>
    <col min="9" max="9" width="17.1640625" style="1619" bestFit="1" customWidth="1"/>
    <col min="10" max="10" width="11.6640625" style="1619" hidden="1" customWidth="1" outlineLevel="1"/>
    <col min="11" max="11" width="12" style="1619" customWidth="1" collapsed="1"/>
    <col min="12" max="12" width="4.5" style="1619" customWidth="1"/>
    <col min="13" max="16384" width="9.33203125" style="1619"/>
  </cols>
  <sheetData>
    <row r="1" spans="2:14" ht="13.5" thickBot="1"/>
    <row r="2" spans="2:14" ht="15" thickTop="1">
      <c r="B2" s="258" t="str">
        <f>'MASTER PubCo Inputs'!$C$5</f>
        <v>ABC, Inc.</v>
      </c>
      <c r="C2" s="258"/>
      <c r="D2" s="258"/>
      <c r="E2" s="258"/>
      <c r="F2" s="258"/>
      <c r="G2" s="258"/>
      <c r="H2" s="258"/>
      <c r="I2" s="258"/>
      <c r="J2" s="258"/>
      <c r="K2" s="258"/>
    </row>
    <row r="3" spans="2:14" ht="14.25">
      <c r="B3" s="259" t="str">
        <f>VLOOKUP(B4,Outline!$E$8:$G$79,COLUMNS(Outline!$E$8:$G$8),FALSE)</f>
        <v>Exhibit H.10</v>
      </c>
      <c r="C3" s="259"/>
      <c r="D3" s="259"/>
      <c r="E3" s="259"/>
      <c r="F3" s="259"/>
      <c r="G3" s="259"/>
      <c r="H3" s="259"/>
      <c r="I3" s="259"/>
      <c r="J3" s="259"/>
      <c r="K3" s="259"/>
    </row>
    <row r="4" spans="2:14" ht="15" thickBot="1">
      <c r="B4" s="2071" t="s">
        <v>1154</v>
      </c>
      <c r="C4" s="2071"/>
      <c r="D4" s="2071"/>
      <c r="E4" s="2071"/>
      <c r="F4" s="2071"/>
      <c r="G4" s="924"/>
      <c r="H4" s="924"/>
      <c r="I4" s="924"/>
      <c r="J4" s="924"/>
      <c r="K4" s="925" t="str">
        <f>'MASTER PubCo Inputs'!C21</f>
        <v>(in thousands of USD)</v>
      </c>
      <c r="L4" s="1620"/>
    </row>
    <row r="5" spans="2:14" ht="14.85" customHeight="1" thickTop="1"/>
    <row r="6" spans="2:14" ht="61.5" customHeight="1">
      <c r="B6" s="1621" t="s">
        <v>1155</v>
      </c>
      <c r="C6" s="1622" t="s">
        <v>1156</v>
      </c>
      <c r="D6" s="1622" t="s">
        <v>1157</v>
      </c>
      <c r="E6" s="1622" t="s">
        <v>1158</v>
      </c>
      <c r="F6" s="1623" t="s">
        <v>1857</v>
      </c>
      <c r="G6" s="1622" t="s">
        <v>1159</v>
      </c>
      <c r="H6" s="1624" t="s">
        <v>1160</v>
      </c>
      <c r="I6" s="1624" t="s">
        <v>1161</v>
      </c>
      <c r="J6" s="1625" t="s">
        <v>1858</v>
      </c>
      <c r="K6" s="1626" t="s">
        <v>1162</v>
      </c>
    </row>
    <row r="7" spans="2:14" ht="14.85" customHeight="1">
      <c r="B7" s="1627"/>
      <c r="C7" s="1628"/>
      <c r="D7" s="1628"/>
      <c r="E7" s="1628"/>
      <c r="F7" s="1628"/>
      <c r="G7" s="1628"/>
      <c r="H7" s="1629"/>
      <c r="I7" s="1629"/>
      <c r="J7" s="1629"/>
      <c r="K7" s="1629"/>
    </row>
    <row r="8" spans="2:14" ht="14.85" customHeight="1">
      <c r="B8" s="1630" t="s">
        <v>1163</v>
      </c>
      <c r="C8" s="1628"/>
      <c r="D8" s="1628"/>
      <c r="E8" s="1628"/>
      <c r="F8" s="1628"/>
      <c r="G8" s="1628"/>
      <c r="H8" s="1629"/>
      <c r="I8" s="1629"/>
      <c r="J8" s="1629"/>
      <c r="K8" s="1629"/>
    </row>
    <row r="9" spans="2:14" ht="14.85" customHeight="1">
      <c r="B9" s="1631">
        <v>42641</v>
      </c>
      <c r="C9" s="1632" t="s">
        <v>1164</v>
      </c>
      <c r="D9" s="1633" t="s">
        <v>1165</v>
      </c>
      <c r="E9" s="1633" t="s">
        <v>1166</v>
      </c>
      <c r="F9" s="1633"/>
      <c r="G9" s="1634" t="s">
        <v>1005</v>
      </c>
      <c r="H9" s="1635">
        <v>155000</v>
      </c>
      <c r="I9" s="1635">
        <v>50000</v>
      </c>
      <c r="J9" s="1635"/>
      <c r="K9" s="1636">
        <f t="shared" ref="K9:K45" si="0">IFERROR(I9/H9,"n/a")</f>
        <v>0.32258064516129031</v>
      </c>
      <c r="M9" s="1637" t="s">
        <v>1167</v>
      </c>
      <c r="N9" s="1226" t="s">
        <v>1168</v>
      </c>
    </row>
    <row r="10" spans="2:14" ht="14.85" customHeight="1">
      <c r="B10" s="1631">
        <v>42632</v>
      </c>
      <c r="C10" s="1632" t="s">
        <v>1164</v>
      </c>
      <c r="D10" s="1633" t="s">
        <v>1169</v>
      </c>
      <c r="E10" s="1633" t="s">
        <v>1170</v>
      </c>
      <c r="F10" s="1633"/>
      <c r="G10" s="1634" t="s">
        <v>1005</v>
      </c>
      <c r="H10" s="1635">
        <v>249000</v>
      </c>
      <c r="I10" s="1635" t="s">
        <v>13</v>
      </c>
      <c r="J10" s="1635"/>
      <c r="K10" s="1636" t="str">
        <f t="shared" si="0"/>
        <v>n/a</v>
      </c>
      <c r="M10" s="1637" t="s">
        <v>1171</v>
      </c>
      <c r="N10" s="1226"/>
    </row>
    <row r="11" spans="2:14" ht="14.85" customHeight="1">
      <c r="B11" s="1631">
        <v>42628</v>
      </c>
      <c r="C11" s="1632" t="s">
        <v>1164</v>
      </c>
      <c r="D11" s="1633" t="s">
        <v>1172</v>
      </c>
      <c r="E11" s="1633" t="s">
        <v>1173</v>
      </c>
      <c r="F11" s="1633"/>
      <c r="G11" s="1634" t="s">
        <v>1005</v>
      </c>
      <c r="H11" s="1635">
        <v>250000</v>
      </c>
      <c r="I11" s="1635" t="s">
        <v>13</v>
      </c>
      <c r="J11" s="1635"/>
      <c r="K11" s="1636" t="str">
        <f t="shared" si="0"/>
        <v>n/a</v>
      </c>
      <c r="M11" s="1637" t="s">
        <v>1174</v>
      </c>
      <c r="N11" s="1226"/>
    </row>
    <row r="12" spans="2:14" ht="14.85" customHeight="1">
      <c r="B12" s="1631">
        <v>42562</v>
      </c>
      <c r="C12" s="1632" t="s">
        <v>1164</v>
      </c>
      <c r="D12" s="1633" t="s">
        <v>1175</v>
      </c>
      <c r="E12" s="1633" t="s">
        <v>1176</v>
      </c>
      <c r="F12" s="1633"/>
      <c r="G12" s="1634" t="s">
        <v>1005</v>
      </c>
      <c r="H12" s="1635">
        <v>816000</v>
      </c>
      <c r="I12" s="1635">
        <v>28000</v>
      </c>
      <c r="J12" s="1635"/>
      <c r="K12" s="1636">
        <f t="shared" si="0"/>
        <v>3.4313725490196081E-2</v>
      </c>
      <c r="M12" s="1637" t="s">
        <v>1177</v>
      </c>
    </row>
    <row r="13" spans="2:14" ht="14.85" customHeight="1">
      <c r="B13" s="1631">
        <v>42557</v>
      </c>
      <c r="C13" s="1632" t="s">
        <v>1164</v>
      </c>
      <c r="D13" s="1633" t="s">
        <v>1178</v>
      </c>
      <c r="E13" s="1633" t="s">
        <v>1179</v>
      </c>
      <c r="F13" s="1633"/>
      <c r="G13" s="1634" t="s">
        <v>1005</v>
      </c>
      <c r="H13" s="1635">
        <v>374500</v>
      </c>
      <c r="I13" s="1635">
        <v>5000</v>
      </c>
      <c r="J13" s="1635"/>
      <c r="K13" s="1636">
        <f t="shared" si="0"/>
        <v>1.335113484646195E-2</v>
      </c>
      <c r="M13" s="1637" t="s">
        <v>1180</v>
      </c>
    </row>
    <row r="14" spans="2:14" ht="14.85" customHeight="1">
      <c r="B14" s="1631">
        <v>42549</v>
      </c>
      <c r="C14" s="1632" t="s">
        <v>1164</v>
      </c>
      <c r="D14" s="1633" t="s">
        <v>1181</v>
      </c>
      <c r="E14" s="1633" t="s">
        <v>1182</v>
      </c>
      <c r="F14" s="1633"/>
      <c r="G14" s="1634" t="s">
        <v>1005</v>
      </c>
      <c r="H14" s="1635">
        <v>2560000</v>
      </c>
      <c r="I14" s="1635">
        <v>150000</v>
      </c>
      <c r="J14" s="1635"/>
      <c r="K14" s="1636">
        <f t="shared" si="0"/>
        <v>5.859375E-2</v>
      </c>
      <c r="M14" s="1637" t="s">
        <v>1183</v>
      </c>
    </row>
    <row r="15" spans="2:14" ht="14.85" customHeight="1">
      <c r="B15" s="1631">
        <v>42529</v>
      </c>
      <c r="C15" s="1632" t="s">
        <v>1164</v>
      </c>
      <c r="D15" s="1633" t="s">
        <v>1184</v>
      </c>
      <c r="E15" s="1633" t="s">
        <v>1185</v>
      </c>
      <c r="F15" s="1633"/>
      <c r="G15" s="1634" t="s">
        <v>1005</v>
      </c>
      <c r="H15" s="1635">
        <v>303000</v>
      </c>
      <c r="I15" s="1635">
        <v>3000</v>
      </c>
      <c r="J15" s="1635"/>
      <c r="K15" s="1636">
        <f t="shared" si="0"/>
        <v>9.9009900990099011E-3</v>
      </c>
      <c r="M15" s="1637" t="s">
        <v>1186</v>
      </c>
    </row>
    <row r="16" spans="2:14" ht="14.85" customHeight="1">
      <c r="B16" s="1631">
        <v>42516</v>
      </c>
      <c r="C16" s="1632" t="s">
        <v>1164</v>
      </c>
      <c r="D16" s="1633" t="s">
        <v>1187</v>
      </c>
      <c r="E16" s="1633" t="s">
        <v>1188</v>
      </c>
      <c r="F16" s="1633"/>
      <c r="G16" s="1634" t="s">
        <v>1005</v>
      </c>
      <c r="H16" s="1635">
        <v>270900</v>
      </c>
      <c r="I16" s="1635">
        <v>900</v>
      </c>
      <c r="J16" s="1635"/>
      <c r="K16" s="1636">
        <f t="shared" si="0"/>
        <v>3.3222591362126247E-3</v>
      </c>
    </row>
    <row r="17" spans="2:14" ht="14.85" customHeight="1">
      <c r="B17" s="1631">
        <v>42508</v>
      </c>
      <c r="C17" s="1632" t="s">
        <v>1164</v>
      </c>
      <c r="D17" s="1633" t="s">
        <v>1166</v>
      </c>
      <c r="E17" s="1633" t="s">
        <v>1189</v>
      </c>
      <c r="F17" s="1633"/>
      <c r="G17" s="1634" t="s">
        <v>1005</v>
      </c>
      <c r="H17" s="1635">
        <v>740000</v>
      </c>
      <c r="I17" s="1635">
        <v>75000</v>
      </c>
      <c r="J17" s="1635"/>
      <c r="K17" s="1636">
        <f t="shared" si="0"/>
        <v>0.10135135135135136</v>
      </c>
      <c r="M17" s="1637" t="s">
        <v>1190</v>
      </c>
    </row>
    <row r="18" spans="2:14" ht="14.85" customHeight="1">
      <c r="B18" s="1631">
        <v>42481</v>
      </c>
      <c r="C18" s="1632" t="s">
        <v>1164</v>
      </c>
      <c r="D18" s="1633" t="s">
        <v>1191</v>
      </c>
      <c r="E18" s="1633" t="s">
        <v>1192</v>
      </c>
      <c r="F18" s="1633"/>
      <c r="G18" s="1634" t="s">
        <v>1005</v>
      </c>
      <c r="H18" s="1635">
        <v>685000</v>
      </c>
      <c r="I18" s="1635">
        <v>40000</v>
      </c>
      <c r="J18" s="1635"/>
      <c r="K18" s="1636">
        <f t="shared" si="0"/>
        <v>5.8394160583941604E-2</v>
      </c>
      <c r="M18" s="1637" t="s">
        <v>1193</v>
      </c>
    </row>
    <row r="19" spans="2:14" ht="14.85" customHeight="1">
      <c r="B19" s="1631">
        <v>42403</v>
      </c>
      <c r="C19" s="1632" t="s">
        <v>1164</v>
      </c>
      <c r="D19" s="1633" t="s">
        <v>1194</v>
      </c>
      <c r="E19" s="1633" t="s">
        <v>1195</v>
      </c>
      <c r="F19" s="1633"/>
      <c r="G19" s="1634" t="s">
        <v>1005</v>
      </c>
      <c r="H19" s="1635">
        <v>455000</v>
      </c>
      <c r="I19" s="1635">
        <v>40000</v>
      </c>
      <c r="J19" s="1635"/>
      <c r="K19" s="1636">
        <f t="shared" si="0"/>
        <v>8.7912087912087919E-2</v>
      </c>
      <c r="M19" s="1637"/>
    </row>
    <row r="20" spans="2:14" ht="14.85" customHeight="1">
      <c r="B20" s="1631">
        <v>42396</v>
      </c>
      <c r="C20" s="1632" t="s">
        <v>1164</v>
      </c>
      <c r="D20" s="1633" t="s">
        <v>1196</v>
      </c>
      <c r="E20" s="1633" t="s">
        <v>1197</v>
      </c>
      <c r="F20" s="1633"/>
      <c r="G20" s="1634" t="s">
        <v>1005</v>
      </c>
      <c r="H20" s="1635">
        <v>515000</v>
      </c>
      <c r="I20" s="1635">
        <v>15000</v>
      </c>
      <c r="J20" s="1635"/>
      <c r="K20" s="1636">
        <f t="shared" si="0"/>
        <v>2.9126213592233011E-2</v>
      </c>
    </row>
    <row r="21" spans="2:14" ht="14.85" customHeight="1">
      <c r="B21" s="1631">
        <v>42380</v>
      </c>
      <c r="C21" s="1632" t="s">
        <v>1164</v>
      </c>
      <c r="D21" s="1633" t="s">
        <v>1198</v>
      </c>
      <c r="E21" s="1633" t="s">
        <v>1199</v>
      </c>
      <c r="F21" s="1633"/>
      <c r="G21" s="1634" t="s">
        <v>1005</v>
      </c>
      <c r="H21" s="1635">
        <v>22500</v>
      </c>
      <c r="I21" s="1635">
        <v>17500</v>
      </c>
      <c r="J21" s="1635"/>
      <c r="K21" s="1636">
        <f t="shared" si="0"/>
        <v>0.77777777777777779</v>
      </c>
    </row>
    <row r="22" spans="2:14" ht="14.85" customHeight="1">
      <c r="B22" s="1631">
        <v>42296</v>
      </c>
      <c r="C22" s="1632" t="s">
        <v>1164</v>
      </c>
      <c r="D22" s="1633" t="s">
        <v>1200</v>
      </c>
      <c r="E22" s="1633" t="s">
        <v>1201</v>
      </c>
      <c r="F22" s="1633"/>
      <c r="G22" s="1634" t="s">
        <v>1005</v>
      </c>
      <c r="H22" s="1635">
        <v>6000</v>
      </c>
      <c r="I22" s="1635">
        <v>6000</v>
      </c>
      <c r="J22" s="1635"/>
      <c r="K22" s="1636">
        <f t="shared" si="0"/>
        <v>1</v>
      </c>
    </row>
    <row r="23" spans="2:14" ht="14.85" customHeight="1">
      <c r="B23" s="1631">
        <v>42288</v>
      </c>
      <c r="C23" s="1632" t="s">
        <v>1164</v>
      </c>
      <c r="D23" s="1633" t="s">
        <v>1202</v>
      </c>
      <c r="E23" s="1633" t="s">
        <v>1203</v>
      </c>
      <c r="F23" s="1633"/>
      <c r="G23" s="1634" t="s">
        <v>1005</v>
      </c>
      <c r="H23" s="1635">
        <v>1000000</v>
      </c>
      <c r="I23" s="1635">
        <v>0</v>
      </c>
      <c r="J23" s="1635"/>
      <c r="K23" s="1636">
        <f t="shared" si="0"/>
        <v>0</v>
      </c>
      <c r="M23" s="1637" t="s">
        <v>1204</v>
      </c>
    </row>
    <row r="24" spans="2:14" ht="14.85" customHeight="1">
      <c r="B24" s="1631">
        <v>42284</v>
      </c>
      <c r="C24" s="1632" t="s">
        <v>1164</v>
      </c>
      <c r="D24" s="1633" t="s">
        <v>1205</v>
      </c>
      <c r="E24" s="1633" t="s">
        <v>1206</v>
      </c>
      <c r="F24" s="1633"/>
      <c r="G24" s="1634" t="s">
        <v>1005</v>
      </c>
      <c r="H24" s="1635">
        <v>56081</v>
      </c>
      <c r="I24" s="1635">
        <v>0</v>
      </c>
      <c r="J24" s="1635"/>
      <c r="K24" s="1636">
        <f t="shared" si="0"/>
        <v>0</v>
      </c>
    </row>
    <row r="25" spans="2:14" ht="14.85" customHeight="1">
      <c r="B25" s="1631">
        <v>42277</v>
      </c>
      <c r="C25" s="1632" t="s">
        <v>1164</v>
      </c>
      <c r="D25" s="1633" t="s">
        <v>1207</v>
      </c>
      <c r="E25" s="1633" t="s">
        <v>1208</v>
      </c>
      <c r="F25" s="1633"/>
      <c r="G25" s="1634" t="s">
        <v>1005</v>
      </c>
      <c r="H25" s="1635">
        <v>500000</v>
      </c>
      <c r="I25" s="1635">
        <v>15000</v>
      </c>
      <c r="J25" s="1635"/>
      <c r="K25" s="1636">
        <f t="shared" si="0"/>
        <v>0.03</v>
      </c>
    </row>
    <row r="26" spans="2:14" ht="14.85" customHeight="1">
      <c r="B26" s="1631">
        <v>42271</v>
      </c>
      <c r="C26" s="1632" t="s">
        <v>1164</v>
      </c>
      <c r="D26" s="1633" t="s">
        <v>1172</v>
      </c>
      <c r="E26" s="1633" t="s">
        <v>1209</v>
      </c>
      <c r="F26" s="1633"/>
      <c r="G26" s="1634" t="s">
        <v>1005</v>
      </c>
      <c r="H26" s="1635">
        <v>2500</v>
      </c>
      <c r="I26" s="1635">
        <v>2500</v>
      </c>
      <c r="J26" s="1635"/>
      <c r="K26" s="1636">
        <f t="shared" si="0"/>
        <v>1</v>
      </c>
    </row>
    <row r="27" spans="2:14" ht="14.85" customHeight="1">
      <c r="B27" s="1631">
        <v>42263</v>
      </c>
      <c r="C27" s="1632" t="s">
        <v>1164</v>
      </c>
      <c r="D27" s="1633" t="s">
        <v>1210</v>
      </c>
      <c r="E27" s="1633" t="s">
        <v>1182</v>
      </c>
      <c r="F27" s="1633"/>
      <c r="G27" s="1634" t="s">
        <v>1005</v>
      </c>
      <c r="H27" s="1635">
        <v>1745000</v>
      </c>
      <c r="I27" s="1635">
        <v>45000</v>
      </c>
      <c r="J27" s="1635"/>
      <c r="K27" s="1636">
        <f t="shared" si="0"/>
        <v>2.5787965616045846E-2</v>
      </c>
      <c r="M27" s="1619" t="s">
        <v>1211</v>
      </c>
    </row>
    <row r="28" spans="2:14" ht="14.85" customHeight="1">
      <c r="B28" s="1631">
        <v>42222</v>
      </c>
      <c r="C28" s="1632" t="s">
        <v>1164</v>
      </c>
      <c r="D28" s="1633" t="s">
        <v>1212</v>
      </c>
      <c r="E28" s="1633" t="s">
        <v>1213</v>
      </c>
      <c r="F28" s="1633"/>
      <c r="G28" s="1634" t="s">
        <v>1005</v>
      </c>
      <c r="H28" s="1635">
        <v>510000</v>
      </c>
      <c r="I28" s="1635">
        <v>10000</v>
      </c>
      <c r="J28" s="1635"/>
      <c r="K28" s="1636">
        <f t="shared" si="0"/>
        <v>1.9607843137254902E-2</v>
      </c>
      <c r="M28" s="1619" t="s">
        <v>1214</v>
      </c>
      <c r="N28" s="1619" t="s">
        <v>1215</v>
      </c>
    </row>
    <row r="29" spans="2:14" ht="14.85" customHeight="1">
      <c r="B29" s="1631">
        <v>42213</v>
      </c>
      <c r="C29" s="1632" t="s">
        <v>1164</v>
      </c>
      <c r="D29" s="1633" t="s">
        <v>1216</v>
      </c>
      <c r="E29" s="1633" t="s">
        <v>1217</v>
      </c>
      <c r="F29" s="1633"/>
      <c r="G29" s="1634" t="s">
        <v>1005</v>
      </c>
      <c r="H29" s="1635">
        <v>2170000</v>
      </c>
      <c r="I29" s="1635">
        <v>640000</v>
      </c>
      <c r="J29" s="1635"/>
      <c r="K29" s="1636">
        <f t="shared" si="0"/>
        <v>0.29493087557603687</v>
      </c>
      <c r="M29" s="1637" t="s">
        <v>1218</v>
      </c>
    </row>
    <row r="30" spans="2:14" ht="14.85" customHeight="1">
      <c r="B30" s="1631">
        <v>42213</v>
      </c>
      <c r="C30" s="1632" t="s">
        <v>1164</v>
      </c>
      <c r="D30" s="1633" t="s">
        <v>1219</v>
      </c>
      <c r="E30" s="1633" t="s">
        <v>1220</v>
      </c>
      <c r="F30" s="1633"/>
      <c r="G30" s="1634" t="s">
        <v>1005</v>
      </c>
      <c r="H30" s="1635">
        <v>209908.19999999998</v>
      </c>
      <c r="I30" s="1635">
        <v>0</v>
      </c>
      <c r="J30" s="1635"/>
      <c r="K30" s="1636">
        <f t="shared" si="0"/>
        <v>0</v>
      </c>
    </row>
    <row r="31" spans="2:14" ht="14.85" customHeight="1">
      <c r="B31" s="1631">
        <v>42200</v>
      </c>
      <c r="C31" s="1632" t="s">
        <v>1164</v>
      </c>
      <c r="D31" s="1633" t="s">
        <v>1221</v>
      </c>
      <c r="E31" s="1633" t="s">
        <v>1222</v>
      </c>
      <c r="F31" s="1633"/>
      <c r="G31" s="1634" t="s">
        <v>1005</v>
      </c>
      <c r="H31" s="1635">
        <v>353000</v>
      </c>
      <c r="I31" s="1635">
        <v>10000</v>
      </c>
      <c r="J31" s="1635"/>
      <c r="K31" s="1636">
        <f t="shared" si="0"/>
        <v>2.8328611898016998E-2</v>
      </c>
      <c r="M31" s="1637" t="s">
        <v>1223</v>
      </c>
    </row>
    <row r="32" spans="2:14" ht="14.85" customHeight="1">
      <c r="B32" s="1631">
        <v>42131</v>
      </c>
      <c r="C32" s="1632" t="s">
        <v>1164</v>
      </c>
      <c r="D32" s="1633" t="s">
        <v>1224</v>
      </c>
      <c r="E32" s="1633" t="s">
        <v>1225</v>
      </c>
      <c r="F32" s="1633"/>
      <c r="G32" s="1634" t="s">
        <v>1005</v>
      </c>
      <c r="H32" s="1635">
        <v>3118.2</v>
      </c>
      <c r="I32" s="1635">
        <v>0</v>
      </c>
      <c r="J32" s="1635"/>
      <c r="K32" s="1636">
        <f t="shared" si="0"/>
        <v>0</v>
      </c>
    </row>
    <row r="33" spans="2:13" ht="14.85" customHeight="1">
      <c r="B33" s="1631">
        <v>42114</v>
      </c>
      <c r="C33" s="1632" t="s">
        <v>1164</v>
      </c>
      <c r="D33" s="1633" t="s">
        <v>1226</v>
      </c>
      <c r="E33" s="1633" t="s">
        <v>1227</v>
      </c>
      <c r="F33" s="1633"/>
      <c r="G33" s="1634" t="s">
        <v>1228</v>
      </c>
      <c r="H33" s="1635">
        <v>555000</v>
      </c>
      <c r="I33" s="1635">
        <v>25000</v>
      </c>
      <c r="J33" s="1635"/>
      <c r="K33" s="1636">
        <f t="shared" si="0"/>
        <v>4.5045045045045043E-2</v>
      </c>
    </row>
    <row r="34" spans="2:13" ht="14.85" customHeight="1">
      <c r="B34" s="1631">
        <v>42093</v>
      </c>
      <c r="C34" s="1632" t="s">
        <v>1164</v>
      </c>
      <c r="D34" s="1633" t="s">
        <v>1229</v>
      </c>
      <c r="E34" s="1633" t="s">
        <v>1230</v>
      </c>
      <c r="F34" s="1633"/>
      <c r="G34" s="1634" t="s">
        <v>1005</v>
      </c>
      <c r="H34" s="1635">
        <v>750000</v>
      </c>
      <c r="I34" s="1635">
        <v>200000</v>
      </c>
      <c r="J34" s="1635"/>
      <c r="K34" s="1636">
        <f>IFERROR(I34/H34,"n/a")</f>
        <v>0.26666666666666666</v>
      </c>
      <c r="M34" s="1638" t="s">
        <v>1231</v>
      </c>
    </row>
    <row r="35" spans="2:13" ht="14.85" customHeight="1">
      <c r="B35" s="1631">
        <v>42081</v>
      </c>
      <c r="C35" s="1632" t="s">
        <v>1164</v>
      </c>
      <c r="D35" s="1633" t="s">
        <v>1232</v>
      </c>
      <c r="E35" s="1633" t="s">
        <v>1233</v>
      </c>
      <c r="F35" s="1633"/>
      <c r="G35" s="1634" t="s">
        <v>1005</v>
      </c>
      <c r="H35" s="1635">
        <v>3000</v>
      </c>
      <c r="I35" s="1635">
        <v>3000</v>
      </c>
      <c r="J35" s="1635"/>
      <c r="K35" s="1636">
        <f t="shared" si="0"/>
        <v>1</v>
      </c>
      <c r="M35" s="1637" t="s">
        <v>1234</v>
      </c>
    </row>
    <row r="36" spans="2:13" ht="14.85" customHeight="1">
      <c r="B36" s="1631">
        <v>42075</v>
      </c>
      <c r="C36" s="1632" t="s">
        <v>1164</v>
      </c>
      <c r="D36" s="1634" t="s">
        <v>13</v>
      </c>
      <c r="E36" s="1633" t="s">
        <v>1235</v>
      </c>
      <c r="F36" s="1633"/>
      <c r="G36" s="1634" t="s">
        <v>1005</v>
      </c>
      <c r="H36" s="1635">
        <v>24375</v>
      </c>
      <c r="I36" s="1635">
        <v>500</v>
      </c>
      <c r="J36" s="1635"/>
      <c r="K36" s="1636">
        <f t="shared" si="0"/>
        <v>2.0512820512820513E-2</v>
      </c>
    </row>
    <row r="37" spans="2:13" ht="14.85" customHeight="1">
      <c r="B37" s="1631">
        <v>42068</v>
      </c>
      <c r="C37" s="1632" t="s">
        <v>1164</v>
      </c>
      <c r="D37" s="1633" t="s">
        <v>1236</v>
      </c>
      <c r="E37" s="1633" t="s">
        <v>1237</v>
      </c>
      <c r="F37" s="1633"/>
      <c r="G37" s="1634" t="s">
        <v>1005</v>
      </c>
      <c r="H37" s="1635">
        <v>109200</v>
      </c>
      <c r="I37" s="1635">
        <v>600</v>
      </c>
      <c r="J37" s="1635"/>
      <c r="K37" s="1636">
        <f t="shared" si="0"/>
        <v>5.4945054945054949E-3</v>
      </c>
    </row>
    <row r="38" spans="2:13" ht="14.85" customHeight="1">
      <c r="B38" s="1631">
        <v>42006</v>
      </c>
      <c r="C38" s="1632" t="s">
        <v>1164</v>
      </c>
      <c r="D38" s="1633" t="s">
        <v>1238</v>
      </c>
      <c r="E38" s="1633" t="s">
        <v>1239</v>
      </c>
      <c r="F38" s="1633"/>
      <c r="G38" s="1634" t="s">
        <v>1005</v>
      </c>
      <c r="H38" s="1635">
        <v>700</v>
      </c>
      <c r="I38" s="1635">
        <v>0</v>
      </c>
      <c r="J38" s="1635"/>
      <c r="K38" s="1636">
        <f t="shared" si="0"/>
        <v>0</v>
      </c>
    </row>
    <row r="39" spans="2:13" ht="14.85" customHeight="1">
      <c r="B39" s="1631">
        <v>41981</v>
      </c>
      <c r="C39" s="1632" t="s">
        <v>1164</v>
      </c>
      <c r="D39" s="1633" t="s">
        <v>1172</v>
      </c>
      <c r="E39" s="1633" t="s">
        <v>1240</v>
      </c>
      <c r="F39" s="1633"/>
      <c r="G39" s="1634" t="s">
        <v>1005</v>
      </c>
      <c r="H39" s="1635">
        <v>29486.2</v>
      </c>
      <c r="I39" s="1635">
        <v>29470</v>
      </c>
      <c r="J39" s="1635"/>
      <c r="K39" s="1636">
        <f t="shared" si="0"/>
        <v>0.99945059044569995</v>
      </c>
    </row>
    <row r="40" spans="2:13" ht="14.85" customHeight="1">
      <c r="B40" s="1631">
        <v>41855</v>
      </c>
      <c r="C40" s="1632" t="s">
        <v>1164</v>
      </c>
      <c r="D40" s="1633" t="s">
        <v>1241</v>
      </c>
      <c r="E40" s="1633" t="s">
        <v>1242</v>
      </c>
      <c r="F40" s="1633"/>
      <c r="G40" s="1634" t="s">
        <v>1005</v>
      </c>
      <c r="H40" s="1635">
        <v>3500</v>
      </c>
      <c r="I40" s="1635">
        <v>3500</v>
      </c>
      <c r="J40" s="1635"/>
      <c r="K40" s="1636">
        <f t="shared" si="0"/>
        <v>1</v>
      </c>
    </row>
    <row r="41" spans="2:13" ht="14.85" customHeight="1">
      <c r="B41" s="1631">
        <v>41813</v>
      </c>
      <c r="C41" s="1632" t="s">
        <v>1164</v>
      </c>
      <c r="D41" s="1633" t="s">
        <v>1243</v>
      </c>
      <c r="E41" s="1633" t="s">
        <v>1244</v>
      </c>
      <c r="F41" s="1633"/>
      <c r="G41" s="1634" t="s">
        <v>1005</v>
      </c>
      <c r="H41" s="1635">
        <v>208000</v>
      </c>
      <c r="I41" s="1635">
        <v>1000</v>
      </c>
      <c r="J41" s="1635"/>
      <c r="K41" s="1636">
        <f t="shared" si="0"/>
        <v>4.807692307692308E-3</v>
      </c>
    </row>
    <row r="42" spans="2:13" ht="14.85" customHeight="1">
      <c r="B42" s="1631">
        <v>41751</v>
      </c>
      <c r="C42" s="1632" t="s">
        <v>1164</v>
      </c>
      <c r="D42" s="1633" t="s">
        <v>1245</v>
      </c>
      <c r="E42" s="1633" t="s">
        <v>1246</v>
      </c>
      <c r="F42" s="1633"/>
      <c r="G42" s="1634" t="s">
        <v>1005</v>
      </c>
      <c r="H42" s="1635">
        <v>174000</v>
      </c>
      <c r="I42" s="1635">
        <v>0</v>
      </c>
      <c r="J42" s="1635"/>
      <c r="K42" s="1636">
        <f t="shared" si="0"/>
        <v>0</v>
      </c>
    </row>
    <row r="43" spans="2:13" ht="14.85" customHeight="1">
      <c r="B43" s="1631">
        <v>41591</v>
      </c>
      <c r="C43" s="1632" t="s">
        <v>1164</v>
      </c>
      <c r="D43" s="1633" t="s">
        <v>1247</v>
      </c>
      <c r="E43" s="1634" t="s">
        <v>13</v>
      </c>
      <c r="F43" s="1634"/>
      <c r="G43" s="1634" t="s">
        <v>1005</v>
      </c>
      <c r="H43" s="1635">
        <v>232000</v>
      </c>
      <c r="I43" s="1635">
        <v>0</v>
      </c>
      <c r="J43" s="1635"/>
      <c r="K43" s="1636">
        <f t="shared" si="0"/>
        <v>0</v>
      </c>
    </row>
    <row r="44" spans="2:13" ht="14.85" customHeight="1">
      <c r="B44" s="1631">
        <v>41418</v>
      </c>
      <c r="C44" s="1632" t="s">
        <v>1164</v>
      </c>
      <c r="D44" s="1633" t="s">
        <v>1248</v>
      </c>
      <c r="E44" s="1633" t="s">
        <v>1249</v>
      </c>
      <c r="F44" s="1633"/>
      <c r="G44" s="1634" t="s">
        <v>1005</v>
      </c>
      <c r="H44" s="1635">
        <v>246000</v>
      </c>
      <c r="I44" s="1635">
        <v>13000</v>
      </c>
      <c r="J44" s="1635"/>
      <c r="K44" s="1636">
        <f t="shared" si="0"/>
        <v>5.2845528455284556E-2</v>
      </c>
    </row>
    <row r="45" spans="2:13" ht="14.85" customHeight="1">
      <c r="B45" s="1631">
        <v>41186</v>
      </c>
      <c r="C45" s="1632" t="s">
        <v>1164</v>
      </c>
      <c r="D45" s="1633" t="s">
        <v>1250</v>
      </c>
      <c r="E45" s="1633" t="s">
        <v>1251</v>
      </c>
      <c r="F45" s="1633"/>
      <c r="G45" s="1634" t="s">
        <v>1005</v>
      </c>
      <c r="H45" s="1635">
        <v>60000</v>
      </c>
      <c r="I45" s="1635">
        <v>5000</v>
      </c>
      <c r="J45" s="1635"/>
      <c r="K45" s="1636">
        <f t="shared" si="0"/>
        <v>8.3333333333333329E-2</v>
      </c>
    </row>
    <row r="46" spans="2:13" ht="14.85" customHeight="1">
      <c r="B46" s="1631"/>
      <c r="C46" s="1632"/>
      <c r="D46" s="1633"/>
      <c r="E46" s="1633"/>
      <c r="F46" s="1633"/>
      <c r="G46" s="1634"/>
      <c r="H46" s="1635"/>
      <c r="I46" s="1635"/>
      <c r="J46" s="1635"/>
      <c r="K46" s="1636"/>
    </row>
    <row r="47" spans="2:13" ht="14.85" customHeight="1">
      <c r="B47" s="1639" t="s">
        <v>641</v>
      </c>
      <c r="C47" s="1632"/>
      <c r="D47" s="1633"/>
      <c r="E47" s="1633"/>
      <c r="F47" s="1633"/>
      <c r="G47" s="1634"/>
      <c r="H47" s="1635"/>
      <c r="I47" s="1635"/>
      <c r="J47" s="1635"/>
      <c r="K47" s="1636"/>
    </row>
    <row r="48" spans="2:13" ht="14.85" customHeight="1">
      <c r="B48" s="1631">
        <v>42674</v>
      </c>
      <c r="C48" s="1632" t="s">
        <v>1164</v>
      </c>
      <c r="D48" s="1633" t="s">
        <v>1252</v>
      </c>
      <c r="E48" s="1633" t="s">
        <v>1253</v>
      </c>
      <c r="F48" s="1633"/>
      <c r="G48" s="1634" t="s">
        <v>641</v>
      </c>
      <c r="H48" s="1635">
        <v>3000</v>
      </c>
      <c r="I48" s="1635">
        <v>2570</v>
      </c>
      <c r="J48" s="1635"/>
      <c r="K48" s="1636">
        <f t="shared" ref="K48:K59" si="1">IFERROR(I48/H48,"n/a")</f>
        <v>0.85666666666666669</v>
      </c>
      <c r="M48" s="1619" t="s">
        <v>1254</v>
      </c>
    </row>
    <row r="49" spans="2:13" ht="14.85" customHeight="1">
      <c r="B49" s="1631">
        <v>42642</v>
      </c>
      <c r="C49" s="1632" t="s">
        <v>1164</v>
      </c>
      <c r="D49" s="1633" t="s">
        <v>1253</v>
      </c>
      <c r="E49" s="1633" t="s">
        <v>1255</v>
      </c>
      <c r="F49" s="1633"/>
      <c r="G49" s="1634" t="s">
        <v>641</v>
      </c>
      <c r="H49" s="1635">
        <v>910000</v>
      </c>
      <c r="I49" s="1635">
        <v>80000</v>
      </c>
      <c r="J49" s="1635"/>
      <c r="K49" s="1636">
        <f>IFERROR(I49/H49,"n/a")</f>
        <v>8.7912087912087919E-2</v>
      </c>
      <c r="M49" s="1640" t="s">
        <v>1256</v>
      </c>
    </row>
    <row r="50" spans="2:13" ht="14.85" customHeight="1">
      <c r="B50" s="1631">
        <v>42450</v>
      </c>
      <c r="C50" s="1632" t="s">
        <v>1164</v>
      </c>
      <c r="D50" s="1633" t="s">
        <v>1257</v>
      </c>
      <c r="E50" s="1633" t="s">
        <v>1258</v>
      </c>
      <c r="F50" s="1633"/>
      <c r="G50" s="1634" t="s">
        <v>641</v>
      </c>
      <c r="H50" s="1635">
        <v>134000</v>
      </c>
      <c r="I50" s="1635">
        <v>1000</v>
      </c>
      <c r="J50" s="1635"/>
      <c r="K50" s="1636">
        <f t="shared" si="1"/>
        <v>7.462686567164179E-3</v>
      </c>
      <c r="M50" s="1637" t="s">
        <v>1259</v>
      </c>
    </row>
    <row r="51" spans="2:13" ht="14.85" customHeight="1">
      <c r="B51" s="1631">
        <v>42401</v>
      </c>
      <c r="C51" s="1632" t="s">
        <v>1164</v>
      </c>
      <c r="D51" s="1633" t="s">
        <v>1260</v>
      </c>
      <c r="E51" s="1633" t="s">
        <v>1261</v>
      </c>
      <c r="F51" s="1633"/>
      <c r="G51" s="1634" t="s">
        <v>641</v>
      </c>
      <c r="H51" s="1635">
        <v>280000</v>
      </c>
      <c r="I51" s="1635">
        <v>0</v>
      </c>
      <c r="J51" s="1635"/>
      <c r="K51" s="1636">
        <f t="shared" si="1"/>
        <v>0</v>
      </c>
    </row>
    <row r="52" spans="2:13" ht="14.85" customHeight="1">
      <c r="B52" s="1631">
        <v>42324</v>
      </c>
      <c r="C52" s="1632" t="s">
        <v>1164</v>
      </c>
      <c r="D52" s="1633" t="s">
        <v>1262</v>
      </c>
      <c r="E52" s="1633" t="s">
        <v>1263</v>
      </c>
      <c r="F52" s="1633"/>
      <c r="G52" s="1634" t="s">
        <v>641</v>
      </c>
      <c r="H52" s="1635">
        <v>10000</v>
      </c>
      <c r="I52" s="1635">
        <v>0</v>
      </c>
      <c r="J52" s="1635"/>
      <c r="K52" s="1636">
        <f t="shared" si="1"/>
        <v>0</v>
      </c>
    </row>
    <row r="53" spans="2:13" ht="14.85" customHeight="1">
      <c r="B53" s="1631">
        <v>42298</v>
      </c>
      <c r="C53" s="1632" t="s">
        <v>1164</v>
      </c>
      <c r="D53" s="1633" t="s">
        <v>1229</v>
      </c>
      <c r="E53" s="1633" t="s">
        <v>1264</v>
      </c>
      <c r="F53" s="1633"/>
      <c r="G53" s="1634" t="s">
        <v>641</v>
      </c>
      <c r="H53" s="1635">
        <v>15000</v>
      </c>
      <c r="I53" s="1635">
        <v>15000</v>
      </c>
      <c r="J53" s="1635"/>
      <c r="K53" s="1636">
        <f t="shared" si="1"/>
        <v>1</v>
      </c>
    </row>
    <row r="54" spans="2:13" ht="14.85" customHeight="1">
      <c r="B54" s="1631">
        <v>42249</v>
      </c>
      <c r="C54" s="1632" t="s">
        <v>1164</v>
      </c>
      <c r="D54" s="1633" t="s">
        <v>1265</v>
      </c>
      <c r="E54" s="1633" t="s">
        <v>1266</v>
      </c>
      <c r="F54" s="1633"/>
      <c r="G54" s="1634" t="s">
        <v>641</v>
      </c>
      <c r="H54" s="1635">
        <v>795000</v>
      </c>
      <c r="I54" s="1635">
        <v>25000</v>
      </c>
      <c r="J54" s="1635"/>
      <c r="K54" s="1636">
        <f t="shared" si="1"/>
        <v>3.1446540880503145E-2</v>
      </c>
      <c r="M54" s="1637" t="s">
        <v>1267</v>
      </c>
    </row>
    <row r="55" spans="2:13" ht="14.85" customHeight="1">
      <c r="B55" s="1631">
        <v>42035</v>
      </c>
      <c r="C55" s="1632" t="s">
        <v>1164</v>
      </c>
      <c r="D55" s="1633" t="s">
        <v>1198</v>
      </c>
      <c r="E55" s="1633" t="s">
        <v>1268</v>
      </c>
      <c r="F55" s="1633"/>
      <c r="G55" s="1634" t="s">
        <v>641</v>
      </c>
      <c r="H55" s="1635">
        <v>120000</v>
      </c>
      <c r="I55" s="1635">
        <v>0</v>
      </c>
      <c r="J55" s="1635"/>
      <c r="K55" s="1636">
        <f t="shared" si="1"/>
        <v>0</v>
      </c>
    </row>
    <row r="56" spans="2:13" ht="14.85" customHeight="1">
      <c r="B56" s="1631">
        <v>41984</v>
      </c>
      <c r="C56" s="1632" t="s">
        <v>1164</v>
      </c>
      <c r="D56" s="1633" t="s">
        <v>1245</v>
      </c>
      <c r="E56" s="1633" t="s">
        <v>1269</v>
      </c>
      <c r="F56" s="1633"/>
      <c r="G56" s="1634" t="s">
        <v>641</v>
      </c>
      <c r="H56" s="1635">
        <v>300000</v>
      </c>
      <c r="I56" s="1635">
        <v>20000</v>
      </c>
      <c r="J56" s="1635"/>
      <c r="K56" s="1636">
        <f t="shared" si="1"/>
        <v>6.6666666666666666E-2</v>
      </c>
    </row>
    <row r="57" spans="2:13" ht="14.85" customHeight="1">
      <c r="B57" s="1631">
        <v>41905</v>
      </c>
      <c r="C57" s="1632" t="s">
        <v>1164</v>
      </c>
      <c r="D57" s="1633" t="s">
        <v>1243</v>
      </c>
      <c r="E57" s="1633" t="s">
        <v>1270</v>
      </c>
      <c r="F57" s="1633"/>
      <c r="G57" s="1634" t="s">
        <v>641</v>
      </c>
      <c r="H57" s="1635">
        <v>244000</v>
      </c>
      <c r="I57" s="1635">
        <v>4000</v>
      </c>
      <c r="J57" s="1635"/>
      <c r="K57" s="1636">
        <f t="shared" si="1"/>
        <v>1.6393442622950821E-2</v>
      </c>
    </row>
    <row r="58" spans="2:13" ht="14.85" customHeight="1">
      <c r="B58" s="1631">
        <v>41691</v>
      </c>
      <c r="C58" s="1632" t="s">
        <v>1164</v>
      </c>
      <c r="D58" s="1633" t="s">
        <v>1271</v>
      </c>
      <c r="E58" s="1633" t="s">
        <v>1272</v>
      </c>
      <c r="F58" s="1633"/>
      <c r="G58" s="1634" t="s">
        <v>641</v>
      </c>
      <c r="H58" s="1635">
        <v>3000</v>
      </c>
      <c r="I58" s="1635">
        <v>0</v>
      </c>
      <c r="J58" s="1635"/>
      <c r="K58" s="1636">
        <f t="shared" si="1"/>
        <v>0</v>
      </c>
    </row>
    <row r="59" spans="2:13" ht="14.85" customHeight="1">
      <c r="B59" s="1631">
        <v>41241</v>
      </c>
      <c r="C59" s="1632" t="s">
        <v>1164</v>
      </c>
      <c r="D59" s="1633" t="s">
        <v>1200</v>
      </c>
      <c r="E59" s="1633" t="s">
        <v>1273</v>
      </c>
      <c r="F59" s="1633"/>
      <c r="G59" s="1634" t="s">
        <v>641</v>
      </c>
      <c r="H59" s="1635">
        <v>9500</v>
      </c>
      <c r="I59" s="1635">
        <v>9500</v>
      </c>
      <c r="J59" s="1635"/>
      <c r="K59" s="1636">
        <f t="shared" si="1"/>
        <v>1</v>
      </c>
    </row>
    <row r="60" spans="2:13" ht="14.85" customHeight="1">
      <c r="B60" s="1631"/>
      <c r="C60" s="1632"/>
      <c r="D60" s="1633"/>
      <c r="E60" s="1633"/>
      <c r="F60" s="1633"/>
      <c r="G60" s="1634"/>
      <c r="H60" s="1635"/>
      <c r="I60" s="1635"/>
      <c r="J60" s="1635"/>
      <c r="K60" s="1636"/>
    </row>
    <row r="61" spans="2:13" ht="14.85" customHeight="1">
      <c r="B61" s="1639" t="s">
        <v>618</v>
      </c>
      <c r="C61" s="1632"/>
      <c r="D61" s="1633"/>
      <c r="E61" s="1633"/>
      <c r="F61" s="1633"/>
      <c r="G61" s="1634"/>
      <c r="H61" s="1635"/>
      <c r="I61" s="1635"/>
      <c r="J61" s="1635"/>
      <c r="K61" s="1636"/>
    </row>
    <row r="62" spans="2:13" ht="14.85" customHeight="1">
      <c r="B62" s="1631">
        <v>42590</v>
      </c>
      <c r="C62" s="1632" t="s">
        <v>1164</v>
      </c>
      <c r="D62" s="1633" t="s">
        <v>1274</v>
      </c>
      <c r="E62" s="1633" t="s">
        <v>1275</v>
      </c>
      <c r="F62" s="1633"/>
      <c r="G62" s="1634" t="s">
        <v>618</v>
      </c>
      <c r="H62" s="1635">
        <v>464000</v>
      </c>
      <c r="I62" s="1635">
        <v>15000</v>
      </c>
      <c r="J62" s="1635"/>
      <c r="K62" s="1636">
        <f t="shared" ref="K62:K90" si="2">IFERROR(I62/H62,"n/a")</f>
        <v>3.2327586206896554E-2</v>
      </c>
      <c r="M62" s="1637" t="s">
        <v>1276</v>
      </c>
    </row>
    <row r="63" spans="2:13" ht="14.85" customHeight="1">
      <c r="B63" s="1631">
        <v>42501</v>
      </c>
      <c r="C63" s="1632" t="s">
        <v>1164</v>
      </c>
      <c r="D63" s="1633" t="s">
        <v>1277</v>
      </c>
      <c r="E63" s="1633" t="s">
        <v>1278</v>
      </c>
      <c r="F63" s="1633"/>
      <c r="G63" s="1634" t="s">
        <v>618</v>
      </c>
      <c r="H63" s="1635">
        <v>20000</v>
      </c>
      <c r="I63" s="1635">
        <v>0</v>
      </c>
      <c r="J63" s="1635"/>
      <c r="K63" s="1636">
        <f t="shared" si="2"/>
        <v>0</v>
      </c>
    </row>
    <row r="64" spans="2:13" ht="14.85" customHeight="1">
      <c r="B64" s="1631">
        <v>42471</v>
      </c>
      <c r="C64" s="1632" t="s">
        <v>1164</v>
      </c>
      <c r="D64" s="1633" t="s">
        <v>1279</v>
      </c>
      <c r="E64" s="1633" t="s">
        <v>1280</v>
      </c>
      <c r="F64" s="1633"/>
      <c r="G64" s="1634" t="s">
        <v>618</v>
      </c>
      <c r="H64" s="1635">
        <v>3500</v>
      </c>
      <c r="I64" s="1635">
        <v>500</v>
      </c>
      <c r="J64" s="1635"/>
      <c r="K64" s="1636">
        <f t="shared" si="2"/>
        <v>0.14285714285714285</v>
      </c>
    </row>
    <row r="65" spans="2:13" ht="14.85" customHeight="1">
      <c r="B65" s="1631">
        <v>42460</v>
      </c>
      <c r="C65" s="1632" t="s">
        <v>1164</v>
      </c>
      <c r="D65" s="1633" t="s">
        <v>1281</v>
      </c>
      <c r="E65" s="1633" t="s">
        <v>1282</v>
      </c>
      <c r="F65" s="1633"/>
      <c r="G65" s="1634" t="s">
        <v>618</v>
      </c>
      <c r="H65" s="1635">
        <v>160000</v>
      </c>
      <c r="I65" s="1635">
        <v>15000</v>
      </c>
      <c r="J65" s="1635"/>
      <c r="K65" s="1636">
        <f t="shared" si="2"/>
        <v>9.375E-2</v>
      </c>
    </row>
    <row r="66" spans="2:13" ht="14.85" customHeight="1">
      <c r="B66" s="1631">
        <v>42316</v>
      </c>
      <c r="C66" s="1632" t="s">
        <v>1164</v>
      </c>
      <c r="D66" s="1633" t="s">
        <v>1241</v>
      </c>
      <c r="E66" s="1633" t="s">
        <v>1202</v>
      </c>
      <c r="F66" s="1633"/>
      <c r="G66" s="1634" t="s">
        <v>618</v>
      </c>
      <c r="H66" s="1635">
        <v>40000</v>
      </c>
      <c r="I66" s="1635">
        <v>2000</v>
      </c>
      <c r="J66" s="1635"/>
      <c r="K66" s="1636">
        <f t="shared" si="2"/>
        <v>0.05</v>
      </c>
    </row>
    <row r="67" spans="2:13" ht="14.85" customHeight="1">
      <c r="B67" s="1631">
        <v>42213</v>
      </c>
      <c r="C67" s="1632" t="s">
        <v>1164</v>
      </c>
      <c r="D67" s="1633" t="s">
        <v>1283</v>
      </c>
      <c r="E67" s="1633" t="s">
        <v>1284</v>
      </c>
      <c r="F67" s="1633"/>
      <c r="G67" s="1634" t="s">
        <v>618</v>
      </c>
      <c r="H67" s="1635">
        <v>730000</v>
      </c>
      <c r="I67" s="1635">
        <v>50000</v>
      </c>
      <c r="J67" s="1635"/>
      <c r="K67" s="1636">
        <f t="shared" si="2"/>
        <v>6.8493150684931503E-2</v>
      </c>
    </row>
    <row r="68" spans="2:13" ht="14.85" customHeight="1">
      <c r="B68" s="1631">
        <v>42212</v>
      </c>
      <c r="C68" s="1632" t="s">
        <v>1164</v>
      </c>
      <c r="D68" s="1633" t="s">
        <v>1285</v>
      </c>
      <c r="E68" s="1633" t="s">
        <v>1286</v>
      </c>
      <c r="F68" s="1633"/>
      <c r="G68" s="1634" t="s">
        <v>618</v>
      </c>
      <c r="H68" s="1635">
        <v>20000</v>
      </c>
      <c r="I68" s="1635" t="s">
        <v>13</v>
      </c>
      <c r="J68" s="1635"/>
      <c r="K68" s="1636" t="str">
        <f t="shared" si="2"/>
        <v>n/a</v>
      </c>
      <c r="M68" s="1619" t="s">
        <v>1287</v>
      </c>
    </row>
    <row r="69" spans="2:13" ht="14.85" customHeight="1">
      <c r="B69" s="1631">
        <v>42184</v>
      </c>
      <c r="C69" s="1632" t="s">
        <v>1164</v>
      </c>
      <c r="D69" s="1633" t="s">
        <v>1282</v>
      </c>
      <c r="E69" s="1633" t="s">
        <v>1288</v>
      </c>
      <c r="F69" s="1633"/>
      <c r="G69" s="1634" t="s">
        <v>618</v>
      </c>
      <c r="H69" s="1635">
        <v>5030</v>
      </c>
      <c r="I69" s="1635">
        <v>0</v>
      </c>
      <c r="J69" s="1635"/>
      <c r="K69" s="1636">
        <f t="shared" si="2"/>
        <v>0</v>
      </c>
    </row>
    <row r="70" spans="2:13" ht="14.85" customHeight="1">
      <c r="B70" s="1631">
        <v>42108</v>
      </c>
      <c r="C70" s="1632" t="s">
        <v>1164</v>
      </c>
      <c r="D70" s="1633" t="s">
        <v>1289</v>
      </c>
      <c r="E70" s="1633" t="s">
        <v>1290</v>
      </c>
      <c r="F70" s="1633"/>
      <c r="G70" s="1634" t="s">
        <v>618</v>
      </c>
      <c r="H70" s="1635">
        <v>100512.90000000001</v>
      </c>
      <c r="I70" s="1635">
        <v>0</v>
      </c>
      <c r="J70" s="1635"/>
      <c r="K70" s="1636">
        <f t="shared" si="2"/>
        <v>0</v>
      </c>
    </row>
    <row r="71" spans="2:13" ht="14.85" customHeight="1">
      <c r="B71" s="1631">
        <v>42094</v>
      </c>
      <c r="C71" s="1632" t="s">
        <v>1164</v>
      </c>
      <c r="D71" s="1633" t="s">
        <v>1291</v>
      </c>
      <c r="E71" s="1633" t="s">
        <v>1292</v>
      </c>
      <c r="F71" s="1633"/>
      <c r="G71" s="1634" t="s">
        <v>618</v>
      </c>
      <c r="H71" s="1635">
        <v>5500</v>
      </c>
      <c r="I71" s="1635">
        <v>1500</v>
      </c>
      <c r="J71" s="1635"/>
      <c r="K71" s="1636">
        <f t="shared" si="2"/>
        <v>0.27272727272727271</v>
      </c>
    </row>
    <row r="72" spans="2:13" ht="14.85" customHeight="1">
      <c r="B72" s="1631">
        <v>42075</v>
      </c>
      <c r="C72" s="1632" t="s">
        <v>1164</v>
      </c>
      <c r="D72" s="1633" t="s">
        <v>1293</v>
      </c>
      <c r="E72" s="1633" t="s">
        <v>1166</v>
      </c>
      <c r="F72" s="1633"/>
      <c r="G72" s="1634" t="s">
        <v>618</v>
      </c>
      <c r="H72" s="1635">
        <v>60000</v>
      </c>
      <c r="I72" s="1635" t="s">
        <v>13</v>
      </c>
      <c r="J72" s="1635"/>
      <c r="K72" s="1636" t="str">
        <f t="shared" si="2"/>
        <v>n/a</v>
      </c>
      <c r="M72" s="1638" t="s">
        <v>1294</v>
      </c>
    </row>
    <row r="73" spans="2:13" ht="14.85" customHeight="1">
      <c r="B73" s="1631">
        <v>42067</v>
      </c>
      <c r="C73" s="1632" t="s">
        <v>1164</v>
      </c>
      <c r="D73" s="1633" t="s">
        <v>1295</v>
      </c>
      <c r="E73" s="1633" t="s">
        <v>1284</v>
      </c>
      <c r="F73" s="1633"/>
      <c r="G73" s="1634" t="s">
        <v>618</v>
      </c>
      <c r="H73" s="1635">
        <v>358000</v>
      </c>
      <c r="I73" s="1635">
        <v>0</v>
      </c>
      <c r="J73" s="1635"/>
      <c r="K73" s="1636">
        <f t="shared" si="2"/>
        <v>0</v>
      </c>
    </row>
    <row r="74" spans="2:13" ht="14.85" customHeight="1">
      <c r="B74" s="1631">
        <v>42061</v>
      </c>
      <c r="C74" s="1632" t="s">
        <v>1164</v>
      </c>
      <c r="D74" s="1633" t="s">
        <v>1296</v>
      </c>
      <c r="E74" s="1633" t="s">
        <v>1297</v>
      </c>
      <c r="F74" s="1633"/>
      <c r="G74" s="1634" t="s">
        <v>618</v>
      </c>
      <c r="H74" s="1635">
        <v>201000</v>
      </c>
      <c r="I74" s="1635">
        <v>1000</v>
      </c>
      <c r="J74" s="1635"/>
      <c r="K74" s="1636">
        <f t="shared" si="2"/>
        <v>4.9751243781094526E-3</v>
      </c>
    </row>
    <row r="75" spans="2:13" ht="14.85" customHeight="1">
      <c r="B75" s="1631">
        <v>42040</v>
      </c>
      <c r="C75" s="1632" t="s">
        <v>1164</v>
      </c>
      <c r="D75" s="1633" t="s">
        <v>1116</v>
      </c>
      <c r="E75" s="1633" t="s">
        <v>1298</v>
      </c>
      <c r="F75" s="1633"/>
      <c r="G75" s="1634" t="s">
        <v>618</v>
      </c>
      <c r="H75" s="1635">
        <v>100</v>
      </c>
      <c r="I75" s="1635">
        <v>100</v>
      </c>
      <c r="J75" s="1635"/>
      <c r="K75" s="1636">
        <f t="shared" si="2"/>
        <v>1</v>
      </c>
    </row>
    <row r="76" spans="2:13" ht="14.85" customHeight="1">
      <c r="B76" s="1631">
        <v>42024</v>
      </c>
      <c r="C76" s="1632" t="s">
        <v>1164</v>
      </c>
      <c r="D76" s="1633" t="s">
        <v>1224</v>
      </c>
      <c r="E76" s="1633" t="s">
        <v>1242</v>
      </c>
      <c r="F76" s="1633"/>
      <c r="G76" s="1634" t="s">
        <v>618</v>
      </c>
      <c r="H76" s="1635">
        <v>41740</v>
      </c>
      <c r="I76" s="1635">
        <v>3500</v>
      </c>
      <c r="J76" s="1635"/>
      <c r="K76" s="1636">
        <f t="shared" si="2"/>
        <v>8.3852419741255388E-2</v>
      </c>
    </row>
    <row r="77" spans="2:13" ht="14.85" customHeight="1">
      <c r="B77" s="1631">
        <v>42011</v>
      </c>
      <c r="C77" s="1632" t="s">
        <v>1164</v>
      </c>
      <c r="D77" s="1633" t="s">
        <v>1299</v>
      </c>
      <c r="E77" s="1633" t="s">
        <v>1300</v>
      </c>
      <c r="F77" s="1633"/>
      <c r="G77" s="1634" t="s">
        <v>618</v>
      </c>
      <c r="H77" s="1635">
        <v>100000</v>
      </c>
      <c r="I77" s="1635">
        <v>25000</v>
      </c>
      <c r="J77" s="1635"/>
      <c r="K77" s="1636">
        <f t="shared" si="2"/>
        <v>0.25</v>
      </c>
    </row>
    <row r="78" spans="2:13" ht="14.85" customHeight="1">
      <c r="B78" s="1631">
        <v>41991</v>
      </c>
      <c r="C78" s="1632" t="s">
        <v>1164</v>
      </c>
      <c r="D78" s="1633" t="s">
        <v>1293</v>
      </c>
      <c r="E78" s="1633" t="s">
        <v>1301</v>
      </c>
      <c r="F78" s="1633"/>
      <c r="G78" s="1634" t="s">
        <v>618</v>
      </c>
      <c r="H78" s="1635">
        <v>76000</v>
      </c>
      <c r="I78" s="1635">
        <v>1000</v>
      </c>
      <c r="J78" s="1635"/>
      <c r="K78" s="1636">
        <f t="shared" si="2"/>
        <v>1.3157894736842105E-2</v>
      </c>
    </row>
    <row r="79" spans="2:13" ht="14.85" customHeight="1">
      <c r="B79" s="1631">
        <v>41954</v>
      </c>
      <c r="C79" s="1632" t="s">
        <v>1164</v>
      </c>
      <c r="D79" s="1633" t="s">
        <v>1302</v>
      </c>
      <c r="E79" s="1633" t="s">
        <v>1303</v>
      </c>
      <c r="F79" s="1633"/>
      <c r="G79" s="1634" t="s">
        <v>618</v>
      </c>
      <c r="H79" s="1635">
        <v>105500</v>
      </c>
      <c r="I79" s="1635">
        <v>500</v>
      </c>
      <c r="J79" s="1635"/>
      <c r="K79" s="1636">
        <f t="shared" si="2"/>
        <v>4.7393364928909956E-3</v>
      </c>
    </row>
    <row r="80" spans="2:13" ht="14.85" customHeight="1">
      <c r="B80" s="1631">
        <v>41941</v>
      </c>
      <c r="C80" s="1632" t="s">
        <v>1164</v>
      </c>
      <c r="D80" s="1633" t="s">
        <v>1304</v>
      </c>
      <c r="E80" s="1633" t="s">
        <v>1305</v>
      </c>
      <c r="F80" s="1633"/>
      <c r="G80" s="1634" t="s">
        <v>618</v>
      </c>
      <c r="H80" s="1635">
        <v>5500</v>
      </c>
      <c r="I80" s="1635">
        <v>1000</v>
      </c>
      <c r="J80" s="1635"/>
      <c r="K80" s="1636">
        <f t="shared" si="2"/>
        <v>0.18181818181818182</v>
      </c>
    </row>
    <row r="81" spans="2:13" ht="14.85" customHeight="1">
      <c r="B81" s="1631">
        <v>41872</v>
      </c>
      <c r="C81" s="1632" t="s">
        <v>1164</v>
      </c>
      <c r="D81" s="1633" t="s">
        <v>1306</v>
      </c>
      <c r="E81" s="1633" t="s">
        <v>1284</v>
      </c>
      <c r="F81" s="1633"/>
      <c r="G81" s="1634" t="s">
        <v>618</v>
      </c>
      <c r="H81" s="1635">
        <v>20000</v>
      </c>
      <c r="I81" s="1635">
        <v>0</v>
      </c>
      <c r="J81" s="1635"/>
      <c r="K81" s="1636">
        <f t="shared" si="2"/>
        <v>0</v>
      </c>
    </row>
    <row r="82" spans="2:13" ht="14.85" customHeight="1">
      <c r="B82" s="1631">
        <v>41851</v>
      </c>
      <c r="C82" s="1632" t="s">
        <v>1164</v>
      </c>
      <c r="D82" s="1633" t="s">
        <v>1307</v>
      </c>
      <c r="E82" s="1633" t="s">
        <v>1308</v>
      </c>
      <c r="F82" s="1633"/>
      <c r="G82" s="1634" t="s">
        <v>618</v>
      </c>
      <c r="H82" s="1635">
        <v>72200</v>
      </c>
      <c r="I82" s="1635">
        <v>0</v>
      </c>
      <c r="J82" s="1635"/>
      <c r="K82" s="1636">
        <f t="shared" si="2"/>
        <v>0</v>
      </c>
    </row>
    <row r="83" spans="2:13" ht="14.85" customHeight="1">
      <c r="B83" s="1631">
        <v>41820</v>
      </c>
      <c r="C83" s="1632" t="s">
        <v>1164</v>
      </c>
      <c r="D83" s="1633" t="s">
        <v>1291</v>
      </c>
      <c r="E83" s="1633" t="s">
        <v>1309</v>
      </c>
      <c r="F83" s="1633"/>
      <c r="G83" s="1634" t="s">
        <v>618</v>
      </c>
      <c r="H83" s="1635">
        <v>1000</v>
      </c>
      <c r="I83" s="1635">
        <v>1000</v>
      </c>
      <c r="J83" s="1635"/>
      <c r="K83" s="1636">
        <f t="shared" si="2"/>
        <v>1</v>
      </c>
    </row>
    <row r="84" spans="2:13" ht="14.85" customHeight="1">
      <c r="B84" s="1631">
        <v>41801</v>
      </c>
      <c r="C84" s="1632" t="s">
        <v>1164</v>
      </c>
      <c r="D84" s="1633" t="s">
        <v>1198</v>
      </c>
      <c r="E84" s="1633" t="s">
        <v>1268</v>
      </c>
      <c r="F84" s="1633"/>
      <c r="G84" s="1634" t="s">
        <v>618</v>
      </c>
      <c r="H84" s="1635">
        <v>120000</v>
      </c>
      <c r="I84" s="1635">
        <v>0</v>
      </c>
      <c r="J84" s="1635"/>
      <c r="K84" s="1636">
        <f t="shared" si="2"/>
        <v>0</v>
      </c>
    </row>
    <row r="85" spans="2:13" ht="14.85" customHeight="1">
      <c r="B85" s="1631">
        <v>41726</v>
      </c>
      <c r="C85" s="1632" t="s">
        <v>1164</v>
      </c>
      <c r="D85" s="1633" t="s">
        <v>1310</v>
      </c>
      <c r="E85" s="1633" t="s">
        <v>1309</v>
      </c>
      <c r="F85" s="1633"/>
      <c r="G85" s="1634" t="s">
        <v>618</v>
      </c>
      <c r="H85" s="1635">
        <v>9630</v>
      </c>
      <c r="I85" s="1635">
        <v>0</v>
      </c>
      <c r="J85" s="1635"/>
      <c r="K85" s="1636">
        <f t="shared" si="2"/>
        <v>0</v>
      </c>
    </row>
    <row r="86" spans="2:13" ht="14.85" customHeight="1">
      <c r="B86" s="1631">
        <v>41556</v>
      </c>
      <c r="C86" s="1632" t="s">
        <v>1164</v>
      </c>
      <c r="D86" s="1633" t="s">
        <v>1202</v>
      </c>
      <c r="E86" s="1633" t="s">
        <v>1311</v>
      </c>
      <c r="F86" s="1633"/>
      <c r="G86" s="1634" t="s">
        <v>618</v>
      </c>
      <c r="H86" s="1635">
        <v>86500</v>
      </c>
      <c r="I86" s="1635">
        <v>0</v>
      </c>
      <c r="J86" s="1635"/>
      <c r="K86" s="1636">
        <f t="shared" si="2"/>
        <v>0</v>
      </c>
    </row>
    <row r="87" spans="2:13" ht="14.85" customHeight="1">
      <c r="B87" s="1631">
        <v>41528</v>
      </c>
      <c r="C87" s="1632" t="s">
        <v>1164</v>
      </c>
      <c r="D87" s="1633" t="s">
        <v>1212</v>
      </c>
      <c r="E87" s="1633" t="s">
        <v>1196</v>
      </c>
      <c r="F87" s="1633"/>
      <c r="G87" s="1634" t="s">
        <v>618</v>
      </c>
      <c r="H87" s="1635">
        <v>50000</v>
      </c>
      <c r="I87" s="1635">
        <v>50000</v>
      </c>
      <c r="J87" s="1635"/>
      <c r="K87" s="1636">
        <f t="shared" si="2"/>
        <v>1</v>
      </c>
    </row>
    <row r="88" spans="2:13" ht="14.85" customHeight="1">
      <c r="B88" s="1631">
        <v>41341</v>
      </c>
      <c r="C88" s="1632" t="s">
        <v>1164</v>
      </c>
      <c r="D88" s="1633" t="s">
        <v>1295</v>
      </c>
      <c r="E88" s="1633" t="s">
        <v>1244</v>
      </c>
      <c r="F88" s="1633"/>
      <c r="G88" s="1634" t="s">
        <v>618</v>
      </c>
      <c r="H88" s="1635">
        <v>53000</v>
      </c>
      <c r="I88" s="1635">
        <v>3000</v>
      </c>
      <c r="J88" s="1635"/>
      <c r="K88" s="1636">
        <f t="shared" si="2"/>
        <v>5.6603773584905662E-2</v>
      </c>
    </row>
    <row r="89" spans="2:13" ht="14.85" customHeight="1">
      <c r="B89" s="1631">
        <v>41183</v>
      </c>
      <c r="C89" s="1632" t="s">
        <v>1164</v>
      </c>
      <c r="D89" s="1633" t="s">
        <v>1312</v>
      </c>
      <c r="E89" s="1633" t="s">
        <v>1313</v>
      </c>
      <c r="F89" s="1633"/>
      <c r="G89" s="1634" t="s">
        <v>618</v>
      </c>
      <c r="H89" s="1635">
        <v>57850</v>
      </c>
      <c r="I89" s="1635">
        <v>57850</v>
      </c>
      <c r="J89" s="1635"/>
      <c r="K89" s="1636">
        <f t="shared" si="2"/>
        <v>1</v>
      </c>
    </row>
    <row r="90" spans="2:13" ht="14.85" customHeight="1">
      <c r="B90" s="1631">
        <v>41101</v>
      </c>
      <c r="C90" s="1632" t="s">
        <v>1164</v>
      </c>
      <c r="D90" s="1633" t="s">
        <v>1271</v>
      </c>
      <c r="E90" s="1633" t="s">
        <v>1172</v>
      </c>
      <c r="F90" s="1633"/>
      <c r="G90" s="1634" t="s">
        <v>618</v>
      </c>
      <c r="H90" s="1635">
        <v>130500</v>
      </c>
      <c r="I90" s="1635">
        <v>3500</v>
      </c>
      <c r="J90" s="1635"/>
      <c r="K90" s="1636">
        <f t="shared" si="2"/>
        <v>2.681992337164751E-2</v>
      </c>
    </row>
    <row r="91" spans="2:13" ht="14.85" customHeight="1">
      <c r="B91" s="1631"/>
      <c r="C91" s="1632"/>
      <c r="D91" s="1633"/>
      <c r="E91" s="1633"/>
      <c r="F91" s="1633"/>
      <c r="G91" s="1634"/>
      <c r="H91" s="1635"/>
      <c r="I91" s="1635"/>
      <c r="J91" s="1635"/>
      <c r="K91" s="1636"/>
    </row>
    <row r="92" spans="2:13" ht="14.85" customHeight="1">
      <c r="B92" s="1639" t="s">
        <v>642</v>
      </c>
      <c r="C92" s="1632"/>
      <c r="D92" s="1633"/>
      <c r="E92" s="1633"/>
      <c r="F92" s="1633"/>
      <c r="G92" s="1634"/>
      <c r="H92" s="1635"/>
      <c r="I92" s="1635"/>
      <c r="J92" s="1635"/>
      <c r="K92" s="1636"/>
    </row>
    <row r="93" spans="2:13" ht="14.85" customHeight="1">
      <c r="B93" s="1631">
        <v>42520</v>
      </c>
      <c r="C93" s="1632" t="s">
        <v>1164</v>
      </c>
      <c r="D93" s="1633" t="s">
        <v>1314</v>
      </c>
      <c r="E93" s="1633" t="s">
        <v>1315</v>
      </c>
      <c r="F93" s="1633"/>
      <c r="G93" s="1634" t="s">
        <v>642</v>
      </c>
      <c r="H93" s="1635">
        <v>80000</v>
      </c>
      <c r="I93" s="1635">
        <v>20000</v>
      </c>
      <c r="J93" s="1635"/>
      <c r="K93" s="1636">
        <f t="shared" ref="K93:K111" si="3">IFERROR(I93/H93,"n/a")</f>
        <v>0.25</v>
      </c>
    </row>
    <row r="94" spans="2:13" ht="14.85" customHeight="1">
      <c r="B94" s="1631">
        <v>42466</v>
      </c>
      <c r="C94" s="1632" t="s">
        <v>1164</v>
      </c>
      <c r="D94" s="1633" t="s">
        <v>1316</v>
      </c>
      <c r="E94" s="1633" t="s">
        <v>1317</v>
      </c>
      <c r="F94" s="1633"/>
      <c r="G94" s="1634" t="s">
        <v>642</v>
      </c>
      <c r="H94" s="1635">
        <v>450000</v>
      </c>
      <c r="I94" s="1635">
        <v>35000</v>
      </c>
      <c r="J94" s="1635"/>
      <c r="K94" s="1636">
        <f t="shared" si="3"/>
        <v>7.7777777777777779E-2</v>
      </c>
    </row>
    <row r="95" spans="2:13" ht="14.85" customHeight="1">
      <c r="B95" s="1631">
        <v>42429</v>
      </c>
      <c r="C95" s="1632" t="s">
        <v>1164</v>
      </c>
      <c r="D95" s="1633" t="s">
        <v>1318</v>
      </c>
      <c r="E95" s="1633" t="s">
        <v>1319</v>
      </c>
      <c r="F95" s="1633"/>
      <c r="G95" s="1634" t="s">
        <v>642</v>
      </c>
      <c r="H95" s="1635">
        <v>855000</v>
      </c>
      <c r="I95" s="1635">
        <v>200000</v>
      </c>
      <c r="J95" s="1635"/>
      <c r="K95" s="1636">
        <f t="shared" si="3"/>
        <v>0.23391812865497075</v>
      </c>
      <c r="M95" s="1619" t="s">
        <v>1320</v>
      </c>
    </row>
    <row r="96" spans="2:13" ht="14.85" customHeight="1">
      <c r="B96" s="1631">
        <v>42380</v>
      </c>
      <c r="C96" s="1632" t="s">
        <v>1164</v>
      </c>
      <c r="D96" s="1633" t="s">
        <v>1321</v>
      </c>
      <c r="E96" s="1633" t="s">
        <v>1322</v>
      </c>
      <c r="F96" s="1633"/>
      <c r="G96" s="1634" t="s">
        <v>642</v>
      </c>
      <c r="H96" s="1635">
        <v>202500</v>
      </c>
      <c r="I96" s="1635">
        <v>5000</v>
      </c>
      <c r="J96" s="1635"/>
      <c r="K96" s="1636">
        <f t="shared" si="3"/>
        <v>2.4691358024691357E-2</v>
      </c>
    </row>
    <row r="97" spans="2:13" ht="14.85" customHeight="1">
      <c r="B97" s="1631">
        <v>42356</v>
      </c>
      <c r="C97" s="1632" t="s">
        <v>1164</v>
      </c>
      <c r="D97" s="1633" t="s">
        <v>1323</v>
      </c>
      <c r="E97" s="1633" t="s">
        <v>1303</v>
      </c>
      <c r="F97" s="1633"/>
      <c r="G97" s="1634" t="s">
        <v>642</v>
      </c>
      <c r="H97" s="1635">
        <v>374500</v>
      </c>
      <c r="I97" s="1635">
        <v>2500</v>
      </c>
      <c r="J97" s="1635"/>
      <c r="K97" s="1636">
        <f t="shared" si="3"/>
        <v>6.6755674232309749E-3</v>
      </c>
    </row>
    <row r="98" spans="2:13" ht="14.85" customHeight="1">
      <c r="B98" s="1631">
        <v>42240</v>
      </c>
      <c r="C98" s="1632" t="s">
        <v>1164</v>
      </c>
      <c r="D98" s="1633" t="s">
        <v>1172</v>
      </c>
      <c r="E98" s="1633" t="s">
        <v>1324</v>
      </c>
      <c r="F98" s="1633"/>
      <c r="G98" s="1634" t="s">
        <v>642</v>
      </c>
      <c r="H98" s="1635">
        <v>14000000</v>
      </c>
      <c r="I98" s="1635">
        <v>410000</v>
      </c>
      <c r="J98" s="1635"/>
      <c r="K98" s="1636">
        <f t="shared" si="3"/>
        <v>2.9285714285714286E-2</v>
      </c>
      <c r="M98" s="1637" t="s">
        <v>1325</v>
      </c>
    </row>
    <row r="99" spans="2:13" ht="14.85" customHeight="1">
      <c r="B99" s="1631">
        <v>42220</v>
      </c>
      <c r="C99" s="1632" t="s">
        <v>1164</v>
      </c>
      <c r="D99" s="1633" t="s">
        <v>1326</v>
      </c>
      <c r="E99" s="1633" t="s">
        <v>1303</v>
      </c>
      <c r="F99" s="1633"/>
      <c r="G99" s="1634" t="s">
        <v>642</v>
      </c>
      <c r="H99" s="1635">
        <v>12000</v>
      </c>
      <c r="I99" s="1635">
        <v>1500</v>
      </c>
      <c r="J99" s="1635"/>
      <c r="K99" s="1636">
        <f t="shared" si="3"/>
        <v>0.125</v>
      </c>
    </row>
    <row r="100" spans="2:13" ht="14.85" customHeight="1">
      <c r="B100" s="1631">
        <v>42086</v>
      </c>
      <c r="C100" s="1632" t="s">
        <v>1164</v>
      </c>
      <c r="D100" s="1633" t="s">
        <v>1327</v>
      </c>
      <c r="E100" s="1633" t="s">
        <v>1328</v>
      </c>
      <c r="F100" s="1633"/>
      <c r="G100" s="1634" t="s">
        <v>642</v>
      </c>
      <c r="H100" s="1635">
        <v>2907</v>
      </c>
      <c r="I100" s="1635">
        <v>1310</v>
      </c>
      <c r="J100" s="1635"/>
      <c r="K100" s="1636">
        <f t="shared" si="3"/>
        <v>0.45063639490884072</v>
      </c>
    </row>
    <row r="101" spans="2:13" ht="14.85" customHeight="1">
      <c r="B101" s="1631">
        <v>42080</v>
      </c>
      <c r="C101" s="1632" t="s">
        <v>1164</v>
      </c>
      <c r="D101" s="1633" t="s">
        <v>1318</v>
      </c>
      <c r="E101" s="1633" t="s">
        <v>1329</v>
      </c>
      <c r="F101" s="1633"/>
      <c r="G101" s="1634" t="s">
        <v>642</v>
      </c>
      <c r="H101" s="1635">
        <v>5000</v>
      </c>
      <c r="I101" s="1635">
        <v>0</v>
      </c>
      <c r="J101" s="1635"/>
      <c r="K101" s="1636">
        <f t="shared" si="3"/>
        <v>0</v>
      </c>
    </row>
    <row r="102" spans="2:13" ht="14.85" customHeight="1">
      <c r="B102" s="1631">
        <v>41974</v>
      </c>
      <c r="C102" s="1632" t="s">
        <v>1164</v>
      </c>
      <c r="D102" s="1633" t="s">
        <v>1330</v>
      </c>
      <c r="E102" s="1633" t="s">
        <v>1331</v>
      </c>
      <c r="F102" s="1633"/>
      <c r="G102" s="1634" t="s">
        <v>642</v>
      </c>
      <c r="H102" s="1635">
        <v>1000</v>
      </c>
      <c r="I102" s="1635">
        <v>1000</v>
      </c>
      <c r="J102" s="1635"/>
      <c r="K102" s="1636">
        <f t="shared" si="3"/>
        <v>1</v>
      </c>
    </row>
    <row r="103" spans="2:13" ht="14.85" customHeight="1">
      <c r="B103" s="1631">
        <v>41912</v>
      </c>
      <c r="C103" s="1632" t="s">
        <v>1164</v>
      </c>
      <c r="D103" s="1633" t="s">
        <v>1332</v>
      </c>
      <c r="E103" s="1633" t="s">
        <v>1333</v>
      </c>
      <c r="F103" s="1633"/>
      <c r="G103" s="1634" t="s">
        <v>642</v>
      </c>
      <c r="H103" s="1635">
        <v>25</v>
      </c>
      <c r="I103" s="1635">
        <v>0</v>
      </c>
      <c r="J103" s="1635"/>
      <c r="K103" s="1636">
        <f t="shared" si="3"/>
        <v>0</v>
      </c>
    </row>
    <row r="104" spans="2:13" ht="14.85" customHeight="1">
      <c r="B104" s="1631">
        <v>41906</v>
      </c>
      <c r="C104" s="1632" t="s">
        <v>1164</v>
      </c>
      <c r="D104" s="1633" t="s">
        <v>1334</v>
      </c>
      <c r="E104" s="1633" t="s">
        <v>1335</v>
      </c>
      <c r="F104" s="1633"/>
      <c r="G104" s="1634" t="s">
        <v>642</v>
      </c>
      <c r="H104" s="1635">
        <v>970000</v>
      </c>
      <c r="I104" s="1635">
        <v>100000</v>
      </c>
      <c r="J104" s="1635"/>
      <c r="K104" s="1636">
        <f t="shared" si="3"/>
        <v>0.10309278350515463</v>
      </c>
    </row>
    <row r="105" spans="2:13" ht="14.85" customHeight="1">
      <c r="B105" s="1631">
        <v>41904</v>
      </c>
      <c r="C105" s="1632" t="s">
        <v>1164</v>
      </c>
      <c r="D105" s="1633" t="s">
        <v>1335</v>
      </c>
      <c r="E105" s="1633" t="s">
        <v>1336</v>
      </c>
      <c r="F105" s="1633"/>
      <c r="G105" s="1634" t="s">
        <v>642</v>
      </c>
      <c r="H105" s="1635">
        <v>318000</v>
      </c>
      <c r="I105" s="1635">
        <v>7000</v>
      </c>
      <c r="J105" s="1635"/>
      <c r="K105" s="1636">
        <f t="shared" si="3"/>
        <v>2.20125786163522E-2</v>
      </c>
    </row>
    <row r="106" spans="2:13" ht="14.85" customHeight="1">
      <c r="B106" s="1631">
        <v>41884</v>
      </c>
      <c r="C106" s="1632" t="s">
        <v>1164</v>
      </c>
      <c r="D106" s="1633" t="s">
        <v>1191</v>
      </c>
      <c r="E106" s="1633" t="s">
        <v>1337</v>
      </c>
      <c r="F106" s="1633"/>
      <c r="G106" s="1634" t="s">
        <v>642</v>
      </c>
      <c r="H106" s="1635">
        <v>805000</v>
      </c>
      <c r="I106" s="1635">
        <v>275000</v>
      </c>
      <c r="J106" s="1635"/>
      <c r="K106" s="1636">
        <f t="shared" si="3"/>
        <v>0.34161490683229812</v>
      </c>
    </row>
    <row r="107" spans="2:13" ht="14.85" customHeight="1">
      <c r="B107" s="1631">
        <v>41857</v>
      </c>
      <c r="C107" s="1632" t="s">
        <v>1164</v>
      </c>
      <c r="D107" s="1633" t="s">
        <v>1338</v>
      </c>
      <c r="E107" s="1633" t="s">
        <v>1339</v>
      </c>
      <c r="F107" s="1633"/>
      <c r="G107" s="1634" t="s">
        <v>642</v>
      </c>
      <c r="H107" s="1635">
        <v>650000</v>
      </c>
      <c r="I107" s="1635">
        <v>200000</v>
      </c>
      <c r="J107" s="1635"/>
      <c r="K107" s="1636">
        <f t="shared" si="3"/>
        <v>0.30769230769230771</v>
      </c>
    </row>
    <row r="108" spans="2:13" ht="14.85" customHeight="1">
      <c r="B108" s="1631">
        <v>41842</v>
      </c>
      <c r="C108" s="1632" t="s">
        <v>1164</v>
      </c>
      <c r="D108" s="1633" t="s">
        <v>1340</v>
      </c>
      <c r="E108" s="1633" t="s">
        <v>1341</v>
      </c>
      <c r="F108" s="1633"/>
      <c r="G108" s="1634" t="s">
        <v>642</v>
      </c>
      <c r="H108" s="1635">
        <v>5500</v>
      </c>
      <c r="I108" s="1635">
        <v>5000</v>
      </c>
      <c r="J108" s="1635"/>
      <c r="K108" s="1636">
        <f t="shared" si="3"/>
        <v>0.90909090909090906</v>
      </c>
    </row>
    <row r="109" spans="2:13" ht="14.85" customHeight="1">
      <c r="B109" s="1631">
        <v>41635</v>
      </c>
      <c r="C109" s="1632" t="s">
        <v>1164</v>
      </c>
      <c r="D109" s="1633" t="s">
        <v>1342</v>
      </c>
      <c r="E109" s="1633" t="s">
        <v>1322</v>
      </c>
      <c r="F109" s="1633"/>
      <c r="G109" s="1634" t="s">
        <v>642</v>
      </c>
      <c r="H109" s="1635">
        <v>108000</v>
      </c>
      <c r="I109" s="1635">
        <v>0</v>
      </c>
      <c r="J109" s="1635"/>
      <c r="K109" s="1636">
        <f t="shared" si="3"/>
        <v>0</v>
      </c>
    </row>
    <row r="110" spans="2:13" ht="14.85" customHeight="1">
      <c r="B110" s="1631">
        <v>41593</v>
      </c>
      <c r="C110" s="1632" t="s">
        <v>1164</v>
      </c>
      <c r="D110" s="1633" t="s">
        <v>1343</v>
      </c>
      <c r="E110" s="1633" t="s">
        <v>1344</v>
      </c>
      <c r="F110" s="1633"/>
      <c r="G110" s="1634" t="s">
        <v>642</v>
      </c>
      <c r="H110" s="1635">
        <v>172000</v>
      </c>
      <c r="I110" s="1635">
        <v>60000</v>
      </c>
      <c r="J110" s="1635"/>
      <c r="K110" s="1636">
        <f t="shared" si="3"/>
        <v>0.34883720930232559</v>
      </c>
    </row>
    <row r="111" spans="2:13" ht="14.85" customHeight="1">
      <c r="B111" s="1631">
        <v>41423</v>
      </c>
      <c r="C111" s="1632" t="s">
        <v>1164</v>
      </c>
      <c r="D111" s="1633" t="s">
        <v>1345</v>
      </c>
      <c r="E111" s="1633" t="s">
        <v>1346</v>
      </c>
      <c r="F111" s="1633"/>
      <c r="G111" s="1634" t="s">
        <v>642</v>
      </c>
      <c r="H111" s="1635">
        <v>130000</v>
      </c>
      <c r="I111" s="1635">
        <v>7000</v>
      </c>
      <c r="J111" s="1635"/>
      <c r="K111" s="1636">
        <f t="shared" si="3"/>
        <v>5.3846153846153849E-2</v>
      </c>
    </row>
    <row r="112" spans="2:13" ht="14.85" customHeight="1">
      <c r="B112" s="1631"/>
      <c r="C112" s="1632"/>
      <c r="D112" s="1633"/>
      <c r="E112" s="1633"/>
      <c r="F112" s="1633"/>
      <c r="G112" s="1634"/>
      <c r="H112" s="1635"/>
      <c r="I112" s="1635"/>
      <c r="J112" s="1635"/>
      <c r="K112" s="1636"/>
    </row>
    <row r="113" spans="2:13" ht="14.85" customHeight="1">
      <c r="B113" s="1641" t="s">
        <v>1347</v>
      </c>
      <c r="C113" s="1632"/>
      <c r="D113" s="1633"/>
      <c r="E113" s="1633"/>
      <c r="F113" s="1633"/>
      <c r="G113" s="1634"/>
      <c r="H113" s="1635"/>
      <c r="I113" s="1635"/>
      <c r="J113" s="1635"/>
      <c r="K113" s="1636"/>
    </row>
    <row r="114" spans="2:13" ht="14.85" customHeight="1">
      <c r="B114" s="1631">
        <v>42523</v>
      </c>
      <c r="C114" s="1632" t="s">
        <v>1164</v>
      </c>
      <c r="D114" s="1633" t="s">
        <v>1265</v>
      </c>
      <c r="E114" s="1633" t="s">
        <v>1348</v>
      </c>
      <c r="F114" s="1633"/>
      <c r="G114" s="1634" t="s">
        <v>1349</v>
      </c>
      <c r="H114" s="1635">
        <f>140000+135000</f>
        <v>275000</v>
      </c>
      <c r="I114" s="1635">
        <v>140000</v>
      </c>
      <c r="J114" s="1635"/>
      <c r="K114" s="1636">
        <f t="shared" ref="K114:K121" si="4">IFERROR(I114/H114,"n/a")</f>
        <v>0.50909090909090904</v>
      </c>
      <c r="M114" s="1619" t="s">
        <v>1350</v>
      </c>
    </row>
    <row r="115" spans="2:13" ht="14.85" customHeight="1">
      <c r="B115" s="1631">
        <v>42430</v>
      </c>
      <c r="C115" s="1632" t="s">
        <v>1164</v>
      </c>
      <c r="D115" s="1633" t="s">
        <v>1351</v>
      </c>
      <c r="E115" s="1633" t="s">
        <v>1212</v>
      </c>
      <c r="F115" s="1633"/>
      <c r="G115" s="1634" t="s">
        <v>1349</v>
      </c>
      <c r="H115" s="1635">
        <v>70000</v>
      </c>
      <c r="I115" s="1635">
        <v>70000</v>
      </c>
      <c r="J115" s="1635"/>
      <c r="K115" s="1636">
        <f t="shared" si="4"/>
        <v>1</v>
      </c>
    </row>
    <row r="116" spans="2:13" ht="14.85" customHeight="1">
      <c r="B116" s="1631">
        <v>42381</v>
      </c>
      <c r="C116" s="1632" t="s">
        <v>1164</v>
      </c>
      <c r="D116" s="1633" t="s">
        <v>1352</v>
      </c>
      <c r="E116" s="1633" t="s">
        <v>1185</v>
      </c>
      <c r="F116" s="1633"/>
      <c r="G116" s="1634" t="s">
        <v>1349</v>
      </c>
      <c r="H116" s="1635">
        <v>12000</v>
      </c>
      <c r="I116" s="1635">
        <v>0</v>
      </c>
      <c r="J116" s="1635"/>
      <c r="K116" s="1636">
        <f t="shared" si="4"/>
        <v>0</v>
      </c>
    </row>
    <row r="117" spans="2:13" ht="14.85" customHeight="1">
      <c r="B117" s="1631">
        <v>42167</v>
      </c>
      <c r="C117" s="1632" t="s">
        <v>1164</v>
      </c>
      <c r="D117" s="1633" t="s">
        <v>1312</v>
      </c>
      <c r="E117" s="1633" t="s">
        <v>1353</v>
      </c>
      <c r="F117" s="1633"/>
      <c r="G117" s="1634" t="s">
        <v>1349</v>
      </c>
      <c r="H117" s="1635">
        <v>130000</v>
      </c>
      <c r="I117" s="1635">
        <v>130000</v>
      </c>
      <c r="J117" s="1635"/>
      <c r="K117" s="1636">
        <f t="shared" si="4"/>
        <v>1</v>
      </c>
    </row>
    <row r="118" spans="2:13" ht="14.85" customHeight="1">
      <c r="B118" s="1631">
        <v>42135</v>
      </c>
      <c r="C118" s="1632" t="s">
        <v>1164</v>
      </c>
      <c r="D118" s="1633" t="s">
        <v>1354</v>
      </c>
      <c r="E118" s="1633" t="s">
        <v>1355</v>
      </c>
      <c r="F118" s="1633"/>
      <c r="G118" s="1634" t="s">
        <v>1349</v>
      </c>
      <c r="H118" s="1635">
        <v>1500</v>
      </c>
      <c r="I118" s="1635">
        <v>1500</v>
      </c>
      <c r="J118" s="1635"/>
      <c r="K118" s="1636">
        <f t="shared" si="4"/>
        <v>1</v>
      </c>
      <c r="M118" s="1619" t="s">
        <v>1356</v>
      </c>
    </row>
    <row r="119" spans="2:13" ht="14.85" customHeight="1">
      <c r="B119" s="1631">
        <v>42052</v>
      </c>
      <c r="C119" s="1632" t="s">
        <v>1164</v>
      </c>
      <c r="D119" s="1633" t="s">
        <v>1357</v>
      </c>
      <c r="E119" s="1633" t="s">
        <v>1358</v>
      </c>
      <c r="F119" s="1633"/>
      <c r="G119" s="1634" t="s">
        <v>1359</v>
      </c>
      <c r="H119" s="1635">
        <v>120000</v>
      </c>
      <c r="I119" s="1635">
        <v>30000</v>
      </c>
      <c r="J119" s="1635"/>
      <c r="K119" s="1636">
        <f t="shared" si="4"/>
        <v>0.25</v>
      </c>
      <c r="M119" s="1619" t="s">
        <v>1360</v>
      </c>
    </row>
    <row r="120" spans="2:13" ht="14.85" customHeight="1">
      <c r="B120" s="1631">
        <v>41929</v>
      </c>
      <c r="C120" s="1632" t="s">
        <v>1164</v>
      </c>
      <c r="D120" s="1633" t="s">
        <v>1361</v>
      </c>
      <c r="E120" s="1633" t="s">
        <v>1355</v>
      </c>
      <c r="F120" s="1633"/>
      <c r="G120" s="1634" t="s">
        <v>1349</v>
      </c>
      <c r="H120" s="1635">
        <v>55000</v>
      </c>
      <c r="I120" s="1635">
        <v>14000</v>
      </c>
      <c r="J120" s="1635"/>
      <c r="K120" s="1636">
        <f t="shared" si="4"/>
        <v>0.25454545454545452</v>
      </c>
    </row>
    <row r="121" spans="2:13" ht="14.85" customHeight="1">
      <c r="B121" s="1631">
        <v>41898</v>
      </c>
      <c r="C121" s="1632" t="s">
        <v>1164</v>
      </c>
      <c r="D121" s="1633" t="s">
        <v>1312</v>
      </c>
      <c r="E121" s="1633" t="s">
        <v>1344</v>
      </c>
      <c r="F121" s="1633"/>
      <c r="G121" s="1634" t="s">
        <v>1349</v>
      </c>
      <c r="H121" s="1635">
        <v>133500.40000000002</v>
      </c>
      <c r="I121" s="1635">
        <v>18100</v>
      </c>
      <c r="J121" s="1635"/>
      <c r="K121" s="1636">
        <f t="shared" si="4"/>
        <v>0.13558011811200563</v>
      </c>
    </row>
    <row r="122" spans="2:13" ht="14.85" customHeight="1">
      <c r="B122" s="1631"/>
      <c r="C122" s="1632"/>
      <c r="D122" s="1633"/>
      <c r="E122" s="1633"/>
      <c r="F122" s="1633"/>
      <c r="G122" s="1634"/>
      <c r="H122" s="1635"/>
      <c r="I122" s="1635"/>
      <c r="J122" s="1635"/>
      <c r="K122" s="1636"/>
    </row>
    <row r="123" spans="2:13" ht="14.85" customHeight="1">
      <c r="B123" s="1641" t="s">
        <v>1362</v>
      </c>
      <c r="C123" s="1632"/>
      <c r="D123" s="1633"/>
      <c r="E123" s="1633"/>
      <c r="F123" s="1633"/>
      <c r="G123" s="1634"/>
      <c r="H123" s="1635"/>
      <c r="I123" s="1635"/>
      <c r="J123" s="1635"/>
      <c r="K123" s="1636"/>
    </row>
    <row r="124" spans="2:13" ht="14.85" customHeight="1">
      <c r="B124" s="1631">
        <v>42517</v>
      </c>
      <c r="C124" s="1632" t="s">
        <v>1164</v>
      </c>
      <c r="D124" s="1633" t="s">
        <v>1243</v>
      </c>
      <c r="E124" s="1633" t="s">
        <v>1363</v>
      </c>
      <c r="F124" s="1633"/>
      <c r="G124" s="1634" t="s">
        <v>13</v>
      </c>
      <c r="H124" s="1635">
        <v>178000</v>
      </c>
      <c r="I124" s="1635">
        <v>1000</v>
      </c>
      <c r="J124" s="1635"/>
      <c r="K124" s="1636">
        <f t="shared" ref="K124:K137" si="5">IFERROR(I124/H124,"n/a")</f>
        <v>5.6179775280898875E-3</v>
      </c>
    </row>
    <row r="125" spans="2:13" ht="14.85" customHeight="1">
      <c r="B125" s="1631">
        <v>42450</v>
      </c>
      <c r="C125" s="1632" t="s">
        <v>1164</v>
      </c>
      <c r="D125" s="1633" t="s">
        <v>1196</v>
      </c>
      <c r="E125" s="1633" t="s">
        <v>1364</v>
      </c>
      <c r="F125" s="1633"/>
      <c r="G125" s="1634" t="s">
        <v>13</v>
      </c>
      <c r="H125" s="1635">
        <v>20000</v>
      </c>
      <c r="I125" s="1635">
        <v>20000</v>
      </c>
      <c r="J125" s="1635"/>
      <c r="K125" s="1636">
        <f t="shared" si="5"/>
        <v>1</v>
      </c>
    </row>
    <row r="126" spans="2:13" ht="14.85" customHeight="1">
      <c r="B126" s="1631">
        <v>42444</v>
      </c>
      <c r="C126" s="1632" t="s">
        <v>1164</v>
      </c>
      <c r="D126" s="1633" t="s">
        <v>1365</v>
      </c>
      <c r="E126" s="1633" t="s">
        <v>1366</v>
      </c>
      <c r="F126" s="1633"/>
      <c r="G126" s="1634" t="s">
        <v>13</v>
      </c>
      <c r="H126" s="1635">
        <v>1010000</v>
      </c>
      <c r="I126" s="1635">
        <v>45000</v>
      </c>
      <c r="J126" s="1635"/>
      <c r="K126" s="1636">
        <f t="shared" si="5"/>
        <v>4.4554455445544552E-2</v>
      </c>
    </row>
    <row r="127" spans="2:13" ht="14.85" customHeight="1">
      <c r="B127" s="1631">
        <v>42278</v>
      </c>
      <c r="C127" s="1632" t="s">
        <v>1164</v>
      </c>
      <c r="D127" s="1633" t="s">
        <v>1273</v>
      </c>
      <c r="E127" s="1633" t="s">
        <v>1367</v>
      </c>
      <c r="F127" s="1633"/>
      <c r="G127" s="1634" t="s">
        <v>13</v>
      </c>
      <c r="H127" s="1635">
        <v>300000</v>
      </c>
      <c r="I127" s="1635">
        <v>0</v>
      </c>
      <c r="J127" s="1635"/>
      <c r="K127" s="1636">
        <f t="shared" si="5"/>
        <v>0</v>
      </c>
    </row>
    <row r="128" spans="2:13" ht="14.85" customHeight="1">
      <c r="B128" s="1631">
        <v>42251</v>
      </c>
      <c r="C128" s="1632" t="s">
        <v>1164</v>
      </c>
      <c r="D128" s="1633" t="s">
        <v>1368</v>
      </c>
      <c r="E128" s="1633" t="s">
        <v>1369</v>
      </c>
      <c r="F128" s="1633"/>
      <c r="G128" s="1634" t="s">
        <v>13</v>
      </c>
      <c r="H128" s="1635">
        <v>102700</v>
      </c>
      <c r="I128" s="1635">
        <v>0</v>
      </c>
      <c r="J128" s="1635"/>
      <c r="K128" s="1636">
        <f t="shared" si="5"/>
        <v>0</v>
      </c>
    </row>
    <row r="129" spans="1:32" ht="14.85" customHeight="1">
      <c r="B129" s="1631">
        <v>42170</v>
      </c>
      <c r="C129" s="1632" t="s">
        <v>1164</v>
      </c>
      <c r="D129" s="1633" t="s">
        <v>1273</v>
      </c>
      <c r="E129" s="1633" t="s">
        <v>1370</v>
      </c>
      <c r="F129" s="1633"/>
      <c r="G129" s="1634" t="s">
        <v>13</v>
      </c>
      <c r="H129" s="1635">
        <v>363928.5</v>
      </c>
      <c r="I129" s="1635">
        <v>14000</v>
      </c>
      <c r="J129" s="1635"/>
      <c r="K129" s="1636">
        <f t="shared" si="5"/>
        <v>3.8469094890892029E-2</v>
      </c>
    </row>
    <row r="130" spans="1:32" ht="14.85" customHeight="1">
      <c r="B130" s="1631">
        <v>42082</v>
      </c>
      <c r="C130" s="1632" t="s">
        <v>1164</v>
      </c>
      <c r="D130" s="1633" t="s">
        <v>1371</v>
      </c>
      <c r="E130" s="1633" t="s">
        <v>1372</v>
      </c>
      <c r="F130" s="1633"/>
      <c r="G130" s="1634" t="s">
        <v>13</v>
      </c>
      <c r="H130" s="1635">
        <v>1000</v>
      </c>
      <c r="I130" s="1635">
        <v>1000</v>
      </c>
      <c r="J130" s="1635"/>
      <c r="K130" s="1636">
        <f t="shared" si="5"/>
        <v>1</v>
      </c>
    </row>
    <row r="131" spans="1:32" ht="14.85" customHeight="1">
      <c r="B131" s="1631">
        <v>41918</v>
      </c>
      <c r="C131" s="1632" t="s">
        <v>1164</v>
      </c>
      <c r="D131" s="1633" t="s">
        <v>1373</v>
      </c>
      <c r="E131" s="1633" t="s">
        <v>1374</v>
      </c>
      <c r="F131" s="1633"/>
      <c r="G131" s="1634" t="s">
        <v>13</v>
      </c>
      <c r="H131" s="1635">
        <v>325.29999999999995</v>
      </c>
      <c r="I131" s="1635">
        <v>0</v>
      </c>
      <c r="J131" s="1635"/>
      <c r="K131" s="1636">
        <f t="shared" si="5"/>
        <v>0</v>
      </c>
    </row>
    <row r="132" spans="1:32" ht="14.85" customHeight="1">
      <c r="B132" s="1631">
        <v>41660</v>
      </c>
      <c r="C132" s="1632" t="s">
        <v>1164</v>
      </c>
      <c r="D132" s="1633" t="s">
        <v>918</v>
      </c>
      <c r="E132" s="1633" t="s">
        <v>1375</v>
      </c>
      <c r="F132" s="1633"/>
      <c r="G132" s="1634" t="s">
        <v>13</v>
      </c>
      <c r="H132" s="1635">
        <v>162000</v>
      </c>
      <c r="I132" s="1635">
        <v>2000</v>
      </c>
      <c r="J132" s="1635"/>
      <c r="K132" s="1636">
        <f t="shared" si="5"/>
        <v>1.2345679012345678E-2</v>
      </c>
    </row>
    <row r="133" spans="1:32" ht="14.85" customHeight="1">
      <c r="B133" s="1631">
        <v>41626</v>
      </c>
      <c r="C133" s="1632" t="s">
        <v>1164</v>
      </c>
      <c r="D133" s="1633" t="s">
        <v>1376</v>
      </c>
      <c r="E133" s="1633" t="s">
        <v>1377</v>
      </c>
      <c r="F133" s="1633"/>
      <c r="G133" s="1634" t="s">
        <v>13</v>
      </c>
      <c r="H133" s="1635">
        <v>26150</v>
      </c>
      <c r="I133" s="1635">
        <v>0</v>
      </c>
      <c r="J133" s="1635"/>
      <c r="K133" s="1636">
        <f t="shared" si="5"/>
        <v>0</v>
      </c>
    </row>
    <row r="134" spans="1:32" ht="14.85" customHeight="1">
      <c r="B134" s="1631">
        <v>41485</v>
      </c>
      <c r="C134" s="1632" t="s">
        <v>1164</v>
      </c>
      <c r="D134" s="1633" t="s">
        <v>1312</v>
      </c>
      <c r="E134" s="1633" t="s">
        <v>1242</v>
      </c>
      <c r="F134" s="1633"/>
      <c r="G134" s="1634" t="s">
        <v>13</v>
      </c>
      <c r="H134" s="1635">
        <v>143350</v>
      </c>
      <c r="I134" s="1635">
        <v>10620</v>
      </c>
      <c r="J134" s="1635"/>
      <c r="K134" s="1636">
        <f t="shared" si="5"/>
        <v>7.4084408789675621E-2</v>
      </c>
    </row>
    <row r="135" spans="1:32" ht="14.85" customHeight="1">
      <c r="B135" s="1631">
        <v>41458</v>
      </c>
      <c r="C135" s="1632" t="s">
        <v>1164</v>
      </c>
      <c r="D135" s="1633" t="s">
        <v>1378</v>
      </c>
      <c r="E135" s="1633" t="s">
        <v>1269</v>
      </c>
      <c r="F135" s="1633"/>
      <c r="G135" s="1634" t="s">
        <v>13</v>
      </c>
      <c r="H135" s="1635">
        <v>434000</v>
      </c>
      <c r="I135" s="1635">
        <v>0</v>
      </c>
      <c r="J135" s="1635"/>
      <c r="K135" s="1636">
        <f t="shared" si="5"/>
        <v>0</v>
      </c>
    </row>
    <row r="136" spans="1:32" ht="14.85" customHeight="1">
      <c r="B136" s="1631">
        <v>41431</v>
      </c>
      <c r="C136" s="1632" t="s">
        <v>1164</v>
      </c>
      <c r="D136" s="1633" t="s">
        <v>1379</v>
      </c>
      <c r="E136" s="1633" t="s">
        <v>1380</v>
      </c>
      <c r="F136" s="1633"/>
      <c r="G136" s="1634" t="s">
        <v>13</v>
      </c>
      <c r="H136" s="1635">
        <v>18000</v>
      </c>
      <c r="I136" s="1635">
        <v>0</v>
      </c>
      <c r="J136" s="1635"/>
      <c r="K136" s="1636">
        <f t="shared" si="5"/>
        <v>0</v>
      </c>
    </row>
    <row r="137" spans="1:32" ht="14.85" customHeight="1">
      <c r="B137" s="1631">
        <v>41260</v>
      </c>
      <c r="C137" s="1632" t="s">
        <v>1164</v>
      </c>
      <c r="D137" s="1633" t="s">
        <v>1381</v>
      </c>
      <c r="E137" s="1633" t="s">
        <v>1382</v>
      </c>
      <c r="F137" s="1633"/>
      <c r="G137" s="1634" t="s">
        <v>13</v>
      </c>
      <c r="H137" s="1635">
        <v>3300</v>
      </c>
      <c r="I137" s="1635">
        <v>3300</v>
      </c>
      <c r="J137" s="1635"/>
      <c r="K137" s="1636">
        <f t="shared" si="5"/>
        <v>1</v>
      </c>
    </row>
    <row r="138" spans="1:32" ht="14.85" customHeight="1">
      <c r="C138" s="1642"/>
    </row>
    <row r="139" spans="1:32" s="1648" customFormat="1" ht="14.85" customHeight="1">
      <c r="A139" s="1619"/>
      <c r="B139" s="1181" t="s">
        <v>111</v>
      </c>
      <c r="C139" s="1584"/>
      <c r="D139" s="1584"/>
      <c r="E139" s="1584"/>
      <c r="F139" s="1643"/>
      <c r="G139" s="1584"/>
      <c r="H139" s="1644">
        <f>MAX(H9:H137)</f>
        <v>14000000</v>
      </c>
      <c r="I139" s="1644">
        <f>MAX(I9:I137)</f>
        <v>640000</v>
      </c>
      <c r="J139" s="1645"/>
      <c r="K139" s="1327">
        <f>MAX(K9:K137)</f>
        <v>1</v>
      </c>
      <c r="L139" s="512"/>
      <c r="M139" s="1259"/>
      <c r="N139" s="1259"/>
      <c r="O139" s="1259"/>
      <c r="P139" s="512"/>
      <c r="Q139" s="1646"/>
      <c r="R139" s="1646"/>
      <c r="S139" s="1646"/>
      <c r="T139" s="1646"/>
      <c r="U139" s="1646"/>
      <c r="V139" s="512"/>
      <c r="W139" s="1259"/>
      <c r="X139" s="1259"/>
      <c r="Y139" s="1259"/>
      <c r="Z139" s="512"/>
      <c r="AA139" s="1646"/>
      <c r="AB139" s="1646"/>
      <c r="AC139" s="1646"/>
      <c r="AD139" s="512"/>
      <c r="AE139" s="1647"/>
      <c r="AF139" s="1647"/>
    </row>
    <row r="140" spans="1:32" s="1648" customFormat="1" ht="14.85" customHeight="1">
      <c r="A140" s="1619"/>
      <c r="B140" s="1187" t="s">
        <v>115</v>
      </c>
      <c r="C140" s="831"/>
      <c r="D140" s="831"/>
      <c r="E140" s="831"/>
      <c r="F140" s="831"/>
      <c r="G140" s="831"/>
      <c r="H140" s="1649">
        <f>QUARTILE(H9:H137,3)</f>
        <v>335500</v>
      </c>
      <c r="I140" s="1649">
        <f>QUARTILE(I9:I137,3)</f>
        <v>22500</v>
      </c>
      <c r="J140" s="1649"/>
      <c r="K140" s="1329">
        <f>QUARTILE(K9:K137,3)</f>
        <v>0.26969696969696966</v>
      </c>
      <c r="L140" s="512"/>
      <c r="M140" s="1259"/>
      <c r="N140" s="1259"/>
      <c r="O140" s="1259"/>
      <c r="P140" s="512"/>
      <c r="Q140" s="1646"/>
      <c r="R140" s="1646"/>
      <c r="S140" s="1646"/>
      <c r="T140" s="1646"/>
      <c r="U140" s="1646"/>
      <c r="V140" s="512"/>
      <c r="W140" s="1259"/>
      <c r="X140" s="1259"/>
      <c r="Y140" s="1259"/>
      <c r="Z140" s="512"/>
      <c r="AA140" s="1646"/>
      <c r="AB140" s="1646"/>
      <c r="AC140" s="1646"/>
      <c r="AD140" s="512"/>
      <c r="AE140" s="1647"/>
      <c r="AF140" s="1647"/>
    </row>
    <row r="141" spans="1:32" s="1648" customFormat="1" ht="14.85" customHeight="1">
      <c r="A141" s="1619"/>
      <c r="B141" s="1187" t="s">
        <v>43</v>
      </c>
      <c r="C141" s="831"/>
      <c r="D141" s="831"/>
      <c r="E141" s="1387"/>
      <c r="F141" s="1387"/>
      <c r="G141" s="831"/>
      <c r="H141" s="1649">
        <f>AVERAGE(H9:H137)</f>
        <v>377886.70336134452</v>
      </c>
      <c r="I141" s="1649">
        <f>AVERAGE(I9:I137)</f>
        <v>31768</v>
      </c>
      <c r="J141" s="1649"/>
      <c r="K141" s="1329">
        <f>AVERAGE(K9:K137)</f>
        <v>0.237657090084615</v>
      </c>
      <c r="L141" s="512"/>
      <c r="M141" s="1259"/>
      <c r="N141" s="1259"/>
      <c r="O141" s="1259"/>
      <c r="P141" s="512"/>
      <c r="Q141" s="1646"/>
      <c r="R141" s="1646"/>
      <c r="S141" s="1646"/>
      <c r="T141" s="1646"/>
      <c r="U141" s="1646"/>
      <c r="V141" s="512"/>
      <c r="W141" s="1259"/>
      <c r="X141" s="1259"/>
      <c r="Y141" s="1259"/>
      <c r="Z141" s="512"/>
      <c r="AA141" s="1646"/>
      <c r="AB141" s="1646"/>
      <c r="AC141" s="1646"/>
      <c r="AD141" s="512"/>
      <c r="AE141" s="1647"/>
      <c r="AF141" s="1647"/>
    </row>
    <row r="142" spans="1:32" s="1648" customFormat="1" ht="14.85" customHeight="1">
      <c r="A142" s="1619"/>
      <c r="B142" s="1187" t="s">
        <v>44</v>
      </c>
      <c r="C142" s="831"/>
      <c r="D142" s="831"/>
      <c r="E142" s="1387"/>
      <c r="F142" s="1387"/>
      <c r="G142" s="831"/>
      <c r="H142" s="1649">
        <f>MEDIAN(H9:H137)</f>
        <v>120000</v>
      </c>
      <c r="I142" s="1649">
        <f>MEDIAN(I9:I137)</f>
        <v>3300</v>
      </c>
      <c r="J142" s="1649"/>
      <c r="K142" s="1329">
        <f>MEDIAN(K9:K137)</f>
        <v>4.4554455445544552E-2</v>
      </c>
      <c r="L142" s="512"/>
      <c r="M142" s="1259"/>
      <c r="N142" s="1259"/>
      <c r="O142" s="1259"/>
      <c r="P142" s="512"/>
      <c r="Q142" s="1646"/>
      <c r="R142" s="1646"/>
      <c r="S142" s="1646"/>
      <c r="T142" s="1646"/>
      <c r="U142" s="1646"/>
      <c r="V142" s="512"/>
      <c r="W142" s="1259"/>
      <c r="X142" s="1259"/>
      <c r="Y142" s="1259"/>
      <c r="Z142" s="512"/>
      <c r="AA142" s="1646"/>
      <c r="AB142" s="1646"/>
      <c r="AC142" s="1646"/>
      <c r="AD142" s="512"/>
      <c r="AE142" s="1647"/>
      <c r="AF142" s="1647"/>
    </row>
    <row r="143" spans="1:32" s="1648" customFormat="1" ht="14.85" customHeight="1">
      <c r="A143" s="1619"/>
      <c r="B143" s="1187" t="s">
        <v>114</v>
      </c>
      <c r="C143" s="831"/>
      <c r="D143" s="831"/>
      <c r="E143" s="1387"/>
      <c r="F143" s="1387"/>
      <c r="G143" s="831"/>
      <c r="H143" s="1649">
        <f>QUARTILE(H9:H137,1)</f>
        <v>19000</v>
      </c>
      <c r="I143" s="1649">
        <f>QUARTILE(I9:I137,1)</f>
        <v>0</v>
      </c>
      <c r="J143" s="1649"/>
      <c r="K143" s="1329">
        <f>QUARTILE(K9:K137,1)</f>
        <v>0</v>
      </c>
      <c r="L143" s="512"/>
      <c r="M143" s="1259"/>
      <c r="N143" s="1259"/>
      <c r="O143" s="1259"/>
      <c r="P143" s="512"/>
      <c r="Q143" s="1646"/>
      <c r="R143" s="1646"/>
      <c r="S143" s="1646"/>
      <c r="T143" s="1646"/>
      <c r="U143" s="1646"/>
      <c r="V143" s="512"/>
      <c r="W143" s="1259"/>
      <c r="X143" s="1259"/>
      <c r="Y143" s="1259"/>
      <c r="Z143" s="512"/>
      <c r="AA143" s="1646"/>
      <c r="AB143" s="1646"/>
      <c r="AC143" s="1646"/>
      <c r="AD143" s="512"/>
      <c r="AE143" s="1647"/>
      <c r="AF143" s="1647"/>
    </row>
    <row r="144" spans="1:32" s="1648" customFormat="1" ht="14.85" customHeight="1">
      <c r="A144" s="1619"/>
      <c r="B144" s="1192" t="s">
        <v>112</v>
      </c>
      <c r="C144" s="1388"/>
      <c r="D144" s="1388"/>
      <c r="E144" s="1650"/>
      <c r="F144" s="1650"/>
      <c r="G144" s="1388"/>
      <c r="H144" s="1651">
        <f>MIN(H9:H137)</f>
        <v>25</v>
      </c>
      <c r="I144" s="1651">
        <f>MIN(I9:I137)</f>
        <v>0</v>
      </c>
      <c r="J144" s="1651"/>
      <c r="K144" s="1331">
        <f>MIN(K9:K137)</f>
        <v>0</v>
      </c>
      <c r="L144" s="512"/>
      <c r="M144" s="1259"/>
      <c r="N144" s="1259"/>
      <c r="O144" s="1259"/>
      <c r="P144" s="512"/>
      <c r="Q144" s="1646"/>
      <c r="R144" s="1646"/>
      <c r="S144" s="1646"/>
      <c r="T144" s="1646"/>
      <c r="U144" s="1646"/>
      <c r="V144" s="512"/>
      <c r="W144" s="1259"/>
      <c r="X144" s="1259"/>
      <c r="Y144" s="1259"/>
      <c r="Z144" s="512"/>
      <c r="AA144" s="1646"/>
      <c r="AB144" s="1646"/>
      <c r="AC144" s="1646"/>
      <c r="AD144" s="512"/>
      <c r="AE144" s="1647"/>
      <c r="AF144" s="1647"/>
    </row>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C4:J4">
    <cfRule type="cellIs" dxfId="123" priority="4" stopIfTrue="1" operator="equal">
      <formula>"input"</formula>
    </cfRule>
  </conditionalFormatting>
  <conditionalFormatting sqref="B4">
    <cfRule type="cellIs" dxfId="122" priority="3" stopIfTrue="1" operator="equal">
      <formula>"input"</formula>
    </cfRule>
  </conditionalFormatting>
  <conditionalFormatting sqref="K4">
    <cfRule type="cellIs" dxfId="121" priority="1" stopIfTrue="1" operator="equal">
      <formula>"input"</formula>
    </cfRule>
  </conditionalFormatting>
  <conditionalFormatting sqref="K4">
    <cfRule type="cellIs" dxfId="120" priority="2" stopIfTrue="1" operator="equal">
      <formula>"input"</formula>
    </cfRule>
  </conditionalFormatting>
  <hyperlinks>
    <hyperlink ref="M49" r:id="rId1" xr:uid="{00000000-0004-0000-3000-000000000000}"/>
  </hyperlinks>
  <pageMargins left="0.5" right="0.5" top="0.5" bottom="0.5" header="0.5" footer="0.5"/>
  <pageSetup scale="90" orientation="landscape" r:id="rId2"/>
  <rowBreaks count="1" manualBreakCount="1">
    <brk id="121" max="10" man="1"/>
  </rowBreaks>
  <legacyDrawing r:id="rId3"/>
  <legacyDrawingHF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dimension ref="A1:IV4"/>
  <sheetViews>
    <sheetView workbookViewId="0"/>
  </sheetViews>
  <sheetFormatPr defaultRowHeight="12.75"/>
  <sheetData>
    <row r="1" spans="1:256">
      <c r="A1">
        <v>846</v>
      </c>
      <c r="B1" t="s">
        <v>2604</v>
      </c>
      <c r="C1" t="s">
        <v>2605</v>
      </c>
      <c r="D1" t="s">
        <v>2606</v>
      </c>
      <c r="E1" t="s">
        <v>2607</v>
      </c>
      <c r="F1" t="s">
        <v>2608</v>
      </c>
      <c r="G1" t="s">
        <v>2609</v>
      </c>
      <c r="H1" t="s">
        <v>2610</v>
      </c>
      <c r="I1" t="s">
        <v>2611</v>
      </c>
      <c r="J1" t="s">
        <v>2612</v>
      </c>
      <c r="K1" t="s">
        <v>2613</v>
      </c>
      <c r="L1" t="s">
        <v>2614</v>
      </c>
      <c r="M1" t="s">
        <v>2615</v>
      </c>
      <c r="N1" t="s">
        <v>2616</v>
      </c>
      <c r="O1" t="s">
        <v>2617</v>
      </c>
      <c r="P1" t="s">
        <v>2618</v>
      </c>
      <c r="Q1" t="s">
        <v>2619</v>
      </c>
      <c r="R1" t="s">
        <v>2620</v>
      </c>
      <c r="S1" t="s">
        <v>2621</v>
      </c>
      <c r="T1" t="s">
        <v>2622</v>
      </c>
      <c r="U1" t="s">
        <v>2623</v>
      </c>
      <c r="V1" t="s">
        <v>2624</v>
      </c>
      <c r="W1" t="s">
        <v>2625</v>
      </c>
      <c r="X1" t="s">
        <v>2626</v>
      </c>
      <c r="Y1" t="s">
        <v>2627</v>
      </c>
      <c r="Z1" t="s">
        <v>2628</v>
      </c>
      <c r="AA1" t="s">
        <v>2629</v>
      </c>
      <c r="AB1" t="s">
        <v>2630</v>
      </c>
      <c r="AC1" t="s">
        <v>2631</v>
      </c>
      <c r="AD1" t="s">
        <v>2632</v>
      </c>
      <c r="AE1" t="s">
        <v>2633</v>
      </c>
      <c r="AF1" t="s">
        <v>2634</v>
      </c>
      <c r="AG1" t="s">
        <v>2635</v>
      </c>
      <c r="AH1" t="s">
        <v>2636</v>
      </c>
      <c r="AI1" t="s">
        <v>2637</v>
      </c>
      <c r="AJ1" t="s">
        <v>2638</v>
      </c>
      <c r="AK1" t="s">
        <v>2639</v>
      </c>
      <c r="AL1" t="s">
        <v>2640</v>
      </c>
      <c r="AM1" t="s">
        <v>2641</v>
      </c>
      <c r="AN1" t="s">
        <v>2642</v>
      </c>
      <c r="AO1" t="s">
        <v>2643</v>
      </c>
      <c r="AP1" t="s">
        <v>2644</v>
      </c>
      <c r="AQ1" t="s">
        <v>2645</v>
      </c>
      <c r="AR1" t="s">
        <v>2646</v>
      </c>
      <c r="AS1" t="s">
        <v>2647</v>
      </c>
      <c r="AT1" t="s">
        <v>2648</v>
      </c>
      <c r="AU1" t="s">
        <v>2649</v>
      </c>
      <c r="AV1" t="s">
        <v>2650</v>
      </c>
      <c r="AW1" t="s">
        <v>2651</v>
      </c>
      <c r="AX1" t="s">
        <v>2652</v>
      </c>
      <c r="AY1" t="s">
        <v>2653</v>
      </c>
      <c r="AZ1" t="s">
        <v>2654</v>
      </c>
      <c r="BA1" t="s">
        <v>2655</v>
      </c>
      <c r="BB1" t="s">
        <v>2656</v>
      </c>
      <c r="BC1" t="s">
        <v>2657</v>
      </c>
      <c r="BD1" t="s">
        <v>2658</v>
      </c>
      <c r="BE1" t="s">
        <v>2659</v>
      </c>
      <c r="BF1" t="s">
        <v>2660</v>
      </c>
      <c r="BG1" t="s">
        <v>2661</v>
      </c>
      <c r="BH1" t="s">
        <v>2662</v>
      </c>
      <c r="BI1" t="s">
        <v>2663</v>
      </c>
      <c r="BJ1" t="s">
        <v>2664</v>
      </c>
      <c r="BK1" t="s">
        <v>2665</v>
      </c>
      <c r="BL1" t="s">
        <v>2666</v>
      </c>
      <c r="BM1" t="s">
        <v>2667</v>
      </c>
      <c r="BN1" t="s">
        <v>2668</v>
      </c>
      <c r="BO1" t="s">
        <v>2669</v>
      </c>
      <c r="BP1" t="s">
        <v>2670</v>
      </c>
      <c r="BQ1" t="s">
        <v>2671</v>
      </c>
      <c r="BR1" t="s">
        <v>2672</v>
      </c>
      <c r="BS1" t="s">
        <v>2673</v>
      </c>
      <c r="BT1" t="s">
        <v>2674</v>
      </c>
      <c r="BU1" t="s">
        <v>2675</v>
      </c>
      <c r="BV1" t="s">
        <v>2676</v>
      </c>
      <c r="BW1" t="s">
        <v>2677</v>
      </c>
      <c r="BX1" t="s">
        <v>2678</v>
      </c>
      <c r="BY1" t="s">
        <v>2679</v>
      </c>
      <c r="BZ1" t="s">
        <v>2680</v>
      </c>
      <c r="CA1" t="s">
        <v>2681</v>
      </c>
      <c r="CB1" t="s">
        <v>2682</v>
      </c>
      <c r="CC1" t="s">
        <v>2683</v>
      </c>
      <c r="CD1" t="s">
        <v>2684</v>
      </c>
      <c r="CE1" t="s">
        <v>2685</v>
      </c>
      <c r="CF1" t="s">
        <v>2686</v>
      </c>
      <c r="CG1" t="s">
        <v>2687</v>
      </c>
      <c r="CH1" t="s">
        <v>2688</v>
      </c>
      <c r="CI1" t="s">
        <v>2689</v>
      </c>
      <c r="CJ1" t="s">
        <v>2690</v>
      </c>
      <c r="CK1" t="s">
        <v>2691</v>
      </c>
      <c r="CL1" t="s">
        <v>2692</v>
      </c>
      <c r="CM1" t="s">
        <v>2693</v>
      </c>
      <c r="CN1" t="s">
        <v>2694</v>
      </c>
      <c r="CO1" t="s">
        <v>2695</v>
      </c>
      <c r="CP1" t="s">
        <v>2696</v>
      </c>
      <c r="CQ1" t="s">
        <v>2697</v>
      </c>
      <c r="CR1" t="s">
        <v>2698</v>
      </c>
      <c r="CS1" t="s">
        <v>2699</v>
      </c>
      <c r="CT1" t="s">
        <v>2700</v>
      </c>
      <c r="CU1" t="s">
        <v>2701</v>
      </c>
      <c r="CV1" t="s">
        <v>2702</v>
      </c>
      <c r="CW1" t="s">
        <v>2703</v>
      </c>
      <c r="CX1" t="s">
        <v>2704</v>
      </c>
      <c r="CY1" t="s">
        <v>2705</v>
      </c>
      <c r="CZ1" t="s">
        <v>2706</v>
      </c>
      <c r="DA1" t="s">
        <v>2707</v>
      </c>
      <c r="DB1" t="s">
        <v>2708</v>
      </c>
      <c r="DC1" t="s">
        <v>2709</v>
      </c>
      <c r="DD1" t="s">
        <v>2710</v>
      </c>
      <c r="DE1" t="s">
        <v>2711</v>
      </c>
      <c r="DF1" t="s">
        <v>2712</v>
      </c>
      <c r="DG1" t="s">
        <v>2713</v>
      </c>
      <c r="DH1" t="s">
        <v>2714</v>
      </c>
      <c r="DI1" t="s">
        <v>2715</v>
      </c>
      <c r="DJ1" t="s">
        <v>2716</v>
      </c>
      <c r="DK1" t="s">
        <v>2717</v>
      </c>
      <c r="DL1" t="s">
        <v>2718</v>
      </c>
      <c r="DM1" t="s">
        <v>2719</v>
      </c>
      <c r="DN1" t="s">
        <v>2720</v>
      </c>
      <c r="DO1" t="s">
        <v>2721</v>
      </c>
      <c r="DP1" t="s">
        <v>2722</v>
      </c>
      <c r="DQ1" t="s">
        <v>2723</v>
      </c>
      <c r="DR1" t="s">
        <v>2724</v>
      </c>
      <c r="DS1" t="s">
        <v>2725</v>
      </c>
      <c r="DT1" t="s">
        <v>2726</v>
      </c>
      <c r="DU1" t="s">
        <v>2727</v>
      </c>
      <c r="DV1" t="s">
        <v>2728</v>
      </c>
      <c r="DW1" t="s">
        <v>2729</v>
      </c>
      <c r="DX1" t="s">
        <v>2730</v>
      </c>
      <c r="DY1" t="s">
        <v>2731</v>
      </c>
      <c r="DZ1" t="s">
        <v>2732</v>
      </c>
      <c r="EA1" t="s">
        <v>2733</v>
      </c>
      <c r="EB1" t="s">
        <v>2734</v>
      </c>
      <c r="EC1" t="s">
        <v>2735</v>
      </c>
      <c r="ED1" t="s">
        <v>2736</v>
      </c>
      <c r="EE1" t="s">
        <v>2737</v>
      </c>
      <c r="EF1" t="s">
        <v>2738</v>
      </c>
      <c r="EG1" t="s">
        <v>2739</v>
      </c>
      <c r="EH1" t="s">
        <v>2740</v>
      </c>
      <c r="EI1" t="s">
        <v>2741</v>
      </c>
      <c r="EJ1" t="s">
        <v>2742</v>
      </c>
      <c r="EK1" t="s">
        <v>2743</v>
      </c>
      <c r="EL1" t="s">
        <v>2744</v>
      </c>
      <c r="EM1" t="s">
        <v>2745</v>
      </c>
      <c r="EN1" t="s">
        <v>2746</v>
      </c>
      <c r="EO1" t="s">
        <v>2747</v>
      </c>
      <c r="EP1" t="s">
        <v>2748</v>
      </c>
      <c r="EQ1" t="s">
        <v>2749</v>
      </c>
      <c r="ER1" t="s">
        <v>2750</v>
      </c>
      <c r="ES1" t="s">
        <v>2751</v>
      </c>
      <c r="ET1" t="s">
        <v>2752</v>
      </c>
      <c r="EU1" t="s">
        <v>2753</v>
      </c>
      <c r="EV1" t="s">
        <v>2754</v>
      </c>
      <c r="EW1" t="s">
        <v>2755</v>
      </c>
      <c r="EX1" t="s">
        <v>2756</v>
      </c>
      <c r="EY1" t="s">
        <v>2757</v>
      </c>
      <c r="EZ1" t="s">
        <v>2758</v>
      </c>
      <c r="FA1" t="s">
        <v>2759</v>
      </c>
      <c r="FB1" t="s">
        <v>2760</v>
      </c>
      <c r="FC1" t="s">
        <v>2761</v>
      </c>
      <c r="FD1" t="s">
        <v>2762</v>
      </c>
      <c r="FE1" t="s">
        <v>2763</v>
      </c>
      <c r="FF1" t="s">
        <v>2764</v>
      </c>
      <c r="FG1" t="s">
        <v>2765</v>
      </c>
      <c r="FH1" t="s">
        <v>2766</v>
      </c>
      <c r="FI1" t="s">
        <v>2767</v>
      </c>
      <c r="FJ1" t="s">
        <v>2768</v>
      </c>
      <c r="FK1" t="s">
        <v>2769</v>
      </c>
      <c r="FL1" t="s">
        <v>2770</v>
      </c>
      <c r="FM1" t="s">
        <v>2771</v>
      </c>
      <c r="FN1" t="s">
        <v>2772</v>
      </c>
      <c r="FO1" t="s">
        <v>2773</v>
      </c>
      <c r="FP1" t="s">
        <v>2774</v>
      </c>
      <c r="FQ1" t="s">
        <v>2775</v>
      </c>
      <c r="FR1" t="s">
        <v>2776</v>
      </c>
      <c r="FS1" t="s">
        <v>2777</v>
      </c>
      <c r="FT1" t="s">
        <v>2778</v>
      </c>
      <c r="FU1" t="s">
        <v>2779</v>
      </c>
      <c r="FV1" t="s">
        <v>2780</v>
      </c>
      <c r="FW1" t="s">
        <v>2781</v>
      </c>
      <c r="FX1" t="s">
        <v>2782</v>
      </c>
      <c r="FY1" t="s">
        <v>2783</v>
      </c>
      <c r="FZ1" t="s">
        <v>2784</v>
      </c>
      <c r="GA1" t="s">
        <v>2785</v>
      </c>
      <c r="GB1" t="s">
        <v>2786</v>
      </c>
      <c r="GC1" t="s">
        <v>2787</v>
      </c>
      <c r="GD1" t="s">
        <v>2788</v>
      </c>
      <c r="GE1" t="s">
        <v>2789</v>
      </c>
      <c r="GF1" t="s">
        <v>2790</v>
      </c>
      <c r="GG1" t="s">
        <v>2791</v>
      </c>
      <c r="GH1" t="s">
        <v>2792</v>
      </c>
      <c r="GI1" t="s">
        <v>2793</v>
      </c>
      <c r="GJ1" t="s">
        <v>2794</v>
      </c>
      <c r="GK1" t="s">
        <v>2795</v>
      </c>
      <c r="GL1" t="s">
        <v>2796</v>
      </c>
      <c r="GM1" t="s">
        <v>2797</v>
      </c>
      <c r="GN1" t="s">
        <v>2798</v>
      </c>
      <c r="GO1" t="s">
        <v>2799</v>
      </c>
      <c r="GP1" t="s">
        <v>2800</v>
      </c>
      <c r="GQ1" t="s">
        <v>2801</v>
      </c>
      <c r="GR1" t="s">
        <v>2802</v>
      </c>
      <c r="GS1" t="s">
        <v>2803</v>
      </c>
      <c r="GT1" t="s">
        <v>2804</v>
      </c>
      <c r="GU1" t="s">
        <v>2805</v>
      </c>
      <c r="GV1" t="s">
        <v>2806</v>
      </c>
      <c r="GW1" t="s">
        <v>2807</v>
      </c>
      <c r="GX1" t="s">
        <v>2808</v>
      </c>
      <c r="GY1" t="s">
        <v>2809</v>
      </c>
      <c r="GZ1" t="s">
        <v>2810</v>
      </c>
      <c r="HA1" t="s">
        <v>2811</v>
      </c>
      <c r="HB1" t="s">
        <v>2812</v>
      </c>
      <c r="HC1" t="s">
        <v>2813</v>
      </c>
      <c r="HD1" t="s">
        <v>2814</v>
      </c>
      <c r="HE1" t="s">
        <v>2815</v>
      </c>
      <c r="HF1" t="s">
        <v>2816</v>
      </c>
      <c r="HG1" t="s">
        <v>2817</v>
      </c>
      <c r="HH1" t="s">
        <v>2818</v>
      </c>
      <c r="HI1" t="s">
        <v>2819</v>
      </c>
      <c r="HJ1" t="s">
        <v>2820</v>
      </c>
      <c r="HK1" t="s">
        <v>2821</v>
      </c>
      <c r="HL1" t="s">
        <v>2822</v>
      </c>
      <c r="HM1" t="s">
        <v>2823</v>
      </c>
      <c r="HN1" t="s">
        <v>2824</v>
      </c>
      <c r="HO1" t="s">
        <v>2825</v>
      </c>
      <c r="HP1" t="s">
        <v>2826</v>
      </c>
      <c r="HQ1" t="s">
        <v>2827</v>
      </c>
      <c r="HR1" t="s">
        <v>2828</v>
      </c>
      <c r="HS1" t="s">
        <v>2829</v>
      </c>
      <c r="HT1" t="s">
        <v>2830</v>
      </c>
      <c r="HU1" t="s">
        <v>2831</v>
      </c>
      <c r="HV1" t="s">
        <v>2832</v>
      </c>
      <c r="HW1" t="s">
        <v>2833</v>
      </c>
      <c r="HX1" t="s">
        <v>2834</v>
      </c>
      <c r="HY1" t="s">
        <v>2835</v>
      </c>
      <c r="HZ1" t="s">
        <v>2836</v>
      </c>
      <c r="IA1" t="s">
        <v>2837</v>
      </c>
      <c r="IB1" t="s">
        <v>2838</v>
      </c>
      <c r="IC1" t="s">
        <v>2839</v>
      </c>
      <c r="ID1" t="s">
        <v>2840</v>
      </c>
      <c r="IE1" t="s">
        <v>2841</v>
      </c>
      <c r="IF1" t="s">
        <v>2842</v>
      </c>
      <c r="IG1" t="s">
        <v>2843</v>
      </c>
      <c r="IH1" t="s">
        <v>2844</v>
      </c>
      <c r="II1" t="s">
        <v>2845</v>
      </c>
      <c r="IJ1" t="s">
        <v>2846</v>
      </c>
      <c r="IK1" t="s">
        <v>2847</v>
      </c>
      <c r="IL1" t="s">
        <v>2848</v>
      </c>
      <c r="IM1" t="s">
        <v>2849</v>
      </c>
      <c r="IN1" t="s">
        <v>2850</v>
      </c>
      <c r="IO1" t="s">
        <v>2851</v>
      </c>
      <c r="IP1" t="s">
        <v>2852</v>
      </c>
      <c r="IQ1" t="s">
        <v>2853</v>
      </c>
      <c r="IR1" t="s">
        <v>2854</v>
      </c>
      <c r="IS1" t="s">
        <v>2855</v>
      </c>
      <c r="IT1" t="s">
        <v>2856</v>
      </c>
      <c r="IU1" t="s">
        <v>2857</v>
      </c>
      <c r="IV1" t="s">
        <v>2858</v>
      </c>
    </row>
    <row r="2" spans="1:256">
      <c r="A2" t="s">
        <v>2859</v>
      </c>
      <c r="B2" t="s">
        <v>2860</v>
      </c>
      <c r="C2" t="s">
        <v>2861</v>
      </c>
      <c r="D2" t="s">
        <v>2862</v>
      </c>
      <c r="E2" t="s">
        <v>2863</v>
      </c>
      <c r="F2" t="s">
        <v>2864</v>
      </c>
      <c r="G2" t="s">
        <v>2865</v>
      </c>
      <c r="H2" t="s">
        <v>2866</v>
      </c>
      <c r="I2" t="s">
        <v>2867</v>
      </c>
      <c r="J2" t="s">
        <v>2868</v>
      </c>
      <c r="K2" t="s">
        <v>2869</v>
      </c>
      <c r="L2" t="s">
        <v>2870</v>
      </c>
      <c r="M2" t="s">
        <v>2871</v>
      </c>
      <c r="N2" t="s">
        <v>2872</v>
      </c>
      <c r="O2" t="s">
        <v>2873</v>
      </c>
      <c r="P2" t="s">
        <v>2874</v>
      </c>
      <c r="Q2" t="s">
        <v>2875</v>
      </c>
      <c r="R2" t="s">
        <v>2876</v>
      </c>
      <c r="S2" t="s">
        <v>2877</v>
      </c>
      <c r="T2" t="s">
        <v>2878</v>
      </c>
      <c r="U2" t="s">
        <v>2879</v>
      </c>
      <c r="V2" t="s">
        <v>2880</v>
      </c>
      <c r="W2" t="s">
        <v>2881</v>
      </c>
      <c r="X2" t="s">
        <v>2882</v>
      </c>
      <c r="Y2" t="s">
        <v>2883</v>
      </c>
      <c r="Z2" t="s">
        <v>2884</v>
      </c>
      <c r="AA2" t="s">
        <v>2885</v>
      </c>
      <c r="AB2" t="s">
        <v>2886</v>
      </c>
      <c r="AC2" t="s">
        <v>2887</v>
      </c>
      <c r="AD2" t="s">
        <v>2888</v>
      </c>
      <c r="AE2" t="s">
        <v>2889</v>
      </c>
      <c r="AF2" t="s">
        <v>2890</v>
      </c>
      <c r="AG2" t="s">
        <v>2891</v>
      </c>
      <c r="AH2" t="s">
        <v>2892</v>
      </c>
      <c r="AI2" t="s">
        <v>2893</v>
      </c>
      <c r="AJ2" t="s">
        <v>2894</v>
      </c>
      <c r="AK2" t="s">
        <v>2895</v>
      </c>
      <c r="AL2" t="s">
        <v>2896</v>
      </c>
      <c r="AM2" t="s">
        <v>2897</v>
      </c>
      <c r="AN2" t="s">
        <v>2898</v>
      </c>
      <c r="AO2" t="s">
        <v>2899</v>
      </c>
      <c r="AP2" t="s">
        <v>2900</v>
      </c>
      <c r="AQ2" t="s">
        <v>2901</v>
      </c>
      <c r="AR2" t="s">
        <v>2902</v>
      </c>
      <c r="AS2" t="s">
        <v>2903</v>
      </c>
      <c r="AT2" t="s">
        <v>2904</v>
      </c>
      <c r="AU2" t="s">
        <v>2905</v>
      </c>
      <c r="AV2" t="s">
        <v>2906</v>
      </c>
      <c r="AW2" t="s">
        <v>2907</v>
      </c>
      <c r="AX2" t="s">
        <v>2908</v>
      </c>
      <c r="AY2" t="s">
        <v>2909</v>
      </c>
      <c r="AZ2" t="s">
        <v>2910</v>
      </c>
      <c r="BA2" t="s">
        <v>2911</v>
      </c>
      <c r="BB2" t="s">
        <v>2912</v>
      </c>
      <c r="BC2" t="s">
        <v>2913</v>
      </c>
      <c r="BD2" t="s">
        <v>2914</v>
      </c>
      <c r="BE2" t="s">
        <v>2915</v>
      </c>
      <c r="BF2" t="s">
        <v>2916</v>
      </c>
      <c r="BG2" t="s">
        <v>2917</v>
      </c>
      <c r="BH2" t="s">
        <v>2918</v>
      </c>
      <c r="BI2" t="s">
        <v>2919</v>
      </c>
      <c r="BJ2" t="s">
        <v>2920</v>
      </c>
      <c r="BK2" t="s">
        <v>2921</v>
      </c>
      <c r="BL2" t="s">
        <v>2922</v>
      </c>
      <c r="BM2" t="s">
        <v>2923</v>
      </c>
      <c r="BN2" t="s">
        <v>2924</v>
      </c>
      <c r="BO2" t="s">
        <v>2925</v>
      </c>
      <c r="BP2" t="s">
        <v>2926</v>
      </c>
      <c r="BQ2" t="s">
        <v>2927</v>
      </c>
      <c r="BR2" t="s">
        <v>2928</v>
      </c>
      <c r="BS2" t="s">
        <v>2929</v>
      </c>
      <c r="BT2" t="s">
        <v>2930</v>
      </c>
      <c r="BU2" t="s">
        <v>2931</v>
      </c>
      <c r="BV2" t="s">
        <v>2932</v>
      </c>
      <c r="BW2" t="s">
        <v>2933</v>
      </c>
      <c r="BX2" t="s">
        <v>2934</v>
      </c>
      <c r="BY2" t="s">
        <v>2935</v>
      </c>
      <c r="BZ2" t="s">
        <v>2936</v>
      </c>
      <c r="CA2" t="s">
        <v>2937</v>
      </c>
      <c r="CB2" t="s">
        <v>2938</v>
      </c>
      <c r="CC2" t="s">
        <v>2939</v>
      </c>
      <c r="CD2" t="s">
        <v>2940</v>
      </c>
      <c r="CE2" t="s">
        <v>2941</v>
      </c>
      <c r="CF2" t="s">
        <v>2942</v>
      </c>
      <c r="CG2" t="s">
        <v>2943</v>
      </c>
      <c r="CH2" t="s">
        <v>2944</v>
      </c>
      <c r="CI2" t="s">
        <v>2945</v>
      </c>
      <c r="CJ2" t="s">
        <v>2946</v>
      </c>
      <c r="CK2" t="s">
        <v>2947</v>
      </c>
      <c r="CL2" t="s">
        <v>2948</v>
      </c>
      <c r="CM2" t="s">
        <v>2949</v>
      </c>
      <c r="CN2" t="s">
        <v>2950</v>
      </c>
      <c r="CO2" t="s">
        <v>2951</v>
      </c>
      <c r="CP2" t="s">
        <v>2952</v>
      </c>
      <c r="CQ2" t="s">
        <v>2953</v>
      </c>
      <c r="CR2" t="s">
        <v>2954</v>
      </c>
      <c r="CS2" t="s">
        <v>2955</v>
      </c>
      <c r="CT2" t="s">
        <v>2956</v>
      </c>
      <c r="CU2" t="s">
        <v>2957</v>
      </c>
      <c r="CV2" t="s">
        <v>2958</v>
      </c>
      <c r="CW2" t="s">
        <v>2959</v>
      </c>
      <c r="CX2" t="s">
        <v>2960</v>
      </c>
      <c r="CY2" t="s">
        <v>2961</v>
      </c>
      <c r="CZ2" t="s">
        <v>2962</v>
      </c>
      <c r="DA2" t="s">
        <v>2963</v>
      </c>
      <c r="DB2" t="s">
        <v>2964</v>
      </c>
      <c r="DC2" t="s">
        <v>2965</v>
      </c>
      <c r="DD2" t="s">
        <v>2966</v>
      </c>
      <c r="DE2" t="s">
        <v>2967</v>
      </c>
      <c r="DF2" t="s">
        <v>2968</v>
      </c>
      <c r="DG2" t="s">
        <v>2969</v>
      </c>
      <c r="DH2" t="s">
        <v>2970</v>
      </c>
      <c r="DI2" t="s">
        <v>2971</v>
      </c>
      <c r="DJ2" t="s">
        <v>2972</v>
      </c>
      <c r="DK2" t="s">
        <v>2973</v>
      </c>
      <c r="DL2" t="s">
        <v>2974</v>
      </c>
      <c r="DM2" t="s">
        <v>2975</v>
      </c>
      <c r="DN2" t="s">
        <v>2976</v>
      </c>
      <c r="DO2" t="s">
        <v>2977</v>
      </c>
      <c r="DP2" t="s">
        <v>2978</v>
      </c>
      <c r="DQ2" t="s">
        <v>2979</v>
      </c>
      <c r="DR2" t="s">
        <v>2980</v>
      </c>
      <c r="DS2" t="s">
        <v>2981</v>
      </c>
      <c r="DT2" t="s">
        <v>2982</v>
      </c>
      <c r="DU2" t="s">
        <v>2983</v>
      </c>
      <c r="DV2" t="s">
        <v>2984</v>
      </c>
      <c r="DW2" t="s">
        <v>2985</v>
      </c>
      <c r="DX2" t="s">
        <v>2986</v>
      </c>
      <c r="DY2" t="s">
        <v>2987</v>
      </c>
      <c r="DZ2" t="s">
        <v>2988</v>
      </c>
      <c r="EA2" t="s">
        <v>2989</v>
      </c>
      <c r="EB2" t="s">
        <v>2990</v>
      </c>
      <c r="EC2" t="s">
        <v>2991</v>
      </c>
      <c r="ED2" t="s">
        <v>2992</v>
      </c>
      <c r="EE2" t="s">
        <v>2993</v>
      </c>
      <c r="EF2" t="s">
        <v>2994</v>
      </c>
      <c r="EG2" t="s">
        <v>2995</v>
      </c>
      <c r="EH2" t="s">
        <v>2996</v>
      </c>
      <c r="EI2" t="s">
        <v>2997</v>
      </c>
      <c r="EJ2" t="s">
        <v>2998</v>
      </c>
      <c r="EK2" t="s">
        <v>2999</v>
      </c>
      <c r="EL2" t="s">
        <v>3000</v>
      </c>
      <c r="EM2" t="s">
        <v>3001</v>
      </c>
      <c r="EN2" t="s">
        <v>3002</v>
      </c>
      <c r="EO2" t="s">
        <v>3003</v>
      </c>
      <c r="EP2" t="s">
        <v>3004</v>
      </c>
      <c r="EQ2" t="s">
        <v>3005</v>
      </c>
      <c r="ER2" t="s">
        <v>3006</v>
      </c>
      <c r="ES2" t="s">
        <v>3007</v>
      </c>
      <c r="ET2" t="s">
        <v>3008</v>
      </c>
      <c r="EU2" t="s">
        <v>3009</v>
      </c>
      <c r="EV2" t="s">
        <v>3010</v>
      </c>
      <c r="EW2" t="s">
        <v>3011</v>
      </c>
      <c r="EX2" t="s">
        <v>3012</v>
      </c>
      <c r="EY2" t="s">
        <v>3013</v>
      </c>
      <c r="EZ2" t="s">
        <v>3014</v>
      </c>
      <c r="FA2" t="s">
        <v>3015</v>
      </c>
      <c r="FB2" t="s">
        <v>3016</v>
      </c>
      <c r="FC2" t="s">
        <v>3017</v>
      </c>
      <c r="FD2" t="s">
        <v>3018</v>
      </c>
      <c r="FE2" t="s">
        <v>3019</v>
      </c>
      <c r="FF2" t="s">
        <v>3020</v>
      </c>
      <c r="FG2" t="s">
        <v>3021</v>
      </c>
      <c r="FH2" t="s">
        <v>3022</v>
      </c>
      <c r="FI2" t="s">
        <v>3023</v>
      </c>
      <c r="FJ2" t="s">
        <v>3024</v>
      </c>
      <c r="FK2" t="s">
        <v>3025</v>
      </c>
      <c r="FL2" t="s">
        <v>3026</v>
      </c>
      <c r="FM2" t="s">
        <v>3027</v>
      </c>
      <c r="FN2" t="s">
        <v>3028</v>
      </c>
      <c r="FO2" t="s">
        <v>3029</v>
      </c>
      <c r="FP2" t="s">
        <v>3030</v>
      </c>
      <c r="FQ2" t="s">
        <v>3031</v>
      </c>
      <c r="FR2" t="s">
        <v>3032</v>
      </c>
      <c r="FS2" t="s">
        <v>3033</v>
      </c>
      <c r="FT2" t="s">
        <v>3034</v>
      </c>
      <c r="FU2" t="s">
        <v>3035</v>
      </c>
      <c r="FV2" t="s">
        <v>3036</v>
      </c>
      <c r="FW2" t="s">
        <v>3037</v>
      </c>
      <c r="FX2" t="s">
        <v>3038</v>
      </c>
      <c r="FY2" t="s">
        <v>3039</v>
      </c>
      <c r="FZ2" t="s">
        <v>3040</v>
      </c>
      <c r="GA2" t="s">
        <v>3041</v>
      </c>
      <c r="GB2" t="s">
        <v>3042</v>
      </c>
      <c r="GC2" t="s">
        <v>3043</v>
      </c>
      <c r="GD2" t="s">
        <v>3044</v>
      </c>
      <c r="GE2" t="s">
        <v>3045</v>
      </c>
      <c r="GF2" t="s">
        <v>3046</v>
      </c>
      <c r="GG2" t="s">
        <v>3047</v>
      </c>
      <c r="GH2" t="s">
        <v>3048</v>
      </c>
      <c r="GI2" t="s">
        <v>3049</v>
      </c>
      <c r="GJ2" t="s">
        <v>3050</v>
      </c>
      <c r="GK2" t="s">
        <v>3051</v>
      </c>
      <c r="GL2" t="s">
        <v>3052</v>
      </c>
      <c r="GM2" t="s">
        <v>3053</v>
      </c>
      <c r="GN2" t="s">
        <v>3054</v>
      </c>
      <c r="GO2" t="s">
        <v>3055</v>
      </c>
      <c r="GP2" t="s">
        <v>3056</v>
      </c>
      <c r="GQ2" t="s">
        <v>3057</v>
      </c>
      <c r="GR2" t="s">
        <v>3058</v>
      </c>
      <c r="GS2" t="s">
        <v>3059</v>
      </c>
      <c r="GT2" t="s">
        <v>3060</v>
      </c>
      <c r="GU2" t="s">
        <v>3061</v>
      </c>
      <c r="GV2" t="s">
        <v>3062</v>
      </c>
      <c r="GW2" t="s">
        <v>3063</v>
      </c>
      <c r="GX2" t="s">
        <v>3064</v>
      </c>
      <c r="GY2" t="s">
        <v>3065</v>
      </c>
      <c r="GZ2" t="s">
        <v>3066</v>
      </c>
      <c r="HA2" t="s">
        <v>3067</v>
      </c>
      <c r="HB2" t="s">
        <v>3068</v>
      </c>
      <c r="HC2" t="s">
        <v>3069</v>
      </c>
      <c r="HD2" t="s">
        <v>3070</v>
      </c>
      <c r="HE2" t="s">
        <v>3071</v>
      </c>
      <c r="HF2" t="s">
        <v>3072</v>
      </c>
      <c r="HG2" t="s">
        <v>3073</v>
      </c>
      <c r="HH2" t="s">
        <v>3074</v>
      </c>
      <c r="HI2" t="s">
        <v>3075</v>
      </c>
      <c r="HJ2" t="s">
        <v>3076</v>
      </c>
      <c r="HK2" t="s">
        <v>3077</v>
      </c>
      <c r="HL2" t="s">
        <v>3078</v>
      </c>
      <c r="HM2" t="s">
        <v>3079</v>
      </c>
      <c r="HN2" t="s">
        <v>3080</v>
      </c>
      <c r="HO2" t="s">
        <v>3081</v>
      </c>
      <c r="HP2" t="s">
        <v>3082</v>
      </c>
      <c r="HQ2" t="s">
        <v>3083</v>
      </c>
      <c r="HR2" t="s">
        <v>3084</v>
      </c>
      <c r="HS2" t="s">
        <v>3085</v>
      </c>
      <c r="HT2" t="s">
        <v>3086</v>
      </c>
      <c r="HU2" t="s">
        <v>3087</v>
      </c>
      <c r="HV2" t="s">
        <v>3088</v>
      </c>
      <c r="HW2" t="s">
        <v>3089</v>
      </c>
      <c r="HX2" t="s">
        <v>3090</v>
      </c>
      <c r="HY2" t="s">
        <v>3091</v>
      </c>
      <c r="HZ2" t="s">
        <v>3092</v>
      </c>
      <c r="IA2" t="s">
        <v>3093</v>
      </c>
      <c r="IB2" t="s">
        <v>3094</v>
      </c>
      <c r="IC2" t="s">
        <v>3095</v>
      </c>
      <c r="ID2" t="s">
        <v>3096</v>
      </c>
      <c r="IE2" t="s">
        <v>3097</v>
      </c>
      <c r="IF2" t="s">
        <v>3098</v>
      </c>
      <c r="IG2" t="s">
        <v>3099</v>
      </c>
      <c r="IH2" t="s">
        <v>3100</v>
      </c>
      <c r="II2" t="s">
        <v>3101</v>
      </c>
      <c r="IJ2" t="s">
        <v>3102</v>
      </c>
      <c r="IK2" t="s">
        <v>3103</v>
      </c>
      <c r="IL2" t="s">
        <v>3104</v>
      </c>
      <c r="IM2" t="s">
        <v>3105</v>
      </c>
      <c r="IN2" t="s">
        <v>3106</v>
      </c>
      <c r="IO2" t="s">
        <v>3107</v>
      </c>
      <c r="IP2" t="s">
        <v>3108</v>
      </c>
      <c r="IQ2" t="s">
        <v>3109</v>
      </c>
      <c r="IR2" t="s">
        <v>3110</v>
      </c>
      <c r="IS2" t="s">
        <v>3111</v>
      </c>
      <c r="IT2" t="s">
        <v>3112</v>
      </c>
      <c r="IU2" t="s">
        <v>3113</v>
      </c>
      <c r="IV2" t="s">
        <v>3114</v>
      </c>
    </row>
    <row r="3" spans="1:256">
      <c r="A3" t="s">
        <v>3115</v>
      </c>
      <c r="B3" t="s">
        <v>3116</v>
      </c>
      <c r="C3" t="s">
        <v>3117</v>
      </c>
      <c r="D3" t="s">
        <v>3118</v>
      </c>
      <c r="E3" t="s">
        <v>3119</v>
      </c>
      <c r="F3" t="s">
        <v>3120</v>
      </c>
      <c r="G3" t="s">
        <v>3121</v>
      </c>
      <c r="H3" t="s">
        <v>3122</v>
      </c>
      <c r="I3" t="s">
        <v>3123</v>
      </c>
      <c r="J3" t="s">
        <v>3124</v>
      </c>
      <c r="K3" t="s">
        <v>3125</v>
      </c>
      <c r="L3" t="s">
        <v>3126</v>
      </c>
      <c r="M3" t="s">
        <v>3127</v>
      </c>
      <c r="N3" t="s">
        <v>3128</v>
      </c>
      <c r="O3" t="s">
        <v>3129</v>
      </c>
      <c r="P3" t="s">
        <v>3130</v>
      </c>
      <c r="Q3" t="s">
        <v>3131</v>
      </c>
      <c r="R3" t="s">
        <v>3132</v>
      </c>
      <c r="S3" t="s">
        <v>3133</v>
      </c>
      <c r="T3" t="s">
        <v>3134</v>
      </c>
      <c r="U3" t="s">
        <v>3135</v>
      </c>
      <c r="V3" t="s">
        <v>3136</v>
      </c>
      <c r="W3" t="s">
        <v>3137</v>
      </c>
      <c r="X3" t="s">
        <v>3138</v>
      </c>
      <c r="Y3" t="s">
        <v>3139</v>
      </c>
      <c r="Z3" t="s">
        <v>3140</v>
      </c>
      <c r="AA3" t="s">
        <v>3141</v>
      </c>
      <c r="AB3" t="s">
        <v>3142</v>
      </c>
      <c r="AC3" t="s">
        <v>3143</v>
      </c>
      <c r="AD3" t="s">
        <v>3144</v>
      </c>
      <c r="AE3" t="s">
        <v>3145</v>
      </c>
      <c r="AF3" t="s">
        <v>3146</v>
      </c>
      <c r="AG3" t="s">
        <v>3147</v>
      </c>
      <c r="AH3" t="s">
        <v>3148</v>
      </c>
      <c r="AI3" t="s">
        <v>3149</v>
      </c>
      <c r="AJ3" t="s">
        <v>3150</v>
      </c>
      <c r="AK3" t="s">
        <v>3151</v>
      </c>
      <c r="AL3" t="s">
        <v>3152</v>
      </c>
      <c r="AM3" t="s">
        <v>3153</v>
      </c>
      <c r="AN3" t="s">
        <v>3154</v>
      </c>
      <c r="AO3" t="s">
        <v>3155</v>
      </c>
      <c r="AP3" t="s">
        <v>3156</v>
      </c>
      <c r="AQ3" t="s">
        <v>3157</v>
      </c>
      <c r="AR3" t="s">
        <v>3158</v>
      </c>
      <c r="AS3" t="s">
        <v>3159</v>
      </c>
      <c r="AT3" t="s">
        <v>3160</v>
      </c>
      <c r="AU3" t="s">
        <v>3161</v>
      </c>
      <c r="AV3" t="s">
        <v>3162</v>
      </c>
      <c r="AW3" t="s">
        <v>3163</v>
      </c>
      <c r="AX3" t="s">
        <v>3164</v>
      </c>
      <c r="AY3" t="s">
        <v>3165</v>
      </c>
      <c r="AZ3" t="s">
        <v>3166</v>
      </c>
      <c r="BA3" t="s">
        <v>3167</v>
      </c>
      <c r="BB3" t="s">
        <v>3168</v>
      </c>
      <c r="BC3" t="s">
        <v>3169</v>
      </c>
      <c r="BD3" t="s">
        <v>3170</v>
      </c>
      <c r="BE3" t="s">
        <v>3171</v>
      </c>
      <c r="BF3" t="s">
        <v>3172</v>
      </c>
      <c r="BG3" t="s">
        <v>3173</v>
      </c>
      <c r="BH3" t="s">
        <v>3174</v>
      </c>
      <c r="BI3" t="s">
        <v>3175</v>
      </c>
      <c r="BJ3" t="s">
        <v>3176</v>
      </c>
      <c r="BK3" t="s">
        <v>3177</v>
      </c>
      <c r="BL3" t="s">
        <v>3178</v>
      </c>
      <c r="BM3" t="s">
        <v>3179</v>
      </c>
      <c r="BN3" t="s">
        <v>3180</v>
      </c>
      <c r="BO3" t="s">
        <v>3181</v>
      </c>
      <c r="BP3" t="s">
        <v>3182</v>
      </c>
      <c r="BQ3" t="s">
        <v>3183</v>
      </c>
      <c r="BR3" t="s">
        <v>3184</v>
      </c>
      <c r="BS3" t="s">
        <v>3185</v>
      </c>
      <c r="BT3" t="s">
        <v>3186</v>
      </c>
      <c r="BU3" t="s">
        <v>3187</v>
      </c>
      <c r="BV3" t="s">
        <v>3188</v>
      </c>
      <c r="BW3" t="s">
        <v>3189</v>
      </c>
      <c r="BX3" t="s">
        <v>3190</v>
      </c>
      <c r="BY3" t="s">
        <v>3191</v>
      </c>
      <c r="BZ3" t="s">
        <v>3192</v>
      </c>
      <c r="CA3" t="s">
        <v>3193</v>
      </c>
      <c r="CB3" t="s">
        <v>3194</v>
      </c>
      <c r="CC3" t="s">
        <v>3195</v>
      </c>
      <c r="CD3" t="s">
        <v>3196</v>
      </c>
      <c r="CE3" t="s">
        <v>3197</v>
      </c>
      <c r="CF3" t="s">
        <v>3198</v>
      </c>
      <c r="CG3" t="s">
        <v>3199</v>
      </c>
      <c r="CH3" t="s">
        <v>3200</v>
      </c>
      <c r="CI3" t="s">
        <v>3201</v>
      </c>
      <c r="CJ3" t="s">
        <v>3202</v>
      </c>
      <c r="CK3" t="s">
        <v>3203</v>
      </c>
      <c r="CL3" t="s">
        <v>3204</v>
      </c>
      <c r="CM3" t="s">
        <v>3205</v>
      </c>
      <c r="CN3" t="s">
        <v>3206</v>
      </c>
      <c r="CO3" t="s">
        <v>3207</v>
      </c>
      <c r="CP3" t="s">
        <v>3208</v>
      </c>
      <c r="CQ3" t="s">
        <v>3209</v>
      </c>
      <c r="CR3" t="s">
        <v>3210</v>
      </c>
      <c r="CS3" t="s">
        <v>3211</v>
      </c>
      <c r="CT3" t="s">
        <v>3212</v>
      </c>
      <c r="CU3" t="s">
        <v>3213</v>
      </c>
      <c r="CV3" t="s">
        <v>3214</v>
      </c>
      <c r="CW3" t="s">
        <v>3215</v>
      </c>
      <c r="CX3" t="s">
        <v>3216</v>
      </c>
      <c r="CY3" t="s">
        <v>3217</v>
      </c>
      <c r="CZ3" t="s">
        <v>3218</v>
      </c>
      <c r="DA3" t="s">
        <v>3219</v>
      </c>
      <c r="DB3" t="s">
        <v>3220</v>
      </c>
      <c r="DC3" t="s">
        <v>3221</v>
      </c>
      <c r="DD3" t="s">
        <v>3222</v>
      </c>
      <c r="DE3" t="s">
        <v>3223</v>
      </c>
      <c r="DF3" t="s">
        <v>3224</v>
      </c>
      <c r="DG3" t="s">
        <v>3225</v>
      </c>
      <c r="DH3" t="s">
        <v>3226</v>
      </c>
      <c r="DI3" t="s">
        <v>3227</v>
      </c>
      <c r="DJ3" t="s">
        <v>3228</v>
      </c>
      <c r="DK3" t="s">
        <v>3229</v>
      </c>
      <c r="DL3" t="s">
        <v>3230</v>
      </c>
      <c r="DM3" t="s">
        <v>3231</v>
      </c>
      <c r="DN3" t="s">
        <v>3232</v>
      </c>
      <c r="DO3" t="s">
        <v>3233</v>
      </c>
      <c r="DP3" t="s">
        <v>3234</v>
      </c>
      <c r="DQ3" t="s">
        <v>3235</v>
      </c>
      <c r="DR3" t="s">
        <v>3236</v>
      </c>
      <c r="DS3" t="s">
        <v>3237</v>
      </c>
      <c r="DT3" t="s">
        <v>3238</v>
      </c>
      <c r="DU3" t="s">
        <v>3239</v>
      </c>
      <c r="DV3" t="s">
        <v>3240</v>
      </c>
      <c r="DW3" t="s">
        <v>3241</v>
      </c>
      <c r="DX3" t="s">
        <v>3242</v>
      </c>
      <c r="DY3" t="s">
        <v>3243</v>
      </c>
      <c r="DZ3" t="s">
        <v>3244</v>
      </c>
      <c r="EA3" t="s">
        <v>3245</v>
      </c>
      <c r="EB3" t="s">
        <v>3246</v>
      </c>
      <c r="EC3" t="s">
        <v>3247</v>
      </c>
      <c r="ED3" t="s">
        <v>3248</v>
      </c>
      <c r="EE3" t="s">
        <v>3249</v>
      </c>
      <c r="EF3" t="s">
        <v>3250</v>
      </c>
      <c r="EG3" t="s">
        <v>3251</v>
      </c>
      <c r="EH3" t="s">
        <v>3252</v>
      </c>
      <c r="EI3" t="s">
        <v>3253</v>
      </c>
      <c r="EJ3" t="s">
        <v>3254</v>
      </c>
      <c r="EK3" t="s">
        <v>3255</v>
      </c>
      <c r="EL3" t="s">
        <v>3256</v>
      </c>
      <c r="EM3" t="s">
        <v>3257</v>
      </c>
      <c r="EN3" t="s">
        <v>3258</v>
      </c>
      <c r="EO3" t="s">
        <v>3259</v>
      </c>
      <c r="EP3" t="s">
        <v>3260</v>
      </c>
      <c r="EQ3" t="s">
        <v>3261</v>
      </c>
      <c r="ER3" t="s">
        <v>3262</v>
      </c>
      <c r="ES3" t="s">
        <v>3263</v>
      </c>
      <c r="ET3" t="s">
        <v>3264</v>
      </c>
      <c r="EU3" t="s">
        <v>3265</v>
      </c>
      <c r="EV3" t="s">
        <v>3266</v>
      </c>
      <c r="EW3" t="s">
        <v>3267</v>
      </c>
      <c r="EX3" t="s">
        <v>3268</v>
      </c>
      <c r="EY3" t="s">
        <v>3269</v>
      </c>
      <c r="EZ3" t="s">
        <v>3270</v>
      </c>
      <c r="FA3" t="s">
        <v>3271</v>
      </c>
      <c r="FB3" t="s">
        <v>3272</v>
      </c>
      <c r="FC3" t="s">
        <v>3273</v>
      </c>
      <c r="FD3" t="s">
        <v>3274</v>
      </c>
      <c r="FE3" t="s">
        <v>3275</v>
      </c>
      <c r="FF3" t="s">
        <v>3276</v>
      </c>
      <c r="FG3" t="s">
        <v>3277</v>
      </c>
      <c r="FH3" t="s">
        <v>3278</v>
      </c>
      <c r="FI3" t="s">
        <v>3279</v>
      </c>
      <c r="FJ3" t="s">
        <v>3280</v>
      </c>
      <c r="FK3" t="s">
        <v>3281</v>
      </c>
      <c r="FL3" t="s">
        <v>3282</v>
      </c>
      <c r="FM3" t="s">
        <v>3283</v>
      </c>
      <c r="FN3" t="s">
        <v>3284</v>
      </c>
      <c r="FO3" t="s">
        <v>3285</v>
      </c>
      <c r="FP3" t="s">
        <v>3286</v>
      </c>
      <c r="FQ3" t="s">
        <v>3287</v>
      </c>
      <c r="FR3" t="s">
        <v>3288</v>
      </c>
      <c r="FS3" t="s">
        <v>3289</v>
      </c>
      <c r="FT3" t="s">
        <v>3290</v>
      </c>
      <c r="FU3" t="s">
        <v>3291</v>
      </c>
      <c r="FV3" t="s">
        <v>3292</v>
      </c>
      <c r="FW3" t="s">
        <v>3293</v>
      </c>
      <c r="FX3" t="s">
        <v>3294</v>
      </c>
      <c r="FY3" t="s">
        <v>3295</v>
      </c>
      <c r="FZ3" t="s">
        <v>3296</v>
      </c>
      <c r="GA3" t="s">
        <v>3297</v>
      </c>
      <c r="GB3" t="s">
        <v>3298</v>
      </c>
      <c r="GC3" t="s">
        <v>3299</v>
      </c>
      <c r="GD3" t="s">
        <v>3300</v>
      </c>
      <c r="GE3" t="s">
        <v>3301</v>
      </c>
      <c r="GF3" t="s">
        <v>3302</v>
      </c>
      <c r="GG3" t="s">
        <v>3303</v>
      </c>
      <c r="GH3" t="s">
        <v>3304</v>
      </c>
      <c r="GI3" t="s">
        <v>3305</v>
      </c>
      <c r="GJ3" t="s">
        <v>3306</v>
      </c>
      <c r="GK3" t="s">
        <v>3307</v>
      </c>
      <c r="GL3" t="s">
        <v>3308</v>
      </c>
      <c r="GM3" t="s">
        <v>3309</v>
      </c>
      <c r="GN3" t="s">
        <v>3310</v>
      </c>
      <c r="GO3" t="s">
        <v>3311</v>
      </c>
      <c r="GP3" t="s">
        <v>3312</v>
      </c>
      <c r="GQ3" t="s">
        <v>3313</v>
      </c>
      <c r="GR3" t="s">
        <v>3314</v>
      </c>
      <c r="GS3" t="s">
        <v>3315</v>
      </c>
      <c r="GT3" t="s">
        <v>3316</v>
      </c>
      <c r="GU3" t="s">
        <v>3317</v>
      </c>
      <c r="GV3" t="s">
        <v>3318</v>
      </c>
      <c r="GW3" t="s">
        <v>3319</v>
      </c>
      <c r="GX3" t="s">
        <v>3320</v>
      </c>
      <c r="GY3" t="s">
        <v>3321</v>
      </c>
      <c r="GZ3" t="s">
        <v>3322</v>
      </c>
      <c r="HA3" t="s">
        <v>3323</v>
      </c>
      <c r="HB3" t="s">
        <v>3324</v>
      </c>
      <c r="HC3" t="s">
        <v>3325</v>
      </c>
      <c r="HD3" t="s">
        <v>3326</v>
      </c>
      <c r="HE3" t="s">
        <v>3327</v>
      </c>
      <c r="HF3" t="s">
        <v>3328</v>
      </c>
      <c r="HG3" t="s">
        <v>3329</v>
      </c>
      <c r="HH3" t="s">
        <v>3330</v>
      </c>
      <c r="HI3" t="s">
        <v>3331</v>
      </c>
      <c r="HJ3" t="s">
        <v>3332</v>
      </c>
      <c r="HK3" t="s">
        <v>3333</v>
      </c>
      <c r="HL3" t="s">
        <v>3334</v>
      </c>
      <c r="HM3" t="s">
        <v>3335</v>
      </c>
      <c r="HN3" t="s">
        <v>3336</v>
      </c>
      <c r="HO3" t="s">
        <v>3337</v>
      </c>
      <c r="HP3" t="s">
        <v>3338</v>
      </c>
      <c r="HQ3" t="s">
        <v>3339</v>
      </c>
      <c r="HR3" t="s">
        <v>3340</v>
      </c>
      <c r="HS3" t="s">
        <v>3341</v>
      </c>
      <c r="HT3" t="s">
        <v>3342</v>
      </c>
      <c r="HU3" t="s">
        <v>3343</v>
      </c>
      <c r="HV3" t="s">
        <v>3344</v>
      </c>
      <c r="HW3" t="s">
        <v>3345</v>
      </c>
      <c r="HX3" t="s">
        <v>3346</v>
      </c>
      <c r="HY3" t="s">
        <v>3347</v>
      </c>
      <c r="HZ3" t="s">
        <v>3348</v>
      </c>
      <c r="IA3" t="s">
        <v>3349</v>
      </c>
      <c r="IB3" t="s">
        <v>3350</v>
      </c>
      <c r="IC3" t="s">
        <v>3351</v>
      </c>
      <c r="ID3" t="s">
        <v>3352</v>
      </c>
      <c r="IE3" t="s">
        <v>3353</v>
      </c>
      <c r="IF3" t="s">
        <v>3354</v>
      </c>
      <c r="IG3" t="s">
        <v>3355</v>
      </c>
      <c r="IH3" t="s">
        <v>3356</v>
      </c>
      <c r="II3" t="s">
        <v>3357</v>
      </c>
      <c r="IJ3" t="s">
        <v>3358</v>
      </c>
      <c r="IK3" t="s">
        <v>3359</v>
      </c>
      <c r="IL3" t="s">
        <v>3360</v>
      </c>
      <c r="IM3" t="s">
        <v>3361</v>
      </c>
      <c r="IN3" t="s">
        <v>3362</v>
      </c>
      <c r="IO3" t="s">
        <v>3363</v>
      </c>
      <c r="IP3" t="s">
        <v>3364</v>
      </c>
      <c r="IQ3" t="s">
        <v>3365</v>
      </c>
      <c r="IR3" t="s">
        <v>3366</v>
      </c>
      <c r="IS3" t="s">
        <v>3367</v>
      </c>
      <c r="IT3" t="s">
        <v>3368</v>
      </c>
      <c r="IU3" t="s">
        <v>3369</v>
      </c>
      <c r="IV3" t="s">
        <v>3370</v>
      </c>
    </row>
    <row r="4" spans="1:256">
      <c r="A4" t="s">
        <v>3371</v>
      </c>
      <c r="B4" t="s">
        <v>3372</v>
      </c>
      <c r="C4" t="s">
        <v>3373</v>
      </c>
      <c r="D4" t="s">
        <v>3374</v>
      </c>
      <c r="E4" t="s">
        <v>3375</v>
      </c>
      <c r="F4" t="s">
        <v>3376</v>
      </c>
      <c r="G4" t="s">
        <v>3377</v>
      </c>
      <c r="H4" t="s">
        <v>3378</v>
      </c>
      <c r="I4" t="s">
        <v>3379</v>
      </c>
      <c r="J4" t="s">
        <v>3380</v>
      </c>
      <c r="K4" t="s">
        <v>3381</v>
      </c>
      <c r="L4" t="s">
        <v>3382</v>
      </c>
      <c r="M4" t="s">
        <v>3383</v>
      </c>
      <c r="N4" t="s">
        <v>3384</v>
      </c>
      <c r="O4" t="s">
        <v>3385</v>
      </c>
      <c r="P4" t="s">
        <v>3386</v>
      </c>
      <c r="Q4" t="s">
        <v>3387</v>
      </c>
      <c r="R4" t="s">
        <v>3388</v>
      </c>
      <c r="S4" t="s">
        <v>3389</v>
      </c>
      <c r="T4" t="s">
        <v>3390</v>
      </c>
      <c r="U4" t="s">
        <v>3391</v>
      </c>
      <c r="V4" t="s">
        <v>3392</v>
      </c>
      <c r="W4" t="s">
        <v>3393</v>
      </c>
      <c r="X4" t="s">
        <v>3394</v>
      </c>
      <c r="Y4" t="s">
        <v>3395</v>
      </c>
      <c r="Z4" t="s">
        <v>3396</v>
      </c>
      <c r="AA4" t="s">
        <v>3397</v>
      </c>
      <c r="AB4" t="s">
        <v>3398</v>
      </c>
      <c r="AC4" t="s">
        <v>3399</v>
      </c>
      <c r="AD4" t="s">
        <v>3400</v>
      </c>
      <c r="AE4" t="s">
        <v>3401</v>
      </c>
      <c r="AF4" t="s">
        <v>3402</v>
      </c>
      <c r="AG4" t="s">
        <v>3403</v>
      </c>
      <c r="AH4" t="s">
        <v>3404</v>
      </c>
      <c r="AI4" t="s">
        <v>3405</v>
      </c>
      <c r="AJ4" t="s">
        <v>3406</v>
      </c>
      <c r="AK4" t="s">
        <v>3407</v>
      </c>
      <c r="AL4" t="s">
        <v>3408</v>
      </c>
      <c r="AM4" t="s">
        <v>3409</v>
      </c>
      <c r="AN4" t="s">
        <v>3410</v>
      </c>
      <c r="AO4" t="s">
        <v>3411</v>
      </c>
      <c r="AP4" t="s">
        <v>3412</v>
      </c>
      <c r="AQ4" t="s">
        <v>3413</v>
      </c>
      <c r="AR4" t="s">
        <v>3414</v>
      </c>
      <c r="AS4" t="s">
        <v>3415</v>
      </c>
      <c r="AT4" t="s">
        <v>3416</v>
      </c>
      <c r="AU4" t="s">
        <v>3417</v>
      </c>
      <c r="AV4" t="s">
        <v>3418</v>
      </c>
      <c r="AW4" t="s">
        <v>3419</v>
      </c>
      <c r="AX4" t="s">
        <v>3420</v>
      </c>
      <c r="AY4" t="s">
        <v>3421</v>
      </c>
      <c r="AZ4" t="s">
        <v>3422</v>
      </c>
      <c r="BA4" t="s">
        <v>3423</v>
      </c>
      <c r="BB4" t="s">
        <v>3424</v>
      </c>
      <c r="BC4" t="s">
        <v>3425</v>
      </c>
      <c r="BD4" t="s">
        <v>3426</v>
      </c>
      <c r="BE4" t="s">
        <v>3427</v>
      </c>
      <c r="BF4" t="s">
        <v>3428</v>
      </c>
      <c r="BG4" t="s">
        <v>3429</v>
      </c>
      <c r="BH4" t="s">
        <v>3430</v>
      </c>
      <c r="BI4" t="s">
        <v>3431</v>
      </c>
      <c r="BJ4" t="s">
        <v>3432</v>
      </c>
      <c r="BK4" t="s">
        <v>3433</v>
      </c>
      <c r="BL4" t="s">
        <v>3434</v>
      </c>
      <c r="BM4" t="s">
        <v>3435</v>
      </c>
      <c r="BN4" t="s">
        <v>3436</v>
      </c>
      <c r="BO4" t="s">
        <v>3437</v>
      </c>
      <c r="BP4" t="s">
        <v>3438</v>
      </c>
      <c r="BQ4" t="s">
        <v>3439</v>
      </c>
      <c r="BR4" t="s">
        <v>3440</v>
      </c>
      <c r="BS4" t="s">
        <v>3441</v>
      </c>
      <c r="BT4" t="s">
        <v>3442</v>
      </c>
      <c r="BU4" t="s">
        <v>3443</v>
      </c>
      <c r="BV4" t="s">
        <v>3444</v>
      </c>
      <c r="BW4" t="s">
        <v>3445</v>
      </c>
      <c r="BX4" t="s">
        <v>3446</v>
      </c>
      <c r="BY4" t="s">
        <v>3447</v>
      </c>
      <c r="BZ4" t="s">
        <v>3448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62"/>
  <dimension ref="A1:BU764"/>
  <sheetViews>
    <sheetView showGridLines="0" view="pageBreakPreview" zoomScale="80" zoomScaleNormal="100" zoomScaleSheetLayoutView="80" workbookViewId="0"/>
  </sheetViews>
  <sheetFormatPr defaultColWidth="10.6640625" defaultRowHeight="12.75" outlineLevelCol="1"/>
  <cols>
    <col min="1" max="1" width="4.5" style="1653" customWidth="1"/>
    <col min="2" max="2" width="42.5" style="1653" customWidth="1"/>
    <col min="3" max="3" width="19.83203125" style="1653" hidden="1" customWidth="1" outlineLevel="1"/>
    <col min="4" max="4" width="16.5" style="1653" customWidth="1" collapsed="1"/>
    <col min="5" max="5" width="15.1640625" style="1653" hidden="1" customWidth="1" outlineLevel="1"/>
    <col min="6" max="6" width="12.5" style="1655" customWidth="1" collapsed="1"/>
    <col min="7" max="7" width="12" style="1655" customWidth="1"/>
    <col min="8" max="9" width="14" style="1655" hidden="1" customWidth="1" outlineLevel="1"/>
    <col min="10" max="10" width="15" style="1655" customWidth="1" collapsed="1"/>
    <col min="11" max="11" width="12.33203125" style="1655" customWidth="1"/>
    <col min="12" max="12" width="14" style="1655" customWidth="1"/>
    <col min="13" max="13" width="14.5" style="1655" customWidth="1"/>
    <col min="14" max="14" width="18.6640625" style="1655" customWidth="1"/>
    <col min="15" max="15" width="13.33203125" style="1655" customWidth="1"/>
    <col min="16" max="16" width="18.33203125" style="1655" customWidth="1"/>
    <col min="17" max="17" width="4.5" style="1655" customWidth="1"/>
    <col min="18" max="18" width="29.1640625" style="1655" bestFit="1" customWidth="1"/>
    <col min="19" max="19" width="16.33203125" style="1653" customWidth="1"/>
    <col min="20" max="20" width="13.6640625" style="1653" customWidth="1"/>
    <col min="21" max="21" width="14.83203125" style="1653" customWidth="1"/>
    <col min="22" max="22" width="13.5" style="1653" bestFit="1" customWidth="1"/>
    <col min="23" max="23" width="16.1640625" style="1653" bestFit="1" customWidth="1"/>
    <col min="24" max="24" width="16.1640625" style="1653" customWidth="1"/>
    <col min="25" max="25" width="22.6640625" style="1653" bestFit="1" customWidth="1"/>
    <col min="26" max="28" width="16.1640625" style="1653" customWidth="1"/>
    <col min="29" max="29" width="11.83203125" style="1653" customWidth="1"/>
    <col min="30" max="30" width="10.83203125" style="1653" customWidth="1"/>
    <col min="31" max="31" width="11.83203125" style="1653" bestFit="1" customWidth="1"/>
    <col min="32" max="32" width="11" style="1653" bestFit="1" customWidth="1"/>
    <col min="33" max="35" width="10.6640625" style="1653"/>
    <col min="36" max="36" width="12.5" style="1653" bestFit="1" customWidth="1"/>
    <col min="37" max="37" width="15.1640625" style="1653" bestFit="1" customWidth="1"/>
    <col min="38" max="42" width="10.6640625" style="1653"/>
    <col min="43" max="44" width="12.5" style="1653" bestFit="1" customWidth="1"/>
    <col min="45" max="45" width="14" style="1653" bestFit="1" customWidth="1"/>
    <col min="46" max="46" width="10.6640625" style="1653"/>
    <col min="47" max="48" width="11" style="1653" bestFit="1" customWidth="1"/>
    <col min="49" max="49" width="12.5" style="1653" bestFit="1" customWidth="1"/>
    <col min="50" max="50" width="12.33203125" style="1653" bestFit="1" customWidth="1"/>
    <col min="51" max="51" width="14" style="1653" bestFit="1" customWidth="1"/>
    <col min="52" max="52" width="14.33203125" style="1653" bestFit="1" customWidth="1"/>
    <col min="53" max="53" width="11" style="1653" bestFit="1" customWidth="1"/>
    <col min="54" max="54" width="18" style="1653" bestFit="1" customWidth="1"/>
    <col min="55" max="55" width="14" style="1653" bestFit="1" customWidth="1"/>
    <col min="56" max="56" width="18" style="1653" bestFit="1" customWidth="1"/>
    <col min="57" max="59" width="11" style="1653" bestFit="1" customWidth="1"/>
    <col min="60" max="60" width="14" style="1653" bestFit="1" customWidth="1"/>
    <col min="61" max="61" width="11" style="1653" bestFit="1" customWidth="1"/>
    <col min="62" max="62" width="18.1640625" style="1653" bestFit="1" customWidth="1"/>
    <col min="63" max="63" width="10.6640625" style="1653"/>
    <col min="64" max="64" width="14" style="1653" bestFit="1" customWidth="1"/>
    <col min="65" max="65" width="11" style="1653" bestFit="1" customWidth="1"/>
    <col min="66" max="66" width="12" style="1653" bestFit="1" customWidth="1"/>
    <col min="67" max="67" width="15.5" style="1653" bestFit="1" customWidth="1"/>
    <col min="68" max="68" width="12" style="1653" bestFit="1" customWidth="1"/>
    <col min="69" max="72" width="10.6640625" style="1653"/>
    <col min="73" max="73" width="11" style="1653" bestFit="1" customWidth="1"/>
    <col min="74" max="16384" width="10.6640625" style="1653"/>
  </cols>
  <sheetData>
    <row r="1" spans="1:43" ht="11.25" customHeight="1" thickBot="1">
      <c r="A1" s="1652"/>
      <c r="F1" s="1654"/>
      <c r="G1" s="1654"/>
      <c r="H1" s="1654"/>
      <c r="I1" s="1654"/>
      <c r="J1" s="1654"/>
      <c r="K1" s="1654"/>
      <c r="L1" s="1654"/>
      <c r="M1" s="1654"/>
      <c r="N1" s="1654"/>
      <c r="R1" s="1653"/>
      <c r="S1" s="1656"/>
      <c r="T1" s="1657"/>
      <c r="W1" s="1653" t="s">
        <v>489</v>
      </c>
      <c r="X1" s="1653" t="s">
        <v>491</v>
      </c>
      <c r="AQ1" s="1658"/>
    </row>
    <row r="2" spans="1:43" ht="15" thickTop="1">
      <c r="A2" s="1659"/>
      <c r="B2" s="258" t="str">
        <f>'MASTER PubCo Inputs'!$C$5</f>
        <v>ABC, Inc.</v>
      </c>
      <c r="C2" s="258"/>
      <c r="D2" s="258"/>
      <c r="E2" s="258"/>
      <c r="F2" s="258"/>
      <c r="G2" s="258"/>
      <c r="H2" s="258"/>
      <c r="I2" s="258"/>
      <c r="J2" s="258"/>
      <c r="K2" s="258"/>
      <c r="L2" s="258"/>
      <c r="M2" s="258"/>
      <c r="N2" s="258"/>
      <c r="O2" s="258"/>
      <c r="P2" s="258"/>
      <c r="Q2" s="1660"/>
      <c r="R2" s="1661"/>
      <c r="S2" s="1662" t="s">
        <v>1766</v>
      </c>
      <c r="T2" s="1663">
        <v>43082</v>
      </c>
      <c r="W2" s="1653" t="s">
        <v>954</v>
      </c>
      <c r="X2" s="1653" t="s">
        <v>955</v>
      </c>
    </row>
    <row r="3" spans="1:43" ht="14.25">
      <c r="A3" s="1659"/>
      <c r="B3" s="259" t="str">
        <f>VLOOKUP(B4,Outline!$E$8:$G$79,COLUMNS(Outline!$E$8:$G$8),FALSE)</f>
        <v>Exhibit H.11</v>
      </c>
      <c r="C3" s="259"/>
      <c r="D3" s="259"/>
      <c r="E3" s="259"/>
      <c r="F3" s="259"/>
      <c r="G3" s="259"/>
      <c r="H3" s="259"/>
      <c r="I3" s="259"/>
      <c r="J3" s="259"/>
      <c r="K3" s="259"/>
      <c r="L3" s="259"/>
      <c r="M3" s="259"/>
      <c r="N3" s="259"/>
      <c r="O3" s="259"/>
      <c r="P3" s="259"/>
      <c r="Q3" s="1660"/>
      <c r="R3" s="1661"/>
      <c r="S3" s="1664" t="s">
        <v>2451</v>
      </c>
      <c r="T3" s="1665"/>
      <c r="W3" s="1653" t="s">
        <v>490</v>
      </c>
      <c r="X3" s="1653" t="s">
        <v>492</v>
      </c>
    </row>
    <row r="4" spans="1:43" ht="15" thickBot="1">
      <c r="B4" s="924" t="s">
        <v>1383</v>
      </c>
      <c r="C4" s="924"/>
      <c r="D4" s="924"/>
      <c r="E4" s="924"/>
      <c r="F4" s="924"/>
      <c r="G4" s="924"/>
      <c r="H4" s="924"/>
      <c r="I4" s="924"/>
      <c r="J4" s="924"/>
      <c r="K4" s="924"/>
      <c r="L4" s="924"/>
      <c r="M4" s="924"/>
      <c r="N4" s="924"/>
      <c r="O4" s="924"/>
      <c r="P4" s="925" t="str">
        <f>'MASTER PubCo Inputs'!C20</f>
        <v>(in thousands of USD and shares, except price per share)</v>
      </c>
      <c r="Q4" s="1660"/>
      <c r="R4" s="1653"/>
      <c r="W4" s="1653" t="s">
        <v>89</v>
      </c>
      <c r="X4" s="1653" t="s">
        <v>90</v>
      </c>
    </row>
    <row r="5" spans="1:43" ht="14.85" customHeight="1" thickTop="1">
      <c r="B5" s="1666" t="s">
        <v>2354</v>
      </c>
      <c r="C5" s="1667"/>
      <c r="D5" s="1666"/>
      <c r="E5" s="1666"/>
      <c r="F5" s="1668"/>
      <c r="G5" s="1654"/>
      <c r="H5" s="1654"/>
      <c r="I5" s="1654"/>
      <c r="J5" s="1654"/>
      <c r="K5" s="1654"/>
      <c r="L5" s="1654"/>
      <c r="M5" s="1654"/>
      <c r="N5" s="1654"/>
      <c r="Q5" s="1660"/>
      <c r="R5" s="1653"/>
    </row>
    <row r="6" spans="1:43" ht="14.85" customHeight="1">
      <c r="B6" s="1669"/>
      <c r="C6" s="1659"/>
      <c r="D6" s="1669"/>
      <c r="E6" s="1669"/>
      <c r="F6" s="1654"/>
      <c r="G6" s="1654"/>
      <c r="H6" s="1654"/>
      <c r="I6" s="1654"/>
      <c r="J6" s="1654"/>
      <c r="K6" s="1654"/>
      <c r="L6" s="1670"/>
      <c r="M6" s="1654"/>
      <c r="N6" s="1671"/>
      <c r="P6" s="1672"/>
    </row>
    <row r="7" spans="1:43" s="1673" customFormat="1" ht="14.85" customHeight="1">
      <c r="B7" s="1674" t="s">
        <v>1384</v>
      </c>
      <c r="C7" s="1675"/>
      <c r="D7" s="1675"/>
      <c r="E7" s="1675"/>
      <c r="F7" s="1675"/>
      <c r="G7" s="1675"/>
      <c r="H7" s="1675"/>
      <c r="I7" s="1675"/>
      <c r="J7" s="1675"/>
      <c r="K7" s="1675"/>
      <c r="L7" s="1675"/>
      <c r="M7" s="1675"/>
      <c r="N7" s="1675"/>
      <c r="O7" s="1675"/>
      <c r="P7" s="1676"/>
      <c r="Q7" s="1677"/>
      <c r="R7" s="1677"/>
      <c r="S7" s="1677"/>
      <c r="T7" s="1678"/>
      <c r="U7" s="1678"/>
    </row>
    <row r="8" spans="1:43" s="1679" customFormat="1" ht="14.85" customHeight="1">
      <c r="B8" s="1680"/>
      <c r="C8" s="1681"/>
      <c r="D8" s="2101" t="s">
        <v>2352</v>
      </c>
      <c r="E8" s="1681" t="s">
        <v>1386</v>
      </c>
      <c r="F8" s="2101" t="s">
        <v>2044</v>
      </c>
      <c r="G8" s="2099" t="s">
        <v>1387</v>
      </c>
      <c r="H8" s="2099" t="s">
        <v>1388</v>
      </c>
      <c r="I8" s="2099"/>
      <c r="J8" s="2099" t="s">
        <v>1389</v>
      </c>
      <c r="K8" s="2099" t="s">
        <v>2350</v>
      </c>
      <c r="L8" s="2099" t="s">
        <v>1390</v>
      </c>
      <c r="M8" s="2099" t="s">
        <v>1391</v>
      </c>
      <c r="N8" s="2099" t="s">
        <v>1392</v>
      </c>
      <c r="O8" s="2099" t="s">
        <v>2351</v>
      </c>
      <c r="P8" s="2097" t="s">
        <v>1981</v>
      </c>
      <c r="Q8" s="1677"/>
      <c r="R8" s="1677"/>
      <c r="S8" s="2096" t="s">
        <v>1389</v>
      </c>
      <c r="T8" s="2096" t="s">
        <v>1982</v>
      </c>
      <c r="U8" s="2096" t="s">
        <v>1983</v>
      </c>
      <c r="V8" s="2103" t="s">
        <v>1396</v>
      </c>
      <c r="X8" s="2096" t="s">
        <v>1397</v>
      </c>
      <c r="Y8" s="1682"/>
      <c r="Z8" s="1682"/>
      <c r="AA8" s="2096" t="s">
        <v>153</v>
      </c>
      <c r="AB8" s="2096" t="s">
        <v>2356</v>
      </c>
      <c r="AC8" s="2096" t="s">
        <v>2357</v>
      </c>
      <c r="AD8" s="2096" t="s">
        <v>2358</v>
      </c>
      <c r="AE8" s="2096" t="s">
        <v>2359</v>
      </c>
    </row>
    <row r="9" spans="1:43" s="1679" customFormat="1" ht="14.85" customHeight="1">
      <c r="B9" s="1683" t="s">
        <v>1398</v>
      </c>
      <c r="C9" s="1684" t="s">
        <v>1399</v>
      </c>
      <c r="D9" s="2102"/>
      <c r="E9" s="1684" t="s">
        <v>1400</v>
      </c>
      <c r="F9" s="2102"/>
      <c r="G9" s="2100"/>
      <c r="H9" s="1685" t="s">
        <v>112</v>
      </c>
      <c r="I9" s="1685" t="s">
        <v>111</v>
      </c>
      <c r="J9" s="2100"/>
      <c r="K9" s="2100"/>
      <c r="L9" s="2100"/>
      <c r="M9" s="2100"/>
      <c r="N9" s="2100"/>
      <c r="O9" s="2100"/>
      <c r="P9" s="2098"/>
      <c r="Q9" s="1677"/>
      <c r="R9" s="1686" t="s">
        <v>2454</v>
      </c>
      <c r="S9" s="2096"/>
      <c r="T9" s="2096" t="s">
        <v>1982</v>
      </c>
      <c r="U9" s="2096"/>
      <c r="V9" s="2103"/>
      <c r="W9" s="1687" t="s">
        <v>1984</v>
      </c>
      <c r="X9" s="2096"/>
      <c r="Y9" s="1682" t="s">
        <v>95</v>
      </c>
      <c r="Z9" s="1682" t="s">
        <v>935</v>
      </c>
      <c r="AA9" s="2096"/>
      <c r="AB9" s="2096"/>
      <c r="AC9" s="2096"/>
      <c r="AD9" s="2096"/>
      <c r="AE9" s="2096"/>
    </row>
    <row r="10" spans="1:43" s="1688" customFormat="1" ht="14.85" customHeight="1">
      <c r="B10" s="1689"/>
      <c r="C10" s="1689"/>
      <c r="D10" s="1689"/>
      <c r="E10" s="1689"/>
      <c r="F10" s="1689"/>
      <c r="G10" s="1689"/>
      <c r="H10" s="1689"/>
      <c r="I10" s="1689"/>
      <c r="J10" s="1689"/>
      <c r="K10" s="1689"/>
      <c r="L10" s="1689"/>
      <c r="M10" s="1689"/>
      <c r="N10" s="1689"/>
      <c r="O10" s="1689"/>
      <c r="P10" s="1689"/>
      <c r="Q10" s="1677"/>
      <c r="R10" s="1677"/>
      <c r="S10" s="1677"/>
      <c r="T10" s="1690"/>
      <c r="U10" s="1690"/>
      <c r="AF10" s="1691" t="s">
        <v>110</v>
      </c>
    </row>
    <row r="11" spans="1:43" s="1688" customFormat="1" ht="14.85" customHeight="1">
      <c r="B11" s="1692" t="s">
        <v>1985</v>
      </c>
      <c r="C11" s="1689"/>
      <c r="D11" s="1689"/>
      <c r="E11" s="1689"/>
      <c r="F11" s="1693"/>
      <c r="G11" s="1689"/>
      <c r="H11" s="1689"/>
      <c r="I11" s="1689"/>
      <c r="J11" s="1689"/>
      <c r="K11" s="1689"/>
      <c r="L11" s="1694"/>
      <c r="M11" s="1689"/>
      <c r="N11" s="1689"/>
      <c r="O11" s="1689"/>
      <c r="P11" s="1689"/>
      <c r="Q11" s="1677"/>
      <c r="R11" s="1677"/>
      <c r="S11" s="1677"/>
      <c r="T11" s="1690"/>
      <c r="U11" s="1690"/>
    </row>
    <row r="12" spans="1:43" s="1688" customFormat="1" ht="14.85" customHeight="1">
      <c r="B12" s="1695" t="s">
        <v>2388</v>
      </c>
      <c r="C12" s="1696" t="s">
        <v>2389</v>
      </c>
      <c r="D12" s="1697" t="s">
        <v>1005</v>
      </c>
      <c r="E12" s="1698" t="s">
        <v>2390</v>
      </c>
      <c r="F12" s="1699">
        <v>42997</v>
      </c>
      <c r="G12" s="1700">
        <v>10</v>
      </c>
      <c r="H12" s="1700">
        <v>9</v>
      </c>
      <c r="I12" s="1700">
        <v>11</v>
      </c>
      <c r="J12" s="1700">
        <v>9.99</v>
      </c>
      <c r="K12" s="1701">
        <v>5643.2469999999994</v>
      </c>
      <c r="L12" s="1702">
        <v>4000</v>
      </c>
      <c r="M12" s="1702">
        <v>9643.2469999999994</v>
      </c>
      <c r="N12" s="1701">
        <v>56832.47</v>
      </c>
      <c r="O12" s="1703">
        <v>40000</v>
      </c>
      <c r="P12" s="1701">
        <v>96832.47</v>
      </c>
      <c r="Q12" s="1677"/>
      <c r="R12" s="1677">
        <v>1</v>
      </c>
      <c r="S12" s="1700">
        <v>9.99</v>
      </c>
      <c r="T12" s="1704">
        <v>96336.037530000001</v>
      </c>
      <c r="U12" s="1705">
        <v>-5.1267149335342266E-3</v>
      </c>
      <c r="V12" s="1706" t="s">
        <v>2391</v>
      </c>
      <c r="W12" s="1707" t="s">
        <v>2392</v>
      </c>
      <c r="X12" s="1708">
        <v>96832.47</v>
      </c>
      <c r="Y12" s="1709">
        <v>0</v>
      </c>
      <c r="Z12" s="1709">
        <v>3518</v>
      </c>
      <c r="AA12" s="1710">
        <v>93314.47</v>
      </c>
      <c r="AB12" s="1711">
        <v>1518</v>
      </c>
      <c r="AC12" s="1711">
        <v>-46202</v>
      </c>
      <c r="AD12" s="1712">
        <v>61.471982872200265</v>
      </c>
      <c r="AE12" s="1712">
        <v>-2.0197062897710056</v>
      </c>
      <c r="AF12" s="1713">
        <v>0</v>
      </c>
    </row>
    <row r="13" spans="1:43" s="1688" customFormat="1" ht="14.85" customHeight="1">
      <c r="B13" s="1695" t="s">
        <v>1027</v>
      </c>
      <c r="C13" s="1696" t="s">
        <v>1025</v>
      </c>
      <c r="D13" s="1697" t="s">
        <v>1228</v>
      </c>
      <c r="E13" s="1698" t="s">
        <v>1406</v>
      </c>
      <c r="F13" s="1699">
        <v>42661</v>
      </c>
      <c r="G13" s="1700">
        <v>14</v>
      </c>
      <c r="H13" s="1700">
        <v>15</v>
      </c>
      <c r="I13" s="1700">
        <v>17</v>
      </c>
      <c r="J13" s="1700">
        <v>20.5</v>
      </c>
      <c r="K13" s="1701">
        <f t="shared" ref="K13" si="0">+M13-L13</f>
        <v>35360.633999999998</v>
      </c>
      <c r="L13" s="1702">
        <v>4000</v>
      </c>
      <c r="M13" s="1702">
        <v>39360.633999999998</v>
      </c>
      <c r="N13" s="1701">
        <f t="shared" ref="N13" si="1">+G13*K13</f>
        <v>495048.87599999999</v>
      </c>
      <c r="O13" s="1703">
        <f t="shared" ref="O13" si="2">+G13*L13</f>
        <v>56000</v>
      </c>
      <c r="P13" s="1701">
        <f t="shared" ref="P13" si="3">+N13+O13</f>
        <v>551048.87599999993</v>
      </c>
      <c r="Q13" s="1677"/>
      <c r="R13" s="1677">
        <v>1</v>
      </c>
      <c r="S13" s="1700">
        <f>J13</f>
        <v>20.5</v>
      </c>
      <c r="T13" s="1704">
        <f t="shared" ref="T13" si="4">S13*M13</f>
        <v>806892.99699999997</v>
      </c>
      <c r="U13" s="1705">
        <f t="shared" ref="U13" si="5">T13/P13-1</f>
        <v>0.46428571428571441</v>
      </c>
      <c r="V13" s="1706" t="s">
        <v>1026</v>
      </c>
      <c r="W13" s="1707" t="s">
        <v>1028</v>
      </c>
      <c r="X13" s="1708">
        <f>+N13+O13</f>
        <v>551048.87599999993</v>
      </c>
      <c r="Y13" s="1709">
        <v>0</v>
      </c>
      <c r="Z13" s="1709">
        <v>246849</v>
      </c>
      <c r="AA13" s="1710">
        <f>X13+Y13-Z13</f>
        <v>304199.87599999993</v>
      </c>
      <c r="AB13" s="1711">
        <v>1518</v>
      </c>
      <c r="AC13" s="1711">
        <v>-46202</v>
      </c>
      <c r="AD13" s="1712">
        <f>IFERROR(AA13/AB13,"n/a")</f>
        <v>200.39517523056648</v>
      </c>
      <c r="AE13" s="1712">
        <f>IFERROR(AA13/AC13,"n/a")</f>
        <v>-6.584127873252239</v>
      </c>
      <c r="AF13" s="1713">
        <f t="shared" ref="AF13" si="6">+P13-X13</f>
        <v>0</v>
      </c>
    </row>
    <row r="14" spans="1:43" s="1688" customFormat="1" ht="14.85" customHeight="1">
      <c r="A14" s="1714"/>
      <c r="B14" s="1695" t="s">
        <v>1069</v>
      </c>
      <c r="C14" s="1696" t="s">
        <v>1067</v>
      </c>
      <c r="D14" s="1697" t="s">
        <v>1005</v>
      </c>
      <c r="E14" s="1698" t="s">
        <v>1432</v>
      </c>
      <c r="F14" s="1699">
        <v>42571</v>
      </c>
      <c r="G14" s="1715">
        <v>15</v>
      </c>
      <c r="H14" s="1715">
        <v>14</v>
      </c>
      <c r="I14" s="1715">
        <v>16</v>
      </c>
      <c r="J14" s="1715">
        <v>14.4</v>
      </c>
      <c r="K14" s="1701">
        <f t="shared" ref="K14:K28" si="7">+M14-L14</f>
        <v>16020.378000000001</v>
      </c>
      <c r="L14" s="1702">
        <v>5000</v>
      </c>
      <c r="M14" s="1702">
        <v>21020.378000000001</v>
      </c>
      <c r="N14" s="1701">
        <f t="shared" ref="N14:N28" si="8">+G14*K14</f>
        <v>240305.67</v>
      </c>
      <c r="O14" s="1703">
        <f t="shared" ref="O14:O28" si="9">+G14*L14</f>
        <v>75000</v>
      </c>
      <c r="P14" s="1701">
        <f t="shared" ref="P14:P28" si="10">+N14+O14</f>
        <v>315305.67000000004</v>
      </c>
      <c r="Q14" s="1701"/>
      <c r="R14" s="1677">
        <v>1</v>
      </c>
      <c r="S14" s="1700">
        <f t="shared" ref="S14:S28" si="11">J14</f>
        <v>14.4</v>
      </c>
      <c r="T14" s="1704">
        <f t="shared" ref="T14:T28" si="12">S14*M14</f>
        <v>302693.44320000004</v>
      </c>
      <c r="U14" s="1705">
        <f t="shared" ref="U14:U28" si="13">T14/P14-1</f>
        <v>-4.0000000000000036E-2</v>
      </c>
      <c r="V14" s="1716" t="s">
        <v>1068</v>
      </c>
      <c r="W14" s="1707" t="s">
        <v>1070</v>
      </c>
      <c r="X14" s="1708">
        <f t="shared" ref="X14:X28" si="14">+N14+O14</f>
        <v>315305.67000000004</v>
      </c>
      <c r="Y14" s="1708">
        <v>0</v>
      </c>
      <c r="Z14" s="1708">
        <v>59713</v>
      </c>
      <c r="AA14" s="1710">
        <f t="shared" ref="AA14:AA28" si="15">X14+Y14-Z14</f>
        <v>255592.67000000004</v>
      </c>
      <c r="AB14" s="1711">
        <v>0</v>
      </c>
      <c r="AC14" s="1717">
        <v>-40429</v>
      </c>
      <c r="AD14" s="1712" t="str">
        <f t="shared" ref="AD14:AD28" si="16">IFERROR(AA14/AB14,"n/a")</f>
        <v>n/a</v>
      </c>
      <c r="AE14" s="1712">
        <f t="shared" ref="AE14:AE28" si="17">IFERROR(AA14/AC14,"n/a")</f>
        <v>-6.3220131588711084</v>
      </c>
      <c r="AF14" s="1713">
        <f t="shared" ref="AF14:AF28" si="18">+P14-X14</f>
        <v>0</v>
      </c>
      <c r="AG14" s="1718"/>
    </row>
    <row r="15" spans="1:43" s="1688" customFormat="1" ht="14.85" customHeight="1">
      <c r="A15" s="1714"/>
      <c r="B15" s="1695" t="s">
        <v>1439</v>
      </c>
      <c r="C15" s="1696" t="s">
        <v>1440</v>
      </c>
      <c r="D15" s="1697" t="s">
        <v>1005</v>
      </c>
      <c r="E15" s="1698" t="s">
        <v>1441</v>
      </c>
      <c r="F15" s="1699">
        <v>42522</v>
      </c>
      <c r="G15" s="1715">
        <v>6</v>
      </c>
      <c r="H15" s="1715">
        <v>5</v>
      </c>
      <c r="I15" s="1715">
        <v>6</v>
      </c>
      <c r="J15" s="1715">
        <v>7.0350000000000001</v>
      </c>
      <c r="K15" s="1701">
        <f t="shared" si="7"/>
        <v>6895.2960000000003</v>
      </c>
      <c r="L15" s="1702">
        <v>1540.0260000000001</v>
      </c>
      <c r="M15" s="1702">
        <v>8435.3220000000001</v>
      </c>
      <c r="N15" s="1701">
        <f t="shared" si="8"/>
        <v>41371.775999999998</v>
      </c>
      <c r="O15" s="1703">
        <f t="shared" si="9"/>
        <v>9240.1560000000009</v>
      </c>
      <c r="P15" s="1701">
        <f t="shared" si="10"/>
        <v>50611.932000000001</v>
      </c>
      <c r="Q15" s="1701"/>
      <c r="R15" s="1677">
        <v>1</v>
      </c>
      <c r="S15" s="1700">
        <f t="shared" si="11"/>
        <v>7.0350000000000001</v>
      </c>
      <c r="T15" s="1704">
        <f t="shared" si="12"/>
        <v>59342.490270000002</v>
      </c>
      <c r="U15" s="1705">
        <f t="shared" si="13"/>
        <v>0.1725000000000001</v>
      </c>
      <c r="V15" s="1716" t="s">
        <v>1442</v>
      </c>
      <c r="W15" s="1707" t="s">
        <v>1443</v>
      </c>
      <c r="X15" s="1708">
        <f t="shared" si="14"/>
        <v>50611.932000000001</v>
      </c>
      <c r="Y15" s="1708">
        <v>450000</v>
      </c>
      <c r="Z15" s="1708">
        <v>28.09</v>
      </c>
      <c r="AA15" s="1710">
        <f t="shared" si="15"/>
        <v>500583.842</v>
      </c>
      <c r="AB15" s="1711">
        <v>0</v>
      </c>
      <c r="AC15" s="1717">
        <v>0</v>
      </c>
      <c r="AD15" s="1712" t="str">
        <f t="shared" si="16"/>
        <v>n/a</v>
      </c>
      <c r="AE15" s="1712" t="str">
        <f t="shared" si="17"/>
        <v>n/a</v>
      </c>
      <c r="AF15" s="1713">
        <f t="shared" si="18"/>
        <v>0</v>
      </c>
      <c r="AG15" s="1718"/>
    </row>
    <row r="16" spans="1:43" s="1718" customFormat="1" ht="14.85" customHeight="1">
      <c r="A16" s="1714"/>
      <c r="B16" s="1695" t="s">
        <v>1108</v>
      </c>
      <c r="C16" s="1698" t="s">
        <v>1106</v>
      </c>
      <c r="D16" s="1697" t="s">
        <v>1005</v>
      </c>
      <c r="E16" s="1698" t="s">
        <v>1454</v>
      </c>
      <c r="F16" s="1699">
        <v>42507</v>
      </c>
      <c r="G16" s="1715">
        <v>5</v>
      </c>
      <c r="H16" s="1715">
        <v>0</v>
      </c>
      <c r="I16" s="1715">
        <v>0</v>
      </c>
      <c r="J16" s="1715">
        <v>5.18</v>
      </c>
      <c r="K16" s="1701">
        <f t="shared" si="7"/>
        <v>7883.2340000000004</v>
      </c>
      <c r="L16" s="1702">
        <v>3700</v>
      </c>
      <c r="M16" s="1702">
        <v>11583.234</v>
      </c>
      <c r="N16" s="1701">
        <f t="shared" si="8"/>
        <v>39416.17</v>
      </c>
      <c r="O16" s="1703">
        <f t="shared" si="9"/>
        <v>18500</v>
      </c>
      <c r="P16" s="1701">
        <f t="shared" si="10"/>
        <v>57916.17</v>
      </c>
      <c r="Q16" s="1701"/>
      <c r="R16" s="1677">
        <v>1</v>
      </c>
      <c r="S16" s="1700">
        <f t="shared" si="11"/>
        <v>5.18</v>
      </c>
      <c r="T16" s="1704">
        <f t="shared" si="12"/>
        <v>60001.152119999999</v>
      </c>
      <c r="U16" s="1705">
        <f t="shared" si="13"/>
        <v>3.6000000000000032E-2</v>
      </c>
      <c r="V16" s="1716" t="s">
        <v>1107</v>
      </c>
      <c r="W16" s="1707" t="s">
        <v>1109</v>
      </c>
      <c r="X16" s="1708">
        <f t="shared" si="14"/>
        <v>57916.17</v>
      </c>
      <c r="Y16" s="1708">
        <v>19992000</v>
      </c>
      <c r="Z16" s="1708">
        <v>905</v>
      </c>
      <c r="AA16" s="1710">
        <f t="shared" si="15"/>
        <v>20049011.170000002</v>
      </c>
      <c r="AB16" s="1711">
        <v>0</v>
      </c>
      <c r="AC16" s="1717">
        <v>-14899</v>
      </c>
      <c r="AD16" s="1712" t="str">
        <f t="shared" si="16"/>
        <v>n/a</v>
      </c>
      <c r="AE16" s="1712">
        <f t="shared" si="17"/>
        <v>-1345.6615323176054</v>
      </c>
      <c r="AF16" s="1713">
        <f t="shared" si="18"/>
        <v>0</v>
      </c>
      <c r="AG16" s="1688"/>
      <c r="AK16" s="1713"/>
      <c r="AL16" s="1719"/>
    </row>
    <row r="17" spans="1:42" s="1688" customFormat="1" ht="14.85" customHeight="1">
      <c r="A17" s="1714"/>
      <c r="B17" s="1695" t="s">
        <v>1058</v>
      </c>
      <c r="C17" s="1698" t="s">
        <v>1056</v>
      </c>
      <c r="D17" s="1697" t="s">
        <v>1228</v>
      </c>
      <c r="E17" s="1698" t="s">
        <v>1460</v>
      </c>
      <c r="F17" s="1699">
        <v>42495</v>
      </c>
      <c r="G17" s="1715">
        <v>18</v>
      </c>
      <c r="H17" s="1715">
        <v>16</v>
      </c>
      <c r="I17" s="1715">
        <v>18</v>
      </c>
      <c r="J17" s="1715">
        <v>28.8</v>
      </c>
      <c r="K17" s="1701">
        <f t="shared" si="7"/>
        <v>29096.264999999999</v>
      </c>
      <c r="L17" s="1702">
        <v>6000</v>
      </c>
      <c r="M17" s="1702">
        <v>35096.264999999999</v>
      </c>
      <c r="N17" s="1701">
        <f t="shared" si="8"/>
        <v>523732.77</v>
      </c>
      <c r="O17" s="1703">
        <f t="shared" si="9"/>
        <v>108000</v>
      </c>
      <c r="P17" s="1701">
        <f t="shared" si="10"/>
        <v>631732.77</v>
      </c>
      <c r="Q17" s="1701"/>
      <c r="R17" s="1677">
        <v>1</v>
      </c>
      <c r="S17" s="1700">
        <f t="shared" si="11"/>
        <v>28.8</v>
      </c>
      <c r="T17" s="1704">
        <f t="shared" si="12"/>
        <v>1010772.432</v>
      </c>
      <c r="U17" s="1705">
        <f t="shared" si="13"/>
        <v>0.60000000000000009</v>
      </c>
      <c r="V17" s="1716" t="s">
        <v>1057</v>
      </c>
      <c r="W17" s="1707" t="s">
        <v>1059</v>
      </c>
      <c r="X17" s="1708">
        <f t="shared" si="14"/>
        <v>631732.77</v>
      </c>
      <c r="Y17" s="1708">
        <v>0</v>
      </c>
      <c r="Z17" s="1708">
        <v>75816</v>
      </c>
      <c r="AA17" s="1710">
        <f t="shared" si="15"/>
        <v>555916.77</v>
      </c>
      <c r="AB17" s="1711">
        <v>9364</v>
      </c>
      <c r="AC17" s="1717">
        <v>-21770</v>
      </c>
      <c r="AD17" s="1712">
        <f t="shared" si="16"/>
        <v>59.367446604015377</v>
      </c>
      <c r="AE17" s="1712">
        <f t="shared" si="17"/>
        <v>-25.535910427193386</v>
      </c>
      <c r="AF17" s="1713">
        <f t="shared" si="18"/>
        <v>0</v>
      </c>
      <c r="AK17" s="1713"/>
      <c r="AL17" s="1719"/>
      <c r="AM17" s="1718"/>
    </row>
    <row r="18" spans="1:42" s="1688" customFormat="1" ht="14.85" customHeight="1">
      <c r="A18" s="1714"/>
      <c r="B18" s="1695" t="s">
        <v>1465</v>
      </c>
      <c r="C18" s="1698" t="s">
        <v>1466</v>
      </c>
      <c r="D18" s="1697" t="s">
        <v>1986</v>
      </c>
      <c r="E18" s="1698" t="s">
        <v>1467</v>
      </c>
      <c r="F18" s="1699">
        <v>42466</v>
      </c>
      <c r="G18" s="1715">
        <v>10</v>
      </c>
      <c r="H18" s="1715">
        <v>16</v>
      </c>
      <c r="I18" s="1715">
        <v>18</v>
      </c>
      <c r="J18" s="1715">
        <v>8.7100000000000009</v>
      </c>
      <c r="K18" s="1701">
        <f t="shared" si="7"/>
        <v>7929.8320000000003</v>
      </c>
      <c r="L18" s="1702">
        <v>5000</v>
      </c>
      <c r="M18" s="1702">
        <v>12929.832</v>
      </c>
      <c r="N18" s="1701">
        <f t="shared" si="8"/>
        <v>79298.320000000007</v>
      </c>
      <c r="O18" s="1703">
        <f t="shared" si="9"/>
        <v>50000</v>
      </c>
      <c r="P18" s="1701">
        <f t="shared" si="10"/>
        <v>129298.32</v>
      </c>
      <c r="Q18" s="1701"/>
      <c r="R18" s="1677">
        <v>1</v>
      </c>
      <c r="S18" s="1700">
        <f t="shared" si="11"/>
        <v>8.7100000000000009</v>
      </c>
      <c r="T18" s="1704">
        <f t="shared" si="12"/>
        <v>112618.83672000002</v>
      </c>
      <c r="U18" s="1705">
        <f t="shared" si="13"/>
        <v>-0.12899999999999989</v>
      </c>
      <c r="V18" s="1706" t="s">
        <v>1468</v>
      </c>
      <c r="W18" s="1707" t="s">
        <v>1469</v>
      </c>
      <c r="X18" s="1708">
        <f t="shared" si="14"/>
        <v>129298.32</v>
      </c>
      <c r="Y18" s="1708">
        <v>0</v>
      </c>
      <c r="Z18" s="1708">
        <v>29294</v>
      </c>
      <c r="AA18" s="1710">
        <f t="shared" si="15"/>
        <v>100004.32</v>
      </c>
      <c r="AB18" s="1711">
        <v>4890</v>
      </c>
      <c r="AC18" s="1717">
        <v>-17383</v>
      </c>
      <c r="AD18" s="1712">
        <f t="shared" si="16"/>
        <v>20.450781186094073</v>
      </c>
      <c r="AE18" s="1712">
        <f t="shared" si="17"/>
        <v>-5.7529954553299207</v>
      </c>
      <c r="AF18" s="1713">
        <f t="shared" si="18"/>
        <v>0</v>
      </c>
      <c r="AK18" s="1703"/>
      <c r="AL18" s="1719"/>
      <c r="AM18" s="1718"/>
    </row>
    <row r="19" spans="1:42" s="1673" customFormat="1" ht="14.85" customHeight="1">
      <c r="A19" s="1714"/>
      <c r="B19" s="1695" t="s">
        <v>1484</v>
      </c>
      <c r="C19" s="1698" t="s">
        <v>1485</v>
      </c>
      <c r="D19" s="1697" t="s">
        <v>1986</v>
      </c>
      <c r="E19" s="1698" t="s">
        <v>1486</v>
      </c>
      <c r="F19" s="1699">
        <v>42410</v>
      </c>
      <c r="G19" s="1715">
        <v>8</v>
      </c>
      <c r="H19" s="1715">
        <v>12</v>
      </c>
      <c r="I19" s="1715">
        <v>14</v>
      </c>
      <c r="J19" s="1715">
        <v>8.9600000000000009</v>
      </c>
      <c r="K19" s="1701">
        <f t="shared" si="7"/>
        <v>12861.478999999999</v>
      </c>
      <c r="L19" s="1702">
        <v>6250</v>
      </c>
      <c r="M19" s="1702">
        <v>19111.478999999999</v>
      </c>
      <c r="N19" s="1701">
        <f t="shared" si="8"/>
        <v>102891.83199999999</v>
      </c>
      <c r="O19" s="1703">
        <f t="shared" si="9"/>
        <v>50000</v>
      </c>
      <c r="P19" s="1701">
        <f t="shared" si="10"/>
        <v>152891.83199999999</v>
      </c>
      <c r="Q19" s="1701"/>
      <c r="R19" s="1677">
        <v>1</v>
      </c>
      <c r="S19" s="1700">
        <f t="shared" si="11"/>
        <v>8.9600000000000009</v>
      </c>
      <c r="T19" s="1704">
        <f t="shared" si="12"/>
        <v>171238.85184000002</v>
      </c>
      <c r="U19" s="1705">
        <f t="shared" si="13"/>
        <v>0.12000000000000011</v>
      </c>
      <c r="V19" s="1706" t="s">
        <v>1487</v>
      </c>
      <c r="W19" s="1707" t="s">
        <v>1488</v>
      </c>
      <c r="X19" s="1708">
        <f t="shared" si="14"/>
        <v>152891.83199999999</v>
      </c>
      <c r="Y19" s="1708">
        <v>0</v>
      </c>
      <c r="Z19" s="1708">
        <v>20919</v>
      </c>
      <c r="AA19" s="1710">
        <f t="shared" si="15"/>
        <v>131972.83199999999</v>
      </c>
      <c r="AB19" s="1711">
        <v>5044</v>
      </c>
      <c r="AC19" s="1717">
        <v>-29704</v>
      </c>
      <c r="AD19" s="1712">
        <f t="shared" si="16"/>
        <v>26.164320380650278</v>
      </c>
      <c r="AE19" s="1712">
        <f t="shared" si="17"/>
        <v>-4.442931322380824</v>
      </c>
      <c r="AF19" s="1713">
        <f t="shared" si="18"/>
        <v>0</v>
      </c>
      <c r="AG19" s="1688"/>
      <c r="AK19" s="1703"/>
      <c r="AL19" s="1719"/>
      <c r="AM19" s="1718"/>
    </row>
    <row r="20" spans="1:42" s="1673" customFormat="1" ht="14.85" customHeight="1">
      <c r="A20" s="1714"/>
      <c r="B20" s="1695" t="s">
        <v>1046</v>
      </c>
      <c r="C20" s="1698" t="s">
        <v>1044</v>
      </c>
      <c r="D20" s="1697" t="s">
        <v>1005</v>
      </c>
      <c r="E20" s="1698" t="s">
        <v>1489</v>
      </c>
      <c r="F20" s="1699">
        <v>42402</v>
      </c>
      <c r="G20" s="1715">
        <v>16</v>
      </c>
      <c r="H20" s="1715">
        <v>16</v>
      </c>
      <c r="I20" s="1715">
        <v>18</v>
      </c>
      <c r="J20" s="1715">
        <v>35.56</v>
      </c>
      <c r="K20" s="1701">
        <f t="shared" si="7"/>
        <v>29799.538</v>
      </c>
      <c r="L20" s="1702">
        <v>5900</v>
      </c>
      <c r="M20" s="1702">
        <v>35699.538</v>
      </c>
      <c r="N20" s="1701">
        <f t="shared" si="8"/>
        <v>476792.60800000001</v>
      </c>
      <c r="O20" s="1703">
        <f t="shared" si="9"/>
        <v>94400</v>
      </c>
      <c r="P20" s="1701">
        <f t="shared" si="10"/>
        <v>571192.60800000001</v>
      </c>
      <c r="Q20" s="1701"/>
      <c r="R20" s="1677">
        <v>1</v>
      </c>
      <c r="S20" s="1700">
        <f t="shared" si="11"/>
        <v>35.56</v>
      </c>
      <c r="T20" s="1704">
        <f t="shared" si="12"/>
        <v>1269475.57128</v>
      </c>
      <c r="U20" s="1705">
        <f t="shared" si="13"/>
        <v>1.2225000000000001</v>
      </c>
      <c r="V20" s="1706" t="s">
        <v>1045</v>
      </c>
      <c r="W20" s="1707" t="s">
        <v>1047</v>
      </c>
      <c r="X20" s="1708">
        <f t="shared" si="14"/>
        <v>571192.60800000001</v>
      </c>
      <c r="Y20" s="1708">
        <v>1826000</v>
      </c>
      <c r="Z20" s="1708">
        <v>155301</v>
      </c>
      <c r="AA20" s="1710">
        <f t="shared" si="15"/>
        <v>2241891.608</v>
      </c>
      <c r="AB20" s="1711">
        <v>5655</v>
      </c>
      <c r="AC20" s="1717">
        <v>-56081</v>
      </c>
      <c r="AD20" s="1712">
        <f t="shared" si="16"/>
        <v>396.44413934571173</v>
      </c>
      <c r="AE20" s="1712">
        <f t="shared" si="17"/>
        <v>-39.975956348852556</v>
      </c>
      <c r="AF20" s="1713">
        <f t="shared" si="18"/>
        <v>0</v>
      </c>
      <c r="AG20" s="1688"/>
      <c r="AK20" s="1703"/>
      <c r="AL20" s="1719"/>
      <c r="AM20" s="1718"/>
    </row>
    <row r="21" spans="1:42" s="1673" customFormat="1" ht="14.85" customHeight="1">
      <c r="A21" s="1714"/>
      <c r="B21" s="1695" t="s">
        <v>1031</v>
      </c>
      <c r="C21" s="1698" t="s">
        <v>1029</v>
      </c>
      <c r="D21" s="1697" t="s">
        <v>1005</v>
      </c>
      <c r="E21" s="1698" t="s">
        <v>1498</v>
      </c>
      <c r="F21" s="1699">
        <v>42318</v>
      </c>
      <c r="G21" s="1715">
        <v>16</v>
      </c>
      <c r="H21" s="1715">
        <v>15</v>
      </c>
      <c r="I21" s="1715">
        <v>17</v>
      </c>
      <c r="J21" s="1715">
        <v>13.785</v>
      </c>
      <c r="K21" s="1701">
        <f t="shared" si="7"/>
        <v>14558.296999999999</v>
      </c>
      <c r="L21" s="1702">
        <v>6375</v>
      </c>
      <c r="M21" s="1702">
        <v>20933.296999999999</v>
      </c>
      <c r="N21" s="1701">
        <f t="shared" si="8"/>
        <v>232932.75199999998</v>
      </c>
      <c r="O21" s="1703">
        <f t="shared" si="9"/>
        <v>102000</v>
      </c>
      <c r="P21" s="1701">
        <f t="shared" si="10"/>
        <v>334932.75199999998</v>
      </c>
      <c r="Q21" s="1701"/>
      <c r="R21" s="1677">
        <v>1</v>
      </c>
      <c r="S21" s="1700">
        <f t="shared" si="11"/>
        <v>13.785</v>
      </c>
      <c r="T21" s="1704">
        <f t="shared" si="12"/>
        <v>288565.49914500001</v>
      </c>
      <c r="U21" s="1705">
        <f t="shared" si="13"/>
        <v>-0.13843749999999988</v>
      </c>
      <c r="V21" s="1706" t="s">
        <v>1030</v>
      </c>
      <c r="W21" s="1707" t="s">
        <v>1032</v>
      </c>
      <c r="X21" s="1708">
        <f t="shared" si="14"/>
        <v>334932.75199999998</v>
      </c>
      <c r="Y21" s="1708">
        <v>171000</v>
      </c>
      <c r="Z21" s="1708">
        <v>7779</v>
      </c>
      <c r="AA21" s="1710">
        <f t="shared" si="15"/>
        <v>498153.75199999998</v>
      </c>
      <c r="AB21" s="1711">
        <v>417</v>
      </c>
      <c r="AC21" s="1717">
        <v>-31242</v>
      </c>
      <c r="AD21" s="1712">
        <f t="shared" si="16"/>
        <v>1194.613314148681</v>
      </c>
      <c r="AE21" s="1712">
        <f t="shared" si="17"/>
        <v>-15.945001984508034</v>
      </c>
      <c r="AF21" s="1713">
        <f t="shared" si="18"/>
        <v>0</v>
      </c>
      <c r="AG21" s="1688"/>
      <c r="AK21" s="1703"/>
      <c r="AL21" s="1719"/>
      <c r="AM21" s="1718"/>
    </row>
    <row r="22" spans="1:42" s="1673" customFormat="1" ht="14.85" customHeight="1">
      <c r="A22" s="1714"/>
      <c r="B22" s="1695" t="s">
        <v>1515</v>
      </c>
      <c r="C22" s="1698" t="s">
        <v>1516</v>
      </c>
      <c r="D22" s="1697" t="s">
        <v>1005</v>
      </c>
      <c r="E22" s="1698" t="s">
        <v>1517</v>
      </c>
      <c r="F22" s="1699">
        <v>42284</v>
      </c>
      <c r="G22" s="1715">
        <v>12</v>
      </c>
      <c r="H22" s="1715">
        <v>14</v>
      </c>
      <c r="I22" s="1715">
        <v>16</v>
      </c>
      <c r="J22" s="1715">
        <v>11.42</v>
      </c>
      <c r="K22" s="1701">
        <f t="shared" si="7"/>
        <v>28253.925999999999</v>
      </c>
      <c r="L22" s="1702">
        <v>6666.6670000000004</v>
      </c>
      <c r="M22" s="1702">
        <v>34920.593000000001</v>
      </c>
      <c r="N22" s="1701">
        <f t="shared" si="8"/>
        <v>339047.11199999996</v>
      </c>
      <c r="O22" s="1703">
        <f t="shared" si="9"/>
        <v>80000.004000000001</v>
      </c>
      <c r="P22" s="1701">
        <f t="shared" si="10"/>
        <v>419047.11599999998</v>
      </c>
      <c r="Q22" s="1701"/>
      <c r="R22" s="1677">
        <v>1</v>
      </c>
      <c r="S22" s="1700">
        <f t="shared" si="11"/>
        <v>11.42</v>
      </c>
      <c r="T22" s="1704">
        <f t="shared" si="12"/>
        <v>398793.17206000001</v>
      </c>
      <c r="U22" s="1705">
        <f t="shared" si="13"/>
        <v>-4.8333333333333228E-2</v>
      </c>
      <c r="V22" s="1706" t="s">
        <v>1518</v>
      </c>
      <c r="W22" s="1707" t="s">
        <v>1519</v>
      </c>
      <c r="X22" s="1708">
        <f t="shared" si="14"/>
        <v>419047.11599999998</v>
      </c>
      <c r="Y22" s="1708">
        <v>2292000</v>
      </c>
      <c r="Z22" s="1708">
        <v>45842</v>
      </c>
      <c r="AA22" s="1710">
        <f t="shared" si="15"/>
        <v>2665205.1159999999</v>
      </c>
      <c r="AB22" s="1711">
        <v>9244</v>
      </c>
      <c r="AC22" s="1717">
        <v>-51797</v>
      </c>
      <c r="AD22" s="1712">
        <f t="shared" si="16"/>
        <v>288.31729943747297</v>
      </c>
      <c r="AE22" s="1712">
        <f t="shared" si="17"/>
        <v>-51.454816224877888</v>
      </c>
      <c r="AF22" s="1713">
        <f t="shared" si="18"/>
        <v>0</v>
      </c>
      <c r="AG22" s="1688"/>
      <c r="AK22" s="1703"/>
      <c r="AL22" s="1719"/>
      <c r="AM22" s="1718"/>
    </row>
    <row r="23" spans="1:42" s="1673" customFormat="1" ht="14.85" customHeight="1">
      <c r="A23" s="1714"/>
      <c r="B23" s="1695" t="s">
        <v>1035</v>
      </c>
      <c r="C23" s="1698" t="s">
        <v>1033</v>
      </c>
      <c r="D23" s="1697" t="s">
        <v>1005</v>
      </c>
      <c r="E23" s="1698" t="s">
        <v>1534</v>
      </c>
      <c r="F23" s="1699">
        <v>42263</v>
      </c>
      <c r="G23" s="1715">
        <v>22</v>
      </c>
      <c r="H23" s="1715">
        <v>17</v>
      </c>
      <c r="I23" s="1715">
        <v>19</v>
      </c>
      <c r="J23" s="1715">
        <v>18.55</v>
      </c>
      <c r="K23" s="1701">
        <f t="shared" si="7"/>
        <v>19050.707999999999</v>
      </c>
      <c r="L23" s="1702">
        <v>6300</v>
      </c>
      <c r="M23" s="1702">
        <v>25350.707999999999</v>
      </c>
      <c r="N23" s="1701">
        <f t="shared" si="8"/>
        <v>419115.576</v>
      </c>
      <c r="O23" s="1703">
        <f t="shared" si="9"/>
        <v>138600</v>
      </c>
      <c r="P23" s="1701">
        <f t="shared" si="10"/>
        <v>557715.576</v>
      </c>
      <c r="Q23" s="1701"/>
      <c r="R23" s="1677">
        <v>1</v>
      </c>
      <c r="S23" s="1700">
        <f t="shared" si="11"/>
        <v>18.55</v>
      </c>
      <c r="T23" s="1704">
        <f t="shared" si="12"/>
        <v>470255.63339999999</v>
      </c>
      <c r="U23" s="1705">
        <f t="shared" si="13"/>
        <v>-0.15681818181818186</v>
      </c>
      <c r="V23" s="1720" t="s">
        <v>1034</v>
      </c>
      <c r="W23" s="1707" t="s">
        <v>1036</v>
      </c>
      <c r="X23" s="1708">
        <f t="shared" si="14"/>
        <v>557715.576</v>
      </c>
      <c r="Y23" s="1708">
        <v>0</v>
      </c>
      <c r="Z23" s="1708">
        <v>85215</v>
      </c>
      <c r="AA23" s="1710">
        <f t="shared" si="15"/>
        <v>472500.576</v>
      </c>
      <c r="AB23" s="1711">
        <v>8349</v>
      </c>
      <c r="AC23" s="1717">
        <v>-38825</v>
      </c>
      <c r="AD23" s="1712">
        <f t="shared" si="16"/>
        <v>56.593673014732303</v>
      </c>
      <c r="AE23" s="1712">
        <f t="shared" si="17"/>
        <v>-12.170008396651642</v>
      </c>
      <c r="AF23" s="1713">
        <f t="shared" si="18"/>
        <v>0</v>
      </c>
      <c r="AG23" s="1721"/>
      <c r="AH23" s="1721"/>
      <c r="AI23" s="1721"/>
      <c r="AJ23" s="1721"/>
      <c r="AK23" s="1722"/>
      <c r="AL23" s="1719"/>
      <c r="AM23" s="1718"/>
      <c r="AN23" s="1721"/>
      <c r="AO23" s="1721"/>
      <c r="AP23" s="1721"/>
    </row>
    <row r="24" spans="1:42" s="1673" customFormat="1" ht="14.85" customHeight="1">
      <c r="A24" s="1714"/>
      <c r="B24" s="1695" t="s">
        <v>1545</v>
      </c>
      <c r="C24" s="1698" t="s">
        <v>1546</v>
      </c>
      <c r="D24" s="1697" t="s">
        <v>1005</v>
      </c>
      <c r="E24" s="1698" t="s">
        <v>1547</v>
      </c>
      <c r="F24" s="1699">
        <v>42220</v>
      </c>
      <c r="G24" s="1715">
        <v>14</v>
      </c>
      <c r="H24" s="1715">
        <v>13</v>
      </c>
      <c r="I24" s="1715">
        <v>15</v>
      </c>
      <c r="J24" s="1715">
        <v>28.8</v>
      </c>
      <c r="K24" s="1701">
        <f t="shared" si="7"/>
        <v>5733.9629999999997</v>
      </c>
      <c r="L24" s="1702">
        <v>3000</v>
      </c>
      <c r="M24" s="1702">
        <v>8733.9629999999997</v>
      </c>
      <c r="N24" s="1701">
        <f t="shared" si="8"/>
        <v>80275.481999999989</v>
      </c>
      <c r="O24" s="1703">
        <f t="shared" si="9"/>
        <v>42000</v>
      </c>
      <c r="P24" s="1701">
        <f t="shared" si="10"/>
        <v>122275.48199999999</v>
      </c>
      <c r="Q24" s="1701"/>
      <c r="R24" s="1677">
        <v>1</v>
      </c>
      <c r="S24" s="1700">
        <f t="shared" si="11"/>
        <v>28.8</v>
      </c>
      <c r="T24" s="1704">
        <f t="shared" si="12"/>
        <v>251538.13440000001</v>
      </c>
      <c r="U24" s="1705">
        <f t="shared" si="13"/>
        <v>1.0571428571428574</v>
      </c>
      <c r="V24" s="1720" t="s">
        <v>1548</v>
      </c>
      <c r="W24" s="1707" t="s">
        <v>1549</v>
      </c>
      <c r="X24" s="1708">
        <f t="shared" si="14"/>
        <v>122275.48199999999</v>
      </c>
      <c r="Y24" s="1708">
        <v>0</v>
      </c>
      <c r="Z24" s="1708">
        <v>7375.9800000000005</v>
      </c>
      <c r="AA24" s="1710">
        <f t="shared" si="15"/>
        <v>114899.50199999999</v>
      </c>
      <c r="AB24" s="1711">
        <v>255.92999999999998</v>
      </c>
      <c r="AC24" s="1717">
        <v>-19887.91</v>
      </c>
      <c r="AD24" s="1712">
        <f t="shared" si="16"/>
        <v>448.94893916305239</v>
      </c>
      <c r="AE24" s="1712">
        <f t="shared" si="17"/>
        <v>-5.7773542820738824</v>
      </c>
      <c r="AF24" s="1713">
        <f t="shared" si="18"/>
        <v>0</v>
      </c>
      <c r="AG24" s="1723"/>
      <c r="AH24" s="1722"/>
      <c r="AI24" s="1723"/>
      <c r="AJ24" s="1724"/>
      <c r="AK24" s="1722"/>
      <c r="AL24" s="1719"/>
      <c r="AM24" s="1718"/>
      <c r="AN24" s="1720"/>
      <c r="AO24" s="1725"/>
      <c r="AP24" s="1725"/>
    </row>
    <row r="25" spans="1:42" s="1721" customFormat="1" ht="14.85" customHeight="1">
      <c r="A25" s="1714"/>
      <c r="B25" s="1695" t="s">
        <v>1596</v>
      </c>
      <c r="C25" s="1698" t="s">
        <v>1597</v>
      </c>
      <c r="D25" s="1697" t="s">
        <v>1005</v>
      </c>
      <c r="E25" s="1698" t="s">
        <v>1598</v>
      </c>
      <c r="F25" s="1699">
        <v>42125</v>
      </c>
      <c r="G25" s="1715">
        <v>3.0585200000000001</v>
      </c>
      <c r="H25" s="1715">
        <v>0</v>
      </c>
      <c r="I25" s="1715">
        <v>0</v>
      </c>
      <c r="J25" s="1715">
        <v>3.2423000000000002</v>
      </c>
      <c r="K25" s="1701">
        <f t="shared" si="7"/>
        <v>117170.86200000002</v>
      </c>
      <c r="L25" s="1702">
        <v>32569.046999999999</v>
      </c>
      <c r="M25" s="1702">
        <v>149739.90900000001</v>
      </c>
      <c r="N25" s="1701">
        <f t="shared" si="8"/>
        <v>358369.42484424007</v>
      </c>
      <c r="O25" s="1703">
        <f t="shared" si="9"/>
        <v>99613.081630440007</v>
      </c>
      <c r="P25" s="1701">
        <f t="shared" si="10"/>
        <v>457982.50647468009</v>
      </c>
      <c r="Q25" s="1701"/>
      <c r="R25" s="1677">
        <v>1</v>
      </c>
      <c r="S25" s="1700">
        <f t="shared" si="11"/>
        <v>3.2423000000000002</v>
      </c>
      <c r="T25" s="1704">
        <f t="shared" si="12"/>
        <v>485501.70695070009</v>
      </c>
      <c r="U25" s="1705">
        <f t="shared" si="13"/>
        <v>6.0087885644036998E-2</v>
      </c>
      <c r="V25" s="1706" t="s">
        <v>1599</v>
      </c>
      <c r="W25" s="1707" t="s">
        <v>1600</v>
      </c>
      <c r="X25" s="1708">
        <f t="shared" si="14"/>
        <v>457982.50647468009</v>
      </c>
      <c r="Y25" s="1708">
        <v>2081999.9999999998</v>
      </c>
      <c r="Z25" s="1708">
        <v>213</v>
      </c>
      <c r="AA25" s="1710">
        <f t="shared" si="15"/>
        <v>2539769.5064746798</v>
      </c>
      <c r="AB25" s="1711">
        <v>0</v>
      </c>
      <c r="AC25" s="1717">
        <v>-13913</v>
      </c>
      <c r="AD25" s="1712" t="str">
        <f t="shared" si="16"/>
        <v>n/a</v>
      </c>
      <c r="AE25" s="1712">
        <f t="shared" si="17"/>
        <v>-182.54650373569177</v>
      </c>
      <c r="AF25" s="1713">
        <f t="shared" si="18"/>
        <v>0</v>
      </c>
      <c r="AG25" s="1688"/>
      <c r="AH25" s="1673"/>
      <c r="AI25" s="1673"/>
      <c r="AJ25" s="1673"/>
      <c r="AK25" s="1703"/>
      <c r="AL25" s="1719"/>
      <c r="AM25" s="1718"/>
      <c r="AN25" s="1673"/>
      <c r="AO25" s="1673"/>
      <c r="AP25" s="1673"/>
    </row>
    <row r="26" spans="1:42" s="1721" customFormat="1" ht="14.85" customHeight="1">
      <c r="A26" s="1714"/>
      <c r="B26" s="1695" t="s">
        <v>1366</v>
      </c>
      <c r="C26" s="1698" t="s">
        <v>1601</v>
      </c>
      <c r="D26" s="1697" t="s">
        <v>1987</v>
      </c>
      <c r="E26" s="1698" t="s">
        <v>1602</v>
      </c>
      <c r="F26" s="1699">
        <v>42123</v>
      </c>
      <c r="G26" s="1715">
        <v>18</v>
      </c>
      <c r="H26" s="1715">
        <v>15</v>
      </c>
      <c r="I26" s="1715">
        <v>17</v>
      </c>
      <c r="J26" s="1715">
        <v>28.69</v>
      </c>
      <c r="K26" s="1701">
        <f t="shared" si="7"/>
        <v>17686.131000000001</v>
      </c>
      <c r="L26" s="1702">
        <v>8145.8339999999998</v>
      </c>
      <c r="M26" s="1702">
        <v>25831.965</v>
      </c>
      <c r="N26" s="1701">
        <f t="shared" si="8"/>
        <v>318350.35800000001</v>
      </c>
      <c r="O26" s="1703">
        <f t="shared" si="9"/>
        <v>146625.01199999999</v>
      </c>
      <c r="P26" s="1701">
        <f t="shared" si="10"/>
        <v>464975.37</v>
      </c>
      <c r="Q26" s="1701"/>
      <c r="R26" s="1677">
        <v>1</v>
      </c>
      <c r="S26" s="1700">
        <f t="shared" si="11"/>
        <v>28.69</v>
      </c>
      <c r="T26" s="1704">
        <f t="shared" si="12"/>
        <v>741119.07585000002</v>
      </c>
      <c r="U26" s="1705">
        <f t="shared" si="13"/>
        <v>0.59388888888888891</v>
      </c>
      <c r="V26" s="1720" t="s">
        <v>1603</v>
      </c>
      <c r="W26" s="1707" t="s">
        <v>1988</v>
      </c>
      <c r="X26" s="1708">
        <f t="shared" si="14"/>
        <v>464975.37</v>
      </c>
      <c r="Y26" s="1708">
        <v>9042000</v>
      </c>
      <c r="Z26" s="1708">
        <v>47240</v>
      </c>
      <c r="AA26" s="1710">
        <f t="shared" si="15"/>
        <v>9459735.3699999992</v>
      </c>
      <c r="AB26" s="1711">
        <v>21982</v>
      </c>
      <c r="AC26" s="1717">
        <v>-60899</v>
      </c>
      <c r="AD26" s="1712">
        <f t="shared" si="16"/>
        <v>430.3400677827313</v>
      </c>
      <c r="AE26" s="1712">
        <f t="shared" si="17"/>
        <v>-155.33482273928962</v>
      </c>
      <c r="AF26" s="1713">
        <f t="shared" si="18"/>
        <v>0</v>
      </c>
      <c r="AK26" s="1722"/>
      <c r="AL26" s="1719"/>
      <c r="AM26" s="1718"/>
    </row>
    <row r="27" spans="1:42" s="1721" customFormat="1" ht="14.85" customHeight="1">
      <c r="A27" s="1714"/>
      <c r="B27" s="1695" t="s">
        <v>1614</v>
      </c>
      <c r="C27" s="1698" t="s">
        <v>1615</v>
      </c>
      <c r="D27" s="1697" t="s">
        <v>1005</v>
      </c>
      <c r="E27" s="1698" t="s">
        <v>1616</v>
      </c>
      <c r="F27" s="1699">
        <v>42108</v>
      </c>
      <c r="G27" s="1715">
        <v>16</v>
      </c>
      <c r="H27" s="1715">
        <v>14</v>
      </c>
      <c r="I27" s="1715">
        <v>16</v>
      </c>
      <c r="J27" s="1715">
        <v>16.32</v>
      </c>
      <c r="K27" s="1701">
        <f t="shared" si="7"/>
        <v>8694.1180000000004</v>
      </c>
      <c r="L27" s="1702">
        <v>4800</v>
      </c>
      <c r="M27" s="1702">
        <v>13494.118</v>
      </c>
      <c r="N27" s="1701">
        <f t="shared" si="8"/>
        <v>139105.88800000001</v>
      </c>
      <c r="O27" s="1703">
        <f t="shared" si="9"/>
        <v>76800</v>
      </c>
      <c r="P27" s="1701">
        <f t="shared" si="10"/>
        <v>215905.88800000001</v>
      </c>
      <c r="Q27" s="1701"/>
      <c r="R27" s="1677">
        <v>1</v>
      </c>
      <c r="S27" s="1700">
        <f t="shared" si="11"/>
        <v>16.32</v>
      </c>
      <c r="T27" s="1704">
        <f t="shared" si="12"/>
        <v>220224.00576</v>
      </c>
      <c r="U27" s="1705">
        <f t="shared" si="13"/>
        <v>2.0000000000000018E-2</v>
      </c>
      <c r="V27" s="1707" t="s">
        <v>1617</v>
      </c>
      <c r="W27" s="1707" t="s">
        <v>1618</v>
      </c>
      <c r="X27" s="1708">
        <f t="shared" si="14"/>
        <v>215905.88800000001</v>
      </c>
      <c r="Y27" s="1708">
        <v>0</v>
      </c>
      <c r="Z27" s="1708">
        <v>22796</v>
      </c>
      <c r="AA27" s="1710">
        <f t="shared" si="15"/>
        <v>193109.88800000001</v>
      </c>
      <c r="AB27" s="1711">
        <v>0</v>
      </c>
      <c r="AC27" s="1717">
        <v>-40241</v>
      </c>
      <c r="AD27" s="1712" t="str">
        <f t="shared" si="16"/>
        <v>n/a</v>
      </c>
      <c r="AE27" s="1712">
        <f t="shared" si="17"/>
        <v>-4.7988342238015953</v>
      </c>
      <c r="AF27" s="1713">
        <f t="shared" si="18"/>
        <v>0</v>
      </c>
      <c r="AG27" s="1673"/>
      <c r="AH27" s="1673"/>
      <c r="AI27" s="1673"/>
      <c r="AJ27" s="1703"/>
      <c r="AK27" s="1719"/>
      <c r="AL27" s="1718"/>
      <c r="AM27" s="1673"/>
      <c r="AN27" s="1673"/>
      <c r="AO27" s="1673"/>
    </row>
    <row r="28" spans="1:42" s="1721" customFormat="1" ht="14.85" customHeight="1">
      <c r="A28" s="1714"/>
      <c r="B28" s="1695" t="s">
        <v>1648</v>
      </c>
      <c r="C28" s="1698" t="s">
        <v>1649</v>
      </c>
      <c r="D28" s="1697" t="s">
        <v>1005</v>
      </c>
      <c r="E28" s="1698" t="s">
        <v>1650</v>
      </c>
      <c r="F28" s="1699">
        <v>42032</v>
      </c>
      <c r="G28" s="1715">
        <v>16</v>
      </c>
      <c r="H28" s="1715">
        <v>12</v>
      </c>
      <c r="I28" s="1715">
        <v>14</v>
      </c>
      <c r="J28" s="1715">
        <v>17.385000000000002</v>
      </c>
      <c r="K28" s="1701">
        <f t="shared" si="7"/>
        <v>12405.409</v>
      </c>
      <c r="L28" s="1702">
        <v>5400</v>
      </c>
      <c r="M28" s="1702">
        <v>17805.409</v>
      </c>
      <c r="N28" s="1701">
        <f t="shared" si="8"/>
        <v>198486.54399999999</v>
      </c>
      <c r="O28" s="1703">
        <f t="shared" si="9"/>
        <v>86400</v>
      </c>
      <c r="P28" s="1701">
        <f t="shared" si="10"/>
        <v>284886.54399999999</v>
      </c>
      <c r="Q28" s="1701"/>
      <c r="R28" s="1677">
        <v>1</v>
      </c>
      <c r="S28" s="1700">
        <f t="shared" si="11"/>
        <v>17.385000000000002</v>
      </c>
      <c r="T28" s="1704">
        <f t="shared" si="12"/>
        <v>309547.03546500002</v>
      </c>
      <c r="U28" s="1705">
        <f t="shared" si="13"/>
        <v>8.6562500000000098E-2</v>
      </c>
      <c r="V28" s="1707" t="s">
        <v>1651</v>
      </c>
      <c r="W28" s="1707" t="s">
        <v>1989</v>
      </c>
      <c r="X28" s="1708">
        <f t="shared" si="14"/>
        <v>284886.54399999999</v>
      </c>
      <c r="Y28" s="1708">
        <v>0</v>
      </c>
      <c r="Z28" s="1708">
        <v>0</v>
      </c>
      <c r="AA28" s="1710">
        <f t="shared" si="15"/>
        <v>284886.54399999999</v>
      </c>
      <c r="AB28" s="1711">
        <v>112.69</v>
      </c>
      <c r="AC28" s="1717">
        <v>-37145.539999999994</v>
      </c>
      <c r="AD28" s="1712">
        <f t="shared" si="16"/>
        <v>2528.0552311651431</v>
      </c>
      <c r="AE28" s="1712">
        <f t="shared" si="17"/>
        <v>-7.6694683668618104</v>
      </c>
      <c r="AF28" s="1713">
        <f t="shared" si="18"/>
        <v>0</v>
      </c>
      <c r="AG28" s="1673"/>
      <c r="AH28" s="1673"/>
      <c r="AI28" s="1673"/>
      <c r="AJ28" s="1703"/>
      <c r="AK28" s="1719"/>
      <c r="AL28" s="1718"/>
      <c r="AM28" s="1673"/>
      <c r="AN28" s="1673"/>
      <c r="AO28" s="1673"/>
    </row>
    <row r="29" spans="1:42" s="1721" customFormat="1" ht="14.85" customHeight="1">
      <c r="A29" s="1714"/>
      <c r="B29" s="1695"/>
      <c r="C29" s="1698"/>
      <c r="D29" s="1697"/>
      <c r="E29" s="1698"/>
      <c r="F29" s="1699"/>
      <c r="G29" s="1726"/>
      <c r="H29" s="1715"/>
      <c r="I29" s="1715"/>
      <c r="J29" s="1726"/>
      <c r="K29" s="1727"/>
      <c r="L29" s="1703"/>
      <c r="M29" s="1703"/>
      <c r="N29" s="1701"/>
      <c r="O29" s="1703"/>
      <c r="P29" s="1701"/>
      <c r="Q29" s="1701"/>
      <c r="R29" s="1701"/>
      <c r="S29" s="1700"/>
      <c r="T29" s="1704"/>
      <c r="U29" s="1705"/>
      <c r="V29" s="1707"/>
      <c r="W29" s="1707"/>
      <c r="X29" s="1708"/>
      <c r="Y29" s="1708"/>
      <c r="Z29" s="1708"/>
      <c r="AA29" s="1710"/>
      <c r="AB29" s="1711"/>
      <c r="AC29" s="1717"/>
      <c r="AD29" s="1712"/>
      <c r="AE29" s="1712"/>
      <c r="AF29" s="1713"/>
      <c r="AG29" s="1673"/>
      <c r="AH29" s="1673"/>
      <c r="AI29" s="1673"/>
      <c r="AJ29" s="1703"/>
      <c r="AK29" s="1719"/>
      <c r="AL29" s="1718"/>
      <c r="AM29" s="1673"/>
      <c r="AN29" s="1673"/>
      <c r="AO29" s="1673"/>
    </row>
    <row r="30" spans="1:42" s="1721" customFormat="1" ht="14.85" customHeight="1">
      <c r="A30" s="1714"/>
      <c r="B30" s="1728" t="s">
        <v>111</v>
      </c>
      <c r="C30" s="1729"/>
      <c r="D30" s="1729"/>
      <c r="E30" s="1729"/>
      <c r="F30" s="1729"/>
      <c r="G30" s="1729"/>
      <c r="H30" s="1729"/>
      <c r="I30" s="1729"/>
      <c r="J30" s="1729"/>
      <c r="K30" s="1729"/>
      <c r="L30" s="1729"/>
      <c r="M30" s="1729"/>
      <c r="N30" s="1730">
        <f>MAX(N12:N28)</f>
        <v>523732.77</v>
      </c>
      <c r="O30" s="1730"/>
      <c r="P30" s="1731">
        <f>MAX(P12:P28)</f>
        <v>631732.77</v>
      </c>
      <c r="Q30" s="1701"/>
      <c r="R30" s="1701"/>
      <c r="S30" s="1732">
        <f>MAX(S12:S28)</f>
        <v>35.56</v>
      </c>
      <c r="T30" s="1704"/>
      <c r="U30" s="1705"/>
      <c r="V30" s="1707"/>
      <c r="W30" s="1707"/>
      <c r="X30" s="1708"/>
      <c r="Y30" s="1708"/>
      <c r="Z30" s="1708"/>
      <c r="AA30" s="1710"/>
      <c r="AB30" s="1711"/>
      <c r="AC30" s="1717"/>
      <c r="AD30" s="1712"/>
      <c r="AE30" s="1712"/>
      <c r="AF30" s="1713"/>
      <c r="AG30" s="1673"/>
      <c r="AH30" s="1673"/>
      <c r="AI30" s="1673"/>
      <c r="AJ30" s="1703"/>
      <c r="AK30" s="1719"/>
      <c r="AL30" s="1718"/>
      <c r="AM30" s="1673"/>
      <c r="AN30" s="1673"/>
      <c r="AO30" s="1673"/>
    </row>
    <row r="31" spans="1:42" s="1721" customFormat="1" ht="14.85" customHeight="1">
      <c r="A31" s="1714"/>
      <c r="B31" s="1733" t="s">
        <v>115</v>
      </c>
      <c r="C31" s="1734"/>
      <c r="D31" s="1734"/>
      <c r="E31" s="1734"/>
      <c r="F31" s="1734"/>
      <c r="G31" s="1734"/>
      <c r="H31" s="1734"/>
      <c r="I31" s="1734"/>
      <c r="J31" s="1734"/>
      <c r="K31" s="1734"/>
      <c r="L31" s="1734"/>
      <c r="M31" s="1734"/>
      <c r="N31" s="1649">
        <f>_xlfn.QUARTILE.INC(N12:N28,3)</f>
        <v>358369.42484424007</v>
      </c>
      <c r="O31" s="1649"/>
      <c r="P31" s="1735">
        <f>_xlfn.QUARTILE.INC(P12:P28,3)</f>
        <v>464975.37</v>
      </c>
      <c r="Q31" s="1701"/>
      <c r="R31" s="1701"/>
      <c r="S31" s="1736">
        <f>_xlfn.QUARTILE.INC(S12:S28,3)</f>
        <v>20.5</v>
      </c>
      <c r="T31" s="1704"/>
      <c r="U31" s="1705"/>
      <c r="V31" s="1707"/>
      <c r="W31" s="1707"/>
      <c r="X31" s="1708"/>
      <c r="Y31" s="1708"/>
      <c r="Z31" s="1708"/>
      <c r="AA31" s="1710"/>
      <c r="AB31" s="1711"/>
      <c r="AC31" s="1717"/>
      <c r="AD31" s="1712"/>
      <c r="AE31" s="1712"/>
      <c r="AF31" s="1713"/>
      <c r="AG31" s="1673"/>
      <c r="AH31" s="1673"/>
      <c r="AI31" s="1673"/>
      <c r="AJ31" s="1703"/>
      <c r="AK31" s="1719"/>
      <c r="AL31" s="1718"/>
      <c r="AM31" s="1673"/>
      <c r="AN31" s="1673"/>
      <c r="AO31" s="1673"/>
    </row>
    <row r="32" spans="1:42" s="1721" customFormat="1" ht="14.85" customHeight="1">
      <c r="A32" s="1714"/>
      <c r="B32" s="1733" t="s">
        <v>43</v>
      </c>
      <c r="C32" s="1734"/>
      <c r="D32" s="1734"/>
      <c r="E32" s="1734"/>
      <c r="F32" s="1734"/>
      <c r="G32" s="1734"/>
      <c r="H32" s="1734"/>
      <c r="I32" s="1734"/>
      <c r="J32" s="1734"/>
      <c r="K32" s="1734"/>
      <c r="L32" s="1734"/>
      <c r="M32" s="1734"/>
      <c r="N32" s="1649">
        <f>AVERAGE(N12:N28)</f>
        <v>243610.21346142585</v>
      </c>
      <c r="O32" s="1649"/>
      <c r="P32" s="1735">
        <f>AVERAGE(P12:P28)</f>
        <v>318503.05191027524</v>
      </c>
      <c r="Q32" s="1701"/>
      <c r="R32" s="1701"/>
      <c r="S32" s="1736">
        <f>AVERAGE(S12:S28)</f>
        <v>16.313370588235298</v>
      </c>
      <c r="T32" s="1704"/>
      <c r="U32" s="1705"/>
      <c r="V32" s="1707"/>
      <c r="W32" s="1707"/>
      <c r="X32" s="1708"/>
      <c r="Y32" s="1708"/>
      <c r="Z32" s="1708"/>
      <c r="AA32" s="1710"/>
      <c r="AB32" s="1711"/>
      <c r="AC32" s="1717"/>
      <c r="AD32" s="1712"/>
      <c r="AE32" s="1712"/>
      <c r="AF32" s="1713"/>
      <c r="AG32" s="1673"/>
      <c r="AH32" s="1673"/>
      <c r="AI32" s="1673"/>
      <c r="AJ32" s="1703"/>
      <c r="AK32" s="1719"/>
      <c r="AL32" s="1718"/>
      <c r="AM32" s="1673"/>
      <c r="AN32" s="1673"/>
      <c r="AO32" s="1673"/>
    </row>
    <row r="33" spans="1:73" s="1721" customFormat="1" ht="14.85" customHeight="1">
      <c r="A33" s="1714"/>
      <c r="B33" s="1733" t="s">
        <v>44</v>
      </c>
      <c r="C33" s="1734"/>
      <c r="D33" s="1734"/>
      <c r="E33" s="1734"/>
      <c r="F33" s="1734"/>
      <c r="G33" s="1734"/>
      <c r="H33" s="1734"/>
      <c r="I33" s="1734"/>
      <c r="J33" s="1734"/>
      <c r="K33" s="1734"/>
      <c r="L33" s="1734"/>
      <c r="M33" s="1734"/>
      <c r="N33" s="1649">
        <f>MEDIAN(N12:N28)</f>
        <v>232932.75199999998</v>
      </c>
      <c r="O33" s="1649"/>
      <c r="P33" s="1735">
        <f>MEDIAN(P12:P28)</f>
        <v>315305.67000000004</v>
      </c>
      <c r="Q33" s="1701"/>
      <c r="R33" s="1701"/>
      <c r="S33" s="1736">
        <f>MEDIAN(S12:S28)</f>
        <v>14.4</v>
      </c>
      <c r="T33" s="1704"/>
      <c r="U33" s="1705"/>
      <c r="V33" s="1707"/>
      <c r="W33" s="1707"/>
      <c r="X33" s="1708"/>
      <c r="Y33" s="1708"/>
      <c r="Z33" s="1708"/>
      <c r="AA33" s="1710"/>
      <c r="AB33" s="1711"/>
      <c r="AC33" s="1717"/>
      <c r="AD33" s="1712"/>
      <c r="AE33" s="1712"/>
      <c r="AF33" s="1713"/>
      <c r="AG33" s="1673"/>
      <c r="AH33" s="1673"/>
      <c r="AI33" s="1673"/>
      <c r="AJ33" s="1703"/>
      <c r="AK33" s="1719"/>
      <c r="AL33" s="1718"/>
      <c r="AM33" s="1673"/>
      <c r="AN33" s="1673"/>
      <c r="AO33" s="1673"/>
    </row>
    <row r="34" spans="1:73" s="1721" customFormat="1" ht="14.85" customHeight="1">
      <c r="A34" s="1714"/>
      <c r="B34" s="1733" t="s">
        <v>114</v>
      </c>
      <c r="C34" s="1734"/>
      <c r="D34" s="1734"/>
      <c r="E34" s="1734"/>
      <c r="F34" s="1734"/>
      <c r="G34" s="1734"/>
      <c r="H34" s="1734"/>
      <c r="I34" s="1734"/>
      <c r="J34" s="1734"/>
      <c r="K34" s="1734"/>
      <c r="L34" s="1734"/>
      <c r="M34" s="1734"/>
      <c r="N34" s="1649">
        <f>_xlfn.QUARTILE.INC(N12:N28,1)</f>
        <v>80275.481999999989</v>
      </c>
      <c r="O34" s="1649"/>
      <c r="P34" s="1735">
        <f>_xlfn.QUARTILE.INC(P12:P28,1)</f>
        <v>129298.32</v>
      </c>
      <c r="Q34" s="1701"/>
      <c r="R34" s="1701"/>
      <c r="S34" s="1736">
        <f>_xlfn.QUARTILE.INC(S12:S28,1)</f>
        <v>8.9600000000000009</v>
      </c>
      <c r="T34" s="1704"/>
      <c r="U34" s="1705"/>
      <c r="V34" s="1707"/>
      <c r="W34" s="1707"/>
      <c r="X34" s="1708"/>
      <c r="Y34" s="1708"/>
      <c r="Z34" s="1708"/>
      <c r="AA34" s="1710"/>
      <c r="AB34" s="1711"/>
      <c r="AC34" s="1717"/>
      <c r="AD34" s="1712"/>
      <c r="AE34" s="1712"/>
      <c r="AF34" s="1713"/>
      <c r="AG34" s="1673"/>
      <c r="AH34" s="1673"/>
      <c r="AI34" s="1673"/>
      <c r="AJ34" s="1703"/>
      <c r="AK34" s="1719"/>
      <c r="AL34" s="1718"/>
      <c r="AM34" s="1673"/>
      <c r="AN34" s="1673"/>
      <c r="AO34" s="1673"/>
    </row>
    <row r="35" spans="1:73" s="1721" customFormat="1" ht="14.85" customHeight="1">
      <c r="A35" s="1714"/>
      <c r="B35" s="1737" t="s">
        <v>112</v>
      </c>
      <c r="C35" s="1738"/>
      <c r="D35" s="1738"/>
      <c r="E35" s="1738"/>
      <c r="F35" s="1738"/>
      <c r="G35" s="1738"/>
      <c r="H35" s="1738"/>
      <c r="I35" s="1738"/>
      <c r="J35" s="1738"/>
      <c r="K35" s="1738"/>
      <c r="L35" s="1738"/>
      <c r="M35" s="1738"/>
      <c r="N35" s="1651">
        <f>MIN(N12:N28)</f>
        <v>39416.17</v>
      </c>
      <c r="O35" s="1651"/>
      <c r="P35" s="1739">
        <f>MIN(P12:P28)</f>
        <v>50611.932000000001</v>
      </c>
      <c r="Q35" s="1701"/>
      <c r="R35" s="1701"/>
      <c r="S35" s="1740">
        <f>MIN(S12:S28)</f>
        <v>3.2423000000000002</v>
      </c>
      <c r="T35" s="1704"/>
      <c r="U35" s="1705"/>
      <c r="V35" s="1707"/>
      <c r="W35" s="1707"/>
      <c r="X35" s="1708"/>
      <c r="Y35" s="1708"/>
      <c r="Z35" s="1708"/>
      <c r="AA35" s="1710"/>
      <c r="AB35" s="1711"/>
      <c r="AC35" s="1717"/>
      <c r="AD35" s="1712"/>
      <c r="AE35" s="1712"/>
      <c r="AF35" s="1713"/>
      <c r="AG35" s="1673"/>
      <c r="AH35" s="1673"/>
      <c r="AI35" s="1673"/>
      <c r="AJ35" s="1703"/>
      <c r="AK35" s="1719"/>
      <c r="AL35" s="1718"/>
      <c r="AM35" s="1673"/>
      <c r="AN35" s="1673"/>
      <c r="AO35" s="1673"/>
    </row>
    <row r="36" spans="1:73" s="1721" customFormat="1" ht="14.85" customHeight="1">
      <c r="A36" s="1714"/>
      <c r="B36" s="1695"/>
      <c r="C36" s="1698"/>
      <c r="D36" s="1697"/>
      <c r="E36" s="1698"/>
      <c r="F36" s="1699"/>
      <c r="G36" s="1726"/>
      <c r="H36" s="1715"/>
      <c r="I36" s="1715"/>
      <c r="J36" s="1726"/>
      <c r="K36" s="1727"/>
      <c r="L36" s="1703"/>
      <c r="M36" s="1703"/>
      <c r="N36" s="1701"/>
      <c r="O36" s="1703"/>
      <c r="P36" s="1701"/>
      <c r="Q36" s="1701"/>
      <c r="R36" s="1701"/>
      <c r="S36" s="1700"/>
      <c r="T36" s="1704"/>
      <c r="U36" s="1705"/>
      <c r="V36" s="1707"/>
      <c r="W36" s="1707"/>
      <c r="X36" s="1713"/>
      <c r="Y36" s="1708"/>
      <c r="Z36" s="1708"/>
      <c r="AA36" s="1710"/>
      <c r="AB36" s="1711"/>
      <c r="AC36" s="1717"/>
      <c r="AD36" s="1712"/>
      <c r="AE36" s="1712"/>
      <c r="AF36" s="1688"/>
      <c r="AG36" s="1673"/>
      <c r="AH36" s="1673"/>
      <c r="AI36" s="1673"/>
      <c r="AJ36" s="1703"/>
      <c r="AK36" s="1719"/>
      <c r="AL36" s="1718"/>
      <c r="AM36" s="1673"/>
      <c r="AN36" s="1673"/>
      <c r="AO36" s="1673"/>
    </row>
    <row r="37" spans="1:73" s="1721" customFormat="1" ht="14.85" customHeight="1">
      <c r="A37" s="1714"/>
      <c r="B37" s="1741" t="s">
        <v>1990</v>
      </c>
      <c r="C37" s="1698"/>
      <c r="D37" s="1697"/>
      <c r="E37" s="1698"/>
      <c r="F37" s="1699"/>
      <c r="G37" s="1726"/>
      <c r="H37" s="1715"/>
      <c r="I37" s="1715"/>
      <c r="J37" s="1726"/>
      <c r="K37" s="1727"/>
      <c r="L37" s="1703"/>
      <c r="M37" s="1703"/>
      <c r="N37" s="1701"/>
      <c r="O37" s="1703"/>
      <c r="P37" s="1701"/>
      <c r="Q37" s="1701"/>
      <c r="R37" s="1701"/>
      <c r="S37" s="1700"/>
      <c r="T37" s="1704"/>
      <c r="U37" s="1705"/>
      <c r="V37" s="1707"/>
      <c r="W37" s="1707"/>
      <c r="X37" s="1713"/>
      <c r="Y37" s="1708"/>
      <c r="Z37" s="1708"/>
      <c r="AA37" s="1710"/>
      <c r="AB37" s="1711"/>
      <c r="AC37" s="1717"/>
      <c r="AD37" s="1712"/>
      <c r="AE37" s="1712"/>
      <c r="AF37" s="1688"/>
      <c r="AG37" s="1673"/>
      <c r="AH37" s="1673"/>
      <c r="AI37" s="1673"/>
      <c r="AJ37" s="1703"/>
      <c r="AK37" s="1719"/>
      <c r="AL37" s="1718"/>
      <c r="AM37" s="1673"/>
      <c r="AN37" s="1673"/>
      <c r="AO37" s="1673"/>
    </row>
    <row r="38" spans="1:73" s="1743" customFormat="1" ht="14.85" customHeight="1">
      <c r="A38" s="1714"/>
      <c r="B38" s="1695" t="s">
        <v>2455</v>
      </c>
      <c r="C38" s="1698" t="s">
        <v>2456</v>
      </c>
      <c r="D38" s="1697" t="s">
        <v>641</v>
      </c>
      <c r="E38" s="1698" t="s">
        <v>2457</v>
      </c>
      <c r="F38" s="1699">
        <v>43076</v>
      </c>
      <c r="G38" s="1715">
        <v>18</v>
      </c>
      <c r="H38" s="1715">
        <v>17</v>
      </c>
      <c r="I38" s="1715">
        <v>19</v>
      </c>
      <c r="J38" s="1715">
        <v>18.71</v>
      </c>
      <c r="K38" s="1701">
        <f t="shared" ref="K38:K67" si="19">+M38-L38</f>
        <v>74090.587</v>
      </c>
      <c r="L38" s="1703">
        <v>13888.888000000001</v>
      </c>
      <c r="M38" s="1703">
        <v>87979.475000000006</v>
      </c>
      <c r="N38" s="1701">
        <f t="shared" ref="N38:N67" si="20">+G38*K38</f>
        <v>1333630.5660000001</v>
      </c>
      <c r="O38" s="1703">
        <f t="shared" ref="O38:O67" si="21">+G38*L38</f>
        <v>249999.98400000003</v>
      </c>
      <c r="P38" s="1701">
        <f t="shared" ref="P38:P67" si="22">+N38+O38</f>
        <v>1583630.55</v>
      </c>
      <c r="Q38" s="1701"/>
      <c r="R38" s="1677">
        <v>1</v>
      </c>
      <c r="S38" s="1700">
        <f t="shared" ref="S38:S67" si="23">J38</f>
        <v>18.71</v>
      </c>
      <c r="T38" s="1704">
        <f t="shared" ref="T38:T67" si="24">S38*M38</f>
        <v>1646095.9772500002</v>
      </c>
      <c r="U38" s="1705">
        <f t="shared" ref="U38:U67" si="25">T38/P38-1</f>
        <v>3.9444444444444615E-2</v>
      </c>
      <c r="V38" s="1706" t="s">
        <v>2458</v>
      </c>
      <c r="W38" s="1707" t="s">
        <v>2459</v>
      </c>
      <c r="X38" s="1708">
        <f t="shared" ref="X38:X67" si="26">+N38+O38</f>
        <v>1583630.55</v>
      </c>
      <c r="Y38" s="1711"/>
      <c r="Z38" s="1742"/>
      <c r="AA38" s="1710"/>
      <c r="AC38" s="1711"/>
      <c r="AD38" s="1744"/>
      <c r="AE38" s="1744"/>
      <c r="AF38" s="1713"/>
      <c r="AG38" s="1688"/>
      <c r="AH38" s="1673"/>
      <c r="AI38" s="1673"/>
      <c r="AJ38" s="1673"/>
      <c r="AK38" s="1703"/>
      <c r="AL38" s="1719"/>
      <c r="AM38" s="1718"/>
      <c r="AN38" s="1673"/>
      <c r="AO38" s="1673"/>
      <c r="AP38" s="1673"/>
      <c r="AQ38" s="1721"/>
      <c r="AR38" s="1721"/>
      <c r="AS38" s="1721"/>
      <c r="AT38" s="1721"/>
      <c r="AU38" s="1721"/>
      <c r="AV38" s="1721"/>
      <c r="AW38" s="1721"/>
      <c r="AX38" s="1721"/>
      <c r="AY38" s="1721"/>
      <c r="AZ38" s="1721"/>
      <c r="BA38" s="1721"/>
      <c r="BB38" s="1721"/>
      <c r="BC38" s="1721"/>
      <c r="BD38" s="1721"/>
      <c r="BE38" s="1721"/>
      <c r="BF38" s="1721"/>
      <c r="BG38" s="1721"/>
      <c r="BH38" s="1721"/>
      <c r="BI38" s="1721"/>
      <c r="BJ38" s="1721"/>
      <c r="BK38" s="1721"/>
      <c r="BL38" s="1721"/>
      <c r="BM38" s="1721"/>
      <c r="BN38" s="1721"/>
      <c r="BO38" s="1721"/>
      <c r="BP38" s="1721"/>
      <c r="BQ38" s="1721"/>
      <c r="BR38" s="1721"/>
      <c r="BS38" s="1721"/>
      <c r="BT38" s="1721"/>
      <c r="BU38" s="1721"/>
    </row>
    <row r="39" spans="1:73" s="1743" customFormat="1" ht="14.85" customHeight="1">
      <c r="A39" s="1714"/>
      <c r="B39" s="1695" t="s">
        <v>2465</v>
      </c>
      <c r="C39" s="1698" t="s">
        <v>2466</v>
      </c>
      <c r="D39" s="1697" t="s">
        <v>641</v>
      </c>
      <c r="E39" s="1698" t="s">
        <v>2467</v>
      </c>
      <c r="F39" s="1699">
        <v>43040</v>
      </c>
      <c r="G39" s="1715">
        <v>14</v>
      </c>
      <c r="H39" s="1715">
        <v>14</v>
      </c>
      <c r="I39" s="1715">
        <v>16</v>
      </c>
      <c r="J39" s="1715">
        <v>12.14</v>
      </c>
      <c r="K39" s="1701">
        <f t="shared" si="19"/>
        <v>8397.6839999999993</v>
      </c>
      <c r="L39" s="1703">
        <v>5500</v>
      </c>
      <c r="M39" s="1703">
        <v>13897.683999999999</v>
      </c>
      <c r="N39" s="1701">
        <f t="shared" si="20"/>
        <v>117567.57599999999</v>
      </c>
      <c r="O39" s="1703">
        <f t="shared" si="21"/>
        <v>77000</v>
      </c>
      <c r="P39" s="1701">
        <f t="shared" si="22"/>
        <v>194567.576</v>
      </c>
      <c r="Q39" s="1701"/>
      <c r="R39" s="1677">
        <v>1</v>
      </c>
      <c r="S39" s="1700">
        <f t="shared" si="23"/>
        <v>12.14</v>
      </c>
      <c r="T39" s="1704">
        <f t="shared" si="24"/>
        <v>168717.88376</v>
      </c>
      <c r="U39" s="1705">
        <f t="shared" si="25"/>
        <v>-0.1328571428571429</v>
      </c>
      <c r="V39" s="1706" t="s">
        <v>2468</v>
      </c>
      <c r="W39" s="1707" t="s">
        <v>2469</v>
      </c>
      <c r="X39" s="1708">
        <f t="shared" si="26"/>
        <v>194567.576</v>
      </c>
      <c r="Y39" s="1711"/>
      <c r="Z39" s="1742"/>
      <c r="AA39" s="1710"/>
      <c r="AC39" s="1711"/>
      <c r="AD39" s="1744"/>
      <c r="AE39" s="1744"/>
      <c r="AF39" s="1713"/>
      <c r="AG39" s="1688"/>
      <c r="AH39" s="1673"/>
      <c r="AI39" s="1673"/>
      <c r="AJ39" s="1673"/>
      <c r="AK39" s="1703"/>
      <c r="AL39" s="1719"/>
      <c r="AM39" s="1718"/>
      <c r="AN39" s="1673"/>
      <c r="AO39" s="1673"/>
      <c r="AP39" s="1673"/>
      <c r="AQ39" s="1721"/>
      <c r="AR39" s="1721"/>
      <c r="AS39" s="1721"/>
      <c r="AT39" s="1721"/>
      <c r="AU39" s="1721"/>
      <c r="AV39" s="1721"/>
      <c r="AW39" s="1721"/>
      <c r="AX39" s="1721"/>
      <c r="AY39" s="1721"/>
      <c r="AZ39" s="1721"/>
      <c r="BA39" s="1721"/>
      <c r="BB39" s="1721"/>
      <c r="BC39" s="1721"/>
      <c r="BD39" s="1721"/>
      <c r="BE39" s="1721"/>
      <c r="BF39" s="1721"/>
      <c r="BG39" s="1721"/>
      <c r="BH39" s="1721"/>
      <c r="BI39" s="1721"/>
      <c r="BJ39" s="1721"/>
      <c r="BK39" s="1721"/>
      <c r="BL39" s="1721"/>
      <c r="BM39" s="1721"/>
      <c r="BN39" s="1721"/>
      <c r="BO39" s="1721"/>
      <c r="BP39" s="1721"/>
      <c r="BQ39" s="1721"/>
      <c r="BR39" s="1721"/>
      <c r="BS39" s="1721"/>
      <c r="BT39" s="1721"/>
      <c r="BU39" s="1721"/>
    </row>
    <row r="40" spans="1:73" s="1743" customFormat="1" ht="14.85" customHeight="1">
      <c r="A40" s="1714"/>
      <c r="B40" s="1695" t="s">
        <v>2383</v>
      </c>
      <c r="C40" s="1698" t="s">
        <v>2384</v>
      </c>
      <c r="D40" s="1697" t="s">
        <v>641</v>
      </c>
      <c r="E40" s="1698" t="s">
        <v>2385</v>
      </c>
      <c r="F40" s="1699">
        <v>43005</v>
      </c>
      <c r="G40" s="1715">
        <v>17</v>
      </c>
      <c r="H40" s="1715">
        <v>15</v>
      </c>
      <c r="I40" s="1715">
        <v>17</v>
      </c>
      <c r="J40" s="1715">
        <v>18.64</v>
      </c>
      <c r="K40" s="1701">
        <f t="shared" si="19"/>
        <v>25091.686000000002</v>
      </c>
      <c r="L40" s="1703">
        <v>7500</v>
      </c>
      <c r="M40" s="1703">
        <v>32591.686000000002</v>
      </c>
      <c r="N40" s="1701">
        <f t="shared" si="20"/>
        <v>426558.66200000001</v>
      </c>
      <c r="O40" s="1703">
        <f t="shared" si="21"/>
        <v>127500</v>
      </c>
      <c r="P40" s="1701">
        <f t="shared" si="22"/>
        <v>554058.66200000001</v>
      </c>
      <c r="Q40" s="1701"/>
      <c r="R40" s="1677">
        <v>1</v>
      </c>
      <c r="S40" s="1700">
        <f t="shared" si="23"/>
        <v>18.64</v>
      </c>
      <c r="T40" s="1704">
        <f t="shared" si="24"/>
        <v>607509.02704000007</v>
      </c>
      <c r="U40" s="1705">
        <f t="shared" si="25"/>
        <v>9.6470588235294308E-2</v>
      </c>
      <c r="V40" s="1706" t="s">
        <v>2386</v>
      </c>
      <c r="W40" s="1707" t="s">
        <v>2387</v>
      </c>
      <c r="X40" s="1708">
        <f t="shared" si="26"/>
        <v>554058.66200000001</v>
      </c>
      <c r="Y40" s="1711">
        <v>1575000</v>
      </c>
      <c r="Z40" s="1742">
        <v>93992000</v>
      </c>
      <c r="AA40" s="1710"/>
      <c r="AC40" s="1711"/>
      <c r="AD40" s="1744"/>
      <c r="AE40" s="1744"/>
      <c r="AF40" s="1713"/>
      <c r="AG40" s="1688"/>
      <c r="AH40" s="1673"/>
      <c r="AI40" s="1673"/>
      <c r="AJ40" s="1673"/>
      <c r="AK40" s="1703"/>
      <c r="AL40" s="1719"/>
      <c r="AM40" s="1718"/>
      <c r="AN40" s="1673"/>
      <c r="AO40" s="1673"/>
      <c r="AP40" s="1673"/>
      <c r="AQ40" s="1721"/>
      <c r="AR40" s="1721"/>
      <c r="AS40" s="1721"/>
      <c r="AT40" s="1721"/>
      <c r="AU40" s="1721"/>
      <c r="AV40" s="1721"/>
      <c r="AW40" s="1721"/>
      <c r="AX40" s="1721"/>
      <c r="AY40" s="1721"/>
      <c r="AZ40" s="1721"/>
      <c r="BA40" s="1721"/>
      <c r="BB40" s="1721"/>
      <c r="BC40" s="1721"/>
      <c r="BD40" s="1721"/>
      <c r="BE40" s="1721"/>
      <c r="BF40" s="1721"/>
      <c r="BG40" s="1721"/>
      <c r="BH40" s="1721"/>
      <c r="BI40" s="1721"/>
      <c r="BJ40" s="1721"/>
      <c r="BK40" s="1721"/>
      <c r="BL40" s="1721"/>
      <c r="BM40" s="1721"/>
      <c r="BN40" s="1721"/>
      <c r="BO40" s="1721"/>
      <c r="BP40" s="1721"/>
      <c r="BQ40" s="1721"/>
      <c r="BR40" s="1721"/>
      <c r="BS40" s="1721"/>
      <c r="BT40" s="1721"/>
      <c r="BU40" s="1721"/>
    </row>
    <row r="41" spans="1:73" s="1743" customFormat="1" ht="14.85" customHeight="1">
      <c r="A41" s="1714"/>
      <c r="B41" s="1695" t="s">
        <v>2470</v>
      </c>
      <c r="C41" s="1698" t="s">
        <v>2471</v>
      </c>
      <c r="D41" s="1697" t="s">
        <v>1506</v>
      </c>
      <c r="E41" s="1698" t="s">
        <v>2472</v>
      </c>
      <c r="F41" s="1699">
        <v>43005</v>
      </c>
      <c r="G41" s="1715">
        <v>14</v>
      </c>
      <c r="H41" s="1715">
        <v>13</v>
      </c>
      <c r="I41" s="1715">
        <v>15</v>
      </c>
      <c r="J41" s="1715">
        <v>20.8</v>
      </c>
      <c r="K41" s="1701">
        <f t="shared" si="19"/>
        <v>22740.714</v>
      </c>
      <c r="L41" s="1703">
        <v>5360</v>
      </c>
      <c r="M41" s="1703">
        <v>28100.714</v>
      </c>
      <c r="N41" s="1701">
        <f t="shared" si="20"/>
        <v>318369.99599999998</v>
      </c>
      <c r="O41" s="1703">
        <f t="shared" si="21"/>
        <v>75040</v>
      </c>
      <c r="P41" s="1701">
        <f t="shared" si="22"/>
        <v>393409.99599999998</v>
      </c>
      <c r="Q41" s="1701"/>
      <c r="R41" s="1677">
        <v>1</v>
      </c>
      <c r="S41" s="1700">
        <f t="shared" si="23"/>
        <v>20.8</v>
      </c>
      <c r="T41" s="1704">
        <f t="shared" si="24"/>
        <v>584494.85120000003</v>
      </c>
      <c r="U41" s="1705">
        <f t="shared" si="25"/>
        <v>0.48571428571428577</v>
      </c>
      <c r="V41" s="1706" t="s">
        <v>2473</v>
      </c>
      <c r="W41" s="1707" t="s">
        <v>2474</v>
      </c>
      <c r="X41" s="1708">
        <f t="shared" si="26"/>
        <v>393409.99599999998</v>
      </c>
      <c r="Y41" s="1711"/>
      <c r="Z41" s="1742"/>
      <c r="AA41" s="1710"/>
      <c r="AC41" s="1711"/>
      <c r="AD41" s="1744"/>
      <c r="AE41" s="1744"/>
      <c r="AF41" s="1713"/>
      <c r="AG41" s="1688"/>
      <c r="AH41" s="1673"/>
      <c r="AI41" s="1673"/>
      <c r="AJ41" s="1673"/>
      <c r="AK41" s="1703"/>
      <c r="AL41" s="1719"/>
      <c r="AM41" s="1718"/>
      <c r="AN41" s="1673"/>
      <c r="AO41" s="1673"/>
      <c r="AP41" s="1673"/>
      <c r="AQ41" s="1721"/>
      <c r="AR41" s="1721"/>
      <c r="AS41" s="1721"/>
      <c r="AT41" s="1721"/>
      <c r="AU41" s="1721"/>
      <c r="AV41" s="1721"/>
      <c r="AW41" s="1721"/>
      <c r="AX41" s="1721"/>
      <c r="AY41" s="1721"/>
      <c r="AZ41" s="1721"/>
      <c r="BA41" s="1721"/>
      <c r="BB41" s="1721"/>
      <c r="BC41" s="1721"/>
      <c r="BD41" s="1721"/>
      <c r="BE41" s="1721"/>
      <c r="BF41" s="1721"/>
      <c r="BG41" s="1721"/>
      <c r="BH41" s="1721"/>
      <c r="BI41" s="1721"/>
      <c r="BJ41" s="1721"/>
      <c r="BK41" s="1721"/>
      <c r="BL41" s="1721"/>
      <c r="BM41" s="1721"/>
      <c r="BN41" s="1721"/>
      <c r="BO41" s="1721"/>
      <c r="BP41" s="1721"/>
      <c r="BQ41" s="1721"/>
      <c r="BR41" s="1721"/>
      <c r="BS41" s="1721"/>
      <c r="BT41" s="1721"/>
      <c r="BU41" s="1721"/>
    </row>
    <row r="42" spans="1:73" s="1743" customFormat="1" ht="14.85" customHeight="1">
      <c r="A42" s="1714"/>
      <c r="B42" s="1695" t="s">
        <v>2388</v>
      </c>
      <c r="C42" s="1698" t="s">
        <v>2389</v>
      </c>
      <c r="D42" s="1697" t="s">
        <v>641</v>
      </c>
      <c r="E42" s="1698" t="s">
        <v>2390</v>
      </c>
      <c r="F42" s="1699">
        <v>42997</v>
      </c>
      <c r="G42" s="1715">
        <v>10</v>
      </c>
      <c r="H42" s="1715">
        <v>9</v>
      </c>
      <c r="I42" s="1715">
        <v>11</v>
      </c>
      <c r="J42" s="1715">
        <v>9.99</v>
      </c>
      <c r="K42" s="1701">
        <f t="shared" si="19"/>
        <v>4084.884</v>
      </c>
      <c r="L42" s="1703">
        <v>3960</v>
      </c>
      <c r="M42" s="1703">
        <v>8044.884</v>
      </c>
      <c r="N42" s="1701">
        <f t="shared" si="20"/>
        <v>40848.839999999997</v>
      </c>
      <c r="O42" s="1703">
        <f t="shared" si="21"/>
        <v>39600</v>
      </c>
      <c r="P42" s="1701">
        <f t="shared" si="22"/>
        <v>80448.84</v>
      </c>
      <c r="Q42" s="1701"/>
      <c r="R42" s="1677">
        <v>1</v>
      </c>
      <c r="S42" s="1700">
        <f t="shared" si="23"/>
        <v>9.99</v>
      </c>
      <c r="T42" s="1704">
        <f t="shared" si="24"/>
        <v>80368.391159999999</v>
      </c>
      <c r="U42" s="1705">
        <f t="shared" si="25"/>
        <v>-1.0000000000000009E-3</v>
      </c>
      <c r="V42" s="1706" t="s">
        <v>2391</v>
      </c>
      <c r="W42" s="1707" t="s">
        <v>2392</v>
      </c>
      <c r="X42" s="1708">
        <f t="shared" si="26"/>
        <v>80448.84</v>
      </c>
      <c r="Y42" s="1711">
        <v>4142000.0000000005</v>
      </c>
      <c r="Z42" s="1742">
        <v>3518000</v>
      </c>
      <c r="AA42" s="1710"/>
      <c r="AC42" s="1711"/>
      <c r="AD42" s="1744"/>
      <c r="AE42" s="1744"/>
      <c r="AF42" s="1713"/>
      <c r="AG42" s="1688"/>
      <c r="AH42" s="1673"/>
      <c r="AI42" s="1673"/>
      <c r="AJ42" s="1673"/>
      <c r="AK42" s="1703"/>
      <c r="AL42" s="1719"/>
      <c r="AM42" s="1718"/>
      <c r="AN42" s="1673"/>
      <c r="AO42" s="1673"/>
      <c r="AP42" s="1673"/>
      <c r="AQ42" s="1721"/>
      <c r="AR42" s="1721"/>
      <c r="AS42" s="1721"/>
      <c r="AT42" s="1721"/>
      <c r="AU42" s="1721"/>
      <c r="AV42" s="1721"/>
      <c r="AW42" s="1721"/>
      <c r="AX42" s="1721"/>
      <c r="AY42" s="1721"/>
      <c r="AZ42" s="1721"/>
      <c r="BA42" s="1721"/>
      <c r="BB42" s="1721"/>
      <c r="BC42" s="1721"/>
      <c r="BD42" s="1721"/>
      <c r="BE42" s="1721"/>
      <c r="BF42" s="1721"/>
      <c r="BG42" s="1721"/>
      <c r="BH42" s="1721"/>
      <c r="BI42" s="1721"/>
      <c r="BJ42" s="1721"/>
      <c r="BK42" s="1721"/>
      <c r="BL42" s="1721"/>
      <c r="BM42" s="1721"/>
      <c r="BN42" s="1721"/>
      <c r="BO42" s="1721"/>
      <c r="BP42" s="1721"/>
      <c r="BQ42" s="1721"/>
      <c r="BR42" s="1721"/>
      <c r="BS42" s="1721"/>
      <c r="BT42" s="1721"/>
      <c r="BU42" s="1721"/>
    </row>
    <row r="43" spans="1:73" s="1743" customFormat="1" ht="14.85" customHeight="1">
      <c r="A43" s="1714"/>
      <c r="B43" s="1695" t="s">
        <v>2393</v>
      </c>
      <c r="C43" s="1698" t="s">
        <v>2394</v>
      </c>
      <c r="D43" s="1697" t="s">
        <v>641</v>
      </c>
      <c r="E43" s="1698" t="s">
        <v>2395</v>
      </c>
      <c r="F43" s="1699">
        <v>42913</v>
      </c>
      <c r="G43" s="1715">
        <v>15</v>
      </c>
      <c r="H43" s="1715">
        <v>14</v>
      </c>
      <c r="I43" s="1715">
        <v>16</v>
      </c>
      <c r="J43" s="1715">
        <v>14.61</v>
      </c>
      <c r="K43" s="1701">
        <f t="shared" si="19"/>
        <v>17645.620999999999</v>
      </c>
      <c r="L43" s="1703">
        <v>5000</v>
      </c>
      <c r="M43" s="1703">
        <v>22645.620999999999</v>
      </c>
      <c r="N43" s="1701">
        <f t="shared" si="20"/>
        <v>264684.315</v>
      </c>
      <c r="O43" s="1703">
        <f t="shared" si="21"/>
        <v>75000</v>
      </c>
      <c r="P43" s="1701">
        <f t="shared" si="22"/>
        <v>339684.315</v>
      </c>
      <c r="Q43" s="1701"/>
      <c r="R43" s="1677">
        <v>1</v>
      </c>
      <c r="S43" s="1700">
        <f t="shared" si="23"/>
        <v>14.61</v>
      </c>
      <c r="T43" s="1704">
        <f t="shared" si="24"/>
        <v>330852.52280999999</v>
      </c>
      <c r="U43" s="1705">
        <f t="shared" si="25"/>
        <v>-2.6000000000000023E-2</v>
      </c>
      <c r="V43" s="1706" t="s">
        <v>2396</v>
      </c>
      <c r="W43" s="1707" t="s">
        <v>2397</v>
      </c>
      <c r="X43" s="1708">
        <f t="shared" si="26"/>
        <v>339684.315</v>
      </c>
      <c r="Y43" s="1742">
        <v>0</v>
      </c>
      <c r="Z43" s="1742">
        <v>88515</v>
      </c>
      <c r="AA43" s="1710">
        <v>251169.315</v>
      </c>
      <c r="AB43" s="1711">
        <v>0</v>
      </c>
      <c r="AC43" s="1711">
        <v>0</v>
      </c>
      <c r="AD43" s="1744" t="s">
        <v>13</v>
      </c>
      <c r="AE43" s="1744" t="s">
        <v>13</v>
      </c>
      <c r="AF43" s="1713">
        <f>+P43-X43</f>
        <v>0</v>
      </c>
      <c r="AG43" s="1688"/>
      <c r="AH43" s="1673"/>
      <c r="AI43" s="1673"/>
      <c r="AJ43" s="1673"/>
      <c r="AK43" s="1703"/>
      <c r="AL43" s="1719"/>
      <c r="AM43" s="1718"/>
      <c r="AN43" s="1673"/>
      <c r="AO43" s="1673"/>
      <c r="AP43" s="1673"/>
      <c r="AQ43" s="1721"/>
      <c r="AR43" s="1721"/>
      <c r="AS43" s="1721"/>
      <c r="AT43" s="1721"/>
      <c r="AU43" s="1721"/>
      <c r="AV43" s="1721"/>
      <c r="AW43" s="1721"/>
      <c r="AX43" s="1721"/>
      <c r="AY43" s="1721"/>
      <c r="AZ43" s="1721"/>
      <c r="BA43" s="1721"/>
      <c r="BB43" s="1721"/>
      <c r="BC43" s="1721"/>
      <c r="BD43" s="1721"/>
      <c r="BE43" s="1721"/>
      <c r="BF43" s="1721"/>
      <c r="BG43" s="1721"/>
      <c r="BH43" s="1721"/>
      <c r="BI43" s="1721"/>
      <c r="BJ43" s="1721"/>
      <c r="BK43" s="1721"/>
      <c r="BL43" s="1721"/>
      <c r="BM43" s="1721"/>
      <c r="BN43" s="1721"/>
      <c r="BO43" s="1721"/>
      <c r="BP43" s="1721"/>
      <c r="BQ43" s="1721"/>
      <c r="BR43" s="1721"/>
      <c r="BS43" s="1721"/>
      <c r="BT43" s="1721"/>
      <c r="BU43" s="1721"/>
    </row>
    <row r="44" spans="1:73" s="1743" customFormat="1" ht="14.85" customHeight="1">
      <c r="A44" s="1745"/>
      <c r="B44" s="1746" t="s">
        <v>2398</v>
      </c>
      <c r="C44" s="1747" t="s">
        <v>2399</v>
      </c>
      <c r="D44" s="1748" t="s">
        <v>617</v>
      </c>
      <c r="E44" s="1747" t="s">
        <v>2400</v>
      </c>
      <c r="F44" s="1699">
        <v>42871</v>
      </c>
      <c r="G44" s="1715">
        <v>15</v>
      </c>
      <c r="H44" s="1715">
        <v>15</v>
      </c>
      <c r="I44" s="1715">
        <v>17</v>
      </c>
      <c r="J44" s="1715">
        <v>17.12</v>
      </c>
      <c r="K44" s="1701">
        <f t="shared" si="19"/>
        <v>20413.833999999999</v>
      </c>
      <c r="L44" s="1703">
        <v>6250</v>
      </c>
      <c r="M44" s="1703">
        <v>26663.833999999999</v>
      </c>
      <c r="N44" s="1701">
        <f t="shared" si="20"/>
        <v>306207.51</v>
      </c>
      <c r="O44" s="1703">
        <f t="shared" si="21"/>
        <v>93750</v>
      </c>
      <c r="P44" s="1701">
        <f t="shared" si="22"/>
        <v>399957.51</v>
      </c>
      <c r="Q44" s="1749"/>
      <c r="R44" s="1677">
        <v>1</v>
      </c>
      <c r="S44" s="1700">
        <f t="shared" si="23"/>
        <v>17.12</v>
      </c>
      <c r="T44" s="1704">
        <f t="shared" si="24"/>
        <v>456484.83808000002</v>
      </c>
      <c r="U44" s="1705">
        <f t="shared" si="25"/>
        <v>0.14133333333333331</v>
      </c>
      <c r="V44" s="1750" t="s">
        <v>2401</v>
      </c>
      <c r="W44" s="1751" t="s">
        <v>2402</v>
      </c>
      <c r="X44" s="1752">
        <f t="shared" si="26"/>
        <v>399957.51</v>
      </c>
      <c r="Y44" s="1742">
        <v>0</v>
      </c>
      <c r="Z44" s="1742">
        <v>37726.520000000004</v>
      </c>
      <c r="AA44" s="1710">
        <f>X44+Y44-Z44</f>
        <v>362230.99</v>
      </c>
      <c r="AB44" s="1711">
        <v>522.42999999999995</v>
      </c>
      <c r="AC44" s="1711">
        <v>-15381.439999999999</v>
      </c>
      <c r="AD44" s="1744">
        <f>IFERROR(AA44/AB44,"n/a")</f>
        <v>693.35794269088683</v>
      </c>
      <c r="AE44" s="1744">
        <f>IFERROR(AA44/AC44,"n/a")</f>
        <v>-23.549875044209127</v>
      </c>
      <c r="AF44" s="1753">
        <f>+P44-X44</f>
        <v>0</v>
      </c>
      <c r="AG44" s="1754"/>
      <c r="AH44" s="1754"/>
    </row>
    <row r="45" spans="1:73" s="1721" customFormat="1" ht="14.85" customHeight="1">
      <c r="A45" s="1714"/>
      <c r="B45" s="1695" t="s">
        <v>2475</v>
      </c>
      <c r="C45" s="1698" t="s">
        <v>2476</v>
      </c>
      <c r="D45" s="1697" t="s">
        <v>641</v>
      </c>
      <c r="E45" s="1698" t="s">
        <v>2477</v>
      </c>
      <c r="F45" s="1699">
        <v>42852</v>
      </c>
      <c r="G45" s="1715">
        <v>13</v>
      </c>
      <c r="H45" s="1715">
        <v>13</v>
      </c>
      <c r="I45" s="1715">
        <v>16</v>
      </c>
      <c r="J45" s="1715">
        <v>12.67601</v>
      </c>
      <c r="K45" s="1701">
        <f t="shared" si="19"/>
        <v>20424.460999999999</v>
      </c>
      <c r="L45" s="1703">
        <v>4500</v>
      </c>
      <c r="M45" s="1703">
        <v>24924.460999999999</v>
      </c>
      <c r="N45" s="1701">
        <f t="shared" si="20"/>
        <v>265517.99300000002</v>
      </c>
      <c r="O45" s="1703">
        <f t="shared" si="21"/>
        <v>58500</v>
      </c>
      <c r="P45" s="1701">
        <f t="shared" si="22"/>
        <v>324017.99300000002</v>
      </c>
      <c r="Q45" s="1701"/>
      <c r="R45" s="1677">
        <v>1</v>
      </c>
      <c r="S45" s="1700">
        <f t="shared" si="23"/>
        <v>12.67601</v>
      </c>
      <c r="T45" s="1704">
        <f t="shared" si="24"/>
        <v>315942.71688060998</v>
      </c>
      <c r="U45" s="1705">
        <f t="shared" si="25"/>
        <v>-2.4922307692307855E-2</v>
      </c>
      <c r="V45" s="1706" t="s">
        <v>2478</v>
      </c>
      <c r="W45" s="1707" t="s">
        <v>2479</v>
      </c>
      <c r="X45" s="1708">
        <f t="shared" si="26"/>
        <v>324017.99300000002</v>
      </c>
      <c r="Y45" s="1711"/>
      <c r="Z45" s="1742"/>
      <c r="AA45" s="1710"/>
      <c r="AB45" s="1743"/>
      <c r="AC45" s="1711"/>
      <c r="AD45" s="1744"/>
      <c r="AE45" s="1744"/>
      <c r="AF45" s="1713"/>
      <c r="AG45" s="1688"/>
      <c r="AH45" s="1673"/>
      <c r="AI45" s="1673"/>
      <c r="AJ45" s="1673"/>
      <c r="AK45" s="1703"/>
      <c r="AL45" s="1719"/>
      <c r="AM45" s="1718"/>
      <c r="AN45" s="1673"/>
      <c r="AO45" s="1673"/>
      <c r="AP45" s="1673"/>
    </row>
    <row r="46" spans="1:73" s="1721" customFormat="1" ht="14.85" customHeight="1">
      <c r="A46" s="1714"/>
      <c r="B46" s="1695" t="s">
        <v>1991</v>
      </c>
      <c r="C46" s="1698" t="s">
        <v>1992</v>
      </c>
      <c r="D46" s="1697" t="s">
        <v>1506</v>
      </c>
      <c r="E46" s="1698" t="s">
        <v>1993</v>
      </c>
      <c r="F46" s="1699">
        <v>42761</v>
      </c>
      <c r="G46" s="1715">
        <v>16</v>
      </c>
      <c r="H46" s="1715">
        <v>13</v>
      </c>
      <c r="I46" s="1715">
        <v>15</v>
      </c>
      <c r="J46" s="1715">
        <v>19.84</v>
      </c>
      <c r="K46" s="1701">
        <f t="shared" si="19"/>
        <v>24802.026000000002</v>
      </c>
      <c r="L46" s="1703">
        <f>5360000/1000</f>
        <v>5360</v>
      </c>
      <c r="M46" s="1703">
        <f>30162026/1000</f>
        <v>30162.026000000002</v>
      </c>
      <c r="N46" s="1701">
        <f t="shared" si="20"/>
        <v>396832.41600000003</v>
      </c>
      <c r="O46" s="1703">
        <f t="shared" si="21"/>
        <v>85760</v>
      </c>
      <c r="P46" s="1701">
        <f t="shared" si="22"/>
        <v>482592.41600000003</v>
      </c>
      <c r="Q46" s="1701"/>
      <c r="R46" s="1677">
        <v>1</v>
      </c>
      <c r="S46" s="1700">
        <f t="shared" si="23"/>
        <v>19.84</v>
      </c>
      <c r="T46" s="1704">
        <f t="shared" si="24"/>
        <v>598414.59584000008</v>
      </c>
      <c r="U46" s="1705">
        <f t="shared" si="25"/>
        <v>0.24</v>
      </c>
      <c r="V46" s="1706" t="s">
        <v>1993</v>
      </c>
      <c r="W46" s="1707" t="s">
        <v>2362</v>
      </c>
      <c r="X46" s="1708">
        <f t="shared" si="26"/>
        <v>482592.41600000003</v>
      </c>
      <c r="Y46" s="1708">
        <v>0</v>
      </c>
      <c r="Z46" s="1708">
        <v>89317</v>
      </c>
      <c r="AA46" s="1710">
        <f t="shared" ref="AA46:AA67" si="27">X46+Y46-Z46</f>
        <v>393275.41600000003</v>
      </c>
      <c r="AB46" s="1711">
        <v>0</v>
      </c>
      <c r="AC46" s="1717">
        <v>-40216</v>
      </c>
      <c r="AD46" s="1712" t="str">
        <f t="shared" ref="AD46:AD67" si="28">IFERROR(AA46/AB46,"n/a")</f>
        <v>n/a</v>
      </c>
      <c r="AE46" s="1712">
        <f t="shared" ref="AE46:AE67" si="29">IFERROR(AA46/AC46,"n/a")</f>
        <v>-9.779078376765467</v>
      </c>
      <c r="AF46" s="1713">
        <f t="shared" ref="AF46:AF67" si="30">+P46-X46</f>
        <v>0</v>
      </c>
      <c r="AG46" s="1673"/>
      <c r="AH46" s="1673"/>
      <c r="AI46" s="1673"/>
      <c r="AJ46" s="1703"/>
      <c r="AK46" s="1719"/>
      <c r="AL46" s="1718"/>
      <c r="AM46" s="1673"/>
      <c r="AN46" s="1673"/>
      <c r="AO46" s="1673"/>
    </row>
    <row r="47" spans="1:73" s="1688" customFormat="1" ht="14.85" customHeight="1">
      <c r="B47" s="1695" t="s">
        <v>1994</v>
      </c>
      <c r="C47" s="1698" t="s">
        <v>1995</v>
      </c>
      <c r="D47" s="1697" t="s">
        <v>641</v>
      </c>
      <c r="E47" s="1698" t="s">
        <v>1996</v>
      </c>
      <c r="F47" s="1699">
        <v>42760</v>
      </c>
      <c r="G47" s="1700">
        <v>15</v>
      </c>
      <c r="H47" s="1700">
        <v>14</v>
      </c>
      <c r="I47" s="1700">
        <v>16</v>
      </c>
      <c r="J47" s="1700">
        <v>24.6</v>
      </c>
      <c r="K47" s="1701">
        <f t="shared" si="19"/>
        <v>14159.332999999999</v>
      </c>
      <c r="L47" s="1702">
        <f>4000000/1000</f>
        <v>4000</v>
      </c>
      <c r="M47" s="1702">
        <f>18159333/1000</f>
        <v>18159.332999999999</v>
      </c>
      <c r="N47" s="1701">
        <f t="shared" si="20"/>
        <v>212389.995</v>
      </c>
      <c r="O47" s="1703">
        <f t="shared" si="21"/>
        <v>60000</v>
      </c>
      <c r="P47" s="1701">
        <f t="shared" si="22"/>
        <v>272389.995</v>
      </c>
      <c r="Q47" s="1677"/>
      <c r="R47" s="1677">
        <v>1</v>
      </c>
      <c r="S47" s="1700">
        <f t="shared" si="23"/>
        <v>24.6</v>
      </c>
      <c r="T47" s="1704">
        <f t="shared" si="24"/>
        <v>446719.59179999999</v>
      </c>
      <c r="U47" s="1705">
        <f t="shared" si="25"/>
        <v>0.6399999999999999</v>
      </c>
      <c r="V47" s="1706" t="s">
        <v>1997</v>
      </c>
      <c r="W47" s="1707" t="s">
        <v>2363</v>
      </c>
      <c r="X47" s="1708">
        <f t="shared" si="26"/>
        <v>272389.995</v>
      </c>
      <c r="Y47" s="1708">
        <v>4983000</v>
      </c>
      <c r="Z47" s="1708">
        <v>47134</v>
      </c>
      <c r="AA47" s="1710">
        <f t="shared" si="27"/>
        <v>5208255.9950000001</v>
      </c>
      <c r="AB47" s="1711">
        <v>19308</v>
      </c>
      <c r="AC47" s="1717">
        <v>-2817</v>
      </c>
      <c r="AD47" s="1712">
        <f t="shared" si="28"/>
        <v>269.74601175678475</v>
      </c>
      <c r="AE47" s="1712">
        <f t="shared" si="29"/>
        <v>-1848.8661679091233</v>
      </c>
      <c r="AF47" s="1713">
        <f t="shared" si="30"/>
        <v>0</v>
      </c>
    </row>
    <row r="48" spans="1:73" s="1688" customFormat="1" ht="14.85" customHeight="1">
      <c r="B48" s="1695" t="s">
        <v>1401</v>
      </c>
      <c r="C48" s="1698" t="s">
        <v>1402</v>
      </c>
      <c r="D48" s="1697" t="s">
        <v>641</v>
      </c>
      <c r="E48" s="1698" t="s">
        <v>1403</v>
      </c>
      <c r="F48" s="1699">
        <v>42668</v>
      </c>
      <c r="G48" s="1700">
        <v>13</v>
      </c>
      <c r="H48" s="1700">
        <v>12</v>
      </c>
      <c r="I48" s="1700">
        <v>14</v>
      </c>
      <c r="J48" s="1700">
        <v>13.14</v>
      </c>
      <c r="K48" s="1701">
        <f t="shared" si="19"/>
        <v>14439.55</v>
      </c>
      <c r="L48" s="1702">
        <v>7049.23</v>
      </c>
      <c r="M48" s="1702">
        <v>21488.78</v>
      </c>
      <c r="N48" s="1701">
        <f t="shared" si="20"/>
        <v>187714.15</v>
      </c>
      <c r="O48" s="1703">
        <f t="shared" si="21"/>
        <v>91639.989999999991</v>
      </c>
      <c r="P48" s="1701">
        <f t="shared" si="22"/>
        <v>279354.14</v>
      </c>
      <c r="Q48" s="1677"/>
      <c r="R48" s="1677">
        <v>1</v>
      </c>
      <c r="S48" s="1700">
        <f t="shared" si="23"/>
        <v>13.14</v>
      </c>
      <c r="T48" s="1704">
        <f t="shared" si="24"/>
        <v>282362.56919999997</v>
      </c>
      <c r="U48" s="1705">
        <f t="shared" si="25"/>
        <v>1.0769230769230642E-2</v>
      </c>
      <c r="V48" s="1706" t="s">
        <v>1404</v>
      </c>
      <c r="W48" s="1707" t="s">
        <v>1405</v>
      </c>
      <c r="X48" s="1708">
        <f t="shared" si="26"/>
        <v>279354.14</v>
      </c>
      <c r="Y48" s="1708">
        <v>0</v>
      </c>
      <c r="Z48" s="1708">
        <v>40246</v>
      </c>
      <c r="AA48" s="1710">
        <f t="shared" si="27"/>
        <v>239108.14</v>
      </c>
      <c r="AB48" s="1711">
        <v>6845</v>
      </c>
      <c r="AC48" s="1717">
        <v>-15697</v>
      </c>
      <c r="AD48" s="1712">
        <f t="shared" si="28"/>
        <v>34.931795471146827</v>
      </c>
      <c r="AE48" s="1712">
        <f t="shared" si="29"/>
        <v>-15.232728546856087</v>
      </c>
      <c r="AF48" s="1713">
        <f t="shared" si="30"/>
        <v>0</v>
      </c>
    </row>
    <row r="49" spans="1:42" s="1688" customFormat="1" ht="14.85" customHeight="1">
      <c r="A49" s="1714"/>
      <c r="B49" s="1695" t="s">
        <v>1407</v>
      </c>
      <c r="C49" s="1698" t="s">
        <v>1408</v>
      </c>
      <c r="D49" s="1697" t="s">
        <v>1998</v>
      </c>
      <c r="E49" s="1698" t="s">
        <v>1409</v>
      </c>
      <c r="F49" s="1699">
        <v>42654</v>
      </c>
      <c r="G49" s="1700">
        <v>5.5</v>
      </c>
      <c r="H49" s="1700">
        <v>6</v>
      </c>
      <c r="I49" s="1700">
        <v>8</v>
      </c>
      <c r="J49" s="1700">
        <v>4.74</v>
      </c>
      <c r="K49" s="1701">
        <f t="shared" si="19"/>
        <v>8671.0879999999997</v>
      </c>
      <c r="L49" s="1702">
        <v>960</v>
      </c>
      <c r="M49" s="1702">
        <v>9631.0879999999997</v>
      </c>
      <c r="N49" s="1701">
        <f t="shared" si="20"/>
        <v>47690.983999999997</v>
      </c>
      <c r="O49" s="1703">
        <f t="shared" si="21"/>
        <v>5280</v>
      </c>
      <c r="P49" s="1701">
        <f t="shared" si="22"/>
        <v>52970.983999999997</v>
      </c>
      <c r="Q49" s="1701"/>
      <c r="R49" s="1677">
        <v>1</v>
      </c>
      <c r="S49" s="1700">
        <f t="shared" si="23"/>
        <v>4.74</v>
      </c>
      <c r="T49" s="1704">
        <f t="shared" si="24"/>
        <v>45651.357120000001</v>
      </c>
      <c r="U49" s="1705">
        <f t="shared" si="25"/>
        <v>-0.13818181818181807</v>
      </c>
      <c r="V49" s="1706" t="s">
        <v>1410</v>
      </c>
      <c r="W49" s="1707" t="s">
        <v>1411</v>
      </c>
      <c r="X49" s="1708">
        <f t="shared" si="26"/>
        <v>52970.983999999997</v>
      </c>
      <c r="Y49" s="1708">
        <v>9242640</v>
      </c>
      <c r="Z49" s="1708">
        <v>1354.64</v>
      </c>
      <c r="AA49" s="1710">
        <f t="shared" si="27"/>
        <v>9294256.3439999986</v>
      </c>
      <c r="AB49" s="1711">
        <v>0</v>
      </c>
      <c r="AC49" s="1717">
        <v>-4114.3599999999997</v>
      </c>
      <c r="AD49" s="1712" t="str">
        <f t="shared" si="28"/>
        <v>n/a</v>
      </c>
      <c r="AE49" s="1712">
        <f t="shared" si="29"/>
        <v>-2258.9798520304494</v>
      </c>
      <c r="AF49" s="1713">
        <f t="shared" si="30"/>
        <v>0</v>
      </c>
    </row>
    <row r="50" spans="1:42" s="1688" customFormat="1" ht="14.85" customHeight="1">
      <c r="A50" s="1714"/>
      <c r="B50" s="1695" t="s">
        <v>1417</v>
      </c>
      <c r="C50" s="1698" t="s">
        <v>1418</v>
      </c>
      <c r="D50" s="1697" t="s">
        <v>641</v>
      </c>
      <c r="E50" s="1698" t="s">
        <v>1419</v>
      </c>
      <c r="F50" s="1699">
        <v>42592</v>
      </c>
      <c r="G50" s="1700">
        <v>12</v>
      </c>
      <c r="H50" s="1700">
        <v>11</v>
      </c>
      <c r="I50" s="1700">
        <v>13</v>
      </c>
      <c r="J50" s="1700">
        <v>12.4</v>
      </c>
      <c r="K50" s="1701">
        <f t="shared" si="19"/>
        <v>8823.5509999999995</v>
      </c>
      <c r="L50" s="1702">
        <v>7500</v>
      </c>
      <c r="M50" s="1702">
        <v>16323.550999999999</v>
      </c>
      <c r="N50" s="1701">
        <f t="shared" si="20"/>
        <v>105882.61199999999</v>
      </c>
      <c r="O50" s="1703">
        <f t="shared" si="21"/>
        <v>90000</v>
      </c>
      <c r="P50" s="1701">
        <f t="shared" si="22"/>
        <v>195882.61199999999</v>
      </c>
      <c r="Q50" s="1701"/>
      <c r="R50" s="1677">
        <v>1</v>
      </c>
      <c r="S50" s="1700">
        <f t="shared" si="23"/>
        <v>12.4</v>
      </c>
      <c r="T50" s="1704">
        <f t="shared" si="24"/>
        <v>202412.0324</v>
      </c>
      <c r="U50" s="1705">
        <f t="shared" si="25"/>
        <v>3.3333333333333437E-2</v>
      </c>
      <c r="V50" s="1716" t="s">
        <v>1420</v>
      </c>
      <c r="W50" s="1707" t="s">
        <v>1421</v>
      </c>
      <c r="X50" s="1708">
        <f t="shared" si="26"/>
        <v>195882.61199999999</v>
      </c>
      <c r="Y50" s="1708">
        <v>0</v>
      </c>
      <c r="Z50" s="1708">
        <v>28629</v>
      </c>
      <c r="AA50" s="1710">
        <f t="shared" si="27"/>
        <v>167253.61199999999</v>
      </c>
      <c r="AB50" s="1711">
        <v>0</v>
      </c>
      <c r="AC50" s="1717">
        <v>-22858</v>
      </c>
      <c r="AD50" s="1712" t="str">
        <f t="shared" si="28"/>
        <v>n/a</v>
      </c>
      <c r="AE50" s="1712">
        <f t="shared" si="29"/>
        <v>-7.3170711348324433</v>
      </c>
      <c r="AF50" s="1713">
        <f t="shared" si="30"/>
        <v>0</v>
      </c>
      <c r="AG50" s="1718"/>
    </row>
    <row r="51" spans="1:42" s="1688" customFormat="1" ht="14.85" customHeight="1">
      <c r="A51" s="1714"/>
      <c r="B51" s="1695" t="s">
        <v>1073</v>
      </c>
      <c r="C51" s="1698" t="s">
        <v>1071</v>
      </c>
      <c r="D51" s="1697" t="s">
        <v>641</v>
      </c>
      <c r="E51" s="1698" t="s">
        <v>1433</v>
      </c>
      <c r="F51" s="1699">
        <v>42550</v>
      </c>
      <c r="G51" s="1715">
        <v>12.5</v>
      </c>
      <c r="H51" s="1715">
        <v>14</v>
      </c>
      <c r="I51" s="1715">
        <v>16</v>
      </c>
      <c r="J51" s="1715">
        <v>11.58</v>
      </c>
      <c r="K51" s="1701">
        <f t="shared" si="19"/>
        <v>18760.161</v>
      </c>
      <c r="L51" s="1702">
        <v>4000</v>
      </c>
      <c r="M51" s="1702">
        <v>22760.161</v>
      </c>
      <c r="N51" s="1701">
        <f t="shared" si="20"/>
        <v>234502.01250000001</v>
      </c>
      <c r="O51" s="1703">
        <f t="shared" si="21"/>
        <v>50000</v>
      </c>
      <c r="P51" s="1701">
        <f t="shared" si="22"/>
        <v>284502.01250000001</v>
      </c>
      <c r="Q51" s="1701"/>
      <c r="R51" s="1677">
        <v>1</v>
      </c>
      <c r="S51" s="1700">
        <f t="shared" si="23"/>
        <v>11.58</v>
      </c>
      <c r="T51" s="1704">
        <f t="shared" si="24"/>
        <v>263562.66438000003</v>
      </c>
      <c r="U51" s="1705">
        <f t="shared" si="25"/>
        <v>-7.3599999999999888E-2</v>
      </c>
      <c r="V51" s="1716" t="s">
        <v>1072</v>
      </c>
      <c r="W51" s="1707" t="s">
        <v>1074</v>
      </c>
      <c r="X51" s="1708">
        <f t="shared" si="26"/>
        <v>284502.01250000001</v>
      </c>
      <c r="Y51" s="1708">
        <v>322000</v>
      </c>
      <c r="Z51" s="1708">
        <v>62133</v>
      </c>
      <c r="AA51" s="1710">
        <f t="shared" si="27"/>
        <v>544369.01249999995</v>
      </c>
      <c r="AB51" s="1711">
        <v>0</v>
      </c>
      <c r="AC51" s="1717">
        <v>-40816</v>
      </c>
      <c r="AD51" s="1712" t="str">
        <f t="shared" si="28"/>
        <v>n/a</v>
      </c>
      <c r="AE51" s="1712">
        <f t="shared" si="29"/>
        <v>-13.337147503430026</v>
      </c>
      <c r="AF51" s="1713">
        <f t="shared" si="30"/>
        <v>0</v>
      </c>
      <c r="AG51" s="1718"/>
    </row>
    <row r="52" spans="1:42" s="1688" customFormat="1" ht="14.85" customHeight="1">
      <c r="A52" s="1714"/>
      <c r="B52" s="1695" t="s">
        <v>1434</v>
      </c>
      <c r="C52" s="1698" t="s">
        <v>1435</v>
      </c>
      <c r="D52" s="1697" t="s">
        <v>641</v>
      </c>
      <c r="E52" s="1698" t="s">
        <v>1436</v>
      </c>
      <c r="F52" s="1699">
        <v>42542</v>
      </c>
      <c r="G52" s="1715">
        <v>14</v>
      </c>
      <c r="H52" s="1715">
        <v>14</v>
      </c>
      <c r="I52" s="1715">
        <v>16</v>
      </c>
      <c r="J52" s="1715">
        <v>13.77</v>
      </c>
      <c r="K52" s="1701">
        <f t="shared" si="19"/>
        <v>12899.585999999999</v>
      </c>
      <c r="L52" s="1702">
        <v>5000</v>
      </c>
      <c r="M52" s="1702">
        <v>17899.585999999999</v>
      </c>
      <c r="N52" s="1701">
        <f t="shared" si="20"/>
        <v>180594.204</v>
      </c>
      <c r="O52" s="1703">
        <f t="shared" si="21"/>
        <v>70000</v>
      </c>
      <c r="P52" s="1701">
        <f t="shared" si="22"/>
        <v>250594.204</v>
      </c>
      <c r="Q52" s="1701"/>
      <c r="R52" s="1677">
        <v>1</v>
      </c>
      <c r="S52" s="1700">
        <f t="shared" si="23"/>
        <v>13.77</v>
      </c>
      <c r="T52" s="1704">
        <f t="shared" si="24"/>
        <v>246477.29921999999</v>
      </c>
      <c r="U52" s="1705">
        <f t="shared" si="25"/>
        <v>-1.6428571428571459E-2</v>
      </c>
      <c r="V52" s="1716" t="s">
        <v>1437</v>
      </c>
      <c r="W52" s="1707" t="s">
        <v>1438</v>
      </c>
      <c r="X52" s="1708">
        <f t="shared" si="26"/>
        <v>250594.204</v>
      </c>
      <c r="Y52" s="1708">
        <v>11842000</v>
      </c>
      <c r="Z52" s="1708">
        <v>17051</v>
      </c>
      <c r="AA52" s="1710">
        <f t="shared" si="27"/>
        <v>12075543.204</v>
      </c>
      <c r="AB52" s="1711">
        <v>7846</v>
      </c>
      <c r="AC52" s="1717">
        <v>-25757</v>
      </c>
      <c r="AD52" s="1712">
        <f t="shared" si="28"/>
        <v>1539.0699979607443</v>
      </c>
      <c r="AE52" s="1712">
        <f t="shared" si="29"/>
        <v>-468.825686376519</v>
      </c>
      <c r="AF52" s="1713">
        <f t="shared" si="30"/>
        <v>0</v>
      </c>
      <c r="AG52" s="1718"/>
    </row>
    <row r="53" spans="1:42" s="1688" customFormat="1" ht="14.85" customHeight="1">
      <c r="A53" s="1714"/>
      <c r="B53" s="1695" t="s">
        <v>1449</v>
      </c>
      <c r="C53" s="1698" t="s">
        <v>1450</v>
      </c>
      <c r="D53" s="1697" t="s">
        <v>1506</v>
      </c>
      <c r="E53" s="1698" t="s">
        <v>1451</v>
      </c>
      <c r="F53" s="1699">
        <v>42508</v>
      </c>
      <c r="G53" s="1715">
        <v>10</v>
      </c>
      <c r="H53" s="1715">
        <v>14</v>
      </c>
      <c r="I53" s="1715">
        <v>16</v>
      </c>
      <c r="J53" s="1715">
        <v>9.1691500000000001</v>
      </c>
      <c r="K53" s="1701">
        <f t="shared" si="19"/>
        <v>8740.4410000000007</v>
      </c>
      <c r="L53" s="1702">
        <v>5500</v>
      </c>
      <c r="M53" s="1702">
        <v>14240.441000000001</v>
      </c>
      <c r="N53" s="1701">
        <f t="shared" si="20"/>
        <v>87404.41</v>
      </c>
      <c r="O53" s="1703">
        <f t="shared" si="21"/>
        <v>55000</v>
      </c>
      <c r="P53" s="1701">
        <f t="shared" si="22"/>
        <v>142404.41</v>
      </c>
      <c r="Q53" s="1701"/>
      <c r="R53" s="1677">
        <v>1</v>
      </c>
      <c r="S53" s="1700">
        <f t="shared" si="23"/>
        <v>9.1691500000000001</v>
      </c>
      <c r="T53" s="1704">
        <f t="shared" si="24"/>
        <v>130572.73959515001</v>
      </c>
      <c r="U53" s="1705">
        <f t="shared" si="25"/>
        <v>-8.3084999999999964E-2</v>
      </c>
      <c r="V53" s="1716" t="s">
        <v>1452</v>
      </c>
      <c r="W53" s="1707" t="s">
        <v>1453</v>
      </c>
      <c r="X53" s="1708">
        <f t="shared" si="26"/>
        <v>142404.41</v>
      </c>
      <c r="Y53" s="1708">
        <v>709200</v>
      </c>
      <c r="Z53" s="1708">
        <v>35678.519999999997</v>
      </c>
      <c r="AA53" s="1710">
        <f t="shared" si="27"/>
        <v>815925.89</v>
      </c>
      <c r="AB53" s="1711">
        <v>2951.86</v>
      </c>
      <c r="AC53" s="1717">
        <v>-22947.420000000002</v>
      </c>
      <c r="AD53" s="1712">
        <f t="shared" si="28"/>
        <v>276.41076812585965</v>
      </c>
      <c r="AE53" s="1712">
        <f t="shared" si="29"/>
        <v>-35.556323543125977</v>
      </c>
      <c r="AF53" s="1713">
        <f t="shared" si="30"/>
        <v>0</v>
      </c>
      <c r="AG53" s="1718"/>
    </row>
    <row r="54" spans="1:42" s="1688" customFormat="1" ht="14.85" customHeight="1">
      <c r="A54" s="1714"/>
      <c r="B54" s="1695" t="s">
        <v>1455</v>
      </c>
      <c r="C54" s="1698" t="s">
        <v>1456</v>
      </c>
      <c r="D54" s="1697" t="s">
        <v>641</v>
      </c>
      <c r="E54" s="1698" t="s">
        <v>1457</v>
      </c>
      <c r="F54" s="1699">
        <v>42502</v>
      </c>
      <c r="G54" s="1715">
        <v>6</v>
      </c>
      <c r="H54" s="1715">
        <v>11</v>
      </c>
      <c r="I54" s="1715">
        <v>13</v>
      </c>
      <c r="J54" s="1715">
        <v>3.35</v>
      </c>
      <c r="K54" s="1701">
        <f t="shared" si="19"/>
        <v>16969.444</v>
      </c>
      <c r="L54" s="1702">
        <v>5833.3339999999998</v>
      </c>
      <c r="M54" s="1702">
        <v>22802.777999999998</v>
      </c>
      <c r="N54" s="1701">
        <f t="shared" si="20"/>
        <v>101816.66399999999</v>
      </c>
      <c r="O54" s="1703">
        <f t="shared" si="21"/>
        <v>35000.004000000001</v>
      </c>
      <c r="P54" s="1701">
        <f t="shared" si="22"/>
        <v>136816.66800000001</v>
      </c>
      <c r="Q54" s="1701"/>
      <c r="R54" s="1677">
        <v>1</v>
      </c>
      <c r="S54" s="1700">
        <f t="shared" si="23"/>
        <v>3.35</v>
      </c>
      <c r="T54" s="1704">
        <f t="shared" si="24"/>
        <v>76389.306299999997</v>
      </c>
      <c r="U54" s="1705">
        <f t="shared" si="25"/>
        <v>-0.44166666666666676</v>
      </c>
      <c r="V54" s="1716" t="s">
        <v>1458</v>
      </c>
      <c r="W54" s="1707" t="s">
        <v>1459</v>
      </c>
      <c r="X54" s="1708">
        <f t="shared" si="26"/>
        <v>136816.66800000001</v>
      </c>
      <c r="Y54" s="1708">
        <v>15488800</v>
      </c>
      <c r="Z54" s="1708">
        <v>5582.26</v>
      </c>
      <c r="AA54" s="1710">
        <f t="shared" si="27"/>
        <v>15620034.408</v>
      </c>
      <c r="AB54" s="1711">
        <v>2979.58</v>
      </c>
      <c r="AC54" s="1717">
        <v>-56013.52</v>
      </c>
      <c r="AD54" s="1712">
        <f t="shared" si="28"/>
        <v>5242.3611408319293</v>
      </c>
      <c r="AE54" s="1712">
        <f t="shared" si="29"/>
        <v>-278.86186063650348</v>
      </c>
      <c r="AF54" s="1713">
        <f t="shared" si="30"/>
        <v>0</v>
      </c>
      <c r="AK54" s="1713"/>
      <c r="AL54" s="1719"/>
      <c r="AM54" s="1718"/>
    </row>
    <row r="55" spans="1:42" s="1673" customFormat="1" ht="14.85" customHeight="1">
      <c r="A55" s="1714"/>
      <c r="B55" s="1695" t="s">
        <v>1296</v>
      </c>
      <c r="C55" s="1698" t="s">
        <v>1470</v>
      </c>
      <c r="D55" s="1697" t="s">
        <v>1471</v>
      </c>
      <c r="E55" s="1698" t="s">
        <v>1472</v>
      </c>
      <c r="F55" s="1699">
        <v>42451</v>
      </c>
      <c r="G55" s="1715">
        <v>15</v>
      </c>
      <c r="H55" s="1715">
        <v>15</v>
      </c>
      <c r="I55" s="1715">
        <v>17</v>
      </c>
      <c r="J55" s="1715">
        <v>15.13</v>
      </c>
      <c r="K55" s="1701">
        <f t="shared" si="19"/>
        <v>15706.356</v>
      </c>
      <c r="L55" s="1702">
        <v>4700</v>
      </c>
      <c r="M55" s="1702">
        <v>20406.356</v>
      </c>
      <c r="N55" s="1701">
        <f t="shared" si="20"/>
        <v>235595.34</v>
      </c>
      <c r="O55" s="1703">
        <f t="shared" si="21"/>
        <v>70500</v>
      </c>
      <c r="P55" s="1701">
        <f t="shared" si="22"/>
        <v>306095.33999999997</v>
      </c>
      <c r="Q55" s="1701"/>
      <c r="R55" s="1677">
        <v>1</v>
      </c>
      <c r="S55" s="1700">
        <f t="shared" si="23"/>
        <v>15.13</v>
      </c>
      <c r="T55" s="1704">
        <f t="shared" si="24"/>
        <v>308748.16628</v>
      </c>
      <c r="U55" s="1705">
        <f t="shared" si="25"/>
        <v>8.6666666666668224E-3</v>
      </c>
      <c r="V55" s="1706" t="s">
        <v>1473</v>
      </c>
      <c r="W55" s="1707" t="s">
        <v>1474</v>
      </c>
      <c r="X55" s="1708">
        <f t="shared" si="26"/>
        <v>306095.33999999997</v>
      </c>
      <c r="Y55" s="1708">
        <v>0</v>
      </c>
      <c r="Z55" s="1708">
        <v>0</v>
      </c>
      <c r="AA55" s="1710">
        <f t="shared" si="27"/>
        <v>306095.33999999997</v>
      </c>
      <c r="AB55" s="1711">
        <v>0</v>
      </c>
      <c r="AC55" s="1717">
        <v>-24113</v>
      </c>
      <c r="AD55" s="1712" t="str">
        <f t="shared" si="28"/>
        <v>n/a</v>
      </c>
      <c r="AE55" s="1712">
        <f t="shared" si="29"/>
        <v>-12.69420395637208</v>
      </c>
      <c r="AF55" s="1713">
        <f t="shared" si="30"/>
        <v>0</v>
      </c>
      <c r="AG55" s="1688"/>
      <c r="AK55" s="1703"/>
      <c r="AL55" s="1719"/>
      <c r="AM55" s="1718"/>
    </row>
    <row r="56" spans="1:42" s="1673" customFormat="1" ht="14.85" customHeight="1">
      <c r="A56" s="1714"/>
      <c r="B56" s="1695" t="s">
        <v>1300</v>
      </c>
      <c r="C56" s="1698" t="s">
        <v>1475</v>
      </c>
      <c r="D56" s="1697" t="s">
        <v>1582</v>
      </c>
      <c r="E56" s="1698" t="s">
        <v>1476</v>
      </c>
      <c r="F56" s="1699">
        <v>42431</v>
      </c>
      <c r="G56" s="1715">
        <v>12</v>
      </c>
      <c r="H56" s="1715">
        <v>14</v>
      </c>
      <c r="I56" s="1715">
        <v>16</v>
      </c>
      <c r="J56" s="1715">
        <v>13.11</v>
      </c>
      <c r="K56" s="1701">
        <f t="shared" si="19"/>
        <v>12972.674999999999</v>
      </c>
      <c r="L56" s="1702">
        <v>4400</v>
      </c>
      <c r="M56" s="1702">
        <v>17372.674999999999</v>
      </c>
      <c r="N56" s="1701">
        <f t="shared" si="20"/>
        <v>155672.09999999998</v>
      </c>
      <c r="O56" s="1703">
        <f t="shared" si="21"/>
        <v>52800</v>
      </c>
      <c r="P56" s="1701">
        <f t="shared" si="22"/>
        <v>208472.09999999998</v>
      </c>
      <c r="Q56" s="1701"/>
      <c r="R56" s="1677">
        <v>1</v>
      </c>
      <c r="S56" s="1700">
        <f t="shared" si="23"/>
        <v>13.11</v>
      </c>
      <c r="T56" s="1704">
        <f t="shared" si="24"/>
        <v>227755.76924999998</v>
      </c>
      <c r="U56" s="1705">
        <f t="shared" si="25"/>
        <v>9.2500000000000027E-2</v>
      </c>
      <c r="V56" s="1706" t="s">
        <v>1477</v>
      </c>
      <c r="W56" s="1707" t="s">
        <v>1478</v>
      </c>
      <c r="X56" s="1708">
        <f t="shared" si="26"/>
        <v>208472.09999999998</v>
      </c>
      <c r="Y56" s="1708">
        <v>0</v>
      </c>
      <c r="Z56" s="1708">
        <v>23179</v>
      </c>
      <c r="AA56" s="1710">
        <f t="shared" si="27"/>
        <v>185293.09999999998</v>
      </c>
      <c r="AB56" s="1711">
        <v>1220</v>
      </c>
      <c r="AC56" s="1717">
        <v>-27113</v>
      </c>
      <c r="AD56" s="1712">
        <f t="shared" si="28"/>
        <v>151.87959016393441</v>
      </c>
      <c r="AE56" s="1712">
        <f t="shared" si="29"/>
        <v>-6.8341054106885988</v>
      </c>
      <c r="AF56" s="1713">
        <f t="shared" si="30"/>
        <v>0</v>
      </c>
      <c r="AG56" s="1688"/>
      <c r="AK56" s="1703"/>
      <c r="AL56" s="1719"/>
      <c r="AM56" s="1718"/>
    </row>
    <row r="57" spans="1:42" s="1673" customFormat="1" ht="14.85" customHeight="1">
      <c r="A57" s="1714"/>
      <c r="B57" s="1695" t="s">
        <v>1479</v>
      </c>
      <c r="C57" s="1698" t="s">
        <v>1480</v>
      </c>
      <c r="D57" s="1697" t="s">
        <v>641</v>
      </c>
      <c r="E57" s="1698" t="s">
        <v>1481</v>
      </c>
      <c r="F57" s="1699">
        <v>42410</v>
      </c>
      <c r="G57" s="1715">
        <v>20</v>
      </c>
      <c r="H57" s="1715">
        <v>19</v>
      </c>
      <c r="I57" s="1715">
        <v>21</v>
      </c>
      <c r="J57" s="1715">
        <v>21.15</v>
      </c>
      <c r="K57" s="1701">
        <f t="shared" si="19"/>
        <v>17650.57</v>
      </c>
      <c r="L57" s="1702">
        <v>4750</v>
      </c>
      <c r="M57" s="1702">
        <v>22400.57</v>
      </c>
      <c r="N57" s="1701">
        <f t="shared" si="20"/>
        <v>353011.4</v>
      </c>
      <c r="O57" s="1703">
        <f t="shared" si="21"/>
        <v>95000</v>
      </c>
      <c r="P57" s="1701">
        <f t="shared" si="22"/>
        <v>448011.4</v>
      </c>
      <c r="Q57" s="1701"/>
      <c r="R57" s="1677">
        <v>1</v>
      </c>
      <c r="S57" s="1700">
        <f t="shared" si="23"/>
        <v>21.15</v>
      </c>
      <c r="T57" s="1704">
        <f t="shared" si="24"/>
        <v>473772.05549999996</v>
      </c>
      <c r="U57" s="1705">
        <f t="shared" si="25"/>
        <v>5.7499999999999885E-2</v>
      </c>
      <c r="V57" s="1706" t="s">
        <v>1482</v>
      </c>
      <c r="W57" s="1707" t="s">
        <v>1483</v>
      </c>
      <c r="X57" s="1708">
        <f t="shared" si="26"/>
        <v>448011.4</v>
      </c>
      <c r="Y57" s="1708">
        <v>0</v>
      </c>
      <c r="Z57" s="1708">
        <v>69706.460000000006</v>
      </c>
      <c r="AA57" s="1710">
        <f t="shared" si="27"/>
        <v>378304.94</v>
      </c>
      <c r="AB57" s="1711">
        <v>0</v>
      </c>
      <c r="AC57" s="1717">
        <v>-59309.03</v>
      </c>
      <c r="AD57" s="1712" t="str">
        <f t="shared" si="28"/>
        <v>n/a</v>
      </c>
      <c r="AE57" s="1712">
        <f t="shared" si="29"/>
        <v>-6.3785386474875754</v>
      </c>
      <c r="AF57" s="1713">
        <f t="shared" si="30"/>
        <v>0</v>
      </c>
      <c r="AG57" s="1688"/>
      <c r="AK57" s="1703"/>
      <c r="AL57" s="1719"/>
      <c r="AM57" s="1718"/>
    </row>
    <row r="58" spans="1:42" s="1673" customFormat="1" ht="14.85" customHeight="1">
      <c r="A58" s="1714"/>
      <c r="B58" s="1695" t="s">
        <v>909</v>
      </c>
      <c r="C58" s="1698" t="s">
        <v>1495</v>
      </c>
      <c r="D58" s="1697" t="s">
        <v>617</v>
      </c>
      <c r="E58" s="1698" t="s">
        <v>1496</v>
      </c>
      <c r="F58" s="1699">
        <v>42318</v>
      </c>
      <c r="G58" s="1715">
        <v>14</v>
      </c>
      <c r="H58" s="1715">
        <v>15</v>
      </c>
      <c r="I58" s="1715">
        <v>17</v>
      </c>
      <c r="J58" s="1715">
        <v>23.72</v>
      </c>
      <c r="K58" s="1701">
        <f t="shared" si="19"/>
        <v>21034.71</v>
      </c>
      <c r="L58" s="1702">
        <v>5000</v>
      </c>
      <c r="M58" s="1702">
        <v>26034.71</v>
      </c>
      <c r="N58" s="1701">
        <f t="shared" si="20"/>
        <v>294485.94</v>
      </c>
      <c r="O58" s="1703">
        <f t="shared" si="21"/>
        <v>70000</v>
      </c>
      <c r="P58" s="1701">
        <f t="shared" si="22"/>
        <v>364485.94</v>
      </c>
      <c r="Q58" s="1701"/>
      <c r="R58" s="1677">
        <v>1</v>
      </c>
      <c r="S58" s="1700">
        <f t="shared" si="23"/>
        <v>23.72</v>
      </c>
      <c r="T58" s="1704">
        <f t="shared" si="24"/>
        <v>617543.32120000001</v>
      </c>
      <c r="U58" s="1705">
        <f t="shared" si="25"/>
        <v>0.69428571428571439</v>
      </c>
      <c r="V58" s="1720" t="s">
        <v>1497</v>
      </c>
      <c r="W58" s="1707" t="s">
        <v>1999</v>
      </c>
      <c r="X58" s="1708">
        <f t="shared" si="26"/>
        <v>364485.94</v>
      </c>
      <c r="Y58" s="1708">
        <v>0</v>
      </c>
      <c r="Z58" s="1708">
        <v>84748</v>
      </c>
      <c r="AA58" s="1710">
        <f t="shared" si="27"/>
        <v>279737.94</v>
      </c>
      <c r="AB58" s="1711">
        <v>18424</v>
      </c>
      <c r="AC58" s="1717">
        <v>-27932</v>
      </c>
      <c r="AD58" s="1712">
        <f t="shared" si="28"/>
        <v>15.183344550586192</v>
      </c>
      <c r="AE58" s="1712">
        <f t="shared" si="29"/>
        <v>-10.014962766719176</v>
      </c>
      <c r="AF58" s="1713">
        <f t="shared" si="30"/>
        <v>0</v>
      </c>
      <c r="AG58" s="1723"/>
      <c r="AH58" s="1722"/>
      <c r="AI58" s="1723"/>
      <c r="AJ58" s="1723"/>
      <c r="AK58" s="1722"/>
      <c r="AL58" s="1719"/>
      <c r="AM58" s="1718"/>
      <c r="AN58" s="1720"/>
      <c r="AO58" s="1725"/>
      <c r="AP58" s="1725"/>
    </row>
    <row r="59" spans="1:42" s="1673" customFormat="1" ht="14.85" customHeight="1">
      <c r="A59" s="1714"/>
      <c r="B59" s="1755" t="s">
        <v>1499</v>
      </c>
      <c r="C59" s="1698" t="s">
        <v>1500</v>
      </c>
      <c r="D59" s="1697" t="s">
        <v>641</v>
      </c>
      <c r="E59" s="1698" t="s">
        <v>1501</v>
      </c>
      <c r="F59" s="1699">
        <v>42305</v>
      </c>
      <c r="G59" s="1715">
        <v>10</v>
      </c>
      <c r="H59" s="1715">
        <v>15</v>
      </c>
      <c r="I59" s="1715">
        <v>17</v>
      </c>
      <c r="J59" s="1715">
        <v>12.4</v>
      </c>
      <c r="K59" s="1701">
        <f t="shared" si="19"/>
        <v>20805.473000000002</v>
      </c>
      <c r="L59" s="1702">
        <v>5437.5</v>
      </c>
      <c r="M59" s="1702">
        <v>26242.973000000002</v>
      </c>
      <c r="N59" s="1701">
        <f t="shared" si="20"/>
        <v>208054.73</v>
      </c>
      <c r="O59" s="1703">
        <f t="shared" si="21"/>
        <v>54375</v>
      </c>
      <c r="P59" s="1701">
        <f t="shared" si="22"/>
        <v>262429.73</v>
      </c>
      <c r="Q59" s="1701"/>
      <c r="R59" s="1677">
        <v>1</v>
      </c>
      <c r="S59" s="1700">
        <f t="shared" si="23"/>
        <v>12.4</v>
      </c>
      <c r="T59" s="1704">
        <f t="shared" si="24"/>
        <v>325412.86520000006</v>
      </c>
      <c r="U59" s="1705">
        <f t="shared" si="25"/>
        <v>0.24000000000000021</v>
      </c>
      <c r="V59" s="1720" t="s">
        <v>1502</v>
      </c>
      <c r="W59" s="1707" t="s">
        <v>1503</v>
      </c>
      <c r="X59" s="1708">
        <f t="shared" si="26"/>
        <v>262429.73</v>
      </c>
      <c r="Y59" s="1708">
        <v>0</v>
      </c>
      <c r="Z59" s="1708">
        <v>73076</v>
      </c>
      <c r="AA59" s="1710">
        <f t="shared" si="27"/>
        <v>189353.72999999998</v>
      </c>
      <c r="AB59" s="1711">
        <v>14199</v>
      </c>
      <c r="AC59" s="1717">
        <v>-30529</v>
      </c>
      <c r="AD59" s="1712">
        <f t="shared" si="28"/>
        <v>13.335708852736106</v>
      </c>
      <c r="AE59" s="1712">
        <f t="shared" si="29"/>
        <v>-6.2024216318909886</v>
      </c>
      <c r="AF59" s="1713">
        <f t="shared" si="30"/>
        <v>0</v>
      </c>
      <c r="AG59" s="1723"/>
      <c r="AH59" s="1722"/>
      <c r="AI59" s="1723"/>
      <c r="AJ59" s="1723"/>
      <c r="AK59" s="1722"/>
      <c r="AL59" s="1719"/>
      <c r="AM59" s="1718"/>
      <c r="AN59" s="1720"/>
      <c r="AO59" s="1725"/>
      <c r="AP59" s="1725"/>
    </row>
    <row r="60" spans="1:42" s="1673" customFormat="1" ht="14.85" customHeight="1">
      <c r="A60" s="1714"/>
      <c r="B60" s="1695" t="s">
        <v>1504</v>
      </c>
      <c r="C60" s="1698" t="s">
        <v>1505</v>
      </c>
      <c r="D60" s="1697" t="s">
        <v>641</v>
      </c>
      <c r="E60" s="1698" t="s">
        <v>1507</v>
      </c>
      <c r="F60" s="1699">
        <v>42298</v>
      </c>
      <c r="G60" s="1715">
        <v>13</v>
      </c>
      <c r="H60" s="1715">
        <v>14</v>
      </c>
      <c r="I60" s="1715">
        <v>16</v>
      </c>
      <c r="J60" s="1715">
        <v>13.45</v>
      </c>
      <c r="K60" s="1701">
        <f t="shared" si="19"/>
        <v>19379.574000000001</v>
      </c>
      <c r="L60" s="1702">
        <v>5500</v>
      </c>
      <c r="M60" s="1702">
        <v>24879.574000000001</v>
      </c>
      <c r="N60" s="1701">
        <f t="shared" si="20"/>
        <v>251934.462</v>
      </c>
      <c r="O60" s="1703">
        <f t="shared" si="21"/>
        <v>71500</v>
      </c>
      <c r="P60" s="1701">
        <f t="shared" si="22"/>
        <v>323434.462</v>
      </c>
      <c r="Q60" s="1701"/>
      <c r="R60" s="1677">
        <v>1</v>
      </c>
      <c r="S60" s="1700">
        <f t="shared" si="23"/>
        <v>13.45</v>
      </c>
      <c r="T60" s="1704">
        <f t="shared" si="24"/>
        <v>334630.27029999997</v>
      </c>
      <c r="U60" s="1705">
        <f t="shared" si="25"/>
        <v>3.4615384615384492E-2</v>
      </c>
      <c r="V60" s="1706" t="s">
        <v>1508</v>
      </c>
      <c r="W60" s="1707" t="s">
        <v>1509</v>
      </c>
      <c r="X60" s="1708">
        <f t="shared" si="26"/>
        <v>323434.462</v>
      </c>
      <c r="Y60" s="1708">
        <v>1615000</v>
      </c>
      <c r="Z60" s="1708">
        <v>80653</v>
      </c>
      <c r="AA60" s="1710">
        <f t="shared" si="27"/>
        <v>1857781.4620000001</v>
      </c>
      <c r="AB60" s="1711">
        <v>8991</v>
      </c>
      <c r="AC60" s="1717">
        <v>-40246</v>
      </c>
      <c r="AD60" s="1712">
        <f t="shared" si="28"/>
        <v>206.62678923367812</v>
      </c>
      <c r="AE60" s="1712">
        <f t="shared" si="29"/>
        <v>-46.160648561347713</v>
      </c>
      <c r="AF60" s="1713">
        <f t="shared" si="30"/>
        <v>0</v>
      </c>
      <c r="AG60" s="1688"/>
      <c r="AK60" s="1703"/>
      <c r="AL60" s="1719"/>
      <c r="AM60" s="1718"/>
    </row>
    <row r="61" spans="1:42" s="1673" customFormat="1" ht="14.85" customHeight="1">
      <c r="A61" s="1714"/>
      <c r="B61" s="1695" t="s">
        <v>1525</v>
      </c>
      <c r="C61" s="1698" t="s">
        <v>1526</v>
      </c>
      <c r="D61" s="1697" t="s">
        <v>641</v>
      </c>
      <c r="E61" s="1698" t="s">
        <v>1527</v>
      </c>
      <c r="F61" s="1699">
        <v>42277</v>
      </c>
      <c r="G61" s="1715">
        <v>7</v>
      </c>
      <c r="H61" s="1715">
        <v>13</v>
      </c>
      <c r="I61" s="1715">
        <v>15</v>
      </c>
      <c r="J61" s="1715">
        <v>5.78</v>
      </c>
      <c r="K61" s="1701">
        <f t="shared" si="19"/>
        <v>13806.725999999999</v>
      </c>
      <c r="L61" s="1702">
        <v>6250</v>
      </c>
      <c r="M61" s="1702">
        <v>20056.725999999999</v>
      </c>
      <c r="N61" s="1701">
        <f t="shared" si="20"/>
        <v>96647.081999999995</v>
      </c>
      <c r="O61" s="1703">
        <f t="shared" si="21"/>
        <v>43750</v>
      </c>
      <c r="P61" s="1701">
        <f t="shared" si="22"/>
        <v>140397.08199999999</v>
      </c>
      <c r="Q61" s="1701"/>
      <c r="R61" s="1677">
        <v>1</v>
      </c>
      <c r="S61" s="1700">
        <f t="shared" si="23"/>
        <v>5.78</v>
      </c>
      <c r="T61" s="1704">
        <f t="shared" si="24"/>
        <v>115927.87628</v>
      </c>
      <c r="U61" s="1705">
        <f t="shared" si="25"/>
        <v>-0.17428571428571427</v>
      </c>
      <c r="V61" s="1706" t="s">
        <v>1528</v>
      </c>
      <c r="W61" s="1707" t="s">
        <v>2000</v>
      </c>
      <c r="X61" s="1708">
        <f t="shared" si="26"/>
        <v>140397.08199999999</v>
      </c>
      <c r="Y61" s="1708">
        <v>0</v>
      </c>
      <c r="Z61" s="1708">
        <v>41579</v>
      </c>
      <c r="AA61" s="1710">
        <f t="shared" si="27"/>
        <v>98818.081999999995</v>
      </c>
      <c r="AB61" s="1711">
        <v>0</v>
      </c>
      <c r="AC61" s="1717">
        <v>-27374</v>
      </c>
      <c r="AD61" s="1712" t="str">
        <f t="shared" si="28"/>
        <v>n/a</v>
      </c>
      <c r="AE61" s="1712">
        <f t="shared" si="29"/>
        <v>-3.6099248191714763</v>
      </c>
      <c r="AF61" s="1713">
        <f t="shared" si="30"/>
        <v>0</v>
      </c>
      <c r="AG61" s="1688"/>
      <c r="AK61" s="1703"/>
      <c r="AL61" s="1719"/>
      <c r="AM61" s="1718"/>
    </row>
    <row r="62" spans="1:42" s="1673" customFormat="1" ht="14.85" customHeight="1">
      <c r="A62" s="1714"/>
      <c r="B62" s="1695" t="s">
        <v>1566</v>
      </c>
      <c r="C62" s="1698" t="s">
        <v>1567</v>
      </c>
      <c r="D62" s="1697" t="s">
        <v>1506</v>
      </c>
      <c r="E62" s="1698" t="s">
        <v>1568</v>
      </c>
      <c r="F62" s="1699">
        <v>42179</v>
      </c>
      <c r="G62" s="1715">
        <v>12</v>
      </c>
      <c r="H62" s="1715">
        <v>13</v>
      </c>
      <c r="I62" s="1715">
        <v>15</v>
      </c>
      <c r="J62" s="1715">
        <v>13.9</v>
      </c>
      <c r="K62" s="1701">
        <f t="shared" si="19"/>
        <v>9547.7960000000003</v>
      </c>
      <c r="L62" s="1702">
        <v>5000</v>
      </c>
      <c r="M62" s="1702">
        <v>14547.796</v>
      </c>
      <c r="N62" s="1701">
        <f t="shared" si="20"/>
        <v>114573.552</v>
      </c>
      <c r="O62" s="1703">
        <f t="shared" si="21"/>
        <v>60000</v>
      </c>
      <c r="P62" s="1701">
        <f t="shared" si="22"/>
        <v>174573.552</v>
      </c>
      <c r="Q62" s="1701"/>
      <c r="R62" s="1677">
        <v>1</v>
      </c>
      <c r="S62" s="1700">
        <f t="shared" si="23"/>
        <v>13.9</v>
      </c>
      <c r="T62" s="1704">
        <f t="shared" si="24"/>
        <v>202214.36440000002</v>
      </c>
      <c r="U62" s="1705">
        <f t="shared" si="25"/>
        <v>0.15833333333333344</v>
      </c>
      <c r="V62" s="1720" t="s">
        <v>1569</v>
      </c>
      <c r="W62" s="1707" t="s">
        <v>2001</v>
      </c>
      <c r="X62" s="1708">
        <f t="shared" si="26"/>
        <v>174573.552</v>
      </c>
      <c r="Y62" s="1708">
        <v>9656000</v>
      </c>
      <c r="Z62" s="1708">
        <v>24303</v>
      </c>
      <c r="AA62" s="1710">
        <f t="shared" si="27"/>
        <v>9806270.5519999992</v>
      </c>
      <c r="AB62" s="1711">
        <v>0</v>
      </c>
      <c r="AC62" s="1717">
        <v>-35832</v>
      </c>
      <c r="AD62" s="1712" t="str">
        <f t="shared" si="28"/>
        <v>n/a</v>
      </c>
      <c r="AE62" s="1712">
        <f t="shared" si="29"/>
        <v>-273.67354744362581</v>
      </c>
      <c r="AF62" s="1713">
        <f t="shared" si="30"/>
        <v>0</v>
      </c>
      <c r="AG62" s="1723"/>
      <c r="AH62" s="1722"/>
      <c r="AI62" s="1723"/>
      <c r="AJ62" s="1724"/>
      <c r="AK62" s="1722"/>
      <c r="AL62" s="1719"/>
      <c r="AM62" s="1718"/>
      <c r="AN62" s="1720"/>
      <c r="AO62" s="1725"/>
      <c r="AP62" s="1725"/>
    </row>
    <row r="63" spans="1:42" s="1721" customFormat="1" ht="14.85" customHeight="1">
      <c r="A63" s="1714"/>
      <c r="B63" s="1695" t="s">
        <v>1576</v>
      </c>
      <c r="C63" s="1698" t="s">
        <v>1577</v>
      </c>
      <c r="D63" s="1697" t="s">
        <v>617</v>
      </c>
      <c r="E63" s="1698" t="s">
        <v>1578</v>
      </c>
      <c r="F63" s="1699">
        <v>42171</v>
      </c>
      <c r="G63" s="1715">
        <v>14</v>
      </c>
      <c r="H63" s="1715">
        <v>13</v>
      </c>
      <c r="I63" s="1715">
        <v>15</v>
      </c>
      <c r="J63" s="1715">
        <v>19.010000000000002</v>
      </c>
      <c r="K63" s="1701">
        <f t="shared" si="19"/>
        <v>9126.6830000000009</v>
      </c>
      <c r="L63" s="1702">
        <v>5500</v>
      </c>
      <c r="M63" s="1702">
        <v>14626.683000000001</v>
      </c>
      <c r="N63" s="1701">
        <f t="shared" si="20"/>
        <v>127773.56200000001</v>
      </c>
      <c r="O63" s="1703">
        <f t="shared" si="21"/>
        <v>77000</v>
      </c>
      <c r="P63" s="1701">
        <f t="shared" si="22"/>
        <v>204773.56200000001</v>
      </c>
      <c r="Q63" s="1701"/>
      <c r="R63" s="1677">
        <v>1</v>
      </c>
      <c r="S63" s="1700">
        <f t="shared" si="23"/>
        <v>19.010000000000002</v>
      </c>
      <c r="T63" s="1704">
        <f t="shared" si="24"/>
        <v>278053.24383000005</v>
      </c>
      <c r="U63" s="1705">
        <f t="shared" si="25"/>
        <v>0.3578571428571431</v>
      </c>
      <c r="V63" s="1706" t="s">
        <v>1579</v>
      </c>
      <c r="W63" s="1707" t="s">
        <v>1580</v>
      </c>
      <c r="X63" s="1708">
        <f t="shared" si="26"/>
        <v>204773.56200000001</v>
      </c>
      <c r="Y63" s="1708">
        <v>0</v>
      </c>
      <c r="Z63" s="1708">
        <v>22864.5</v>
      </c>
      <c r="AA63" s="1710">
        <f t="shared" si="27"/>
        <v>181909.06200000001</v>
      </c>
      <c r="AB63" s="1711">
        <v>0</v>
      </c>
      <c r="AC63" s="1717">
        <v>-29160</v>
      </c>
      <c r="AD63" s="1712" t="str">
        <f t="shared" si="28"/>
        <v>n/a</v>
      </c>
      <c r="AE63" s="1712">
        <f t="shared" si="29"/>
        <v>-6.2383080246913583</v>
      </c>
      <c r="AF63" s="1713">
        <f t="shared" si="30"/>
        <v>0</v>
      </c>
      <c r="AG63" s="1688"/>
      <c r="AH63" s="1673"/>
      <c r="AI63" s="1673"/>
      <c r="AJ63" s="1673"/>
      <c r="AK63" s="1703"/>
      <c r="AL63" s="1719"/>
      <c r="AM63" s="1718"/>
      <c r="AN63" s="1673"/>
      <c r="AO63" s="1673"/>
      <c r="AP63" s="1673"/>
    </row>
    <row r="64" spans="1:42" s="1721" customFormat="1" ht="14.85" customHeight="1">
      <c r="A64" s="1714"/>
      <c r="B64" s="1695" t="s">
        <v>2002</v>
      </c>
      <c r="C64" s="1698" t="s">
        <v>1581</v>
      </c>
      <c r="D64" s="1697" t="s">
        <v>1582</v>
      </c>
      <c r="E64" s="1698" t="s">
        <v>1583</v>
      </c>
      <c r="F64" s="1699">
        <v>42130</v>
      </c>
      <c r="G64" s="1715">
        <v>14</v>
      </c>
      <c r="H64" s="1715">
        <v>13</v>
      </c>
      <c r="I64" s="1715">
        <v>15</v>
      </c>
      <c r="J64" s="1715">
        <v>25.87</v>
      </c>
      <c r="K64" s="1701">
        <f t="shared" si="19"/>
        <v>17189.739000000001</v>
      </c>
      <c r="L64" s="1702">
        <v>5360</v>
      </c>
      <c r="M64" s="1702">
        <v>22549.739000000001</v>
      </c>
      <c r="N64" s="1701">
        <f t="shared" si="20"/>
        <v>240656.34600000002</v>
      </c>
      <c r="O64" s="1703">
        <f t="shared" si="21"/>
        <v>75040</v>
      </c>
      <c r="P64" s="1701">
        <f t="shared" si="22"/>
        <v>315696.34600000002</v>
      </c>
      <c r="Q64" s="1701"/>
      <c r="R64" s="1677">
        <v>1</v>
      </c>
      <c r="S64" s="1700">
        <f t="shared" si="23"/>
        <v>25.87</v>
      </c>
      <c r="T64" s="1704">
        <f t="shared" si="24"/>
        <v>583361.74793000007</v>
      </c>
      <c r="U64" s="1705">
        <f t="shared" si="25"/>
        <v>0.84785714285714286</v>
      </c>
      <c r="V64" s="1706" t="s">
        <v>1584</v>
      </c>
      <c r="W64" s="1707" t="s">
        <v>1585</v>
      </c>
      <c r="X64" s="1708">
        <f t="shared" si="26"/>
        <v>315696.34600000002</v>
      </c>
      <c r="Y64" s="1708">
        <v>10276000</v>
      </c>
      <c r="Z64" s="1708">
        <v>13899</v>
      </c>
      <c r="AA64" s="1710">
        <f t="shared" si="27"/>
        <v>10577797.346000001</v>
      </c>
      <c r="AB64" s="1711">
        <v>0</v>
      </c>
      <c r="AC64" s="1717">
        <v>-58426</v>
      </c>
      <c r="AD64" s="1712" t="str">
        <f t="shared" si="28"/>
        <v>n/a</v>
      </c>
      <c r="AE64" s="1712">
        <f t="shared" si="29"/>
        <v>-181.04606418375383</v>
      </c>
      <c r="AF64" s="1713">
        <f t="shared" si="30"/>
        <v>0</v>
      </c>
      <c r="AG64" s="1688"/>
      <c r="AH64" s="1673"/>
      <c r="AI64" s="1673"/>
      <c r="AJ64" s="1673"/>
      <c r="AK64" s="1703"/>
      <c r="AL64" s="1719"/>
      <c r="AM64" s="1718"/>
      <c r="AN64" s="1673"/>
      <c r="AO64" s="1673"/>
      <c r="AP64" s="1673"/>
    </row>
    <row r="65" spans="1:42" s="1721" customFormat="1" ht="14.85" customHeight="1">
      <c r="A65" s="1756"/>
      <c r="B65" s="1695" t="s">
        <v>2003</v>
      </c>
      <c r="C65" s="1698" t="s">
        <v>2004</v>
      </c>
      <c r="D65" s="1697" t="s">
        <v>1506</v>
      </c>
      <c r="E65" s="1698" t="s">
        <v>2005</v>
      </c>
      <c r="F65" s="1699">
        <v>42130</v>
      </c>
      <c r="G65" s="1715">
        <v>17</v>
      </c>
      <c r="H65" s="1715">
        <v>15</v>
      </c>
      <c r="I65" s="1715">
        <v>17</v>
      </c>
      <c r="J65" s="1715">
        <v>15.34</v>
      </c>
      <c r="K65" s="1701">
        <f t="shared" si="19"/>
        <v>59535.316666666695</v>
      </c>
      <c r="L65" s="1702">
        <v>9375</v>
      </c>
      <c r="M65" s="1702">
        <v>68910.316666666695</v>
      </c>
      <c r="N65" s="1701">
        <f t="shared" si="20"/>
        <v>1012100.3833333338</v>
      </c>
      <c r="O65" s="1703">
        <f t="shared" si="21"/>
        <v>159375</v>
      </c>
      <c r="P65" s="1701">
        <f t="shared" si="22"/>
        <v>1171475.3833333338</v>
      </c>
      <c r="Q65" s="1701"/>
      <c r="R65" s="1677">
        <v>1</v>
      </c>
      <c r="S65" s="1700">
        <f t="shared" si="23"/>
        <v>15.34</v>
      </c>
      <c r="T65" s="1704">
        <f t="shared" si="24"/>
        <v>1057084.257666667</v>
      </c>
      <c r="U65" s="1705">
        <f t="shared" si="25"/>
        <v>-9.764705882352942E-2</v>
      </c>
      <c r="V65" s="1706" t="s">
        <v>2006</v>
      </c>
      <c r="W65" s="1707" t="s">
        <v>2007</v>
      </c>
      <c r="X65" s="1708">
        <f t="shared" si="26"/>
        <v>1171475.3833333338</v>
      </c>
      <c r="Y65" s="1708">
        <v>0</v>
      </c>
      <c r="Z65" s="1708">
        <v>101564.72</v>
      </c>
      <c r="AA65" s="1710">
        <f t="shared" si="27"/>
        <v>1069910.6633333338</v>
      </c>
      <c r="AB65" s="1711">
        <v>12356.199999999999</v>
      </c>
      <c r="AC65" s="1717">
        <v>-65690.23</v>
      </c>
      <c r="AD65" s="1712">
        <f t="shared" si="28"/>
        <v>86.588972607543894</v>
      </c>
      <c r="AE65" s="1712">
        <f t="shared" si="29"/>
        <v>-16.287211406221807</v>
      </c>
      <c r="AF65" s="1713">
        <f t="shared" si="30"/>
        <v>0</v>
      </c>
      <c r="AG65" s="1688"/>
      <c r="AH65" s="1673"/>
      <c r="AI65" s="1673"/>
      <c r="AJ65" s="1673"/>
      <c r="AK65" s="1703"/>
      <c r="AL65" s="1719"/>
      <c r="AM65" s="1718"/>
      <c r="AN65" s="1673"/>
      <c r="AO65" s="1673"/>
      <c r="AP65" s="1673"/>
    </row>
    <row r="66" spans="1:42" s="1721" customFormat="1" ht="14.85" customHeight="1">
      <c r="A66" s="1714"/>
      <c r="B66" s="1695" t="s">
        <v>1604</v>
      </c>
      <c r="C66" s="1698" t="s">
        <v>1605</v>
      </c>
      <c r="D66" s="1697" t="s">
        <v>641</v>
      </c>
      <c r="E66" s="1698" t="s">
        <v>1606</v>
      </c>
      <c r="F66" s="1699">
        <v>42122</v>
      </c>
      <c r="G66" s="1715">
        <v>8</v>
      </c>
      <c r="H66" s="1715">
        <v>10</v>
      </c>
      <c r="I66" s="1715">
        <v>12</v>
      </c>
      <c r="J66" s="1715">
        <v>8.23</v>
      </c>
      <c r="K66" s="1701">
        <f t="shared" si="19"/>
        <v>6154.3289999999997</v>
      </c>
      <c r="L66" s="1702">
        <v>3000</v>
      </c>
      <c r="M66" s="1702">
        <v>9154.3289999999997</v>
      </c>
      <c r="N66" s="1701">
        <f t="shared" si="20"/>
        <v>49234.631999999998</v>
      </c>
      <c r="O66" s="1703">
        <f t="shared" si="21"/>
        <v>24000</v>
      </c>
      <c r="P66" s="1701">
        <f t="shared" si="22"/>
        <v>73234.631999999998</v>
      </c>
      <c r="Q66" s="1701"/>
      <c r="R66" s="1677">
        <v>1</v>
      </c>
      <c r="S66" s="1700">
        <f t="shared" si="23"/>
        <v>8.23</v>
      </c>
      <c r="T66" s="1704">
        <f t="shared" si="24"/>
        <v>75340.127670000002</v>
      </c>
      <c r="U66" s="1705">
        <f t="shared" si="25"/>
        <v>2.8750000000000053E-2</v>
      </c>
      <c r="V66" s="1720" t="s">
        <v>1607</v>
      </c>
      <c r="W66" s="1707" t="s">
        <v>1608</v>
      </c>
      <c r="X66" s="1708">
        <f t="shared" si="26"/>
        <v>73234.631999999998</v>
      </c>
      <c r="Y66" s="1708">
        <v>1568390</v>
      </c>
      <c r="Z66" s="1708">
        <v>755.86</v>
      </c>
      <c r="AA66" s="1710">
        <f t="shared" si="27"/>
        <v>1640868.7719999999</v>
      </c>
      <c r="AB66" s="1711">
        <v>0</v>
      </c>
      <c r="AC66" s="1717">
        <v>0</v>
      </c>
      <c r="AD66" s="1712" t="str">
        <f t="shared" si="28"/>
        <v>n/a</v>
      </c>
      <c r="AE66" s="1712" t="str">
        <f t="shared" si="29"/>
        <v>n/a</v>
      </c>
      <c r="AF66" s="1713">
        <f t="shared" si="30"/>
        <v>0</v>
      </c>
      <c r="AK66" s="1722"/>
      <c r="AL66" s="1719"/>
      <c r="AM66" s="1718"/>
    </row>
    <row r="67" spans="1:42" s="1721" customFormat="1" ht="14.85" customHeight="1">
      <c r="A67" s="1756"/>
      <c r="B67" s="1695" t="s">
        <v>1662</v>
      </c>
      <c r="C67" s="1698" t="s">
        <v>1663</v>
      </c>
      <c r="D67" s="1697" t="s">
        <v>1506</v>
      </c>
      <c r="E67" s="1698" t="s">
        <v>1664</v>
      </c>
      <c r="F67" s="1699">
        <v>41991</v>
      </c>
      <c r="G67" s="1715">
        <v>24</v>
      </c>
      <c r="H67" s="1715">
        <v>15</v>
      </c>
      <c r="I67" s="1715">
        <v>18</v>
      </c>
      <c r="J67" s="1715">
        <v>50.14</v>
      </c>
      <c r="K67" s="1701">
        <f t="shared" si="19"/>
        <v>65143.189000000006</v>
      </c>
      <c r="L67" s="1702">
        <v>12676.353999999999</v>
      </c>
      <c r="M67" s="1702">
        <v>77819.543000000005</v>
      </c>
      <c r="N67" s="1701">
        <f t="shared" si="20"/>
        <v>1563436.5360000001</v>
      </c>
      <c r="O67" s="1703">
        <f t="shared" si="21"/>
        <v>304232.49599999998</v>
      </c>
      <c r="P67" s="1701">
        <f t="shared" si="22"/>
        <v>1867669.0320000001</v>
      </c>
      <c r="Q67" s="1701"/>
      <c r="R67" s="1677">
        <v>1</v>
      </c>
      <c r="S67" s="1700">
        <f t="shared" si="23"/>
        <v>50.14</v>
      </c>
      <c r="T67" s="1704">
        <f t="shared" si="24"/>
        <v>3901871.8860200001</v>
      </c>
      <c r="U67" s="1705">
        <f t="shared" si="25"/>
        <v>1.0891666666666664</v>
      </c>
      <c r="V67" s="1707" t="s">
        <v>1665</v>
      </c>
      <c r="W67" s="1707" t="s">
        <v>1666</v>
      </c>
      <c r="X67" s="1708">
        <f t="shared" si="26"/>
        <v>1867669.0320000001</v>
      </c>
      <c r="Y67" s="1708">
        <v>0</v>
      </c>
      <c r="Z67" s="1708">
        <v>35966</v>
      </c>
      <c r="AA67" s="1710">
        <f t="shared" si="27"/>
        <v>1831703.0320000001</v>
      </c>
      <c r="AB67" s="1711">
        <v>43131</v>
      </c>
      <c r="AC67" s="1717">
        <v>-234013</v>
      </c>
      <c r="AD67" s="1712">
        <f t="shared" si="28"/>
        <v>42.468364563770841</v>
      </c>
      <c r="AE67" s="1712">
        <f t="shared" si="29"/>
        <v>-7.8273558819381837</v>
      </c>
      <c r="AF67" s="1713">
        <f t="shared" si="30"/>
        <v>0</v>
      </c>
      <c r="AK67" s="1722"/>
      <c r="AL67" s="1719"/>
      <c r="AM67" s="1718"/>
    </row>
    <row r="68" spans="1:42" s="1721" customFormat="1" ht="14.85" customHeight="1">
      <c r="A68" s="1714"/>
      <c r="B68" s="1695"/>
      <c r="C68" s="1698"/>
      <c r="D68" s="1697"/>
      <c r="E68" s="1698"/>
      <c r="F68" s="1699"/>
      <c r="G68" s="1726"/>
      <c r="H68" s="1715"/>
      <c r="I68" s="1715"/>
      <c r="J68" s="1726"/>
      <c r="K68" s="1727"/>
      <c r="L68" s="1703"/>
      <c r="M68" s="1703"/>
      <c r="N68" s="1701"/>
      <c r="O68" s="1703"/>
      <c r="P68" s="1701"/>
      <c r="Q68" s="1701"/>
      <c r="R68" s="1701"/>
      <c r="S68" s="1700"/>
      <c r="T68" s="1704"/>
      <c r="U68" s="1705"/>
      <c r="V68" s="1720"/>
      <c r="W68" s="1707"/>
      <c r="X68" s="1708"/>
      <c r="Y68" s="1708"/>
      <c r="Z68" s="1708"/>
      <c r="AA68" s="1710"/>
      <c r="AB68" s="1711"/>
      <c r="AC68" s="1717"/>
      <c r="AD68" s="1712"/>
      <c r="AE68" s="1712"/>
      <c r="AF68" s="1713"/>
      <c r="AK68" s="1722"/>
      <c r="AL68" s="1719"/>
      <c r="AM68" s="1718"/>
    </row>
    <row r="69" spans="1:42" s="1721" customFormat="1" ht="14.85" customHeight="1">
      <c r="A69" s="1714"/>
      <c r="B69" s="1728" t="s">
        <v>111</v>
      </c>
      <c r="C69" s="1729"/>
      <c r="D69" s="1729"/>
      <c r="E69" s="1729"/>
      <c r="F69" s="1729"/>
      <c r="G69" s="1729"/>
      <c r="H69" s="1729"/>
      <c r="I69" s="1729"/>
      <c r="J69" s="1729"/>
      <c r="K69" s="1729"/>
      <c r="L69" s="1729"/>
      <c r="M69" s="1729"/>
      <c r="N69" s="1730">
        <f>MAX(N38:N67)</f>
        <v>1563436.5360000001</v>
      </c>
      <c r="O69" s="1730"/>
      <c r="P69" s="1731">
        <f>MAX(P38:P67)</f>
        <v>1867669.0320000001</v>
      </c>
      <c r="Q69" s="1701"/>
      <c r="R69" s="1701"/>
      <c r="S69" s="1732">
        <f>MAX(S38:S67)</f>
        <v>50.14</v>
      </c>
      <c r="T69" s="1704"/>
      <c r="U69" s="1705"/>
      <c r="V69" s="1720"/>
      <c r="W69" s="1707"/>
      <c r="X69" s="1708"/>
      <c r="Y69" s="1708"/>
      <c r="Z69" s="1708"/>
      <c r="AA69" s="1710"/>
      <c r="AB69" s="1711"/>
      <c r="AC69" s="1717"/>
      <c r="AD69" s="1712"/>
      <c r="AE69" s="1712"/>
      <c r="AF69" s="1713"/>
      <c r="AK69" s="1722"/>
      <c r="AL69" s="1719"/>
      <c r="AM69" s="1718"/>
    </row>
    <row r="70" spans="1:42" s="1721" customFormat="1" ht="14.85" customHeight="1">
      <c r="A70" s="1714"/>
      <c r="B70" s="1733" t="s">
        <v>115</v>
      </c>
      <c r="C70" s="1734"/>
      <c r="D70" s="1734"/>
      <c r="E70" s="1734"/>
      <c r="F70" s="1734"/>
      <c r="G70" s="1734"/>
      <c r="H70" s="1734"/>
      <c r="I70" s="1734"/>
      <c r="J70" s="1734"/>
      <c r="K70" s="1734"/>
      <c r="L70" s="1734"/>
      <c r="M70" s="1734"/>
      <c r="N70" s="1649">
        <f>_xlfn.QUARTILE.INC(N38:N67,3)</f>
        <v>303277.11749999999</v>
      </c>
      <c r="O70" s="1649"/>
      <c r="P70" s="1735">
        <f>_xlfn.QUARTILE.INC(P38:P67,3)</f>
        <v>386178.98199999996</v>
      </c>
      <c r="Q70" s="1701"/>
      <c r="R70" s="1701"/>
      <c r="S70" s="1736">
        <f>_xlfn.QUARTILE.INC(S38:S67,3)</f>
        <v>18.935000000000002</v>
      </c>
      <c r="T70" s="1704"/>
      <c r="U70" s="1705"/>
      <c r="V70" s="1720"/>
      <c r="W70" s="1707"/>
      <c r="X70" s="1708"/>
      <c r="Y70" s="1708"/>
      <c r="Z70" s="1708"/>
      <c r="AA70" s="1710"/>
      <c r="AB70" s="1711"/>
      <c r="AC70" s="1717"/>
      <c r="AD70" s="1712"/>
      <c r="AE70" s="1712"/>
      <c r="AF70" s="1713"/>
      <c r="AK70" s="1722"/>
      <c r="AL70" s="1719"/>
      <c r="AM70" s="1718"/>
    </row>
    <row r="71" spans="1:42" s="1721" customFormat="1" ht="14.85" customHeight="1">
      <c r="A71" s="1714"/>
      <c r="B71" s="1733" t="s">
        <v>43</v>
      </c>
      <c r="C71" s="1734"/>
      <c r="D71" s="1734"/>
      <c r="E71" s="1734"/>
      <c r="F71" s="1734"/>
      <c r="G71" s="1734"/>
      <c r="H71" s="1734"/>
      <c r="I71" s="1734"/>
      <c r="J71" s="1734"/>
      <c r="K71" s="1734"/>
      <c r="L71" s="1734"/>
      <c r="M71" s="1734"/>
      <c r="N71" s="1649">
        <f>AVERAGE(N38:N67)</f>
        <v>311046.29902777786</v>
      </c>
      <c r="O71" s="1649"/>
      <c r="P71" s="1735">
        <f>AVERAGE(P38:P67)</f>
        <v>394267.71482777788</v>
      </c>
      <c r="Q71" s="1701"/>
      <c r="R71" s="1701"/>
      <c r="S71" s="1736">
        <f>AVERAGE(S38:S67)</f>
        <v>15.816838666666664</v>
      </c>
      <c r="T71" s="1704"/>
      <c r="U71" s="1705"/>
      <c r="V71" s="1720"/>
      <c r="W71" s="1707"/>
      <c r="X71" s="1708"/>
      <c r="Y71" s="1708"/>
      <c r="Z71" s="1708"/>
      <c r="AA71" s="1710"/>
      <c r="AB71" s="1711"/>
      <c r="AC71" s="1717"/>
      <c r="AD71" s="1712"/>
      <c r="AE71" s="1712"/>
      <c r="AF71" s="1713"/>
      <c r="AK71" s="1722"/>
      <c r="AL71" s="1719"/>
      <c r="AM71" s="1718"/>
    </row>
    <row r="72" spans="1:42" s="1721" customFormat="1" ht="14.85" customHeight="1">
      <c r="A72" s="1714"/>
      <c r="B72" s="1733" t="s">
        <v>44</v>
      </c>
      <c r="C72" s="1734"/>
      <c r="D72" s="1734"/>
      <c r="E72" s="1734"/>
      <c r="F72" s="1734"/>
      <c r="G72" s="1734"/>
      <c r="H72" s="1734"/>
      <c r="I72" s="1734"/>
      <c r="J72" s="1734"/>
      <c r="K72" s="1734"/>
      <c r="L72" s="1734"/>
      <c r="M72" s="1734"/>
      <c r="N72" s="1649">
        <f>MEDIAN(N38:N67)</f>
        <v>223446.00375</v>
      </c>
      <c r="O72" s="1649"/>
      <c r="P72" s="1735">
        <f>MEDIAN(P38:P67)</f>
        <v>281928.07625000004</v>
      </c>
      <c r="Q72" s="1701"/>
      <c r="R72" s="1701"/>
      <c r="S72" s="1736">
        <f>MEDIAN(S38:S67)</f>
        <v>13.835000000000001</v>
      </c>
      <c r="T72" s="1704"/>
      <c r="U72" s="1705"/>
      <c r="V72" s="1720"/>
      <c r="W72" s="1707"/>
      <c r="X72" s="1708"/>
      <c r="Y72" s="1708"/>
      <c r="Z72" s="1708"/>
      <c r="AA72" s="1710"/>
      <c r="AB72" s="1711"/>
      <c r="AC72" s="1717"/>
      <c r="AD72" s="1712"/>
      <c r="AE72" s="1712"/>
      <c r="AF72" s="1713"/>
      <c r="AK72" s="1722"/>
      <c r="AL72" s="1719"/>
      <c r="AM72" s="1718"/>
    </row>
    <row r="73" spans="1:42" s="1721" customFormat="1" ht="14.85" customHeight="1">
      <c r="A73" s="1714"/>
      <c r="B73" s="1733" t="s">
        <v>114</v>
      </c>
      <c r="C73" s="1734"/>
      <c r="D73" s="1734"/>
      <c r="E73" s="1734"/>
      <c r="F73" s="1734"/>
      <c r="G73" s="1734"/>
      <c r="H73" s="1734"/>
      <c r="I73" s="1734"/>
      <c r="J73" s="1734"/>
      <c r="K73" s="1734"/>
      <c r="L73" s="1734"/>
      <c r="M73" s="1734"/>
      <c r="N73" s="1649">
        <f>_xlfn.QUARTILE.INC(N38:N67,1)</f>
        <v>115322.05799999999</v>
      </c>
      <c r="O73" s="1649"/>
      <c r="P73" s="1735">
        <f>_xlfn.QUARTILE.INC(P38:P67,1)</f>
        <v>194896.33499999999</v>
      </c>
      <c r="Q73" s="1701"/>
      <c r="R73" s="1701"/>
      <c r="S73" s="1736">
        <f>_xlfn.QUARTILE.INC(S38:S67,1)</f>
        <v>12.205</v>
      </c>
      <c r="T73" s="1704">
        <v>1000</v>
      </c>
      <c r="U73" s="1705"/>
      <c r="V73" s="1720"/>
      <c r="W73" s="1707"/>
      <c r="X73" s="1708"/>
      <c r="Y73" s="1708"/>
      <c r="Z73" s="1708"/>
      <c r="AA73" s="1710"/>
      <c r="AB73" s="1711"/>
      <c r="AC73" s="1717"/>
      <c r="AD73" s="1712"/>
      <c r="AE73" s="1712"/>
      <c r="AF73" s="1713"/>
      <c r="AK73" s="1722"/>
      <c r="AL73" s="1719"/>
      <c r="AM73" s="1718"/>
    </row>
    <row r="74" spans="1:42" s="1721" customFormat="1" ht="14.85" customHeight="1">
      <c r="A74" s="1714"/>
      <c r="B74" s="1737" t="s">
        <v>112</v>
      </c>
      <c r="C74" s="1738"/>
      <c r="D74" s="1738"/>
      <c r="E74" s="1738"/>
      <c r="F74" s="1738"/>
      <c r="G74" s="1738"/>
      <c r="H74" s="1738"/>
      <c r="I74" s="1738"/>
      <c r="J74" s="1738"/>
      <c r="K74" s="1738"/>
      <c r="L74" s="1738"/>
      <c r="M74" s="1738"/>
      <c r="N74" s="1651">
        <f>MIN(N38:N67)</f>
        <v>40848.839999999997</v>
      </c>
      <c r="O74" s="1651"/>
      <c r="P74" s="1739">
        <f>MIN(P38:P67)</f>
        <v>52970.983999999997</v>
      </c>
      <c r="Q74" s="1701"/>
      <c r="R74" s="1701"/>
      <c r="S74" s="1740">
        <f>MIN(S38:S67)</f>
        <v>3.35</v>
      </c>
      <c r="T74" s="1704"/>
      <c r="U74" s="1705"/>
      <c r="V74" s="1720"/>
      <c r="W74" s="1707"/>
      <c r="X74" s="1708"/>
      <c r="Y74" s="1708"/>
      <c r="Z74" s="1708"/>
      <c r="AA74" s="1710"/>
      <c r="AB74" s="1711"/>
      <c r="AC74" s="1717"/>
      <c r="AD74" s="1712"/>
      <c r="AE74" s="1712"/>
      <c r="AF74" s="1713"/>
      <c r="AK74" s="1722"/>
      <c r="AL74" s="1719"/>
      <c r="AM74" s="1718"/>
    </row>
    <row r="75" spans="1:42" s="1721" customFormat="1" ht="14.85" customHeight="1">
      <c r="A75" s="1714"/>
      <c r="B75" s="1695"/>
      <c r="C75" s="1698"/>
      <c r="D75" s="1697"/>
      <c r="E75" s="1698"/>
      <c r="F75" s="1699"/>
      <c r="G75" s="1726"/>
      <c r="H75" s="1715"/>
      <c r="I75" s="1715"/>
      <c r="J75" s="1726"/>
      <c r="K75" s="1727"/>
      <c r="L75" s="1703"/>
      <c r="M75" s="1703"/>
      <c r="N75" s="1701"/>
      <c r="O75" s="1703"/>
      <c r="P75" s="1701"/>
      <c r="Q75" s="1701"/>
      <c r="R75" s="1701"/>
      <c r="S75" s="1700"/>
      <c r="T75" s="1704"/>
      <c r="U75" s="1705"/>
      <c r="V75" s="1720"/>
      <c r="W75" s="1707"/>
      <c r="X75" s="1708"/>
      <c r="Y75" s="1708"/>
      <c r="Z75" s="1708"/>
      <c r="AA75" s="1710"/>
      <c r="AB75" s="1711"/>
      <c r="AC75" s="1717"/>
      <c r="AD75" s="1712"/>
      <c r="AE75" s="1712"/>
      <c r="AF75" s="1713"/>
      <c r="AK75" s="1722"/>
      <c r="AL75" s="1719"/>
      <c r="AM75" s="1718"/>
    </row>
    <row r="76" spans="1:42" s="1721" customFormat="1" ht="14.85" customHeight="1">
      <c r="A76" s="1714"/>
      <c r="B76" s="1741" t="s">
        <v>2008</v>
      </c>
      <c r="C76" s="1698"/>
      <c r="D76" s="1697"/>
      <c r="E76" s="1698"/>
      <c r="F76" s="1699"/>
      <c r="G76" s="1726"/>
      <c r="H76" s="1715"/>
      <c r="I76" s="1715"/>
      <c r="J76" s="1726"/>
      <c r="K76" s="1727"/>
      <c r="L76" s="1703"/>
      <c r="M76" s="1703"/>
      <c r="N76" s="1701"/>
      <c r="O76" s="1703"/>
      <c r="P76" s="1701"/>
      <c r="Q76" s="1701"/>
      <c r="R76" s="1701"/>
      <c r="S76" s="1700"/>
      <c r="T76" s="1704"/>
      <c r="U76" s="1705"/>
      <c r="V76" s="1720"/>
      <c r="W76" s="1707"/>
      <c r="X76" s="1708"/>
      <c r="Y76" s="1708"/>
      <c r="Z76" s="1708"/>
      <c r="AA76" s="1710"/>
      <c r="AB76" s="1711"/>
      <c r="AC76" s="1717"/>
      <c r="AD76" s="1712"/>
      <c r="AE76" s="1712"/>
      <c r="AF76" s="1713"/>
      <c r="AK76" s="1722"/>
      <c r="AL76" s="1719"/>
      <c r="AM76" s="1718"/>
    </row>
    <row r="77" spans="1:42" s="1721" customFormat="1" ht="14.85" customHeight="1">
      <c r="A77" s="1714"/>
      <c r="B77" s="1695" t="s">
        <v>2460</v>
      </c>
      <c r="C77" s="1698" t="s">
        <v>2461</v>
      </c>
      <c r="D77" s="1697" t="s">
        <v>618</v>
      </c>
      <c r="E77" s="1698" t="s">
        <v>2462</v>
      </c>
      <c r="F77" s="1699">
        <v>43075</v>
      </c>
      <c r="G77" s="1715">
        <v>24</v>
      </c>
      <c r="H77" s="1715">
        <v>24</v>
      </c>
      <c r="I77" s="1715">
        <v>27</v>
      </c>
      <c r="J77" s="1715">
        <v>22.72</v>
      </c>
      <c r="K77" s="1701">
        <f t="shared" ref="K77:K112" si="31">+M77-L77</f>
        <v>20640.356</v>
      </c>
      <c r="L77" s="1703">
        <v>6250</v>
      </c>
      <c r="M77" s="1703">
        <v>26890.356</v>
      </c>
      <c r="N77" s="1701">
        <f t="shared" ref="N77:N112" si="32">+G77*K77</f>
        <v>495368.54399999999</v>
      </c>
      <c r="O77" s="1703">
        <f t="shared" ref="O77:O112" si="33">+G77*L77</f>
        <v>150000</v>
      </c>
      <c r="P77" s="1701">
        <f t="shared" ref="P77:P112" si="34">+N77+O77</f>
        <v>645368.54399999999</v>
      </c>
      <c r="Q77" s="1701"/>
      <c r="R77" s="1677">
        <v>1</v>
      </c>
      <c r="S77" s="1700">
        <f t="shared" ref="S77:S112" si="35">J77</f>
        <v>22.72</v>
      </c>
      <c r="T77" s="1704">
        <f t="shared" ref="T77:T112" si="36">S77*M77</f>
        <v>610948.88831999991</v>
      </c>
      <c r="U77" s="1705">
        <f t="shared" ref="U77:U112" si="37">T77/P77-1</f>
        <v>-5.3333333333333455E-2</v>
      </c>
      <c r="V77" s="1706" t="s">
        <v>2463</v>
      </c>
      <c r="W77" s="1707" t="s">
        <v>2464</v>
      </c>
      <c r="X77" s="1708">
        <f t="shared" ref="X77:X112" si="38">+N77+O77</f>
        <v>645368.54399999999</v>
      </c>
      <c r="Y77" s="1742"/>
      <c r="Z77" s="1742"/>
      <c r="AA77" s="1710"/>
      <c r="AB77" s="1711"/>
      <c r="AC77" s="1711"/>
      <c r="AD77" s="1744"/>
      <c r="AE77" s="1744"/>
      <c r="AF77" s="1713"/>
      <c r="AG77" s="1688"/>
      <c r="AH77" s="1673"/>
      <c r="AI77" s="1673"/>
      <c r="AJ77" s="1673"/>
      <c r="AK77" s="1703"/>
      <c r="AL77" s="1719"/>
      <c r="AM77" s="1718"/>
      <c r="AN77" s="1673"/>
      <c r="AO77" s="1673"/>
      <c r="AP77" s="1673"/>
    </row>
    <row r="78" spans="1:42" s="1721" customFormat="1" ht="14.85" customHeight="1">
      <c r="A78" s="1714"/>
      <c r="B78" s="1695" t="s">
        <v>2403</v>
      </c>
      <c r="C78" s="1698" t="s">
        <v>2404</v>
      </c>
      <c r="D78" s="1697" t="s">
        <v>618</v>
      </c>
      <c r="E78" s="1698" t="s">
        <v>2405</v>
      </c>
      <c r="F78" s="1699">
        <v>43054</v>
      </c>
      <c r="G78" s="1715">
        <v>10</v>
      </c>
      <c r="H78" s="1715">
        <v>15</v>
      </c>
      <c r="I78" s="1715">
        <v>17</v>
      </c>
      <c r="J78" s="1715">
        <v>11.2</v>
      </c>
      <c r="K78" s="1701">
        <f t="shared" si="31"/>
        <v>9694.3829999999998</v>
      </c>
      <c r="L78" s="1703">
        <v>4000</v>
      </c>
      <c r="M78" s="1703">
        <v>13694.383</v>
      </c>
      <c r="N78" s="1701">
        <f t="shared" si="32"/>
        <v>96943.83</v>
      </c>
      <c r="O78" s="1703">
        <f t="shared" si="33"/>
        <v>40000</v>
      </c>
      <c r="P78" s="1701">
        <f t="shared" si="34"/>
        <v>136943.83000000002</v>
      </c>
      <c r="Q78" s="1701"/>
      <c r="R78" s="1677">
        <v>1</v>
      </c>
      <c r="S78" s="1700">
        <f t="shared" si="35"/>
        <v>11.2</v>
      </c>
      <c r="T78" s="1704">
        <f t="shared" si="36"/>
        <v>153377.08959999998</v>
      </c>
      <c r="U78" s="1705">
        <f t="shared" si="37"/>
        <v>0.11999999999999966</v>
      </c>
      <c r="V78" s="1706" t="s">
        <v>2406</v>
      </c>
      <c r="W78" s="1707" t="s">
        <v>2407</v>
      </c>
      <c r="X78" s="1708">
        <f t="shared" si="38"/>
        <v>136943.83000000002</v>
      </c>
      <c r="Y78" s="1742"/>
      <c r="Z78" s="1742"/>
      <c r="AA78" s="1710"/>
      <c r="AB78" s="1711"/>
      <c r="AC78" s="1711"/>
      <c r="AD78" s="1744"/>
      <c r="AE78" s="1744"/>
      <c r="AF78" s="1713"/>
      <c r="AG78" s="1688"/>
      <c r="AH78" s="1673"/>
      <c r="AI78" s="1673"/>
      <c r="AJ78" s="1673"/>
      <c r="AK78" s="1703"/>
      <c r="AL78" s="1719"/>
      <c r="AM78" s="1718"/>
      <c r="AN78" s="1673"/>
      <c r="AO78" s="1673"/>
      <c r="AP78" s="1673"/>
    </row>
    <row r="79" spans="1:42" s="1721" customFormat="1" ht="14.85" customHeight="1">
      <c r="A79" s="1714"/>
      <c r="B79" s="1695" t="s">
        <v>2409</v>
      </c>
      <c r="C79" s="1698" t="s">
        <v>2410</v>
      </c>
      <c r="D79" s="1697" t="s">
        <v>618</v>
      </c>
      <c r="E79" s="1698" t="s">
        <v>2411</v>
      </c>
      <c r="F79" s="1699">
        <v>43047</v>
      </c>
      <c r="G79" s="1715">
        <v>15</v>
      </c>
      <c r="H79" s="1715">
        <v>14</v>
      </c>
      <c r="I79" s="1715">
        <v>16</v>
      </c>
      <c r="J79" s="1715">
        <v>19.190000000000001</v>
      </c>
      <c r="K79" s="1701">
        <f t="shared" si="31"/>
        <v>16743.972000000002</v>
      </c>
      <c r="L79" s="1703">
        <v>6667</v>
      </c>
      <c r="M79" s="1703">
        <v>23410.972000000002</v>
      </c>
      <c r="N79" s="1701">
        <f t="shared" si="32"/>
        <v>251159.58000000002</v>
      </c>
      <c r="O79" s="1703">
        <f t="shared" si="33"/>
        <v>100005</v>
      </c>
      <c r="P79" s="1701">
        <f t="shared" si="34"/>
        <v>351164.58</v>
      </c>
      <c r="Q79" s="1701"/>
      <c r="R79" s="1677">
        <v>1</v>
      </c>
      <c r="S79" s="1700">
        <f t="shared" si="35"/>
        <v>19.190000000000001</v>
      </c>
      <c r="T79" s="1704">
        <f t="shared" si="36"/>
        <v>449256.55268000008</v>
      </c>
      <c r="U79" s="1705">
        <f t="shared" si="37"/>
        <v>0.27933333333333343</v>
      </c>
      <c r="V79" s="1706" t="s">
        <v>2412</v>
      </c>
      <c r="W79" s="1707" t="s">
        <v>2413</v>
      </c>
      <c r="X79" s="1708">
        <f t="shared" si="38"/>
        <v>351164.58</v>
      </c>
      <c r="Y79" s="1742"/>
      <c r="Z79" s="1742"/>
      <c r="AA79" s="1710"/>
      <c r="AB79" s="1711"/>
      <c r="AC79" s="1711"/>
      <c r="AD79" s="1744"/>
      <c r="AE79" s="1744"/>
      <c r="AF79" s="1713"/>
      <c r="AG79" s="1688"/>
      <c r="AH79" s="1673"/>
      <c r="AI79" s="1673"/>
      <c r="AJ79" s="1673"/>
      <c r="AK79" s="1703"/>
      <c r="AL79" s="1719"/>
      <c r="AM79" s="1718"/>
      <c r="AN79" s="1673"/>
      <c r="AO79" s="1673"/>
      <c r="AP79" s="1673"/>
    </row>
    <row r="80" spans="1:42" s="1721" customFormat="1" ht="14.85" customHeight="1">
      <c r="A80" s="1714"/>
      <c r="B80" s="1695" t="s">
        <v>2414</v>
      </c>
      <c r="C80" s="1698" t="s">
        <v>2415</v>
      </c>
      <c r="D80" s="1697" t="s">
        <v>618</v>
      </c>
      <c r="E80" s="1698" t="s">
        <v>2416</v>
      </c>
      <c r="F80" s="1699">
        <v>43047</v>
      </c>
      <c r="G80" s="1715">
        <v>14</v>
      </c>
      <c r="H80" s="1715">
        <v>13</v>
      </c>
      <c r="I80" s="1715">
        <v>15</v>
      </c>
      <c r="J80" s="1715">
        <v>14.38</v>
      </c>
      <c r="K80" s="1701">
        <f t="shared" si="31"/>
        <v>38542.936999999998</v>
      </c>
      <c r="L80" s="1703">
        <v>10714</v>
      </c>
      <c r="M80" s="1703">
        <v>49256.936999999998</v>
      </c>
      <c r="N80" s="1701">
        <f t="shared" si="32"/>
        <v>539601.11800000002</v>
      </c>
      <c r="O80" s="1703">
        <f t="shared" si="33"/>
        <v>149996</v>
      </c>
      <c r="P80" s="1701">
        <f t="shared" si="34"/>
        <v>689597.11800000002</v>
      </c>
      <c r="Q80" s="1701"/>
      <c r="R80" s="1677">
        <v>1</v>
      </c>
      <c r="S80" s="1700">
        <f t="shared" si="35"/>
        <v>14.38</v>
      </c>
      <c r="T80" s="1704">
        <f t="shared" si="36"/>
        <v>708314.75406000006</v>
      </c>
      <c r="U80" s="1705">
        <f t="shared" si="37"/>
        <v>2.7142857142857135E-2</v>
      </c>
      <c r="V80" s="1706" t="s">
        <v>2417</v>
      </c>
      <c r="W80" s="1707" t="s">
        <v>2418</v>
      </c>
      <c r="X80" s="1708">
        <f t="shared" si="38"/>
        <v>689597.11800000002</v>
      </c>
      <c r="Y80" s="1742"/>
      <c r="Z80" s="1742"/>
      <c r="AA80" s="1710"/>
      <c r="AB80" s="1711"/>
      <c r="AC80" s="1711"/>
      <c r="AD80" s="1744"/>
      <c r="AE80" s="1744"/>
      <c r="AF80" s="1713"/>
      <c r="AG80" s="1688"/>
      <c r="AH80" s="1673"/>
      <c r="AI80" s="1673"/>
      <c r="AJ80" s="1673"/>
      <c r="AK80" s="1703"/>
      <c r="AL80" s="1719"/>
      <c r="AM80" s="1718"/>
      <c r="AN80" s="1673"/>
      <c r="AO80" s="1673"/>
      <c r="AP80" s="1673"/>
    </row>
    <row r="81" spans="1:73" s="1721" customFormat="1" ht="14.85" customHeight="1">
      <c r="A81" s="1714"/>
      <c r="B81" s="1695" t="s">
        <v>2480</v>
      </c>
      <c r="C81" s="1698" t="s">
        <v>2481</v>
      </c>
      <c r="D81" s="1697" t="s">
        <v>618</v>
      </c>
      <c r="E81" s="1698" t="s">
        <v>2482</v>
      </c>
      <c r="F81" s="1699">
        <v>43040</v>
      </c>
      <c r="G81" s="1715">
        <v>14</v>
      </c>
      <c r="H81" s="1715">
        <v>14</v>
      </c>
      <c r="I81" s="1715">
        <v>16</v>
      </c>
      <c r="J81" s="1715">
        <v>14</v>
      </c>
      <c r="K81" s="1701">
        <f t="shared" si="31"/>
        <v>15288.515000000003</v>
      </c>
      <c r="L81" s="1703">
        <v>5333.3329999999996</v>
      </c>
      <c r="M81" s="1703">
        <v>20621.848000000002</v>
      </c>
      <c r="N81" s="1701">
        <f t="shared" si="32"/>
        <v>214039.21000000005</v>
      </c>
      <c r="O81" s="1703">
        <f t="shared" si="33"/>
        <v>74666.661999999997</v>
      </c>
      <c r="P81" s="1701">
        <f t="shared" si="34"/>
        <v>288705.87200000003</v>
      </c>
      <c r="Q81" s="1701"/>
      <c r="R81" s="1677">
        <v>1</v>
      </c>
      <c r="S81" s="1700">
        <f t="shared" si="35"/>
        <v>14</v>
      </c>
      <c r="T81" s="1704">
        <f t="shared" si="36"/>
        <v>288705.87200000003</v>
      </c>
      <c r="U81" s="1705">
        <f t="shared" si="37"/>
        <v>0</v>
      </c>
      <c r="V81" s="1706" t="s">
        <v>2483</v>
      </c>
      <c r="W81" s="1707" t="s">
        <v>2484</v>
      </c>
      <c r="X81" s="1708">
        <f t="shared" si="38"/>
        <v>288705.87200000003</v>
      </c>
      <c r="Y81" s="1742"/>
      <c r="Z81" s="1742"/>
      <c r="AA81" s="1710"/>
      <c r="AB81" s="1711"/>
      <c r="AC81" s="1711"/>
      <c r="AD81" s="1744"/>
      <c r="AE81" s="1744"/>
      <c r="AF81" s="1713"/>
      <c r="AG81" s="1688"/>
      <c r="AH81" s="1673"/>
      <c r="AI81" s="1673"/>
      <c r="AJ81" s="1673"/>
      <c r="AK81" s="1703"/>
      <c r="AL81" s="1719"/>
      <c r="AM81" s="1718"/>
      <c r="AN81" s="1673"/>
      <c r="AO81" s="1673"/>
      <c r="AP81" s="1673"/>
    </row>
    <row r="82" spans="1:73" s="1721" customFormat="1" ht="14.85" customHeight="1">
      <c r="A82" s="1714"/>
      <c r="B82" s="1695" t="s">
        <v>2432</v>
      </c>
      <c r="C82" s="1698" t="s">
        <v>2433</v>
      </c>
      <c r="D82" s="1697" t="s">
        <v>618</v>
      </c>
      <c r="E82" s="1698" t="s">
        <v>2434</v>
      </c>
      <c r="F82" s="1699">
        <v>43012</v>
      </c>
      <c r="G82" s="1715">
        <v>17</v>
      </c>
      <c r="H82" s="1715">
        <v>14</v>
      </c>
      <c r="I82" s="1715">
        <v>16</v>
      </c>
      <c r="J82" s="1715">
        <v>25.89</v>
      </c>
      <c r="K82" s="1701">
        <f t="shared" si="31"/>
        <v>20081.484</v>
      </c>
      <c r="L82" s="1703">
        <v>7050</v>
      </c>
      <c r="M82" s="1703">
        <v>27131.484</v>
      </c>
      <c r="N82" s="1701">
        <f t="shared" si="32"/>
        <v>341385.228</v>
      </c>
      <c r="O82" s="1703">
        <f t="shared" si="33"/>
        <v>119850</v>
      </c>
      <c r="P82" s="1701">
        <f t="shared" si="34"/>
        <v>461235.228</v>
      </c>
      <c r="Q82" s="1701"/>
      <c r="R82" s="1677">
        <v>1</v>
      </c>
      <c r="S82" s="1700">
        <f t="shared" si="35"/>
        <v>25.89</v>
      </c>
      <c r="T82" s="1704">
        <f t="shared" si="36"/>
        <v>702434.12076000008</v>
      </c>
      <c r="U82" s="1705">
        <f t="shared" si="37"/>
        <v>0.52294117647058846</v>
      </c>
      <c r="V82" s="1706" t="s">
        <v>2435</v>
      </c>
      <c r="W82" s="1707" t="s">
        <v>2436</v>
      </c>
      <c r="X82" s="1708">
        <f t="shared" si="38"/>
        <v>461235.228</v>
      </c>
      <c r="Y82" s="1742"/>
      <c r="Z82" s="1742"/>
      <c r="AA82" s="1710"/>
      <c r="AB82" s="1711"/>
      <c r="AC82" s="1711"/>
      <c r="AD82" s="1744"/>
      <c r="AE82" s="1744"/>
      <c r="AF82" s="1713"/>
      <c r="AG82" s="1688"/>
      <c r="AH82" s="1673"/>
      <c r="AI82" s="1673"/>
      <c r="AJ82" s="1673"/>
      <c r="AK82" s="1703"/>
      <c r="AL82" s="1719"/>
      <c r="AM82" s="1718"/>
      <c r="AN82" s="1673"/>
      <c r="AO82" s="1673"/>
      <c r="AP82" s="1673"/>
    </row>
    <row r="83" spans="1:73" s="1721" customFormat="1" ht="14.85" customHeight="1">
      <c r="A83" s="1714"/>
      <c r="B83" s="1695" t="s">
        <v>2485</v>
      </c>
      <c r="C83" s="1698" t="s">
        <v>2486</v>
      </c>
      <c r="D83" s="1697" t="s">
        <v>618</v>
      </c>
      <c r="E83" s="1698" t="s">
        <v>2487</v>
      </c>
      <c r="F83" s="1699">
        <v>42948</v>
      </c>
      <c r="G83" s="1715">
        <v>15</v>
      </c>
      <c r="H83" s="1715">
        <v>13</v>
      </c>
      <c r="I83" s="1715">
        <v>15</v>
      </c>
      <c r="J83" s="1715">
        <v>17</v>
      </c>
      <c r="K83" s="1701">
        <f t="shared" si="31"/>
        <v>22526.583999999999</v>
      </c>
      <c r="L83" s="1703">
        <v>8000</v>
      </c>
      <c r="M83" s="1703">
        <v>30526.583999999999</v>
      </c>
      <c r="N83" s="1701">
        <f t="shared" si="32"/>
        <v>337898.76</v>
      </c>
      <c r="O83" s="1703">
        <f t="shared" si="33"/>
        <v>120000</v>
      </c>
      <c r="P83" s="1701">
        <f t="shared" si="34"/>
        <v>457898.76</v>
      </c>
      <c r="Q83" s="1701"/>
      <c r="R83" s="1677">
        <v>1</v>
      </c>
      <c r="S83" s="1700">
        <f t="shared" si="35"/>
        <v>17</v>
      </c>
      <c r="T83" s="1704">
        <f t="shared" si="36"/>
        <v>518951.92799999996</v>
      </c>
      <c r="U83" s="1705">
        <f t="shared" si="37"/>
        <v>0.1333333333333333</v>
      </c>
      <c r="V83" s="1706" t="s">
        <v>2488</v>
      </c>
      <c r="W83" s="1707" t="s">
        <v>2489</v>
      </c>
      <c r="X83" s="1708">
        <f t="shared" si="38"/>
        <v>457898.76</v>
      </c>
      <c r="Y83" s="1742"/>
      <c r="Z83" s="1742"/>
      <c r="AA83" s="1710"/>
      <c r="AB83" s="1711"/>
      <c r="AC83" s="1711"/>
      <c r="AD83" s="1744"/>
      <c r="AE83" s="1744"/>
      <c r="AF83" s="1713"/>
      <c r="AG83" s="1688"/>
      <c r="AH83" s="1673"/>
      <c r="AI83" s="1673"/>
      <c r="AJ83" s="1673"/>
      <c r="AK83" s="1703"/>
      <c r="AL83" s="1719"/>
      <c r="AM83" s="1718"/>
      <c r="AN83" s="1673"/>
      <c r="AO83" s="1673"/>
      <c r="AP83" s="1673"/>
    </row>
    <row r="84" spans="1:73" s="1721" customFormat="1" ht="14.85" customHeight="1">
      <c r="A84" s="1714"/>
      <c r="B84" s="1695" t="s">
        <v>2419</v>
      </c>
      <c r="C84" s="1698" t="s">
        <v>2420</v>
      </c>
      <c r="D84" s="1697" t="s">
        <v>1572</v>
      </c>
      <c r="E84" s="1698" t="s">
        <v>2421</v>
      </c>
      <c r="F84" s="1699">
        <v>42942</v>
      </c>
      <c r="G84" s="1715">
        <v>15</v>
      </c>
      <c r="H84" s="1715">
        <v>14</v>
      </c>
      <c r="I84" s="1715">
        <v>16</v>
      </c>
      <c r="J84" s="1715">
        <v>24.1</v>
      </c>
      <c r="K84" s="1701">
        <f t="shared" si="31"/>
        <v>15555</v>
      </c>
      <c r="L84" s="1703">
        <v>4333</v>
      </c>
      <c r="M84" s="1703">
        <v>19888</v>
      </c>
      <c r="N84" s="1701">
        <f t="shared" si="32"/>
        <v>233325</v>
      </c>
      <c r="O84" s="1703">
        <f t="shared" si="33"/>
        <v>64995</v>
      </c>
      <c r="P84" s="1701">
        <f t="shared" si="34"/>
        <v>298320</v>
      </c>
      <c r="Q84" s="1701"/>
      <c r="R84" s="1677">
        <v>1</v>
      </c>
      <c r="S84" s="1700">
        <f t="shared" si="35"/>
        <v>24.1</v>
      </c>
      <c r="T84" s="1704">
        <f t="shared" si="36"/>
        <v>479300.80000000005</v>
      </c>
      <c r="U84" s="1705">
        <f t="shared" si="37"/>
        <v>0.60666666666666691</v>
      </c>
      <c r="V84" s="1706" t="s">
        <v>2421</v>
      </c>
      <c r="W84" s="1707" t="s">
        <v>2422</v>
      </c>
      <c r="X84" s="1708">
        <f t="shared" si="38"/>
        <v>298320</v>
      </c>
      <c r="Y84" s="1742" t="s">
        <v>2408</v>
      </c>
      <c r="Z84" s="1742">
        <v>31719000</v>
      </c>
      <c r="AA84" s="1710">
        <v>-31420676</v>
      </c>
      <c r="AB84" s="1711"/>
      <c r="AC84" s="1711"/>
      <c r="AD84" s="1744"/>
      <c r="AE84" s="1744"/>
      <c r="AF84" s="1713" t="s">
        <v>2408</v>
      </c>
      <c r="AG84" s="1688"/>
      <c r="AH84" s="1673"/>
      <c r="AI84" s="1673"/>
      <c r="AJ84" s="1673"/>
      <c r="AK84" s="1703"/>
      <c r="AL84" s="1719"/>
      <c r="AM84" s="1718"/>
      <c r="AN84" s="1673"/>
      <c r="AO84" s="1673"/>
      <c r="AP84" s="1673"/>
    </row>
    <row r="85" spans="1:73" s="1721" customFormat="1" ht="14.85" customHeight="1">
      <c r="A85" s="1714"/>
      <c r="B85" s="1695" t="s">
        <v>2423</v>
      </c>
      <c r="C85" s="1698" t="s">
        <v>2424</v>
      </c>
      <c r="D85" s="1697" t="s">
        <v>1667</v>
      </c>
      <c r="E85" s="1698" t="s">
        <v>2425</v>
      </c>
      <c r="F85" s="1699">
        <v>42914</v>
      </c>
      <c r="G85" s="1715">
        <v>15</v>
      </c>
      <c r="H85" s="1715">
        <v>15</v>
      </c>
      <c r="I85" s="1715">
        <v>17</v>
      </c>
      <c r="J85" s="1715">
        <v>13.19</v>
      </c>
      <c r="K85" s="1701">
        <f t="shared" si="31"/>
        <v>10960.208000000001</v>
      </c>
      <c r="L85" s="1703">
        <v>3750</v>
      </c>
      <c r="M85" s="1703">
        <v>14710.208000000001</v>
      </c>
      <c r="N85" s="1701">
        <f t="shared" si="32"/>
        <v>164403.12</v>
      </c>
      <c r="O85" s="1703">
        <f t="shared" si="33"/>
        <v>56250</v>
      </c>
      <c r="P85" s="1701">
        <f t="shared" si="34"/>
        <v>220653.12</v>
      </c>
      <c r="Q85" s="1701"/>
      <c r="R85" s="1677">
        <v>1</v>
      </c>
      <c r="S85" s="1700">
        <f t="shared" si="35"/>
        <v>13.19</v>
      </c>
      <c r="T85" s="1704">
        <f t="shared" si="36"/>
        <v>194027.64352000001</v>
      </c>
      <c r="U85" s="1705">
        <f t="shared" si="37"/>
        <v>-0.12066666666666659</v>
      </c>
      <c r="V85" s="1706" t="s">
        <v>2490</v>
      </c>
      <c r="W85" s="1707" t="s">
        <v>2426</v>
      </c>
      <c r="X85" s="1708">
        <f t="shared" si="38"/>
        <v>220653.12</v>
      </c>
      <c r="Y85" s="1742"/>
      <c r="Z85" s="1742"/>
      <c r="AA85" s="1710"/>
      <c r="AB85" s="1711"/>
      <c r="AC85" s="1711"/>
      <c r="AD85" s="1744"/>
      <c r="AE85" s="1744"/>
      <c r="AF85" s="1713"/>
      <c r="AG85" s="1688"/>
      <c r="AH85" s="1673"/>
      <c r="AI85" s="1673"/>
      <c r="AJ85" s="1673"/>
      <c r="AK85" s="1703"/>
      <c r="AL85" s="1719"/>
      <c r="AM85" s="1718"/>
      <c r="AN85" s="1673"/>
      <c r="AO85" s="1673"/>
      <c r="AP85" s="1673"/>
    </row>
    <row r="86" spans="1:73" s="1721" customFormat="1" ht="14.85" customHeight="1">
      <c r="A86" s="1714"/>
      <c r="B86" s="1695" t="s">
        <v>2427</v>
      </c>
      <c r="C86" s="1698" t="s">
        <v>2428</v>
      </c>
      <c r="D86" s="1697" t="s">
        <v>618</v>
      </c>
      <c r="E86" s="1698" t="s">
        <v>2429</v>
      </c>
      <c r="F86" s="1699">
        <v>42912</v>
      </c>
      <c r="G86" s="1715">
        <v>6</v>
      </c>
      <c r="H86" s="1715">
        <v>9</v>
      </c>
      <c r="I86" s="1715">
        <v>11</v>
      </c>
      <c r="J86" s="1715">
        <v>6.98</v>
      </c>
      <c r="K86" s="1701">
        <f t="shared" si="31"/>
        <v>3341.4680000000008</v>
      </c>
      <c r="L86" s="1703">
        <v>5500</v>
      </c>
      <c r="M86" s="1703">
        <v>8841.4680000000008</v>
      </c>
      <c r="N86" s="1701">
        <f t="shared" si="32"/>
        <v>20048.808000000005</v>
      </c>
      <c r="O86" s="1703">
        <f t="shared" si="33"/>
        <v>33000</v>
      </c>
      <c r="P86" s="1701">
        <f t="shared" si="34"/>
        <v>53048.808000000005</v>
      </c>
      <c r="Q86" s="1701"/>
      <c r="R86" s="1677">
        <v>1</v>
      </c>
      <c r="S86" s="1700">
        <f t="shared" si="35"/>
        <v>6.98</v>
      </c>
      <c r="T86" s="1704">
        <f t="shared" si="36"/>
        <v>61713.446640000009</v>
      </c>
      <c r="U86" s="1705">
        <f t="shared" si="37"/>
        <v>0.16333333333333333</v>
      </c>
      <c r="V86" s="1706" t="s">
        <v>2430</v>
      </c>
      <c r="W86" s="1707" t="s">
        <v>2431</v>
      </c>
      <c r="X86" s="1708">
        <f t="shared" si="38"/>
        <v>53048.808000000005</v>
      </c>
      <c r="Y86" s="1742">
        <v>5982</v>
      </c>
      <c r="Z86" s="1742">
        <v>0</v>
      </c>
      <c r="AA86" s="1710">
        <v>59030.808000000005</v>
      </c>
      <c r="AB86" s="1711">
        <v>0</v>
      </c>
      <c r="AC86" s="1711">
        <v>0</v>
      </c>
      <c r="AD86" s="1744" t="s">
        <v>13</v>
      </c>
      <c r="AE86" s="1744" t="s">
        <v>13</v>
      </c>
      <c r="AF86" s="1713">
        <f>+P86-X86</f>
        <v>0</v>
      </c>
      <c r="AG86" s="1688"/>
      <c r="AH86" s="1673"/>
      <c r="AI86" s="1673"/>
      <c r="AJ86" s="1673"/>
      <c r="AK86" s="1703"/>
      <c r="AL86" s="1719"/>
      <c r="AM86" s="1718"/>
      <c r="AN86" s="1673"/>
      <c r="AO86" s="1673"/>
      <c r="AP86" s="1673"/>
    </row>
    <row r="87" spans="1:73" s="1721" customFormat="1" ht="14.85" customHeight="1">
      <c r="A87" s="1714"/>
      <c r="B87" s="1695" t="s">
        <v>2364</v>
      </c>
      <c r="C87" s="1698" t="s">
        <v>2365</v>
      </c>
      <c r="D87" s="1697" t="s">
        <v>618</v>
      </c>
      <c r="E87" s="1698" t="s">
        <v>2366</v>
      </c>
      <c r="F87" s="1699">
        <v>42859</v>
      </c>
      <c r="G87" s="1715">
        <v>15</v>
      </c>
      <c r="H87" s="1715">
        <v>15</v>
      </c>
      <c r="I87" s="1715">
        <v>17</v>
      </c>
      <c r="J87" s="1715">
        <v>12.15</v>
      </c>
      <c r="K87" s="1701">
        <f t="shared" si="31"/>
        <v>18851.937000000002</v>
      </c>
      <c r="L87" s="1703">
        <v>5750</v>
      </c>
      <c r="M87" s="1703">
        <v>24601.937000000002</v>
      </c>
      <c r="N87" s="1701">
        <f t="shared" si="32"/>
        <v>282779.05500000005</v>
      </c>
      <c r="O87" s="1703">
        <f t="shared" si="33"/>
        <v>86250</v>
      </c>
      <c r="P87" s="1701">
        <f t="shared" si="34"/>
        <v>369029.05500000005</v>
      </c>
      <c r="Q87" s="1701"/>
      <c r="R87" s="1677">
        <v>1</v>
      </c>
      <c r="S87" s="1700">
        <f t="shared" si="35"/>
        <v>12.15</v>
      </c>
      <c r="T87" s="1704">
        <f t="shared" si="36"/>
        <v>298913.53455000004</v>
      </c>
      <c r="U87" s="1705">
        <f t="shared" si="37"/>
        <v>-0.19000000000000006</v>
      </c>
      <c r="V87" s="1720" t="s">
        <v>2367</v>
      </c>
      <c r="W87" s="1707" t="s">
        <v>2368</v>
      </c>
      <c r="X87" s="1708">
        <f t="shared" si="38"/>
        <v>369029.05500000005</v>
      </c>
      <c r="Y87" s="1742" t="e">
        <f ca="1">_xll.ciqfunctions.udf.CIQ(C87, "IQ_TOTAL_DEBT", , F87, , , "USD")*1000</f>
        <v>#NAME?</v>
      </c>
      <c r="Z87" s="1742" t="e">
        <f ca="1">_xll.ciqfunctions.udf.CIQ(C87, "IQ_CASH_EQUIV", , F87, , , "USD")*1000</f>
        <v>#NAME?</v>
      </c>
      <c r="AA87" s="1710" t="e">
        <f ca="1">X87+Y87-Z87</f>
        <v>#NAME?</v>
      </c>
      <c r="AB87" s="1711" t="e">
        <f ca="1">_xll.ciqfunctions.udf.CIQ($C87, "IQ_TOTAL_REV", IQ_LTM, $F$12, $Y$2, $Y$1, $Y$3, $Y$4)*1000</f>
        <v>#NAME?</v>
      </c>
      <c r="AC87" s="1711" t="e">
        <f ca="1">_xll.ciqfunctions.udf.CIQ($C87, "IQ_EBITDA", IQ_LTM, $F$12, $Y$2, $Y$1, $Y$3, $Y$4)*1000</f>
        <v>#NAME?</v>
      </c>
      <c r="AD87" s="1744" t="str">
        <f ca="1">IFERROR(AA87/AB87,"n/a")</f>
        <v>n/a</v>
      </c>
      <c r="AE87" s="1744" t="str">
        <f ca="1">IFERROR(AA87/AC87,"n/a")</f>
        <v>n/a</v>
      </c>
      <c r="AF87" s="1713">
        <f>+P87-X87</f>
        <v>0</v>
      </c>
      <c r="AK87" s="1722"/>
      <c r="AL87" s="1719"/>
      <c r="AM87" s="1718"/>
    </row>
    <row r="88" spans="1:73" s="1721" customFormat="1" ht="14.85" customHeight="1">
      <c r="A88" s="1714"/>
      <c r="B88" s="1695" t="s">
        <v>2491</v>
      </c>
      <c r="C88" s="1698" t="s">
        <v>2492</v>
      </c>
      <c r="D88" s="1697" t="s">
        <v>1667</v>
      </c>
      <c r="E88" s="1698" t="s">
        <v>2493</v>
      </c>
      <c r="F88" s="1699">
        <v>42858</v>
      </c>
      <c r="G88" s="1715">
        <v>13</v>
      </c>
      <c r="H88" s="1715">
        <v>12</v>
      </c>
      <c r="I88" s="1715">
        <v>14</v>
      </c>
      <c r="J88" s="1715">
        <v>18.64</v>
      </c>
      <c r="K88" s="1701">
        <f t="shared" si="31"/>
        <v>7499.17</v>
      </c>
      <c r="L88" s="1703">
        <v>4473.3729999999996</v>
      </c>
      <c r="M88" s="1703">
        <v>11972.543</v>
      </c>
      <c r="N88" s="1701">
        <f t="shared" si="32"/>
        <v>97489.21</v>
      </c>
      <c r="O88" s="1703">
        <f t="shared" si="33"/>
        <v>58153.848999999995</v>
      </c>
      <c r="P88" s="1701">
        <f t="shared" si="34"/>
        <v>155643.05900000001</v>
      </c>
      <c r="Q88" s="1701"/>
      <c r="R88" s="1677">
        <v>1</v>
      </c>
      <c r="S88" s="1700">
        <f t="shared" si="35"/>
        <v>18.64</v>
      </c>
      <c r="T88" s="1704">
        <f t="shared" si="36"/>
        <v>223168.20152</v>
      </c>
      <c r="U88" s="1705">
        <f t="shared" si="37"/>
        <v>0.43384615384615377</v>
      </c>
      <c r="V88" s="1706" t="s">
        <v>2494</v>
      </c>
      <c r="W88" s="1707" t="s">
        <v>2495</v>
      </c>
      <c r="X88" s="1708">
        <f t="shared" si="38"/>
        <v>155643.05900000001</v>
      </c>
      <c r="Y88" s="1742"/>
      <c r="Z88" s="1742"/>
      <c r="AA88" s="1710"/>
      <c r="AB88" s="1711"/>
      <c r="AC88" s="1711"/>
      <c r="AD88" s="1744"/>
      <c r="AE88" s="1744"/>
      <c r="AF88" s="1713"/>
      <c r="AG88" s="1688"/>
      <c r="AH88" s="1673"/>
      <c r="AI88" s="1673"/>
      <c r="AJ88" s="1673"/>
      <c r="AK88" s="1703"/>
      <c r="AL88" s="1719"/>
      <c r="AM88" s="1718"/>
      <c r="AN88" s="1673"/>
      <c r="AO88" s="1673"/>
      <c r="AP88" s="1673"/>
    </row>
    <row r="89" spans="1:73" s="1721" customFormat="1" ht="14.85" customHeight="1">
      <c r="A89" s="1714"/>
      <c r="B89" s="1695" t="s">
        <v>2369</v>
      </c>
      <c r="C89" s="1698" t="s">
        <v>2370</v>
      </c>
      <c r="D89" s="1697" t="s">
        <v>2011</v>
      </c>
      <c r="E89" s="1698" t="s">
        <v>2371</v>
      </c>
      <c r="F89" s="1699">
        <v>42858</v>
      </c>
      <c r="G89" s="1726">
        <v>17</v>
      </c>
      <c r="H89" s="1715">
        <v>14</v>
      </c>
      <c r="I89" s="1715">
        <v>16</v>
      </c>
      <c r="J89" s="1726">
        <v>21.87</v>
      </c>
      <c r="K89" s="1701">
        <f t="shared" si="31"/>
        <v>24330.582999999999</v>
      </c>
      <c r="L89" s="1703">
        <v>8333.3330000000005</v>
      </c>
      <c r="M89" s="1703">
        <v>32663.916000000001</v>
      </c>
      <c r="N89" s="1701">
        <f t="shared" si="32"/>
        <v>413619.91099999996</v>
      </c>
      <c r="O89" s="1703">
        <f t="shared" si="33"/>
        <v>141666.66100000002</v>
      </c>
      <c r="P89" s="1701">
        <f t="shared" si="34"/>
        <v>555286.57199999993</v>
      </c>
      <c r="Q89" s="1701"/>
      <c r="R89" s="1677">
        <v>1</v>
      </c>
      <c r="S89" s="1700">
        <f t="shared" si="35"/>
        <v>21.87</v>
      </c>
      <c r="T89" s="1704">
        <f t="shared" si="36"/>
        <v>714359.84292000008</v>
      </c>
      <c r="U89" s="1705">
        <f t="shared" si="37"/>
        <v>0.28647058823529448</v>
      </c>
      <c r="V89" s="1720" t="s">
        <v>2373</v>
      </c>
      <c r="W89" s="1707" t="s">
        <v>2372</v>
      </c>
      <c r="X89" s="1708">
        <f t="shared" si="38"/>
        <v>555286.57199999993</v>
      </c>
      <c r="Y89" s="1742" t="e">
        <f ca="1">_xll.ciqfunctions.udf.CIQ(C89, "IQ_TOTAL_DEBT", , F89, , , "USD")*1000</f>
        <v>#NAME?</v>
      </c>
      <c r="Z89" s="1742" t="e">
        <f ca="1">_xll.ciqfunctions.udf.CIQ(C89, "IQ_CASH_EQUIV", , F89, , , "USD")*1000</f>
        <v>#NAME?</v>
      </c>
      <c r="AA89" s="1710" t="e">
        <f t="shared" ref="AA89:AA109" ca="1" si="39">X89+Y89-Z89</f>
        <v>#NAME?</v>
      </c>
      <c r="AB89" s="1711" t="e">
        <f ca="1">_xll.ciqfunctions.udf.CIQ($C89, "IQ_TOTAL_REV", IQ_LTM, $F$12, $Y$2, $Y$1, $Y$3, $Y$4)*1000</f>
        <v>#NAME?</v>
      </c>
      <c r="AC89" s="1711" t="e">
        <f ca="1">_xll.ciqfunctions.udf.CIQ($C89, "IQ_EBITDA", IQ_LTM, $F$12, $Y$2, $Y$1, $Y$3, $Y$4)*1000</f>
        <v>#NAME?</v>
      </c>
      <c r="AD89" s="1744" t="str">
        <f t="shared" ref="AD89:AD109" ca="1" si="40">IFERROR(AA89/AB89,"n/a")</f>
        <v>n/a</v>
      </c>
      <c r="AE89" s="1744" t="str">
        <f t="shared" ref="AE89:AE109" ca="1" si="41">IFERROR(AA89/AC89,"n/a")</f>
        <v>n/a</v>
      </c>
      <c r="AF89" s="1713">
        <f t="shared" ref="AF89:AF109" si="42">+P89-X89</f>
        <v>0</v>
      </c>
      <c r="AK89" s="1722"/>
      <c r="AL89" s="1719"/>
      <c r="AM89" s="1718"/>
    </row>
    <row r="90" spans="1:73" s="1721" customFormat="1" ht="14.85" customHeight="1">
      <c r="A90" s="1714"/>
      <c r="B90" s="1695" t="s">
        <v>2009</v>
      </c>
      <c r="C90" s="1698" t="s">
        <v>2010</v>
      </c>
      <c r="D90" s="1697" t="s">
        <v>2011</v>
      </c>
      <c r="E90" s="1698" t="s">
        <v>2012</v>
      </c>
      <c r="F90" s="1699">
        <v>42837</v>
      </c>
      <c r="G90" s="1715">
        <v>10</v>
      </c>
      <c r="H90" s="1715">
        <v>10</v>
      </c>
      <c r="I90" s="1715">
        <v>12</v>
      </c>
      <c r="J90" s="1715">
        <v>16.690000000000001</v>
      </c>
      <c r="K90" s="1701">
        <f t="shared" si="31"/>
        <v>9897.3070000000007</v>
      </c>
      <c r="L90" s="1702">
        <v>7250</v>
      </c>
      <c r="M90" s="1702">
        <v>17147.307000000001</v>
      </c>
      <c r="N90" s="1701">
        <f t="shared" si="32"/>
        <v>98973.07</v>
      </c>
      <c r="O90" s="1703">
        <f t="shared" si="33"/>
        <v>72500</v>
      </c>
      <c r="P90" s="1701">
        <f t="shared" si="34"/>
        <v>171473.07</v>
      </c>
      <c r="Q90" s="1701"/>
      <c r="R90" s="1677">
        <v>1</v>
      </c>
      <c r="S90" s="1700">
        <f t="shared" si="35"/>
        <v>16.690000000000001</v>
      </c>
      <c r="T90" s="1704">
        <f t="shared" si="36"/>
        <v>286188.55383000005</v>
      </c>
      <c r="U90" s="1705">
        <f t="shared" si="37"/>
        <v>0.66900000000000026</v>
      </c>
      <c r="V90" s="1720" t="s">
        <v>2013</v>
      </c>
      <c r="W90" s="1707" t="s">
        <v>2014</v>
      </c>
      <c r="X90" s="1708">
        <f t="shared" si="38"/>
        <v>171473.07</v>
      </c>
      <c r="Y90" s="1708">
        <v>20839000</v>
      </c>
      <c r="Z90" s="1708">
        <v>5510</v>
      </c>
      <c r="AA90" s="1710">
        <f t="shared" si="39"/>
        <v>21004963.07</v>
      </c>
      <c r="AB90" s="1711">
        <v>54</v>
      </c>
      <c r="AC90" s="1717">
        <v>-25990</v>
      </c>
      <c r="AD90" s="1712">
        <f t="shared" si="40"/>
        <v>388980.7975925926</v>
      </c>
      <c r="AE90" s="1712">
        <f t="shared" si="41"/>
        <v>-808.19403886110047</v>
      </c>
      <c r="AF90" s="1713">
        <f t="shared" si="42"/>
        <v>0</v>
      </c>
      <c r="AK90" s="1722"/>
      <c r="AL90" s="1719"/>
      <c r="AM90" s="1718"/>
    </row>
    <row r="91" spans="1:73" s="1721" customFormat="1" ht="14.85" customHeight="1">
      <c r="A91" s="1714"/>
      <c r="B91" s="1695" t="s">
        <v>2015</v>
      </c>
      <c r="C91" s="1698" t="s">
        <v>2016</v>
      </c>
      <c r="D91" s="1697" t="s">
        <v>1572</v>
      </c>
      <c r="E91" s="1698" t="s">
        <v>2017</v>
      </c>
      <c r="F91" s="1699">
        <v>42760</v>
      </c>
      <c r="G91" s="1700">
        <v>15</v>
      </c>
      <c r="H91" s="1700">
        <v>14</v>
      </c>
      <c r="I91" s="1700">
        <v>16</v>
      </c>
      <c r="J91" s="1700">
        <v>13.99</v>
      </c>
      <c r="K91" s="1701">
        <f t="shared" si="31"/>
        <v>23181.261999999999</v>
      </c>
      <c r="L91" s="1702">
        <f>6450000/1000</f>
        <v>6450</v>
      </c>
      <c r="M91" s="1702">
        <f>29631262/1000</f>
        <v>29631.261999999999</v>
      </c>
      <c r="N91" s="1701">
        <f t="shared" si="32"/>
        <v>347718.93</v>
      </c>
      <c r="O91" s="1703">
        <f t="shared" si="33"/>
        <v>96750</v>
      </c>
      <c r="P91" s="1701">
        <f t="shared" si="34"/>
        <v>444468.93</v>
      </c>
      <c r="Q91" s="1701"/>
      <c r="R91" s="1677">
        <v>1</v>
      </c>
      <c r="S91" s="1700">
        <f t="shared" si="35"/>
        <v>13.99</v>
      </c>
      <c r="T91" s="1704">
        <f t="shared" si="36"/>
        <v>414541.35537999996</v>
      </c>
      <c r="U91" s="1705">
        <f t="shared" si="37"/>
        <v>-6.7333333333333356E-2</v>
      </c>
      <c r="V91" s="1716" t="s">
        <v>2017</v>
      </c>
      <c r="W91" s="1707" t="s">
        <v>2018</v>
      </c>
      <c r="X91" s="1708">
        <f t="shared" si="38"/>
        <v>444468.93</v>
      </c>
      <c r="Y91" s="1708">
        <v>0</v>
      </c>
      <c r="Z91" s="1708">
        <v>38910</v>
      </c>
      <c r="AA91" s="1710">
        <f t="shared" si="39"/>
        <v>405558.93</v>
      </c>
      <c r="AB91" s="1711">
        <v>0</v>
      </c>
      <c r="AC91" s="1717">
        <v>-20977</v>
      </c>
      <c r="AD91" s="1712" t="str">
        <f t="shared" si="40"/>
        <v>n/a</v>
      </c>
      <c r="AE91" s="1712">
        <f t="shared" si="41"/>
        <v>-19.333504790961531</v>
      </c>
      <c r="AF91" s="1713">
        <f t="shared" si="42"/>
        <v>0</v>
      </c>
      <c r="AG91" s="1718"/>
      <c r="AH91" s="1688"/>
      <c r="AI91" s="1688"/>
      <c r="AJ91" s="1688"/>
      <c r="AK91" s="1688"/>
      <c r="AL91" s="1688"/>
      <c r="AM91" s="1688" t="s">
        <v>2019</v>
      </c>
      <c r="AN91" s="1688" t="s">
        <v>2020</v>
      </c>
      <c r="AO91" s="1688" t="s">
        <v>2021</v>
      </c>
      <c r="AP91" s="1688"/>
      <c r="AQ91" s="1688">
        <v>6450000</v>
      </c>
      <c r="AR91" s="1688">
        <v>6450000</v>
      </c>
      <c r="AS91" s="1688">
        <v>29631262</v>
      </c>
      <c r="AT91" s="1688"/>
      <c r="AU91" s="1688">
        <f>AQ91-AW91</f>
        <v>0</v>
      </c>
      <c r="AV91" s="1688">
        <f>AS91-AY91</f>
        <v>0</v>
      </c>
      <c r="AW91" s="1688">
        <v>6450000</v>
      </c>
      <c r="AX91" s="1688">
        <f>AW91+BA91</f>
        <v>7417500</v>
      </c>
      <c r="AY91" s="1688">
        <v>29631262</v>
      </c>
      <c r="AZ91" s="1688">
        <f>AY91+BA91</f>
        <v>30598762</v>
      </c>
      <c r="BA91" s="1688">
        <v>967500</v>
      </c>
      <c r="BB91" s="1688">
        <f>BC91*J91</f>
        <v>414541327.40000004</v>
      </c>
      <c r="BC91" s="1688">
        <v>29631260</v>
      </c>
      <c r="BD91" s="1688">
        <f>+J91*M91</f>
        <v>414541.35537999996</v>
      </c>
      <c r="BE91" s="1688">
        <v>42761</v>
      </c>
      <c r="BF91" s="1688">
        <f>+BE91+30</f>
        <v>42791</v>
      </c>
      <c r="BG91" s="1688">
        <f>BE91+90</f>
        <v>42851</v>
      </c>
      <c r="BH91" s="1688">
        <v>29631260</v>
      </c>
      <c r="BI91" s="1688">
        <v>13.62</v>
      </c>
      <c r="BJ91" s="1688">
        <f>BI91*BH91</f>
        <v>403577761.19999999</v>
      </c>
      <c r="BK91" s="1688" t="s">
        <v>2022</v>
      </c>
      <c r="BL91" s="1688">
        <v>38910000</v>
      </c>
      <c r="BM91" s="1688">
        <v>0</v>
      </c>
      <c r="BN91" s="1688" t="e">
        <f ca="1">_xll.ciqfunctions.udf.CIQ(C91, "IQ_MARKETCAP", $BN$1)*1000000</f>
        <v>#NAME?</v>
      </c>
      <c r="BO91" s="1688">
        <v>123139750</v>
      </c>
      <c r="BP91" s="1688" t="e">
        <f ca="1">(BN91-BO91)/BN91</f>
        <v>#NAME?</v>
      </c>
      <c r="BQ91" s="1688"/>
      <c r="BR91" s="1688" t="s">
        <v>2023</v>
      </c>
      <c r="BS91" s="1688"/>
      <c r="BT91" s="1688"/>
      <c r="BU91" s="1688" t="b">
        <f>IF(ABS(O91-P91)&lt;100,TRUE,FALSE)</f>
        <v>0</v>
      </c>
    </row>
    <row r="92" spans="1:73" s="1688" customFormat="1" ht="14.85" customHeight="1">
      <c r="A92" s="1714"/>
      <c r="B92" s="1695" t="s">
        <v>1422</v>
      </c>
      <c r="C92" s="1698" t="s">
        <v>1423</v>
      </c>
      <c r="D92" s="1697" t="s">
        <v>618</v>
      </c>
      <c r="E92" s="1698" t="s">
        <v>1424</v>
      </c>
      <c r="F92" s="1699">
        <v>42586</v>
      </c>
      <c r="G92" s="1700">
        <v>10</v>
      </c>
      <c r="H92" s="1700">
        <v>11</v>
      </c>
      <c r="I92" s="1700">
        <v>13</v>
      </c>
      <c r="J92" s="1700">
        <v>13.23</v>
      </c>
      <c r="K92" s="1701">
        <f t="shared" si="31"/>
        <v>5431.6149999999998</v>
      </c>
      <c r="L92" s="1702">
        <v>3000</v>
      </c>
      <c r="M92" s="1702">
        <v>8431.6149999999998</v>
      </c>
      <c r="N92" s="1701">
        <f t="shared" si="32"/>
        <v>54316.149999999994</v>
      </c>
      <c r="O92" s="1703">
        <f t="shared" si="33"/>
        <v>30000</v>
      </c>
      <c r="P92" s="1701">
        <f t="shared" si="34"/>
        <v>84316.15</v>
      </c>
      <c r="Q92" s="1701"/>
      <c r="R92" s="1677">
        <v>1</v>
      </c>
      <c r="S92" s="1700">
        <f t="shared" si="35"/>
        <v>13.23</v>
      </c>
      <c r="T92" s="1704">
        <f t="shared" si="36"/>
        <v>111550.26645</v>
      </c>
      <c r="U92" s="1705">
        <f t="shared" si="37"/>
        <v>0.32299999999999995</v>
      </c>
      <c r="V92" s="1716" t="s">
        <v>1425</v>
      </c>
      <c r="W92" s="1707" t="s">
        <v>1426</v>
      </c>
      <c r="X92" s="1708">
        <f t="shared" si="38"/>
        <v>84316.15</v>
      </c>
      <c r="Y92" s="1708">
        <v>6461000</v>
      </c>
      <c r="Z92" s="1708">
        <v>1629</v>
      </c>
      <c r="AA92" s="1710">
        <f t="shared" si="39"/>
        <v>6543687.1500000004</v>
      </c>
      <c r="AB92" s="1711">
        <v>0</v>
      </c>
      <c r="AC92" s="1717">
        <v>0</v>
      </c>
      <c r="AD92" s="1712" t="str">
        <f t="shared" si="40"/>
        <v>n/a</v>
      </c>
      <c r="AE92" s="1712" t="str">
        <f t="shared" si="41"/>
        <v>n/a</v>
      </c>
      <c r="AF92" s="1713">
        <f t="shared" si="42"/>
        <v>0</v>
      </c>
      <c r="AG92" s="1718"/>
    </row>
    <row r="93" spans="1:73" s="1688" customFormat="1" ht="14.85" customHeight="1">
      <c r="A93" s="1714"/>
      <c r="B93" s="1695" t="s">
        <v>1427</v>
      </c>
      <c r="C93" s="1698" t="s">
        <v>1428</v>
      </c>
      <c r="D93" s="1697" t="s">
        <v>618</v>
      </c>
      <c r="E93" s="1698" t="s">
        <v>1429</v>
      </c>
      <c r="F93" s="1699">
        <v>42577</v>
      </c>
      <c r="G93" s="1715">
        <v>12</v>
      </c>
      <c r="H93" s="1715">
        <v>0</v>
      </c>
      <c r="I93" s="1715">
        <v>0</v>
      </c>
      <c r="J93" s="1715">
        <v>10.06</v>
      </c>
      <c r="K93" s="1701">
        <f t="shared" si="31"/>
        <v>38620.332000000002</v>
      </c>
      <c r="L93" s="1702">
        <v>6250</v>
      </c>
      <c r="M93" s="1702">
        <v>44870.332000000002</v>
      </c>
      <c r="N93" s="1701">
        <f t="shared" si="32"/>
        <v>463443.98400000005</v>
      </c>
      <c r="O93" s="1703">
        <f t="shared" si="33"/>
        <v>75000</v>
      </c>
      <c r="P93" s="1701">
        <f t="shared" si="34"/>
        <v>538443.98400000005</v>
      </c>
      <c r="Q93" s="1701"/>
      <c r="R93" s="1677">
        <v>1</v>
      </c>
      <c r="S93" s="1700">
        <f t="shared" si="35"/>
        <v>10.06</v>
      </c>
      <c r="T93" s="1704">
        <f t="shared" si="36"/>
        <v>451395.53992000007</v>
      </c>
      <c r="U93" s="1705">
        <f t="shared" si="37"/>
        <v>-0.16166666666666663</v>
      </c>
      <c r="V93" s="1716" t="s">
        <v>1430</v>
      </c>
      <c r="W93" s="1707" t="s">
        <v>1431</v>
      </c>
      <c r="X93" s="1708">
        <f t="shared" si="38"/>
        <v>538443.98400000005</v>
      </c>
      <c r="Y93" s="1708">
        <v>221589000</v>
      </c>
      <c r="Z93" s="1708">
        <v>8601</v>
      </c>
      <c r="AA93" s="1710">
        <f t="shared" si="39"/>
        <v>222118842.984</v>
      </c>
      <c r="AB93" s="1711">
        <v>35305</v>
      </c>
      <c r="AC93" s="1717">
        <v>-74119</v>
      </c>
      <c r="AD93" s="1712">
        <f t="shared" si="40"/>
        <v>6291.4273611103245</v>
      </c>
      <c r="AE93" s="1712">
        <f t="shared" si="41"/>
        <v>-2996.7868290721676</v>
      </c>
      <c r="AF93" s="1713">
        <f t="shared" si="42"/>
        <v>0</v>
      </c>
      <c r="AG93" s="1718"/>
    </row>
    <row r="94" spans="1:73" s="1688" customFormat="1" ht="14.85" customHeight="1">
      <c r="A94" s="1714"/>
      <c r="B94" s="1757" t="s">
        <v>1461</v>
      </c>
      <c r="C94" s="1698" t="s">
        <v>1462</v>
      </c>
      <c r="D94" s="1697" t="s">
        <v>618</v>
      </c>
      <c r="E94" s="1698" t="s">
        <v>1463</v>
      </c>
      <c r="F94" s="1699">
        <v>42495</v>
      </c>
      <c r="G94" s="1715">
        <v>12</v>
      </c>
      <c r="H94" s="1715">
        <v>13</v>
      </c>
      <c r="I94" s="1715">
        <v>15</v>
      </c>
      <c r="J94" s="1715">
        <v>11.2</v>
      </c>
      <c r="K94" s="1701">
        <f t="shared" si="31"/>
        <v>6171.0910000000003</v>
      </c>
      <c r="L94" s="1702">
        <v>920</v>
      </c>
      <c r="M94" s="1702">
        <v>7091.0910000000003</v>
      </c>
      <c r="N94" s="1701">
        <f t="shared" si="32"/>
        <v>74053.092000000004</v>
      </c>
      <c r="O94" s="1703">
        <f t="shared" si="33"/>
        <v>11040</v>
      </c>
      <c r="P94" s="1701">
        <f t="shared" si="34"/>
        <v>85093.092000000004</v>
      </c>
      <c r="Q94" s="1701"/>
      <c r="R94" s="1677">
        <v>1</v>
      </c>
      <c r="S94" s="1700">
        <f t="shared" si="35"/>
        <v>11.2</v>
      </c>
      <c r="T94" s="1704">
        <f t="shared" si="36"/>
        <v>79420.219199999992</v>
      </c>
      <c r="U94" s="1705">
        <f t="shared" si="37"/>
        <v>-6.6666666666666763E-2</v>
      </c>
      <c r="V94" s="1706" t="s">
        <v>1464</v>
      </c>
      <c r="W94" s="1707" t="s">
        <v>2024</v>
      </c>
      <c r="X94" s="1708">
        <f t="shared" si="38"/>
        <v>85093.092000000004</v>
      </c>
      <c r="Y94" s="1708">
        <v>0</v>
      </c>
      <c r="Z94" s="1708">
        <v>4347</v>
      </c>
      <c r="AA94" s="1710">
        <f t="shared" si="39"/>
        <v>80746.092000000004</v>
      </c>
      <c r="AB94" s="1711">
        <v>717</v>
      </c>
      <c r="AC94" s="1717">
        <v>-18116</v>
      </c>
      <c r="AD94" s="1712">
        <f t="shared" si="40"/>
        <v>112.61658577405858</v>
      </c>
      <c r="AE94" s="1712">
        <f t="shared" si="41"/>
        <v>-4.4571700154559508</v>
      </c>
      <c r="AF94" s="1713">
        <f t="shared" si="42"/>
        <v>0</v>
      </c>
      <c r="AK94" s="1703"/>
      <c r="AL94" s="1719"/>
      <c r="AM94" s="1718"/>
    </row>
    <row r="95" spans="1:73" s="1688" customFormat="1" ht="14.85" customHeight="1">
      <c r="A95" s="1714"/>
      <c r="B95" s="1695" t="s">
        <v>1510</v>
      </c>
      <c r="C95" s="1698" t="s">
        <v>1511</v>
      </c>
      <c r="D95" s="1697" t="s">
        <v>618</v>
      </c>
      <c r="E95" s="1698" t="s">
        <v>1512</v>
      </c>
      <c r="F95" s="1699">
        <v>42291</v>
      </c>
      <c r="G95" s="1715">
        <v>6.5</v>
      </c>
      <c r="H95" s="1715">
        <v>6</v>
      </c>
      <c r="I95" s="1715">
        <v>7</v>
      </c>
      <c r="J95" s="1715">
        <v>3.13</v>
      </c>
      <c r="K95" s="1701">
        <f t="shared" si="31"/>
        <v>4630.143</v>
      </c>
      <c r="L95" s="1702">
        <v>4000</v>
      </c>
      <c r="M95" s="1702">
        <v>8630.143</v>
      </c>
      <c r="N95" s="1701">
        <f t="shared" si="32"/>
        <v>30095.929499999998</v>
      </c>
      <c r="O95" s="1703">
        <f t="shared" si="33"/>
        <v>26000</v>
      </c>
      <c r="P95" s="1701">
        <f t="shared" si="34"/>
        <v>56095.929499999998</v>
      </c>
      <c r="Q95" s="1701"/>
      <c r="R95" s="1677">
        <v>1</v>
      </c>
      <c r="S95" s="1700">
        <f t="shared" si="35"/>
        <v>3.13</v>
      </c>
      <c r="T95" s="1704">
        <f t="shared" si="36"/>
        <v>27012.347589999998</v>
      </c>
      <c r="U95" s="1705">
        <f t="shared" si="37"/>
        <v>-0.51846153846153853</v>
      </c>
      <c r="V95" s="1706" t="s">
        <v>1513</v>
      </c>
      <c r="W95" s="1707" t="s">
        <v>1514</v>
      </c>
      <c r="X95" s="1708">
        <f t="shared" si="38"/>
        <v>56095.929499999998</v>
      </c>
      <c r="Y95" s="1708">
        <v>7052960</v>
      </c>
      <c r="Z95" s="1708">
        <v>6142.86</v>
      </c>
      <c r="AA95" s="1710">
        <f t="shared" si="39"/>
        <v>7102913.0694999993</v>
      </c>
      <c r="AB95" s="1711">
        <v>650.49</v>
      </c>
      <c r="AC95" s="1717">
        <v>-13304.04</v>
      </c>
      <c r="AD95" s="1712">
        <f t="shared" si="40"/>
        <v>10919.3270757429</v>
      </c>
      <c r="AE95" s="1712">
        <f t="shared" si="41"/>
        <v>-533.891439705533</v>
      </c>
      <c r="AF95" s="1713">
        <f t="shared" si="42"/>
        <v>0</v>
      </c>
      <c r="AH95" s="1673"/>
      <c r="AI95" s="1673"/>
      <c r="AJ95" s="1673"/>
      <c r="AK95" s="1703"/>
      <c r="AL95" s="1719"/>
      <c r="AM95" s="1718"/>
      <c r="AN95" s="1673"/>
      <c r="AO95" s="1673"/>
      <c r="AP95" s="1673"/>
      <c r="AQ95" s="1673"/>
      <c r="AR95" s="1673"/>
      <c r="AS95" s="1673"/>
      <c r="AT95" s="1673"/>
      <c r="AU95" s="1673"/>
      <c r="AV95" s="1673"/>
      <c r="AW95" s="1673"/>
      <c r="AX95" s="1673"/>
      <c r="AY95" s="1673"/>
      <c r="AZ95" s="1673"/>
      <c r="BA95" s="1673"/>
      <c r="BB95" s="1673"/>
      <c r="BC95" s="1673"/>
      <c r="BD95" s="1673"/>
      <c r="BE95" s="1673"/>
      <c r="BF95" s="1673"/>
      <c r="BG95" s="1673"/>
      <c r="BH95" s="1673"/>
      <c r="BI95" s="1673"/>
      <c r="BJ95" s="1673"/>
      <c r="BK95" s="1673"/>
      <c r="BL95" s="1673"/>
      <c r="BM95" s="1673"/>
      <c r="BN95" s="1673"/>
      <c r="BO95" s="1673"/>
      <c r="BP95" s="1673"/>
      <c r="BQ95" s="1673"/>
      <c r="BR95" s="1673"/>
      <c r="BS95" s="1673"/>
      <c r="BT95" s="1673"/>
      <c r="BU95" s="1673"/>
    </row>
    <row r="96" spans="1:73" s="1673" customFormat="1" ht="14.85" customHeight="1">
      <c r="A96" s="1714"/>
      <c r="B96" s="1695" t="s">
        <v>1520</v>
      </c>
      <c r="C96" s="1698" t="s">
        <v>1521</v>
      </c>
      <c r="D96" s="1697" t="s">
        <v>618</v>
      </c>
      <c r="E96" s="1698" t="s">
        <v>1522</v>
      </c>
      <c r="F96" s="1699">
        <v>42283</v>
      </c>
      <c r="G96" s="1715">
        <v>11</v>
      </c>
      <c r="H96" s="1715">
        <v>14</v>
      </c>
      <c r="I96" s="1715">
        <v>16</v>
      </c>
      <c r="J96" s="1715">
        <v>14.67</v>
      </c>
      <c r="K96" s="1701">
        <f t="shared" si="31"/>
        <v>14407.503000000001</v>
      </c>
      <c r="L96" s="1702">
        <v>5000</v>
      </c>
      <c r="M96" s="1702">
        <v>19407.503000000001</v>
      </c>
      <c r="N96" s="1701">
        <f t="shared" si="32"/>
        <v>158482.533</v>
      </c>
      <c r="O96" s="1703">
        <f t="shared" si="33"/>
        <v>55000</v>
      </c>
      <c r="P96" s="1701">
        <f t="shared" si="34"/>
        <v>213482.533</v>
      </c>
      <c r="Q96" s="1701"/>
      <c r="R96" s="1677">
        <v>1</v>
      </c>
      <c r="S96" s="1700">
        <f t="shared" si="35"/>
        <v>14.67</v>
      </c>
      <c r="T96" s="1704">
        <f t="shared" si="36"/>
        <v>284708.06901000004</v>
      </c>
      <c r="U96" s="1705">
        <f t="shared" si="37"/>
        <v>0.33363636363636373</v>
      </c>
      <c r="V96" s="1706" t="s">
        <v>1523</v>
      </c>
      <c r="W96" s="1707" t="s">
        <v>1524</v>
      </c>
      <c r="X96" s="1708">
        <f t="shared" si="38"/>
        <v>213482.533</v>
      </c>
      <c r="Y96" s="1708">
        <v>0</v>
      </c>
      <c r="Z96" s="1708">
        <v>9853</v>
      </c>
      <c r="AA96" s="1710">
        <f t="shared" si="39"/>
        <v>203629.533</v>
      </c>
      <c r="AB96" s="1711">
        <v>0</v>
      </c>
      <c r="AC96" s="1717">
        <v>-37068</v>
      </c>
      <c r="AD96" s="1712" t="str">
        <f t="shared" si="40"/>
        <v>n/a</v>
      </c>
      <c r="AE96" s="1712">
        <f t="shared" si="41"/>
        <v>-5.4934049044998376</v>
      </c>
      <c r="AF96" s="1713">
        <f t="shared" si="42"/>
        <v>0</v>
      </c>
      <c r="AG96" s="1688"/>
      <c r="AK96" s="1703"/>
      <c r="AL96" s="1719"/>
      <c r="AM96" s="1718"/>
    </row>
    <row r="97" spans="1:73" s="1673" customFormat="1" ht="14.85" customHeight="1">
      <c r="A97" s="1714"/>
      <c r="B97" s="1695" t="s">
        <v>1529</v>
      </c>
      <c r="C97" s="1698" t="s">
        <v>1530</v>
      </c>
      <c r="D97" s="1697" t="s">
        <v>618</v>
      </c>
      <c r="E97" s="1698" t="s">
        <v>1531</v>
      </c>
      <c r="F97" s="1699">
        <v>42277</v>
      </c>
      <c r="G97" s="1715">
        <v>11</v>
      </c>
      <c r="H97" s="1715">
        <v>14</v>
      </c>
      <c r="I97" s="1715">
        <v>16</v>
      </c>
      <c r="J97" s="1715">
        <v>17.88</v>
      </c>
      <c r="K97" s="1701">
        <f t="shared" si="31"/>
        <v>20181.25</v>
      </c>
      <c r="L97" s="1702">
        <v>7315.1509999999998</v>
      </c>
      <c r="M97" s="1702">
        <v>27496.401000000002</v>
      </c>
      <c r="N97" s="1701">
        <f t="shared" si="32"/>
        <v>221993.75</v>
      </c>
      <c r="O97" s="1703">
        <f t="shared" si="33"/>
        <v>80466.660999999993</v>
      </c>
      <c r="P97" s="1701">
        <f t="shared" si="34"/>
        <v>302460.41099999996</v>
      </c>
      <c r="Q97" s="1701"/>
      <c r="R97" s="1677">
        <v>1</v>
      </c>
      <c r="S97" s="1700">
        <f t="shared" si="35"/>
        <v>17.88</v>
      </c>
      <c r="T97" s="1704">
        <f t="shared" si="36"/>
        <v>491635.64987999998</v>
      </c>
      <c r="U97" s="1705">
        <f t="shared" si="37"/>
        <v>0.62545454545454549</v>
      </c>
      <c r="V97" s="1706" t="s">
        <v>1532</v>
      </c>
      <c r="W97" s="1707" t="s">
        <v>1533</v>
      </c>
      <c r="X97" s="1708">
        <f t="shared" si="38"/>
        <v>302460.41099999996</v>
      </c>
      <c r="Y97" s="1708">
        <v>5864400</v>
      </c>
      <c r="Z97" s="1708">
        <v>58465.08</v>
      </c>
      <c r="AA97" s="1710">
        <f t="shared" si="39"/>
        <v>6108395.3310000002</v>
      </c>
      <c r="AB97" s="1711">
        <v>0</v>
      </c>
      <c r="AC97" s="1717">
        <v>-35591.700000000004</v>
      </c>
      <c r="AD97" s="1712" t="str">
        <f t="shared" si="40"/>
        <v>n/a</v>
      </c>
      <c r="AE97" s="1712">
        <f t="shared" si="41"/>
        <v>-171.62415200735001</v>
      </c>
      <c r="AF97" s="1713">
        <f t="shared" si="42"/>
        <v>0</v>
      </c>
      <c r="AG97" s="1688"/>
      <c r="AK97" s="1703"/>
      <c r="AL97" s="1719"/>
      <c r="AM97" s="1718"/>
    </row>
    <row r="98" spans="1:73" s="1673" customFormat="1" ht="14.85" customHeight="1">
      <c r="A98" s="1714"/>
      <c r="B98" s="1755" t="s">
        <v>1535</v>
      </c>
      <c r="C98" s="1698" t="s">
        <v>1536</v>
      </c>
      <c r="D98" s="1697" t="s">
        <v>618</v>
      </c>
      <c r="E98" s="1698" t="s">
        <v>1537</v>
      </c>
      <c r="F98" s="1699">
        <v>42227</v>
      </c>
      <c r="G98" s="1715">
        <v>20</v>
      </c>
      <c r="H98" s="1715">
        <v>16</v>
      </c>
      <c r="I98" s="1715">
        <v>18</v>
      </c>
      <c r="J98" s="1715">
        <v>52.72</v>
      </c>
      <c r="K98" s="1701">
        <f t="shared" si="31"/>
        <v>21808.456999999999</v>
      </c>
      <c r="L98" s="1702">
        <v>6000</v>
      </c>
      <c r="M98" s="1702">
        <v>27808.456999999999</v>
      </c>
      <c r="N98" s="1701">
        <f t="shared" si="32"/>
        <v>436169.13999999996</v>
      </c>
      <c r="O98" s="1703">
        <f t="shared" si="33"/>
        <v>120000</v>
      </c>
      <c r="P98" s="1701">
        <f t="shared" si="34"/>
        <v>556169.1399999999</v>
      </c>
      <c r="Q98" s="1701"/>
      <c r="R98" s="1677">
        <v>1</v>
      </c>
      <c r="S98" s="1700">
        <f t="shared" si="35"/>
        <v>52.72</v>
      </c>
      <c r="T98" s="1704">
        <f t="shared" si="36"/>
        <v>1466061.85304</v>
      </c>
      <c r="U98" s="1705">
        <f t="shared" si="37"/>
        <v>1.6360000000000006</v>
      </c>
      <c r="V98" s="1720" t="s">
        <v>1538</v>
      </c>
      <c r="W98" s="1707" t="s">
        <v>1539</v>
      </c>
      <c r="X98" s="1708">
        <f t="shared" si="38"/>
        <v>556169.1399999999</v>
      </c>
      <c r="Y98" s="1708">
        <v>0</v>
      </c>
      <c r="Z98" s="1708">
        <v>45800</v>
      </c>
      <c r="AA98" s="1710">
        <f t="shared" si="39"/>
        <v>510369.1399999999</v>
      </c>
      <c r="AB98" s="1711">
        <v>0</v>
      </c>
      <c r="AC98" s="1717">
        <v>-63892</v>
      </c>
      <c r="AD98" s="1712" t="str">
        <f t="shared" si="40"/>
        <v>n/a</v>
      </c>
      <c r="AE98" s="1712">
        <f t="shared" si="41"/>
        <v>-7.9879975583797647</v>
      </c>
      <c r="AF98" s="1713">
        <f t="shared" si="42"/>
        <v>0</v>
      </c>
      <c r="AG98" s="1723"/>
      <c r="AH98" s="1722"/>
      <c r="AI98" s="1723"/>
      <c r="AJ98" s="1723"/>
      <c r="AK98" s="1722"/>
      <c r="AL98" s="1719"/>
      <c r="AM98" s="1718"/>
      <c r="AN98" s="1720"/>
      <c r="AO98" s="1725"/>
      <c r="AP98" s="1725"/>
    </row>
    <row r="99" spans="1:73" s="1673" customFormat="1" ht="14.85" customHeight="1">
      <c r="A99" s="1714"/>
      <c r="B99" s="1695" t="s">
        <v>1540</v>
      </c>
      <c r="C99" s="1698" t="s">
        <v>1541</v>
      </c>
      <c r="D99" s="1697" t="s">
        <v>618</v>
      </c>
      <c r="E99" s="1698" t="s">
        <v>1542</v>
      </c>
      <c r="F99" s="1699">
        <v>42221</v>
      </c>
      <c r="G99" s="1715">
        <v>16</v>
      </c>
      <c r="H99" s="1715">
        <v>14</v>
      </c>
      <c r="I99" s="1715">
        <v>16</v>
      </c>
      <c r="J99" s="1715">
        <v>22.59</v>
      </c>
      <c r="K99" s="1701">
        <f t="shared" si="31"/>
        <v>30679.538</v>
      </c>
      <c r="L99" s="1702">
        <v>10000</v>
      </c>
      <c r="M99" s="1702">
        <v>40679.538</v>
      </c>
      <c r="N99" s="1701">
        <f t="shared" si="32"/>
        <v>490872.60800000001</v>
      </c>
      <c r="O99" s="1703">
        <f t="shared" si="33"/>
        <v>160000</v>
      </c>
      <c r="P99" s="1701">
        <f t="shared" si="34"/>
        <v>650872.60800000001</v>
      </c>
      <c r="Q99" s="1701"/>
      <c r="R99" s="1677">
        <v>1</v>
      </c>
      <c r="S99" s="1700">
        <f t="shared" si="35"/>
        <v>22.59</v>
      </c>
      <c r="T99" s="1704">
        <f t="shared" si="36"/>
        <v>918950.76341999997</v>
      </c>
      <c r="U99" s="1705">
        <f t="shared" si="37"/>
        <v>0.41187499999999999</v>
      </c>
      <c r="V99" s="1706" t="s">
        <v>1543</v>
      </c>
      <c r="W99" s="1707" t="s">
        <v>1544</v>
      </c>
      <c r="X99" s="1708">
        <f t="shared" si="38"/>
        <v>650872.60800000001</v>
      </c>
      <c r="Y99" s="1708">
        <v>0</v>
      </c>
      <c r="Z99" s="1708">
        <v>65313</v>
      </c>
      <c r="AA99" s="1710">
        <f t="shared" si="39"/>
        <v>585559.60800000001</v>
      </c>
      <c r="AB99" s="1711">
        <v>0</v>
      </c>
      <c r="AC99" s="1717">
        <v>-58822</v>
      </c>
      <c r="AD99" s="1712" t="str">
        <f t="shared" si="40"/>
        <v>n/a</v>
      </c>
      <c r="AE99" s="1712">
        <f t="shared" si="41"/>
        <v>-9.9547721600761623</v>
      </c>
      <c r="AF99" s="1713">
        <f t="shared" si="42"/>
        <v>0</v>
      </c>
      <c r="AG99" s="1688"/>
      <c r="AK99" s="1703"/>
      <c r="AL99" s="1719"/>
      <c r="AM99" s="1718"/>
    </row>
    <row r="100" spans="1:73" s="1673" customFormat="1" ht="14.85" customHeight="1">
      <c r="A100" s="1756"/>
      <c r="B100" s="1695" t="s">
        <v>1050</v>
      </c>
      <c r="C100" s="1698" t="s">
        <v>1048</v>
      </c>
      <c r="D100" s="1697" t="s">
        <v>618</v>
      </c>
      <c r="E100" s="1698" t="s">
        <v>1550</v>
      </c>
      <c r="F100" s="1699">
        <v>42213</v>
      </c>
      <c r="G100" s="1715">
        <v>25</v>
      </c>
      <c r="H100" s="1715">
        <v>20</v>
      </c>
      <c r="I100" s="1715">
        <v>23</v>
      </c>
      <c r="J100" s="1715">
        <v>19.510000000000002</v>
      </c>
      <c r="K100" s="1701">
        <f t="shared" si="31"/>
        <v>70643.631999999998</v>
      </c>
      <c r="L100" s="1702">
        <v>8288</v>
      </c>
      <c r="M100" s="1702">
        <v>78931.631999999998</v>
      </c>
      <c r="N100" s="1701">
        <f t="shared" si="32"/>
        <v>1766090.8</v>
      </c>
      <c r="O100" s="1703">
        <f t="shared" si="33"/>
        <v>207200</v>
      </c>
      <c r="P100" s="1701">
        <f t="shared" si="34"/>
        <v>1973290.8</v>
      </c>
      <c r="Q100" s="1701"/>
      <c r="R100" s="1677">
        <v>1</v>
      </c>
      <c r="S100" s="1700">
        <f t="shared" si="35"/>
        <v>19.510000000000002</v>
      </c>
      <c r="T100" s="1704">
        <f t="shared" si="36"/>
        <v>1539956.14032</v>
      </c>
      <c r="U100" s="1705">
        <f t="shared" si="37"/>
        <v>-0.21960000000000002</v>
      </c>
      <c r="V100" s="1706" t="s">
        <v>1049</v>
      </c>
      <c r="W100" s="1707" t="s">
        <v>1051</v>
      </c>
      <c r="X100" s="1708">
        <f t="shared" si="38"/>
        <v>1973290.8</v>
      </c>
      <c r="Y100" s="1708">
        <v>0</v>
      </c>
      <c r="Z100" s="1708">
        <v>49854</v>
      </c>
      <c r="AA100" s="1710">
        <f t="shared" si="39"/>
        <v>1923436.8</v>
      </c>
      <c r="AB100" s="1711">
        <v>43</v>
      </c>
      <c r="AC100" s="1717">
        <v>-141477</v>
      </c>
      <c r="AD100" s="1712">
        <f t="shared" si="40"/>
        <v>44731.088372093021</v>
      </c>
      <c r="AE100" s="1712">
        <f t="shared" si="41"/>
        <v>-13.595402786318624</v>
      </c>
      <c r="AF100" s="1713">
        <f t="shared" si="42"/>
        <v>0</v>
      </c>
      <c r="AG100" s="1688"/>
      <c r="AK100" s="1703"/>
      <c r="AL100" s="1719"/>
      <c r="AM100" s="1718"/>
    </row>
    <row r="101" spans="1:73" s="1673" customFormat="1" ht="14.85" customHeight="1">
      <c r="A101" s="1714"/>
      <c r="B101" s="1695" t="s">
        <v>1561</v>
      </c>
      <c r="C101" s="1698" t="s">
        <v>1562</v>
      </c>
      <c r="D101" s="1697" t="s">
        <v>618</v>
      </c>
      <c r="E101" s="1698" t="s">
        <v>1563</v>
      </c>
      <c r="F101" s="1699">
        <v>42180</v>
      </c>
      <c r="G101" s="1715">
        <v>18</v>
      </c>
      <c r="H101" s="1715">
        <v>15</v>
      </c>
      <c r="I101" s="1715">
        <v>17</v>
      </c>
      <c r="J101" s="1715">
        <v>38.200000000000003</v>
      </c>
      <c r="K101" s="1701">
        <f t="shared" si="31"/>
        <v>30403.502</v>
      </c>
      <c r="L101" s="1702">
        <v>7430.5550000000003</v>
      </c>
      <c r="M101" s="1702">
        <v>37834.057000000001</v>
      </c>
      <c r="N101" s="1701">
        <f t="shared" si="32"/>
        <v>547263.03599999996</v>
      </c>
      <c r="O101" s="1703">
        <f t="shared" si="33"/>
        <v>133749.99</v>
      </c>
      <c r="P101" s="1701">
        <f t="shared" si="34"/>
        <v>681013.02599999995</v>
      </c>
      <c r="Q101" s="1701"/>
      <c r="R101" s="1677">
        <v>1</v>
      </c>
      <c r="S101" s="1700">
        <f t="shared" si="35"/>
        <v>38.200000000000003</v>
      </c>
      <c r="T101" s="1704">
        <f t="shared" si="36"/>
        <v>1445260.9774000002</v>
      </c>
      <c r="U101" s="1705">
        <f t="shared" si="37"/>
        <v>1.1222222222222227</v>
      </c>
      <c r="V101" s="1720" t="s">
        <v>1564</v>
      </c>
      <c r="W101" s="1707" t="s">
        <v>1565</v>
      </c>
      <c r="X101" s="1708">
        <f t="shared" si="38"/>
        <v>681013.02599999995</v>
      </c>
      <c r="Y101" s="1708">
        <v>2216000</v>
      </c>
      <c r="Z101" s="1708">
        <v>45045</v>
      </c>
      <c r="AA101" s="1710">
        <f t="shared" si="39"/>
        <v>2851968.0260000001</v>
      </c>
      <c r="AB101" s="1711">
        <v>5714</v>
      </c>
      <c r="AC101" s="1717">
        <v>-80629</v>
      </c>
      <c r="AD101" s="1712">
        <f t="shared" si="40"/>
        <v>499.11936051802593</v>
      </c>
      <c r="AE101" s="1712">
        <f t="shared" si="41"/>
        <v>-35.371491969390668</v>
      </c>
      <c r="AF101" s="1713">
        <f t="shared" si="42"/>
        <v>0</v>
      </c>
      <c r="AG101" s="1723"/>
      <c r="AH101" s="1722"/>
      <c r="AI101" s="1723"/>
      <c r="AJ101" s="1724"/>
      <c r="AK101" s="1722"/>
      <c r="AL101" s="1719"/>
      <c r="AM101" s="1718"/>
      <c r="AN101" s="1720"/>
      <c r="AO101" s="1725"/>
      <c r="AP101" s="1725"/>
    </row>
    <row r="102" spans="1:73" s="1673" customFormat="1" ht="14.85" customHeight="1">
      <c r="A102" s="1714"/>
      <c r="B102" s="1695" t="s">
        <v>1570</v>
      </c>
      <c r="C102" s="1698" t="s">
        <v>1571</v>
      </c>
      <c r="D102" s="1697" t="s">
        <v>1667</v>
      </c>
      <c r="E102" s="1698" t="s">
        <v>1573</v>
      </c>
      <c r="F102" s="1699">
        <v>42179</v>
      </c>
      <c r="G102" s="1715">
        <v>5</v>
      </c>
      <c r="H102" s="1715">
        <v>0</v>
      </c>
      <c r="I102" s="1715">
        <v>0</v>
      </c>
      <c r="J102" s="1715">
        <v>4.1599000000000004</v>
      </c>
      <c r="K102" s="1701">
        <f t="shared" si="31"/>
        <v>3788.0600000000004</v>
      </c>
      <c r="L102" s="1702">
        <v>4000</v>
      </c>
      <c r="M102" s="1702">
        <v>7788.06</v>
      </c>
      <c r="N102" s="1701">
        <f t="shared" si="32"/>
        <v>18940.300000000003</v>
      </c>
      <c r="O102" s="1703">
        <f t="shared" si="33"/>
        <v>20000</v>
      </c>
      <c r="P102" s="1701">
        <f t="shared" si="34"/>
        <v>38940.300000000003</v>
      </c>
      <c r="Q102" s="1701"/>
      <c r="R102" s="1677">
        <v>1</v>
      </c>
      <c r="S102" s="1700">
        <f t="shared" si="35"/>
        <v>4.1599000000000004</v>
      </c>
      <c r="T102" s="1704">
        <f t="shared" si="36"/>
        <v>32397.550794000006</v>
      </c>
      <c r="U102" s="1705">
        <f t="shared" si="37"/>
        <v>-0.16801999999999995</v>
      </c>
      <c r="V102" s="1706" t="s">
        <v>1574</v>
      </c>
      <c r="W102" s="1707" t="s">
        <v>1575</v>
      </c>
      <c r="X102" s="1708">
        <f t="shared" si="38"/>
        <v>38940.300000000003</v>
      </c>
      <c r="Y102" s="1708">
        <v>0</v>
      </c>
      <c r="Z102" s="1708">
        <v>1975.31</v>
      </c>
      <c r="AA102" s="1710">
        <f t="shared" si="39"/>
        <v>36964.990000000005</v>
      </c>
      <c r="AB102" s="1711">
        <v>0</v>
      </c>
      <c r="AC102" s="1717">
        <v>-12714.72</v>
      </c>
      <c r="AD102" s="1712" t="str">
        <f t="shared" si="40"/>
        <v>n/a</v>
      </c>
      <c r="AE102" s="1712">
        <f t="shared" si="41"/>
        <v>-2.9072594599015948</v>
      </c>
      <c r="AF102" s="1713">
        <f t="shared" si="42"/>
        <v>0</v>
      </c>
      <c r="AG102" s="1688"/>
      <c r="AK102" s="1703"/>
      <c r="AL102" s="1719"/>
      <c r="AM102" s="1718"/>
    </row>
    <row r="103" spans="1:73" s="1673" customFormat="1" ht="14.85" customHeight="1">
      <c r="A103" s="1714"/>
      <c r="B103" s="1695" t="s">
        <v>1609</v>
      </c>
      <c r="C103" s="1698" t="s">
        <v>1610</v>
      </c>
      <c r="D103" s="1697" t="s">
        <v>618</v>
      </c>
      <c r="E103" s="1698" t="s">
        <v>1611</v>
      </c>
      <c r="F103" s="1699">
        <v>42109</v>
      </c>
      <c r="G103" s="1715">
        <v>11</v>
      </c>
      <c r="H103" s="1715">
        <v>12</v>
      </c>
      <c r="I103" s="1715">
        <v>14</v>
      </c>
      <c r="J103" s="1715">
        <v>12.5</v>
      </c>
      <c r="K103" s="1701">
        <f t="shared" si="31"/>
        <v>8371.7650000000012</v>
      </c>
      <c r="L103" s="1702">
        <v>5090.9089999999997</v>
      </c>
      <c r="M103" s="1702">
        <v>13462.674000000001</v>
      </c>
      <c r="N103" s="1701">
        <f t="shared" si="32"/>
        <v>92089.415000000008</v>
      </c>
      <c r="O103" s="1703">
        <f t="shared" si="33"/>
        <v>55999.998999999996</v>
      </c>
      <c r="P103" s="1701">
        <f t="shared" si="34"/>
        <v>148089.41399999999</v>
      </c>
      <c r="Q103" s="1701"/>
      <c r="R103" s="1677">
        <v>1</v>
      </c>
      <c r="S103" s="1700">
        <f t="shared" si="35"/>
        <v>12.5</v>
      </c>
      <c r="T103" s="1704">
        <f t="shared" si="36"/>
        <v>168283.42500000002</v>
      </c>
      <c r="U103" s="1705">
        <f t="shared" si="37"/>
        <v>0.13636363636363646</v>
      </c>
      <c r="V103" s="1720" t="s">
        <v>1612</v>
      </c>
      <c r="W103" s="1707" t="s">
        <v>1613</v>
      </c>
      <c r="X103" s="1708">
        <f t="shared" si="38"/>
        <v>148089.41399999999</v>
      </c>
      <c r="Y103" s="1708">
        <v>18146520</v>
      </c>
      <c r="Z103" s="1708">
        <v>10255.02</v>
      </c>
      <c r="AA103" s="1710">
        <f t="shared" si="39"/>
        <v>18284354.394000001</v>
      </c>
      <c r="AB103" s="1711">
        <v>0</v>
      </c>
      <c r="AC103" s="1717">
        <v>-29908</v>
      </c>
      <c r="AD103" s="1712" t="str">
        <f t="shared" si="40"/>
        <v>n/a</v>
      </c>
      <c r="AE103" s="1712">
        <f t="shared" si="41"/>
        <v>-611.35329657616694</v>
      </c>
      <c r="AF103" s="1713">
        <f t="shared" si="42"/>
        <v>0</v>
      </c>
      <c r="AG103" s="1721"/>
      <c r="AH103" s="1721"/>
      <c r="AI103" s="1721"/>
      <c r="AJ103" s="1721"/>
      <c r="AK103" s="1722"/>
      <c r="AL103" s="1719"/>
      <c r="AM103" s="1718"/>
      <c r="AN103" s="1721"/>
      <c r="AO103" s="1721"/>
      <c r="AP103" s="1721"/>
      <c r="AQ103" s="1721"/>
      <c r="AR103" s="1721"/>
      <c r="AS103" s="1721"/>
      <c r="AT103" s="1721"/>
      <c r="AU103" s="1721"/>
      <c r="AV103" s="1721"/>
      <c r="AW103" s="1721"/>
      <c r="AX103" s="1721"/>
      <c r="AY103" s="1721"/>
      <c r="AZ103" s="1721"/>
      <c r="BA103" s="1721"/>
      <c r="BB103" s="1721"/>
      <c r="BC103" s="1721"/>
      <c r="BD103" s="1721"/>
      <c r="BE103" s="1721"/>
      <c r="BF103" s="1721"/>
      <c r="BG103" s="1721"/>
      <c r="BH103" s="1721"/>
      <c r="BI103" s="1721"/>
      <c r="BJ103" s="1721"/>
      <c r="BK103" s="1721"/>
      <c r="BL103" s="1721"/>
      <c r="BM103" s="1721"/>
      <c r="BN103" s="1721"/>
      <c r="BO103" s="1721"/>
      <c r="BP103" s="1721"/>
      <c r="BQ103" s="1721"/>
      <c r="BR103" s="1721"/>
      <c r="BS103" s="1721"/>
      <c r="BT103" s="1721"/>
      <c r="BU103" s="1721"/>
    </row>
    <row r="104" spans="1:73" s="1721" customFormat="1" ht="14.85" customHeight="1">
      <c r="A104" s="1714"/>
      <c r="B104" s="1695" t="s">
        <v>1619</v>
      </c>
      <c r="C104" s="1698" t="s">
        <v>1620</v>
      </c>
      <c r="D104" s="1697" t="s">
        <v>1572</v>
      </c>
      <c r="E104" s="1698" t="s">
        <v>1621</v>
      </c>
      <c r="F104" s="1699">
        <v>42108</v>
      </c>
      <c r="G104" s="1715">
        <v>17</v>
      </c>
      <c r="H104" s="1715">
        <v>14</v>
      </c>
      <c r="I104" s="1715">
        <v>16</v>
      </c>
      <c r="J104" s="1715">
        <v>31.47</v>
      </c>
      <c r="K104" s="1701">
        <f t="shared" si="31"/>
        <v>51950.504000000001</v>
      </c>
      <c r="L104" s="1702">
        <v>7000</v>
      </c>
      <c r="M104" s="1702">
        <v>58950.504000000001</v>
      </c>
      <c r="N104" s="1701">
        <f t="shared" si="32"/>
        <v>883158.56799999997</v>
      </c>
      <c r="O104" s="1703">
        <f t="shared" si="33"/>
        <v>119000</v>
      </c>
      <c r="P104" s="1701">
        <f t="shared" si="34"/>
        <v>1002158.568</v>
      </c>
      <c r="Q104" s="1701"/>
      <c r="R104" s="1677">
        <v>1</v>
      </c>
      <c r="S104" s="1700">
        <f t="shared" si="35"/>
        <v>31.47</v>
      </c>
      <c r="T104" s="1704">
        <f t="shared" si="36"/>
        <v>1855172.3608800001</v>
      </c>
      <c r="U104" s="1705">
        <f t="shared" si="37"/>
        <v>0.85117647058823542</v>
      </c>
      <c r="V104" s="1707" t="s">
        <v>1622</v>
      </c>
      <c r="W104" s="1707" t="s">
        <v>2025</v>
      </c>
      <c r="X104" s="1708">
        <f t="shared" si="38"/>
        <v>1002158.568</v>
      </c>
      <c r="Y104" s="1708">
        <v>0</v>
      </c>
      <c r="Z104" s="1708">
        <v>119456</v>
      </c>
      <c r="AA104" s="1710">
        <f t="shared" si="39"/>
        <v>882702.56799999997</v>
      </c>
      <c r="AB104" s="1711">
        <v>96531</v>
      </c>
      <c r="AC104" s="1717">
        <v>-17434</v>
      </c>
      <c r="AD104" s="1712">
        <f t="shared" si="40"/>
        <v>9.1442393428017947</v>
      </c>
      <c r="AE104" s="1712">
        <f t="shared" si="41"/>
        <v>-50.63109831364001</v>
      </c>
      <c r="AF104" s="1713">
        <f t="shared" si="42"/>
        <v>0</v>
      </c>
      <c r="AG104" s="1673"/>
      <c r="AH104" s="1673"/>
      <c r="AI104" s="1758"/>
      <c r="AJ104" s="1703"/>
      <c r="AK104" s="1719"/>
      <c r="AL104" s="1718"/>
      <c r="AM104" s="1673"/>
      <c r="AN104" s="1673"/>
      <c r="AO104" s="1673"/>
    </row>
    <row r="105" spans="1:73" s="1721" customFormat="1" ht="14.85" customHeight="1">
      <c r="A105" s="1714"/>
      <c r="B105" s="1695" t="s">
        <v>1628</v>
      </c>
      <c r="C105" s="1698" t="s">
        <v>1629</v>
      </c>
      <c r="D105" s="1697" t="s">
        <v>618</v>
      </c>
      <c r="E105" s="1698" t="s">
        <v>1630</v>
      </c>
      <c r="F105" s="1699">
        <v>42053</v>
      </c>
      <c r="G105" s="1715">
        <v>6</v>
      </c>
      <c r="H105" s="1715">
        <v>13</v>
      </c>
      <c r="I105" s="1715">
        <v>15</v>
      </c>
      <c r="J105" s="1715">
        <v>5.75</v>
      </c>
      <c r="K105" s="1701">
        <f t="shared" si="31"/>
        <v>9210.49</v>
      </c>
      <c r="L105" s="1702">
        <v>6667</v>
      </c>
      <c r="M105" s="1702">
        <v>15877.49</v>
      </c>
      <c r="N105" s="1701">
        <f t="shared" si="32"/>
        <v>55262.94</v>
      </c>
      <c r="O105" s="1703">
        <f t="shared" si="33"/>
        <v>40002</v>
      </c>
      <c r="P105" s="1701">
        <f t="shared" si="34"/>
        <v>95264.94</v>
      </c>
      <c r="Q105" s="1701"/>
      <c r="R105" s="1677">
        <v>1</v>
      </c>
      <c r="S105" s="1700">
        <f t="shared" si="35"/>
        <v>5.75</v>
      </c>
      <c r="T105" s="1704">
        <f t="shared" si="36"/>
        <v>91295.567500000005</v>
      </c>
      <c r="U105" s="1705">
        <f t="shared" si="37"/>
        <v>-4.166666666666663E-2</v>
      </c>
      <c r="V105" s="1707" t="s">
        <v>1631</v>
      </c>
      <c r="W105" s="1707" t="s">
        <v>1632</v>
      </c>
      <c r="X105" s="1708">
        <f t="shared" si="38"/>
        <v>95264.94</v>
      </c>
      <c r="Y105" s="1708">
        <v>6274000</v>
      </c>
      <c r="Z105" s="1708">
        <v>5357</v>
      </c>
      <c r="AA105" s="1710">
        <f t="shared" si="39"/>
        <v>6363907.9400000004</v>
      </c>
      <c r="AB105" s="1711">
        <v>0</v>
      </c>
      <c r="AC105" s="1717">
        <v>-32466</v>
      </c>
      <c r="AD105" s="1712" t="str">
        <f t="shared" si="40"/>
        <v>n/a</v>
      </c>
      <c r="AE105" s="1712">
        <f t="shared" si="41"/>
        <v>-196.01761658350276</v>
      </c>
      <c r="AF105" s="1713">
        <f t="shared" si="42"/>
        <v>0</v>
      </c>
      <c r="AG105" s="1673"/>
      <c r="AH105" s="1673"/>
      <c r="AI105" s="1758"/>
      <c r="AJ105" s="1703"/>
      <c r="AK105" s="1719"/>
      <c r="AL105" s="1718"/>
      <c r="AM105" s="1673"/>
      <c r="AN105" s="1673"/>
      <c r="AO105" s="1673"/>
    </row>
    <row r="106" spans="1:73" s="1721" customFormat="1" ht="14.85" customHeight="1">
      <c r="A106" s="1714"/>
      <c r="B106" s="1695" t="s">
        <v>1633</v>
      </c>
      <c r="C106" s="1698" t="s">
        <v>1634</v>
      </c>
      <c r="D106" s="1697" t="s">
        <v>618</v>
      </c>
      <c r="E106" s="1698" t="s">
        <v>1635</v>
      </c>
      <c r="F106" s="1699">
        <v>42048</v>
      </c>
      <c r="G106" s="1715">
        <v>12</v>
      </c>
      <c r="H106" s="1715">
        <v>14</v>
      </c>
      <c r="I106" s="1715">
        <v>16</v>
      </c>
      <c r="J106" s="1715">
        <v>9.75</v>
      </c>
      <c r="K106" s="1701">
        <f t="shared" si="31"/>
        <v>7905.3259999999991</v>
      </c>
      <c r="L106" s="1702">
        <v>5000</v>
      </c>
      <c r="M106" s="1702">
        <v>12905.325999999999</v>
      </c>
      <c r="N106" s="1701">
        <f t="shared" si="32"/>
        <v>94863.911999999982</v>
      </c>
      <c r="O106" s="1703">
        <f t="shared" si="33"/>
        <v>60000</v>
      </c>
      <c r="P106" s="1701">
        <f t="shared" si="34"/>
        <v>154863.91199999998</v>
      </c>
      <c r="Q106" s="1701"/>
      <c r="R106" s="1677">
        <v>1</v>
      </c>
      <c r="S106" s="1700">
        <f t="shared" si="35"/>
        <v>9.75</v>
      </c>
      <c r="T106" s="1704">
        <f t="shared" si="36"/>
        <v>125826.92849999999</v>
      </c>
      <c r="U106" s="1705">
        <f t="shared" si="37"/>
        <v>-0.18749999999999989</v>
      </c>
      <c r="V106" s="1707" t="s">
        <v>1636</v>
      </c>
      <c r="W106" s="1707" t="s">
        <v>1637</v>
      </c>
      <c r="X106" s="1708">
        <f t="shared" si="38"/>
        <v>154863.91199999998</v>
      </c>
      <c r="Y106" s="1708">
        <v>0</v>
      </c>
      <c r="Z106" s="1708">
        <v>30605</v>
      </c>
      <c r="AA106" s="1710">
        <f t="shared" si="39"/>
        <v>124258.91199999998</v>
      </c>
      <c r="AB106" s="1711">
        <v>0</v>
      </c>
      <c r="AC106" s="1717">
        <v>-32861</v>
      </c>
      <c r="AD106" s="1712" t="str">
        <f t="shared" si="40"/>
        <v>n/a</v>
      </c>
      <c r="AE106" s="1712">
        <f t="shared" si="41"/>
        <v>-3.7813490764127682</v>
      </c>
      <c r="AF106" s="1713">
        <f t="shared" si="42"/>
        <v>0</v>
      </c>
      <c r="AG106" s="1673"/>
      <c r="AH106" s="1673"/>
      <c r="AI106" s="1758"/>
      <c r="AJ106" s="1703"/>
      <c r="AK106" s="1719"/>
      <c r="AL106" s="1718"/>
      <c r="AM106" s="1673"/>
      <c r="AN106" s="1673"/>
      <c r="AO106" s="1673"/>
    </row>
    <row r="107" spans="1:73" s="1721" customFormat="1" ht="14.85" customHeight="1">
      <c r="A107" s="1714"/>
      <c r="B107" s="1695" t="s">
        <v>1165</v>
      </c>
      <c r="C107" s="1698" t="s">
        <v>1644</v>
      </c>
      <c r="D107" s="1697" t="s">
        <v>618</v>
      </c>
      <c r="E107" s="1698" t="s">
        <v>1645</v>
      </c>
      <c r="F107" s="1699">
        <v>42033</v>
      </c>
      <c r="G107" s="1715">
        <v>10</v>
      </c>
      <c r="H107" s="1715">
        <v>12</v>
      </c>
      <c r="I107" s="1715">
        <v>14</v>
      </c>
      <c r="J107" s="1715">
        <v>13.43</v>
      </c>
      <c r="K107" s="1701">
        <f t="shared" si="31"/>
        <v>8492.8060000000005</v>
      </c>
      <c r="L107" s="1702">
        <v>3600</v>
      </c>
      <c r="M107" s="1702">
        <v>12092.806</v>
      </c>
      <c r="N107" s="1701">
        <f t="shared" si="32"/>
        <v>84928.06</v>
      </c>
      <c r="O107" s="1703">
        <f t="shared" si="33"/>
        <v>36000</v>
      </c>
      <c r="P107" s="1701">
        <f t="shared" si="34"/>
        <v>120928.06</v>
      </c>
      <c r="Q107" s="1701"/>
      <c r="R107" s="1677">
        <v>1</v>
      </c>
      <c r="S107" s="1700">
        <f t="shared" si="35"/>
        <v>13.43</v>
      </c>
      <c r="T107" s="1704">
        <f t="shared" si="36"/>
        <v>162406.38458000001</v>
      </c>
      <c r="U107" s="1705">
        <f t="shared" si="37"/>
        <v>0.34300000000000019</v>
      </c>
      <c r="V107" s="1707" t="s">
        <v>1646</v>
      </c>
      <c r="W107" s="1707" t="s">
        <v>1647</v>
      </c>
      <c r="X107" s="1708">
        <f t="shared" si="38"/>
        <v>120928.06</v>
      </c>
      <c r="Y107" s="1708">
        <v>9464000</v>
      </c>
      <c r="Z107" s="1708">
        <v>39207</v>
      </c>
      <c r="AA107" s="1710">
        <f t="shared" si="39"/>
        <v>9545721.0600000005</v>
      </c>
      <c r="AB107" s="1711">
        <v>4592</v>
      </c>
      <c r="AC107" s="1717">
        <v>-31294</v>
      </c>
      <c r="AD107" s="1712">
        <f t="shared" si="40"/>
        <v>2078.7720078397215</v>
      </c>
      <c r="AE107" s="1712">
        <f t="shared" si="41"/>
        <v>-305.03358663002496</v>
      </c>
      <c r="AF107" s="1713">
        <f t="shared" si="42"/>
        <v>0</v>
      </c>
      <c r="AI107" s="1759"/>
      <c r="AJ107" s="1722"/>
      <c r="AK107" s="1719"/>
      <c r="AL107" s="1718"/>
    </row>
    <row r="108" spans="1:73" s="1721" customFormat="1" ht="14.85" customHeight="1">
      <c r="A108" s="1714"/>
      <c r="B108" s="1695" t="s">
        <v>1652</v>
      </c>
      <c r="C108" s="1698" t="s">
        <v>1653</v>
      </c>
      <c r="D108" s="1697" t="s">
        <v>618</v>
      </c>
      <c r="E108" s="1698" t="s">
        <v>1654</v>
      </c>
      <c r="F108" s="1699">
        <v>42030</v>
      </c>
      <c r="G108" s="1715">
        <v>11</v>
      </c>
      <c r="H108" s="1715">
        <v>10</v>
      </c>
      <c r="I108" s="1715">
        <v>12</v>
      </c>
      <c r="J108" s="1715">
        <v>11.04</v>
      </c>
      <c r="K108" s="1701">
        <f t="shared" si="31"/>
        <v>7316.1119999999992</v>
      </c>
      <c r="L108" s="1702">
        <v>4500</v>
      </c>
      <c r="M108" s="1702">
        <v>11816.111999999999</v>
      </c>
      <c r="N108" s="1701">
        <f t="shared" si="32"/>
        <v>80477.231999999989</v>
      </c>
      <c r="O108" s="1703">
        <f t="shared" si="33"/>
        <v>49500</v>
      </c>
      <c r="P108" s="1701">
        <f t="shared" si="34"/>
        <v>129977.23199999999</v>
      </c>
      <c r="Q108" s="1701"/>
      <c r="R108" s="1677">
        <v>1</v>
      </c>
      <c r="S108" s="1700">
        <f t="shared" si="35"/>
        <v>11.04</v>
      </c>
      <c r="T108" s="1704">
        <f t="shared" si="36"/>
        <v>130449.87647999998</v>
      </c>
      <c r="U108" s="1705">
        <f t="shared" si="37"/>
        <v>3.6363636363634377E-3</v>
      </c>
      <c r="V108" s="1707" t="s">
        <v>1655</v>
      </c>
      <c r="W108" s="1707" t="s">
        <v>1656</v>
      </c>
      <c r="X108" s="1708">
        <f t="shared" si="38"/>
        <v>129977.23199999999</v>
      </c>
      <c r="Y108" s="1708">
        <v>20263000</v>
      </c>
      <c r="Z108" s="1708">
        <v>2303</v>
      </c>
      <c r="AA108" s="1710">
        <f t="shared" si="39"/>
        <v>20390674.232000001</v>
      </c>
      <c r="AB108" s="1711">
        <v>0</v>
      </c>
      <c r="AC108" s="1717">
        <v>-26747</v>
      </c>
      <c r="AD108" s="1712" t="str">
        <f t="shared" si="40"/>
        <v>n/a</v>
      </c>
      <c r="AE108" s="1712">
        <f t="shared" si="41"/>
        <v>-762.35369319923734</v>
      </c>
      <c r="AF108" s="1713">
        <f t="shared" si="42"/>
        <v>0</v>
      </c>
      <c r="AG108" s="1673"/>
      <c r="AH108" s="1673"/>
      <c r="AI108" s="1673"/>
      <c r="AJ108" s="1703"/>
      <c r="AK108" s="1719"/>
      <c r="AL108" s="1718"/>
      <c r="AM108" s="1673"/>
      <c r="AN108" s="1673"/>
      <c r="AO108" s="1673"/>
    </row>
    <row r="109" spans="1:73" s="1721" customFormat="1" ht="14.85" customHeight="1">
      <c r="A109" s="1756"/>
      <c r="B109" s="1695" t="s">
        <v>1657</v>
      </c>
      <c r="C109" s="1698" t="s">
        <v>1658</v>
      </c>
      <c r="D109" s="1697" t="s">
        <v>618</v>
      </c>
      <c r="E109" s="1698" t="s">
        <v>1659</v>
      </c>
      <c r="F109" s="1699">
        <v>41991</v>
      </c>
      <c r="G109" s="1715">
        <v>19</v>
      </c>
      <c r="H109" s="1715">
        <v>15</v>
      </c>
      <c r="I109" s="1715">
        <v>17</v>
      </c>
      <c r="J109" s="1715">
        <v>29.13</v>
      </c>
      <c r="K109" s="1701">
        <f t="shared" si="31"/>
        <v>18499.571</v>
      </c>
      <c r="L109" s="1702">
        <v>8452.5</v>
      </c>
      <c r="M109" s="1702">
        <v>26952.071</v>
      </c>
      <c r="N109" s="1701">
        <f t="shared" si="32"/>
        <v>351491.84899999999</v>
      </c>
      <c r="O109" s="1703">
        <f t="shared" si="33"/>
        <v>160597.5</v>
      </c>
      <c r="P109" s="1701">
        <f t="shared" si="34"/>
        <v>512089.34899999999</v>
      </c>
      <c r="Q109" s="1701"/>
      <c r="R109" s="1677">
        <v>1</v>
      </c>
      <c r="S109" s="1700">
        <f t="shared" si="35"/>
        <v>29.13</v>
      </c>
      <c r="T109" s="1704">
        <f t="shared" si="36"/>
        <v>785113.82822999998</v>
      </c>
      <c r="U109" s="1705">
        <f t="shared" si="37"/>
        <v>0.53315789473684205</v>
      </c>
      <c r="V109" s="1707" t="s">
        <v>1660</v>
      </c>
      <c r="W109" s="1707" t="s">
        <v>1661</v>
      </c>
      <c r="X109" s="1708">
        <f t="shared" si="38"/>
        <v>512089.34899999999</v>
      </c>
      <c r="Y109" s="1708">
        <v>35663310</v>
      </c>
      <c r="Z109" s="1708">
        <v>213469</v>
      </c>
      <c r="AA109" s="1710">
        <f t="shared" si="39"/>
        <v>35961930.348999999</v>
      </c>
      <c r="AB109" s="1711">
        <v>284</v>
      </c>
      <c r="AC109" s="1717">
        <v>-60286</v>
      </c>
      <c r="AD109" s="1712">
        <f t="shared" si="40"/>
        <v>126626.51531338028</v>
      </c>
      <c r="AE109" s="1712">
        <f t="shared" si="41"/>
        <v>-596.52208388348868</v>
      </c>
      <c r="AF109" s="1713">
        <f t="shared" si="42"/>
        <v>0</v>
      </c>
      <c r="AG109" s="1673"/>
      <c r="AH109" s="1673"/>
      <c r="AI109" s="1673"/>
      <c r="AJ109" s="1703"/>
      <c r="AK109" s="1719"/>
      <c r="AL109" s="1718"/>
      <c r="AM109" s="1673"/>
      <c r="AN109" s="1673"/>
      <c r="AO109" s="1673"/>
    </row>
    <row r="110" spans="1:73" s="1721" customFormat="1" ht="14.85" customHeight="1">
      <c r="A110" s="1756"/>
      <c r="B110" s="1695" t="s">
        <v>1703</v>
      </c>
      <c r="C110" s="1698" t="s">
        <v>1704</v>
      </c>
      <c r="D110" s="1697" t="s">
        <v>618</v>
      </c>
      <c r="E110" s="1698" t="s">
        <v>1705</v>
      </c>
      <c r="F110" s="1699">
        <v>41810</v>
      </c>
      <c r="G110" s="1715">
        <v>17</v>
      </c>
      <c r="H110" s="1715">
        <v>12</v>
      </c>
      <c r="I110" s="1715">
        <v>14</v>
      </c>
      <c r="J110" s="1715">
        <v>22.84</v>
      </c>
      <c r="K110" s="1701">
        <f>+M110-L110</f>
        <v>29366.629000000001</v>
      </c>
      <c r="L110" s="1702">
        <v>8625</v>
      </c>
      <c r="M110" s="1702">
        <v>37991.629000000001</v>
      </c>
      <c r="N110" s="1701">
        <f>+G110*K110</f>
        <v>499232.69300000003</v>
      </c>
      <c r="O110" s="1703">
        <f>+G110*L110</f>
        <v>146625</v>
      </c>
      <c r="P110" s="1701">
        <f>+N110+O110</f>
        <v>645857.69299999997</v>
      </c>
      <c r="Q110" s="1701"/>
      <c r="R110" s="1677">
        <v>1</v>
      </c>
      <c r="S110" s="1700">
        <f>J110</f>
        <v>22.84</v>
      </c>
      <c r="T110" s="1704">
        <f>S110*M110</f>
        <v>867728.80636000005</v>
      </c>
      <c r="U110" s="1705">
        <f>T110/P110-1</f>
        <v>0.34352941176470608</v>
      </c>
      <c r="V110" s="1707" t="s">
        <v>1706</v>
      </c>
      <c r="W110" s="1707" t="s">
        <v>1707</v>
      </c>
      <c r="X110" s="1708">
        <f>+N110+O110</f>
        <v>645857.69299999997</v>
      </c>
      <c r="Y110" s="1708">
        <v>0</v>
      </c>
      <c r="Z110" s="1708">
        <v>18628.759999999998</v>
      </c>
      <c r="AA110" s="1710">
        <f>X110+Y110-Z110</f>
        <v>627228.93299999996</v>
      </c>
      <c r="AB110" s="1711">
        <v>19896</v>
      </c>
      <c r="AC110" s="1717">
        <v>-170008</v>
      </c>
      <c r="AD110" s="1712">
        <f>IFERROR(AA110/AB110,"n/a")</f>
        <v>31.52537861881785</v>
      </c>
      <c r="AE110" s="1712">
        <f>IFERROR(AA110/AC110,"n/a")</f>
        <v>-3.6894083396075477</v>
      </c>
      <c r="AF110" s="1713">
        <f>+P110-X110</f>
        <v>0</v>
      </c>
      <c r="AG110" s="1673"/>
      <c r="AH110" s="1673"/>
      <c r="AI110" s="1673"/>
      <c r="AJ110" s="1703"/>
      <c r="AK110" s="1719"/>
      <c r="AL110" s="1718"/>
      <c r="AM110" s="1673"/>
      <c r="AN110" s="1673"/>
      <c r="AO110" s="1673"/>
    </row>
    <row r="111" spans="1:73" s="1721" customFormat="1" ht="14.85" customHeight="1">
      <c r="A111" s="1714"/>
      <c r="B111" s="1695" t="s">
        <v>2496</v>
      </c>
      <c r="C111" s="1698" t="s">
        <v>2497</v>
      </c>
      <c r="D111" s="1697" t="s">
        <v>618</v>
      </c>
      <c r="E111" s="1698" t="s">
        <v>2498</v>
      </c>
      <c r="F111" s="1699">
        <v>41535</v>
      </c>
      <c r="G111" s="1715">
        <v>15</v>
      </c>
      <c r="H111" s="1715">
        <v>13</v>
      </c>
      <c r="I111" s="1715">
        <v>15</v>
      </c>
      <c r="J111" s="1715">
        <v>22.8</v>
      </c>
      <c r="K111" s="1701">
        <f t="shared" si="31"/>
        <v>20964.187999999998</v>
      </c>
      <c r="L111" s="1703">
        <v>5580</v>
      </c>
      <c r="M111" s="1703">
        <v>26544.187999999998</v>
      </c>
      <c r="N111" s="1701">
        <f t="shared" si="32"/>
        <v>314462.81999999995</v>
      </c>
      <c r="O111" s="1703">
        <f t="shared" si="33"/>
        <v>83700</v>
      </c>
      <c r="P111" s="1701">
        <f t="shared" si="34"/>
        <v>398162.81999999995</v>
      </c>
      <c r="Q111" s="1701"/>
      <c r="R111" s="1677">
        <v>1</v>
      </c>
      <c r="S111" s="1700">
        <f t="shared" si="35"/>
        <v>22.8</v>
      </c>
      <c r="T111" s="1704">
        <f t="shared" si="36"/>
        <v>605207.48639999994</v>
      </c>
      <c r="U111" s="1705">
        <f t="shared" si="37"/>
        <v>0.52</v>
      </c>
      <c r="V111" s="1706" t="s">
        <v>2499</v>
      </c>
      <c r="W111" s="1707" t="s">
        <v>2500</v>
      </c>
      <c r="X111" s="1708">
        <f t="shared" si="38"/>
        <v>398162.81999999995</v>
      </c>
      <c r="Y111" s="1742"/>
      <c r="Z111" s="1742"/>
      <c r="AA111" s="1710"/>
      <c r="AB111" s="1711"/>
      <c r="AC111" s="1711"/>
      <c r="AD111" s="1744"/>
      <c r="AE111" s="1744"/>
      <c r="AF111" s="1713"/>
      <c r="AG111" s="1688"/>
      <c r="AH111" s="1673"/>
      <c r="AI111" s="1673"/>
      <c r="AJ111" s="1673"/>
      <c r="AK111" s="1703"/>
      <c r="AL111" s="1719"/>
      <c r="AM111" s="1718"/>
      <c r="AN111" s="1673"/>
      <c r="AO111" s="1673"/>
      <c r="AP111" s="1673"/>
    </row>
    <row r="112" spans="1:73" s="1721" customFormat="1" ht="14.85" customHeight="1">
      <c r="A112" s="1756"/>
      <c r="B112" s="1695" t="s">
        <v>908</v>
      </c>
      <c r="C112" s="1698" t="s">
        <v>2026</v>
      </c>
      <c r="D112" s="1697" t="s">
        <v>2011</v>
      </c>
      <c r="E112" s="1698" t="s">
        <v>2027</v>
      </c>
      <c r="F112" s="1699">
        <v>41443</v>
      </c>
      <c r="G112" s="1715">
        <v>17</v>
      </c>
      <c r="H112" s="1715">
        <v>14</v>
      </c>
      <c r="I112" s="1715">
        <v>16</v>
      </c>
      <c r="J112" s="1715">
        <v>33.99</v>
      </c>
      <c r="K112" s="1701">
        <f t="shared" si="31"/>
        <v>16869.488000000001</v>
      </c>
      <c r="L112" s="1702">
        <v>5000</v>
      </c>
      <c r="M112" s="1702">
        <v>21869.488000000001</v>
      </c>
      <c r="N112" s="1701">
        <f t="shared" si="32"/>
        <v>286781.29600000003</v>
      </c>
      <c r="O112" s="1703">
        <f t="shared" si="33"/>
        <v>85000</v>
      </c>
      <c r="P112" s="1701">
        <f t="shared" si="34"/>
        <v>371781.29600000003</v>
      </c>
      <c r="Q112" s="1701"/>
      <c r="R112" s="1677">
        <v>1</v>
      </c>
      <c r="S112" s="1700">
        <f t="shared" si="35"/>
        <v>33.99</v>
      </c>
      <c r="T112" s="1704">
        <f t="shared" si="36"/>
        <v>743343.8971200001</v>
      </c>
      <c r="U112" s="1705">
        <f t="shared" si="37"/>
        <v>0.99941176470588244</v>
      </c>
      <c r="V112" s="1707" t="s">
        <v>2028</v>
      </c>
      <c r="W112" s="1707" t="s">
        <v>2029</v>
      </c>
      <c r="X112" s="1708">
        <f t="shared" si="38"/>
        <v>371781.29600000003</v>
      </c>
      <c r="Y112" s="1708">
        <v>0</v>
      </c>
      <c r="Z112" s="1708">
        <v>131836</v>
      </c>
      <c r="AA112" s="1710">
        <f>X112+Y112-Z112</f>
        <v>239945.29600000003</v>
      </c>
      <c r="AB112" s="1711">
        <v>5846</v>
      </c>
      <c r="AC112" s="1717">
        <v>-185088</v>
      </c>
      <c r="AD112" s="1712">
        <f>IFERROR(AA112/AB112,"n/a")</f>
        <v>41.044354430379755</v>
      </c>
      <c r="AE112" s="1712">
        <f>IFERROR(AA112/AC112,"n/a")</f>
        <v>-1.2963849412171509</v>
      </c>
      <c r="AF112" s="1713">
        <f>+P112-X112</f>
        <v>0</v>
      </c>
      <c r="AG112" s="1673"/>
      <c r="AH112" s="1673"/>
      <c r="AI112" s="1673"/>
      <c r="AJ112" s="1703"/>
      <c r="AK112" s="1719"/>
      <c r="AL112" s="1718"/>
      <c r="AM112" s="1673"/>
      <c r="AN112" s="1673"/>
      <c r="AO112" s="1673"/>
    </row>
    <row r="113" spans="1:73" s="1755" customFormat="1" ht="14.85" customHeight="1">
      <c r="A113" s="1714"/>
      <c r="B113" s="1695"/>
      <c r="C113" s="1698"/>
      <c r="D113" s="1697"/>
      <c r="E113" s="1698"/>
      <c r="F113" s="1699"/>
      <c r="G113" s="1726"/>
      <c r="H113" s="1715"/>
      <c r="I113" s="1715"/>
      <c r="J113" s="1726"/>
      <c r="K113" s="1727"/>
      <c r="L113" s="1703"/>
      <c r="M113" s="1703"/>
      <c r="N113" s="1701"/>
      <c r="O113" s="1703"/>
      <c r="P113" s="1701"/>
      <c r="Q113" s="1701"/>
      <c r="R113" s="1701"/>
      <c r="S113" s="1700"/>
      <c r="T113" s="1760"/>
      <c r="U113" s="1761"/>
      <c r="V113" s="1762"/>
      <c r="W113" s="1762"/>
      <c r="X113" s="1703"/>
      <c r="Y113" s="1708"/>
      <c r="Z113" s="1708"/>
      <c r="AA113" s="1710"/>
      <c r="AB113" s="1711"/>
      <c r="AC113" s="1717"/>
      <c r="AD113" s="1712"/>
      <c r="AE113" s="1712"/>
      <c r="AF113" s="1714"/>
      <c r="AJ113" s="1703"/>
      <c r="AK113" s="1698"/>
      <c r="AL113" s="1714"/>
    </row>
    <row r="114" spans="1:73" s="1721" customFormat="1" ht="14.85" customHeight="1">
      <c r="A114" s="1714"/>
      <c r="B114" s="1728" t="s">
        <v>111</v>
      </c>
      <c r="C114" s="1729"/>
      <c r="D114" s="1729"/>
      <c r="E114" s="1729"/>
      <c r="F114" s="1729"/>
      <c r="G114" s="1729"/>
      <c r="H114" s="1729"/>
      <c r="I114" s="1729"/>
      <c r="J114" s="1729"/>
      <c r="K114" s="1729"/>
      <c r="L114" s="1729"/>
      <c r="M114" s="1729"/>
      <c r="N114" s="1730">
        <f>MAX(N77:N112)</f>
        <v>1766090.8</v>
      </c>
      <c r="O114" s="1730"/>
      <c r="P114" s="1731">
        <f>MAX(P77:P112)</f>
        <v>1973290.8</v>
      </c>
      <c r="Q114" s="1701"/>
      <c r="R114" s="1701"/>
      <c r="S114" s="1732">
        <f>MAX(S77:S112)</f>
        <v>52.72</v>
      </c>
      <c r="T114" s="1704"/>
      <c r="U114" s="1705"/>
      <c r="V114" s="1720"/>
      <c r="W114" s="1707"/>
      <c r="X114" s="1708"/>
      <c r="Y114" s="1708"/>
      <c r="Z114" s="1708"/>
      <c r="AA114" s="1710"/>
      <c r="AB114" s="1711"/>
      <c r="AC114" s="1717"/>
      <c r="AD114" s="1712"/>
      <c r="AE114" s="1712"/>
      <c r="AF114" s="1713"/>
      <c r="AK114" s="1722"/>
      <c r="AL114" s="1719"/>
      <c r="AM114" s="1718"/>
    </row>
    <row r="115" spans="1:73" s="1721" customFormat="1" ht="14.85" customHeight="1">
      <c r="A115" s="1714"/>
      <c r="B115" s="1733" t="s">
        <v>115</v>
      </c>
      <c r="C115" s="1734"/>
      <c r="D115" s="1734"/>
      <c r="E115" s="1734"/>
      <c r="F115" s="1734"/>
      <c r="G115" s="1734"/>
      <c r="H115" s="1734"/>
      <c r="I115" s="1734"/>
      <c r="J115" s="1734"/>
      <c r="K115" s="1734"/>
      <c r="L115" s="1734"/>
      <c r="M115" s="1734"/>
      <c r="N115" s="1649">
        <f>_xlfn.QUARTILE.INC(N77:N112,3)</f>
        <v>419257.21824999998</v>
      </c>
      <c r="O115" s="1649"/>
      <c r="P115" s="1735">
        <f>_xlfn.QUARTILE.INC(P77:P112,3)</f>
        <v>542654.63100000005</v>
      </c>
      <c r="Q115" s="1701"/>
      <c r="R115" s="1701"/>
      <c r="S115" s="1736">
        <f>_xlfn.QUARTILE.INC(S77:S112,3)</f>
        <v>22.74</v>
      </c>
      <c r="T115" s="1704"/>
      <c r="U115" s="1705"/>
      <c r="V115" s="1720"/>
      <c r="W115" s="1707"/>
      <c r="X115" s="1708"/>
      <c r="Y115" s="1708"/>
      <c r="Z115" s="1708"/>
      <c r="AA115" s="1710"/>
      <c r="AB115" s="1711"/>
      <c r="AC115" s="1717"/>
      <c r="AD115" s="1712"/>
      <c r="AE115" s="1712"/>
      <c r="AF115" s="1713"/>
      <c r="AK115" s="1722"/>
      <c r="AL115" s="1719"/>
      <c r="AM115" s="1718"/>
    </row>
    <row r="116" spans="1:73" s="1721" customFormat="1" ht="14.85" customHeight="1">
      <c r="A116" s="1714"/>
      <c r="B116" s="1733" t="s">
        <v>43</v>
      </c>
      <c r="C116" s="1734"/>
      <c r="D116" s="1734"/>
      <c r="E116" s="1734"/>
      <c r="F116" s="1734"/>
      <c r="G116" s="1734"/>
      <c r="H116" s="1734"/>
      <c r="I116" s="1734"/>
      <c r="J116" s="1734"/>
      <c r="K116" s="1734"/>
      <c r="L116" s="1734"/>
      <c r="M116" s="1734"/>
      <c r="N116" s="1649">
        <f>AVERAGE(N77:N112)</f>
        <v>303867.31893055554</v>
      </c>
      <c r="O116" s="1649"/>
      <c r="P116" s="1735">
        <f>AVERAGE(P77:P112)</f>
        <v>390505.21676388901</v>
      </c>
      <c r="Q116" s="1701"/>
      <c r="R116" s="1701"/>
      <c r="S116" s="1736">
        <f>AVERAGE(S77:S112)</f>
        <v>18.112219444444442</v>
      </c>
      <c r="T116" s="1704"/>
      <c r="U116" s="1705"/>
      <c r="V116" s="1720"/>
      <c r="W116" s="1707"/>
      <c r="X116" s="1708"/>
      <c r="Y116" s="1708"/>
      <c r="Z116" s="1708"/>
      <c r="AA116" s="1710"/>
      <c r="AB116" s="1711"/>
      <c r="AC116" s="1717"/>
      <c r="AD116" s="1712"/>
      <c r="AE116" s="1712"/>
      <c r="AF116" s="1713"/>
      <c r="AK116" s="1722"/>
      <c r="AL116" s="1719"/>
      <c r="AM116" s="1718"/>
    </row>
    <row r="117" spans="1:73" s="1721" customFormat="1" ht="14.85" customHeight="1">
      <c r="A117" s="1714"/>
      <c r="B117" s="1733" t="s">
        <v>44</v>
      </c>
      <c r="C117" s="1734"/>
      <c r="D117" s="1734"/>
      <c r="E117" s="1734"/>
      <c r="F117" s="1734"/>
      <c r="G117" s="1734"/>
      <c r="H117" s="1734"/>
      <c r="I117" s="1734"/>
      <c r="J117" s="1734"/>
      <c r="K117" s="1734"/>
      <c r="L117" s="1734"/>
      <c r="M117" s="1734"/>
      <c r="N117" s="1649">
        <f>MEDIAN(N77:N112)</f>
        <v>242242.29</v>
      </c>
      <c r="O117" s="1649"/>
      <c r="P117" s="1735">
        <f>MEDIAN(P77:P112)</f>
        <v>326812.49549999996</v>
      </c>
      <c r="Q117" s="1701"/>
      <c r="R117" s="1701"/>
      <c r="S117" s="1736">
        <f>MEDIAN(S77:S112)</f>
        <v>15.68</v>
      </c>
      <c r="T117" s="1704"/>
      <c r="U117" s="1705"/>
      <c r="V117" s="1720"/>
      <c r="W117" s="1707"/>
      <c r="X117" s="1708"/>
      <c r="Y117" s="1708"/>
      <c r="Z117" s="1708"/>
      <c r="AA117" s="1710"/>
      <c r="AB117" s="1711"/>
      <c r="AC117" s="1717"/>
      <c r="AD117" s="1712"/>
      <c r="AE117" s="1712"/>
      <c r="AF117" s="1713"/>
      <c r="AK117" s="1722"/>
      <c r="AL117" s="1719"/>
      <c r="AM117" s="1718"/>
    </row>
    <row r="118" spans="1:73" s="1721" customFormat="1" ht="14.85" customHeight="1">
      <c r="A118" s="1714"/>
      <c r="B118" s="1733" t="s">
        <v>114</v>
      </c>
      <c r="C118" s="1734"/>
      <c r="D118" s="1734"/>
      <c r="E118" s="1734"/>
      <c r="F118" s="1734"/>
      <c r="G118" s="1734"/>
      <c r="H118" s="1734"/>
      <c r="I118" s="1734"/>
      <c r="J118" s="1734"/>
      <c r="K118" s="1734"/>
      <c r="L118" s="1734"/>
      <c r="M118" s="1734"/>
      <c r="N118" s="1649">
        <f>_xlfn.QUARTILE.INC(N77:N112,1)</f>
        <v>94170.287749999989</v>
      </c>
      <c r="O118" s="1649"/>
      <c r="P118" s="1735">
        <f>_xlfn.QUARTILE.INC(P77:P112,1)</f>
        <v>145303.01799999998</v>
      </c>
      <c r="Q118" s="1701"/>
      <c r="R118" s="1701"/>
      <c r="S118" s="1736">
        <f>_xlfn.QUARTILE.INC(S77:S112,1)</f>
        <v>11.9125</v>
      </c>
      <c r="T118" s="1704"/>
      <c r="U118" s="1705"/>
      <c r="V118" s="1720"/>
      <c r="W118" s="1707"/>
      <c r="X118" s="1708"/>
      <c r="Y118" s="1708"/>
      <c r="Z118" s="1708"/>
      <c r="AA118" s="1710"/>
      <c r="AB118" s="1711"/>
      <c r="AC118" s="1717"/>
      <c r="AD118" s="1712"/>
      <c r="AE118" s="1712"/>
      <c r="AF118" s="1713"/>
      <c r="AK118" s="1722"/>
      <c r="AL118" s="1719"/>
      <c r="AM118" s="1718"/>
    </row>
    <row r="119" spans="1:73" s="1721" customFormat="1" ht="14.85" customHeight="1">
      <c r="A119" s="1714"/>
      <c r="B119" s="1737" t="s">
        <v>112</v>
      </c>
      <c r="C119" s="1738"/>
      <c r="D119" s="1738"/>
      <c r="E119" s="1738"/>
      <c r="F119" s="1738"/>
      <c r="G119" s="1738"/>
      <c r="H119" s="1738"/>
      <c r="I119" s="1738"/>
      <c r="J119" s="1738"/>
      <c r="K119" s="1738"/>
      <c r="L119" s="1738"/>
      <c r="M119" s="1738"/>
      <c r="N119" s="1651">
        <f>MIN(N77:N112)</f>
        <v>18940.300000000003</v>
      </c>
      <c r="O119" s="1651"/>
      <c r="P119" s="1739">
        <f>MIN(P77:P112)</f>
        <v>38940.300000000003</v>
      </c>
      <c r="Q119" s="1701"/>
      <c r="R119" s="1701"/>
      <c r="S119" s="1740">
        <f>MIN(S77:S112)</f>
        <v>3.13</v>
      </c>
      <c r="T119" s="1704"/>
      <c r="U119" s="1705"/>
      <c r="V119" s="1720"/>
      <c r="W119" s="1707"/>
      <c r="X119" s="1708"/>
      <c r="Y119" s="1708"/>
      <c r="Z119" s="1708"/>
      <c r="AA119" s="1710"/>
      <c r="AB119" s="1711"/>
      <c r="AC119" s="1717"/>
      <c r="AD119" s="1712"/>
      <c r="AE119" s="1712"/>
      <c r="AF119" s="1713"/>
      <c r="AK119" s="1722"/>
      <c r="AL119" s="1719"/>
      <c r="AM119" s="1718"/>
    </row>
    <row r="120" spans="1:73" s="1721" customFormat="1" ht="14.85" customHeight="1">
      <c r="A120" s="1714"/>
      <c r="B120" s="1695"/>
      <c r="C120" s="1698"/>
      <c r="D120" s="1697"/>
      <c r="E120" s="1698"/>
      <c r="F120" s="1699"/>
      <c r="G120" s="1726"/>
      <c r="H120" s="1715"/>
      <c r="I120" s="1715"/>
      <c r="J120" s="1726"/>
      <c r="K120" s="1727"/>
      <c r="L120" s="1703"/>
      <c r="M120" s="1703"/>
      <c r="N120" s="1701"/>
      <c r="O120" s="1703"/>
      <c r="P120" s="1701"/>
      <c r="Q120" s="1701"/>
      <c r="R120" s="1701"/>
      <c r="S120" s="1700"/>
      <c r="T120" s="1704"/>
      <c r="U120" s="1705"/>
      <c r="V120" s="1720"/>
      <c r="W120" s="1707"/>
      <c r="X120" s="1708"/>
      <c r="Y120" s="1708"/>
      <c r="Z120" s="1708"/>
      <c r="AA120" s="1710"/>
      <c r="AB120" s="1711"/>
      <c r="AC120" s="1717"/>
      <c r="AD120" s="1712"/>
      <c r="AE120" s="1712"/>
      <c r="AF120" s="1713"/>
      <c r="AK120" s="1722"/>
      <c r="AL120" s="1719"/>
      <c r="AM120" s="1718"/>
    </row>
    <row r="121" spans="1:73" s="1721" customFormat="1" ht="14.85" customHeight="1">
      <c r="A121" s="1714"/>
      <c r="B121" s="1741" t="s">
        <v>2501</v>
      </c>
      <c r="C121" s="1698"/>
      <c r="D121" s="1697"/>
      <c r="E121" s="1698"/>
      <c r="F121" s="1699"/>
      <c r="G121" s="1726"/>
      <c r="H121" s="1715"/>
      <c r="I121" s="1715"/>
      <c r="J121" s="1726"/>
      <c r="K121" s="1727"/>
      <c r="L121" s="1703"/>
      <c r="M121" s="1703"/>
      <c r="N121" s="1701"/>
      <c r="O121" s="1703"/>
      <c r="P121" s="1701"/>
      <c r="Q121" s="1701"/>
      <c r="R121" s="1701"/>
      <c r="S121" s="1700"/>
      <c r="T121" s="1704"/>
      <c r="U121" s="1705"/>
      <c r="V121" s="1707"/>
      <c r="W121" s="1707"/>
      <c r="X121" s="1713"/>
      <c r="Y121" s="1708"/>
      <c r="Z121" s="1708"/>
      <c r="AA121" s="1710"/>
      <c r="AB121" s="1711"/>
      <c r="AC121" s="1717"/>
      <c r="AD121" s="1712"/>
      <c r="AE121" s="1712"/>
      <c r="AF121" s="1688"/>
      <c r="AG121" s="1673"/>
      <c r="AH121" s="1673"/>
      <c r="AI121" s="1673"/>
      <c r="AJ121" s="1703"/>
      <c r="AK121" s="1719"/>
      <c r="AL121" s="1718"/>
      <c r="AM121" s="1673"/>
      <c r="AN121" s="1673"/>
      <c r="AO121" s="1673"/>
    </row>
    <row r="122" spans="1:73" s="1721" customFormat="1" ht="14.85" customHeight="1">
      <c r="A122" s="1714"/>
      <c r="B122" s="1695" t="s">
        <v>2502</v>
      </c>
      <c r="C122" s="1698" t="s">
        <v>2503</v>
      </c>
      <c r="D122" s="1697" t="s">
        <v>1359</v>
      </c>
      <c r="E122" s="1698" t="s">
        <v>2504</v>
      </c>
      <c r="F122" s="1699">
        <v>43055</v>
      </c>
      <c r="G122" s="1715">
        <v>14</v>
      </c>
      <c r="H122" s="1715">
        <v>14</v>
      </c>
      <c r="I122" s="1715">
        <v>16</v>
      </c>
      <c r="J122" s="1715">
        <v>13.5</v>
      </c>
      <c r="K122" s="1701">
        <f t="shared" ref="K122:K140" si="43">+M122-L122</f>
        <v>11210.151000000002</v>
      </c>
      <c r="L122" s="1703">
        <v>6400</v>
      </c>
      <c r="M122" s="1703">
        <v>17610.151000000002</v>
      </c>
      <c r="N122" s="1701">
        <f t="shared" ref="N122:N140" si="44">+G122*K122</f>
        <v>156942.11400000003</v>
      </c>
      <c r="O122" s="1703">
        <f t="shared" ref="O122:O140" si="45">+G122*L122</f>
        <v>89600</v>
      </c>
      <c r="P122" s="1701">
        <f t="shared" ref="P122:P140" si="46">+N122+O122</f>
        <v>246542.11400000003</v>
      </c>
      <c r="Q122" s="1701"/>
      <c r="R122" s="1677">
        <v>1</v>
      </c>
      <c r="S122" s="1700">
        <f t="shared" ref="S122:S140" si="47">J122</f>
        <v>13.5</v>
      </c>
      <c r="T122" s="1704">
        <f t="shared" ref="T122:T140" si="48">S122*M122</f>
        <v>237737.03850000002</v>
      </c>
      <c r="U122" s="1705">
        <f t="shared" ref="U122:U128" si="49">T122/P122-1</f>
        <v>-3.5714285714285698E-2</v>
      </c>
      <c r="V122" s="1706" t="s">
        <v>2505</v>
      </c>
      <c r="W122" s="1707" t="s">
        <v>2506</v>
      </c>
      <c r="X122" s="1708"/>
      <c r="Y122" s="1742"/>
      <c r="Z122" s="1742"/>
      <c r="AA122" s="1710"/>
      <c r="AB122" s="1711"/>
      <c r="AC122" s="1711"/>
      <c r="AD122" s="1744"/>
      <c r="AE122" s="1744"/>
      <c r="AF122" s="1713" t="s">
        <v>2408</v>
      </c>
      <c r="AG122" s="1688"/>
      <c r="AH122" s="1673"/>
      <c r="AI122" s="1673"/>
      <c r="AJ122" s="1673"/>
      <c r="AK122" s="1703"/>
      <c r="AL122" s="1719"/>
      <c r="AM122" s="1718"/>
      <c r="AN122" s="1673"/>
      <c r="AO122" s="1673"/>
      <c r="AP122" s="1673"/>
    </row>
    <row r="123" spans="1:73" s="1721" customFormat="1" ht="14.85" customHeight="1">
      <c r="A123" s="1714"/>
      <c r="B123" s="1695" t="s">
        <v>2507</v>
      </c>
      <c r="C123" s="1698" t="s">
        <v>2508</v>
      </c>
      <c r="D123" s="1697" t="s">
        <v>642</v>
      </c>
      <c r="E123" s="1698" t="s">
        <v>2509</v>
      </c>
      <c r="F123" s="1699">
        <v>43005</v>
      </c>
      <c r="G123" s="1715">
        <v>15</v>
      </c>
      <c r="H123" s="1715">
        <v>14</v>
      </c>
      <c r="I123" s="1715">
        <v>16</v>
      </c>
      <c r="J123" s="1715">
        <v>12.5</v>
      </c>
      <c r="K123" s="1701">
        <f t="shared" si="43"/>
        <v>24214.641</v>
      </c>
      <c r="L123" s="1703">
        <v>6667</v>
      </c>
      <c r="M123" s="1703">
        <v>30881.641</v>
      </c>
      <c r="N123" s="1701">
        <f t="shared" si="44"/>
        <v>363219.61499999999</v>
      </c>
      <c r="O123" s="1703">
        <f t="shared" si="45"/>
        <v>100005</v>
      </c>
      <c r="P123" s="1701">
        <f t="shared" si="46"/>
        <v>463224.61499999999</v>
      </c>
      <c r="Q123" s="1701"/>
      <c r="R123" s="1677">
        <v>1</v>
      </c>
      <c r="S123" s="1700">
        <f t="shared" si="47"/>
        <v>12.5</v>
      </c>
      <c r="T123" s="1704">
        <f t="shared" si="48"/>
        <v>386020.51250000001</v>
      </c>
      <c r="U123" s="1705">
        <f t="shared" si="49"/>
        <v>-0.16666666666666663</v>
      </c>
      <c r="V123" s="1706" t="s">
        <v>2510</v>
      </c>
      <c r="W123" s="1707" t="s">
        <v>2511</v>
      </c>
      <c r="X123" s="1708"/>
      <c r="Y123" s="1742"/>
      <c r="Z123" s="1742"/>
      <c r="AA123" s="1710"/>
      <c r="AB123" s="1711"/>
      <c r="AC123" s="1711"/>
      <c r="AD123" s="1744"/>
      <c r="AE123" s="1744"/>
      <c r="AF123" s="1713" t="s">
        <v>2408</v>
      </c>
      <c r="AG123" s="1688"/>
      <c r="AH123" s="1673"/>
      <c r="AI123" s="1673"/>
      <c r="AJ123" s="1673"/>
      <c r="AK123" s="1703"/>
      <c r="AL123" s="1719"/>
      <c r="AM123" s="1718"/>
      <c r="AN123" s="1673"/>
      <c r="AO123" s="1673"/>
      <c r="AP123" s="1673"/>
    </row>
    <row r="124" spans="1:73" s="1721" customFormat="1" ht="14.85" customHeight="1">
      <c r="A124" s="1714"/>
      <c r="B124" s="1695" t="s">
        <v>2512</v>
      </c>
      <c r="C124" s="1698" t="s">
        <v>2513</v>
      </c>
      <c r="D124" s="1697" t="s">
        <v>1349</v>
      </c>
      <c r="E124" s="1698" t="s">
        <v>2514</v>
      </c>
      <c r="F124" s="1699">
        <v>42998</v>
      </c>
      <c r="G124" s="1715">
        <v>18</v>
      </c>
      <c r="H124" s="1715">
        <v>16</v>
      </c>
      <c r="I124" s="1715">
        <v>18</v>
      </c>
      <c r="J124" s="1715">
        <v>28.64</v>
      </c>
      <c r="K124" s="1701">
        <f t="shared" si="43"/>
        <v>40972.57</v>
      </c>
      <c r="L124" s="1703">
        <v>8333.3330000000005</v>
      </c>
      <c r="M124" s="1703">
        <v>49305.902999999998</v>
      </c>
      <c r="N124" s="1701">
        <f t="shared" si="44"/>
        <v>737506.26</v>
      </c>
      <c r="O124" s="1703">
        <f t="shared" si="45"/>
        <v>149999.99400000001</v>
      </c>
      <c r="P124" s="1701">
        <f t="shared" si="46"/>
        <v>887506.25399999996</v>
      </c>
      <c r="Q124" s="1701"/>
      <c r="R124" s="1677">
        <v>1</v>
      </c>
      <c r="S124" s="1700">
        <f t="shared" si="47"/>
        <v>28.64</v>
      </c>
      <c r="T124" s="1704">
        <f t="shared" si="48"/>
        <v>1412121.06192</v>
      </c>
      <c r="U124" s="1705">
        <f t="shared" si="49"/>
        <v>0.59111111111111114</v>
      </c>
      <c r="V124" s="1706" t="s">
        <v>2515</v>
      </c>
      <c r="W124" s="1707" t="s">
        <v>2516</v>
      </c>
      <c r="X124" s="1708"/>
      <c r="Y124" s="1742"/>
      <c r="Z124" s="1742"/>
      <c r="AA124" s="1710"/>
      <c r="AB124" s="1711"/>
      <c r="AC124" s="1711"/>
      <c r="AD124" s="1744"/>
      <c r="AE124" s="1744"/>
      <c r="AF124" s="1713" t="s">
        <v>2408</v>
      </c>
      <c r="AG124" s="1688"/>
      <c r="AH124" s="1673"/>
      <c r="AI124" s="1673"/>
      <c r="AJ124" s="1673"/>
      <c r="AK124" s="1703"/>
      <c r="AL124" s="1719"/>
      <c r="AM124" s="1718"/>
      <c r="AN124" s="1673"/>
      <c r="AO124" s="1673"/>
      <c r="AP124" s="1673"/>
    </row>
    <row r="125" spans="1:73" s="1721" customFormat="1" ht="14.85" customHeight="1">
      <c r="A125" s="1714"/>
      <c r="B125" s="1695" t="s">
        <v>2437</v>
      </c>
      <c r="C125" s="1698" t="s">
        <v>2438</v>
      </c>
      <c r="D125" s="1697" t="s">
        <v>642</v>
      </c>
      <c r="E125" s="1698" t="s">
        <v>2439</v>
      </c>
      <c r="F125" s="1699">
        <v>42935</v>
      </c>
      <c r="G125" s="1715">
        <v>15</v>
      </c>
      <c r="H125" s="1715">
        <v>14</v>
      </c>
      <c r="I125" s="1715">
        <v>16</v>
      </c>
      <c r="J125" s="1715">
        <v>21.36</v>
      </c>
      <c r="K125" s="1701">
        <f t="shared" si="43"/>
        <v>17283</v>
      </c>
      <c r="L125" s="1703">
        <v>6000</v>
      </c>
      <c r="M125" s="1703">
        <v>23283</v>
      </c>
      <c r="N125" s="1701">
        <f t="shared" si="44"/>
        <v>259245</v>
      </c>
      <c r="O125" s="1703">
        <f t="shared" si="45"/>
        <v>90000</v>
      </c>
      <c r="P125" s="1701">
        <f t="shared" si="46"/>
        <v>349245</v>
      </c>
      <c r="Q125" s="1701"/>
      <c r="R125" s="1677">
        <v>1</v>
      </c>
      <c r="S125" s="1700">
        <f t="shared" si="47"/>
        <v>21.36</v>
      </c>
      <c r="T125" s="1704">
        <f t="shared" si="48"/>
        <v>497324.88</v>
      </c>
      <c r="U125" s="1705">
        <f t="shared" si="49"/>
        <v>0.42399999999999993</v>
      </c>
      <c r="V125" s="1706" t="s">
        <v>2439</v>
      </c>
      <c r="W125" s="1707" t="s">
        <v>2440</v>
      </c>
      <c r="X125" s="1708">
        <f>+N125+O125</f>
        <v>349245</v>
      </c>
      <c r="Y125" s="1742">
        <v>9710000</v>
      </c>
      <c r="Z125" s="1742">
        <v>26350000</v>
      </c>
      <c r="AA125" s="1710">
        <v>-16290749</v>
      </c>
      <c r="AB125" s="1711"/>
      <c r="AC125" s="1711"/>
      <c r="AD125" s="1744"/>
      <c r="AE125" s="1744"/>
      <c r="AF125" s="1713" t="s">
        <v>2408</v>
      </c>
      <c r="AG125" s="1688"/>
      <c r="AH125" s="1673"/>
      <c r="AI125" s="1673"/>
      <c r="AJ125" s="1673"/>
      <c r="AK125" s="1703"/>
      <c r="AL125" s="1719"/>
      <c r="AM125" s="1718"/>
      <c r="AN125" s="1673"/>
      <c r="AO125" s="1673"/>
      <c r="AP125" s="1673"/>
    </row>
    <row r="126" spans="1:73" s="1721" customFormat="1" ht="14.85" customHeight="1">
      <c r="A126" s="1714"/>
      <c r="B126" s="1695" t="s">
        <v>2517</v>
      </c>
      <c r="C126" s="1698" t="s">
        <v>2518</v>
      </c>
      <c r="D126" s="1697" t="s">
        <v>642</v>
      </c>
      <c r="E126" s="1698" t="s">
        <v>2519</v>
      </c>
      <c r="F126" s="1699">
        <v>42929</v>
      </c>
      <c r="G126" s="1715">
        <v>8</v>
      </c>
      <c r="H126" s="1715">
        <v>12</v>
      </c>
      <c r="I126" s="1715">
        <v>14</v>
      </c>
      <c r="J126" s="1715">
        <v>14.21</v>
      </c>
      <c r="K126" s="1701">
        <f t="shared" si="43"/>
        <v>48572.879000000001</v>
      </c>
      <c r="L126" s="1703">
        <v>15625</v>
      </c>
      <c r="M126" s="1703">
        <v>64197.879000000001</v>
      </c>
      <c r="N126" s="1701">
        <f t="shared" si="44"/>
        <v>388583.03200000001</v>
      </c>
      <c r="O126" s="1703">
        <f t="shared" si="45"/>
        <v>125000</v>
      </c>
      <c r="P126" s="1701">
        <f t="shared" si="46"/>
        <v>513583.03200000001</v>
      </c>
      <c r="Q126" s="1701"/>
      <c r="R126" s="1677">
        <v>1</v>
      </c>
      <c r="S126" s="1700">
        <f t="shared" si="47"/>
        <v>14.21</v>
      </c>
      <c r="T126" s="1704">
        <f t="shared" si="48"/>
        <v>912251.86059000005</v>
      </c>
      <c r="U126" s="1705">
        <f t="shared" si="49"/>
        <v>0.77625000000000011</v>
      </c>
      <c r="V126" s="1706" t="s">
        <v>2520</v>
      </c>
      <c r="W126" s="1707" t="s">
        <v>2521</v>
      </c>
      <c r="X126" s="1708"/>
      <c r="Y126" s="1742"/>
      <c r="Z126" s="1742"/>
      <c r="AA126" s="1710"/>
      <c r="AB126" s="1711"/>
      <c r="AC126" s="1711"/>
      <c r="AD126" s="1744"/>
      <c r="AE126" s="1744"/>
      <c r="AF126" s="1713" t="s">
        <v>2408</v>
      </c>
      <c r="AG126" s="1688"/>
      <c r="AH126" s="1673"/>
      <c r="AI126" s="1673"/>
      <c r="AJ126" s="1673"/>
      <c r="AK126" s="1703"/>
      <c r="AL126" s="1719"/>
      <c r="AM126" s="1718"/>
      <c r="AN126" s="1673"/>
      <c r="AO126" s="1673"/>
      <c r="AP126" s="1673"/>
    </row>
    <row r="127" spans="1:73" s="1688" customFormat="1" ht="14.85" customHeight="1">
      <c r="A127" s="1714"/>
      <c r="B127" s="1695" t="s">
        <v>2441</v>
      </c>
      <c r="C127" s="1698" t="s">
        <v>2442</v>
      </c>
      <c r="D127" s="1697" t="s">
        <v>642</v>
      </c>
      <c r="E127" s="1698" t="s">
        <v>2443</v>
      </c>
      <c r="F127" s="1699">
        <v>42914</v>
      </c>
      <c r="G127" s="1715">
        <v>17</v>
      </c>
      <c r="H127" s="1715">
        <v>15</v>
      </c>
      <c r="I127" s="1715">
        <v>17</v>
      </c>
      <c r="J127" s="1715">
        <v>19.5</v>
      </c>
      <c r="K127" s="1701">
        <f t="shared" si="43"/>
        <v>20575.206999999999</v>
      </c>
      <c r="L127" s="1701">
        <v>4415</v>
      </c>
      <c r="M127" s="1701">
        <v>24990.206999999999</v>
      </c>
      <c r="N127" s="1701">
        <f t="shared" si="44"/>
        <v>349778.51899999997</v>
      </c>
      <c r="O127" s="1703">
        <f t="shared" si="45"/>
        <v>75055</v>
      </c>
      <c r="P127" s="1701">
        <f t="shared" si="46"/>
        <v>424833.51899999997</v>
      </c>
      <c r="Q127" s="1701"/>
      <c r="R127" s="1677">
        <v>1</v>
      </c>
      <c r="S127" s="1700">
        <f t="shared" si="47"/>
        <v>19.5</v>
      </c>
      <c r="T127" s="1704">
        <f t="shared" si="48"/>
        <v>487309.03649999999</v>
      </c>
      <c r="U127" s="1705">
        <f t="shared" si="49"/>
        <v>0.14705882352941191</v>
      </c>
      <c r="V127" s="1706" t="s">
        <v>2444</v>
      </c>
      <c r="W127" s="1707" t="s">
        <v>2445</v>
      </c>
      <c r="X127" s="1708">
        <f t="shared" ref="X127:X140" si="50">+N127+O127</f>
        <v>424833.51899999997</v>
      </c>
      <c r="Y127" s="1742">
        <v>13640</v>
      </c>
      <c r="Z127" s="1742">
        <v>28709</v>
      </c>
      <c r="AA127" s="1710">
        <v>409764.51899999997</v>
      </c>
      <c r="AB127" s="1711">
        <v>0</v>
      </c>
      <c r="AC127" s="1711">
        <v>0</v>
      </c>
      <c r="AD127" s="1744" t="s">
        <v>13</v>
      </c>
      <c r="AE127" s="1744" t="s">
        <v>13</v>
      </c>
      <c r="AF127" s="1713">
        <f>+P127-X127</f>
        <v>0</v>
      </c>
      <c r="AH127" s="1673"/>
      <c r="AI127" s="1673"/>
      <c r="AJ127" s="1673"/>
      <c r="AK127" s="1703"/>
      <c r="AL127" s="1719"/>
      <c r="AM127" s="1718"/>
      <c r="AN127" s="1673"/>
      <c r="AO127" s="1673"/>
      <c r="AP127" s="1673"/>
      <c r="AQ127" s="1721"/>
      <c r="AR127" s="1721"/>
      <c r="AS127" s="1721"/>
      <c r="AT127" s="1721"/>
      <c r="AU127" s="1721"/>
      <c r="AV127" s="1721"/>
      <c r="AW127" s="1721"/>
      <c r="AX127" s="1721"/>
      <c r="AY127" s="1721"/>
      <c r="AZ127" s="1721"/>
      <c r="BA127" s="1721"/>
      <c r="BB127" s="1721"/>
      <c r="BC127" s="1721"/>
      <c r="BD127" s="1721"/>
      <c r="BE127" s="1721"/>
      <c r="BF127" s="1721"/>
      <c r="BG127" s="1721"/>
      <c r="BH127" s="1721"/>
      <c r="BI127" s="1721"/>
      <c r="BJ127" s="1721"/>
      <c r="BK127" s="1721"/>
      <c r="BL127" s="1721"/>
      <c r="BM127" s="1721"/>
      <c r="BN127" s="1721"/>
      <c r="BO127" s="1721"/>
      <c r="BP127" s="1721"/>
      <c r="BQ127" s="1721"/>
      <c r="BR127" s="1721"/>
      <c r="BS127" s="1721"/>
      <c r="BT127" s="1721"/>
      <c r="BU127" s="1721"/>
    </row>
    <row r="128" spans="1:73" s="1721" customFormat="1" ht="14.85" customHeight="1">
      <c r="A128" s="1714"/>
      <c r="B128" s="1695" t="s">
        <v>2446</v>
      </c>
      <c r="C128" s="1698" t="s">
        <v>2447</v>
      </c>
      <c r="D128" s="1697" t="s">
        <v>642</v>
      </c>
      <c r="E128" s="1698" t="s">
        <v>2448</v>
      </c>
      <c r="F128" s="1699">
        <v>42900</v>
      </c>
      <c r="G128" s="1715">
        <v>11</v>
      </c>
      <c r="H128" s="1715">
        <v>11</v>
      </c>
      <c r="I128" s="1715">
        <v>13</v>
      </c>
      <c r="J128" s="1715">
        <v>18.82</v>
      </c>
      <c r="K128" s="1701">
        <f t="shared" si="43"/>
        <v>49248.567999999999</v>
      </c>
      <c r="L128" s="1701">
        <v>6000</v>
      </c>
      <c r="M128" s="1701">
        <v>55248.567999999999</v>
      </c>
      <c r="N128" s="1701">
        <f t="shared" si="44"/>
        <v>541734.24800000002</v>
      </c>
      <c r="O128" s="1703">
        <f t="shared" si="45"/>
        <v>66000</v>
      </c>
      <c r="P128" s="1701">
        <f t="shared" si="46"/>
        <v>607734.24800000002</v>
      </c>
      <c r="Q128" s="1701"/>
      <c r="R128" s="1677">
        <v>1</v>
      </c>
      <c r="S128" s="1700">
        <f t="shared" si="47"/>
        <v>18.82</v>
      </c>
      <c r="T128" s="1704">
        <f t="shared" si="48"/>
        <v>1039778.04976</v>
      </c>
      <c r="U128" s="1705">
        <f t="shared" si="49"/>
        <v>0.71090909090909071</v>
      </c>
      <c r="V128" s="1706" t="s">
        <v>2449</v>
      </c>
      <c r="W128" s="1707" t="s">
        <v>2450</v>
      </c>
      <c r="X128" s="1708">
        <f t="shared" si="50"/>
        <v>607734.24800000002</v>
      </c>
      <c r="Y128" s="1742">
        <v>45816</v>
      </c>
      <c r="Z128" s="1742">
        <v>26034</v>
      </c>
      <c r="AA128" s="1710">
        <v>627516.24800000002</v>
      </c>
      <c r="AB128" s="1711">
        <v>0</v>
      </c>
      <c r="AC128" s="1711">
        <v>0</v>
      </c>
      <c r="AD128" s="1744" t="s">
        <v>13</v>
      </c>
      <c r="AE128" s="1744" t="s">
        <v>13</v>
      </c>
      <c r="AF128" s="1713">
        <f>+P128-X128</f>
        <v>0</v>
      </c>
      <c r="AG128" s="1688"/>
      <c r="AH128" s="1673"/>
      <c r="AI128" s="1673"/>
      <c r="AJ128" s="1673"/>
      <c r="AK128" s="1703"/>
      <c r="AL128" s="1719"/>
      <c r="AM128" s="1718"/>
      <c r="AN128" s="1673"/>
      <c r="AO128" s="1673"/>
      <c r="AP128" s="1673"/>
    </row>
    <row r="129" spans="1:73" s="1721" customFormat="1" ht="14.85" customHeight="1">
      <c r="A129" s="1714"/>
      <c r="B129" s="1695" t="s">
        <v>2031</v>
      </c>
      <c r="C129" s="1696" t="s">
        <v>2032</v>
      </c>
      <c r="D129" s="1697" t="s">
        <v>642</v>
      </c>
      <c r="E129" s="1698" t="s">
        <v>2033</v>
      </c>
      <c r="F129" s="1699">
        <v>42802</v>
      </c>
      <c r="G129" s="1700">
        <v>20</v>
      </c>
      <c r="H129" s="1700">
        <v>20</v>
      </c>
      <c r="I129" s="1700">
        <v>22</v>
      </c>
      <c r="J129" s="1700">
        <v>20.100000000000001</v>
      </c>
      <c r="K129" s="1701">
        <f t="shared" si="43"/>
        <v>21381.206999999999</v>
      </c>
      <c r="L129" s="1702">
        <v>174.286</v>
      </c>
      <c r="M129" s="1702">
        <v>21555.492999999999</v>
      </c>
      <c r="N129" s="1701">
        <f t="shared" si="44"/>
        <v>427624.13999999996</v>
      </c>
      <c r="O129" s="1703">
        <f t="shared" si="45"/>
        <v>3485.7200000000003</v>
      </c>
      <c r="P129" s="1701">
        <f t="shared" si="46"/>
        <v>431109.85999999993</v>
      </c>
      <c r="Q129" s="1701"/>
      <c r="R129" s="1677">
        <v>1</v>
      </c>
      <c r="S129" s="1700">
        <f t="shared" si="47"/>
        <v>20.100000000000001</v>
      </c>
      <c r="T129" s="1704">
        <f t="shared" si="48"/>
        <v>433265.4093</v>
      </c>
      <c r="U129" s="1705">
        <f>IFERROR(T129/P129-1,"n/a")</f>
        <v>5.0000000000001155E-3</v>
      </c>
      <c r="V129" s="1706" t="s">
        <v>2034</v>
      </c>
      <c r="W129" s="1707" t="s">
        <v>2035</v>
      </c>
      <c r="X129" s="1708">
        <f t="shared" si="50"/>
        <v>431109.85999999993</v>
      </c>
      <c r="Y129" s="1708">
        <v>0</v>
      </c>
      <c r="Z129" s="1708">
        <v>17329</v>
      </c>
      <c r="AA129" s="1710">
        <f t="shared" ref="AA129:AA136" si="51">X129+Y129-Z129</f>
        <v>413780.85999999993</v>
      </c>
      <c r="AB129" s="1711">
        <v>0</v>
      </c>
      <c r="AC129" s="1717">
        <v>-9209</v>
      </c>
      <c r="AD129" s="1712" t="str">
        <f t="shared" ref="AD129:AD140" si="52">IFERROR(AA129/AB129,"n/a")</f>
        <v>n/a</v>
      </c>
      <c r="AE129" s="1712">
        <f t="shared" ref="AE129:AE140" si="53">IFERROR(AA129/AC129,"n/a")</f>
        <v>-44.932224997285253</v>
      </c>
      <c r="AF129" s="1713">
        <f>+P129-X129</f>
        <v>0</v>
      </c>
      <c r="AG129" s="1688"/>
      <c r="AH129" s="1763" t="s">
        <v>2036</v>
      </c>
      <c r="AI129" s="1688"/>
      <c r="AJ129" s="1688"/>
      <c r="AK129" s="1688"/>
      <c r="AL129" s="1688"/>
      <c r="AM129" s="1688"/>
      <c r="AN129" s="1688"/>
      <c r="AO129" s="1688"/>
      <c r="AP129" s="1688"/>
      <c r="AQ129" s="1688"/>
      <c r="AR129" s="1688"/>
      <c r="AS129" s="1688"/>
      <c r="AT129" s="1688"/>
      <c r="AU129" s="1688"/>
      <c r="AV129" s="1688"/>
      <c r="AW129" s="1688"/>
      <c r="AX129" s="1688"/>
      <c r="AY129" s="1688"/>
      <c r="AZ129" s="1688"/>
      <c r="BA129" s="1688"/>
      <c r="BB129" s="1688"/>
      <c r="BC129" s="1688"/>
      <c r="BD129" s="1688"/>
      <c r="BE129" s="1688"/>
      <c r="BF129" s="1688"/>
      <c r="BG129" s="1688"/>
      <c r="BH129" s="1688"/>
      <c r="BI129" s="1688"/>
      <c r="BJ129" s="1688"/>
      <c r="BK129" s="1688"/>
      <c r="BL129" s="1688"/>
      <c r="BM129" s="1688"/>
      <c r="BN129" s="1688"/>
      <c r="BO129" s="1688"/>
      <c r="BP129" s="1688"/>
      <c r="BQ129" s="1688"/>
      <c r="BR129" s="1688"/>
      <c r="BS129" s="1688"/>
      <c r="BT129" s="1688"/>
      <c r="BU129" s="1688"/>
    </row>
    <row r="130" spans="1:73" s="1688" customFormat="1" ht="14.85" customHeight="1">
      <c r="A130" s="1714"/>
      <c r="B130" s="1695" t="s">
        <v>1412</v>
      </c>
      <c r="C130" s="1696" t="s">
        <v>1413</v>
      </c>
      <c r="D130" s="1697" t="s">
        <v>642</v>
      </c>
      <c r="E130" s="1698" t="s">
        <v>1414</v>
      </c>
      <c r="F130" s="1699">
        <v>42633</v>
      </c>
      <c r="G130" s="1700">
        <v>11</v>
      </c>
      <c r="H130" s="1700">
        <v>11</v>
      </c>
      <c r="I130" s="1700">
        <v>13</v>
      </c>
      <c r="J130" s="1700">
        <v>20.59</v>
      </c>
      <c r="K130" s="1701">
        <f t="shared" si="43"/>
        <v>11223.659</v>
      </c>
      <c r="L130" s="1702">
        <v>4100</v>
      </c>
      <c r="M130" s="1702">
        <v>15323.659</v>
      </c>
      <c r="N130" s="1701">
        <f t="shared" si="44"/>
        <v>123460.249</v>
      </c>
      <c r="O130" s="1703">
        <f t="shared" si="45"/>
        <v>45100</v>
      </c>
      <c r="P130" s="1701">
        <f t="shared" si="46"/>
        <v>168560.24900000001</v>
      </c>
      <c r="Q130" s="1701"/>
      <c r="R130" s="1677">
        <v>1</v>
      </c>
      <c r="S130" s="1700">
        <f t="shared" si="47"/>
        <v>20.59</v>
      </c>
      <c r="T130" s="1704">
        <f t="shared" si="48"/>
        <v>315514.13880999997</v>
      </c>
      <c r="U130" s="1705">
        <f>T130/P130-1</f>
        <v>0.8718181818181816</v>
      </c>
      <c r="V130" s="1706" t="s">
        <v>1415</v>
      </c>
      <c r="W130" s="1707" t="s">
        <v>1416</v>
      </c>
      <c r="X130" s="1708">
        <f t="shared" si="50"/>
        <v>168560.24900000001</v>
      </c>
      <c r="Y130" s="1708">
        <v>5146000</v>
      </c>
      <c r="Z130" s="1708">
        <v>19602</v>
      </c>
      <c r="AA130" s="1710">
        <f t="shared" si="51"/>
        <v>5294958.2489999998</v>
      </c>
      <c r="AB130" s="1717">
        <v>0</v>
      </c>
      <c r="AC130" s="1717">
        <v>-44204</v>
      </c>
      <c r="AD130" s="1712" t="str">
        <f t="shared" si="52"/>
        <v>n/a</v>
      </c>
      <c r="AE130" s="1712">
        <f t="shared" si="53"/>
        <v>-119.78459526287213</v>
      </c>
      <c r="AF130" s="1713">
        <f>+P130-X130</f>
        <v>0</v>
      </c>
    </row>
    <row r="131" spans="1:73" s="1714" customFormat="1" ht="14.85" customHeight="1">
      <c r="B131" s="1695" t="s">
        <v>2037</v>
      </c>
      <c r="C131" s="1698" t="s">
        <v>2038</v>
      </c>
      <c r="D131" s="1697" t="s">
        <v>642</v>
      </c>
      <c r="E131" s="1698" t="s">
        <v>2039</v>
      </c>
      <c r="F131" s="1699">
        <v>42522</v>
      </c>
      <c r="G131" s="1700">
        <v>7</v>
      </c>
      <c r="H131" s="1700">
        <v>14</v>
      </c>
      <c r="I131" s="1700">
        <v>16</v>
      </c>
      <c r="J131" s="1700">
        <v>6.78</v>
      </c>
      <c r="K131" s="1701">
        <f t="shared" si="43"/>
        <v>12251.079</v>
      </c>
      <c r="L131" s="1702">
        <f>4000000/1000</f>
        <v>4000</v>
      </c>
      <c r="M131" s="1702">
        <f>16251079/1000</f>
        <v>16251.079</v>
      </c>
      <c r="N131" s="1701">
        <f t="shared" si="44"/>
        <v>85757.553</v>
      </c>
      <c r="O131" s="1703">
        <f t="shared" si="45"/>
        <v>28000</v>
      </c>
      <c r="P131" s="1701">
        <f t="shared" si="46"/>
        <v>113757.553</v>
      </c>
      <c r="Q131" s="1701"/>
      <c r="R131" s="1677">
        <v>1</v>
      </c>
      <c r="S131" s="1700">
        <f t="shared" si="47"/>
        <v>6.78</v>
      </c>
      <c r="T131" s="1704">
        <f t="shared" si="48"/>
        <v>110182.31562000001</v>
      </c>
      <c r="U131" s="1761">
        <v>-3.1428571428571361E-2</v>
      </c>
      <c r="V131" s="1764" t="s">
        <v>2039</v>
      </c>
      <c r="W131" s="1762" t="s">
        <v>2040</v>
      </c>
      <c r="X131" s="1765">
        <f t="shared" si="50"/>
        <v>113757.553</v>
      </c>
      <c r="Y131" s="1708">
        <v>6035000</v>
      </c>
      <c r="Z131" s="1708">
        <v>15887</v>
      </c>
      <c r="AA131" s="1710">
        <f t="shared" si="51"/>
        <v>6132870.5530000003</v>
      </c>
      <c r="AB131" s="1717">
        <v>510</v>
      </c>
      <c r="AC131" s="1717">
        <v>-18864</v>
      </c>
      <c r="AD131" s="1712">
        <f t="shared" si="52"/>
        <v>12025.236378431373</v>
      </c>
      <c r="AE131" s="1712">
        <f t="shared" si="53"/>
        <v>-325.10976213952506</v>
      </c>
      <c r="AF131" s="1703"/>
    </row>
    <row r="132" spans="1:73" s="1688" customFormat="1" ht="14.85" customHeight="1">
      <c r="A132" s="1714"/>
      <c r="B132" s="1695" t="s">
        <v>1444</v>
      </c>
      <c r="C132" s="1696" t="s">
        <v>1445</v>
      </c>
      <c r="D132" s="1697" t="s">
        <v>642</v>
      </c>
      <c r="E132" s="1698" t="s">
        <v>1446</v>
      </c>
      <c r="F132" s="1699">
        <v>42515</v>
      </c>
      <c r="G132" s="1715">
        <v>11</v>
      </c>
      <c r="H132" s="1715">
        <v>14</v>
      </c>
      <c r="I132" s="1715">
        <v>16</v>
      </c>
      <c r="J132" s="1715">
        <v>20.14</v>
      </c>
      <c r="K132" s="1701">
        <f t="shared" si="43"/>
        <v>15998.106</v>
      </c>
      <c r="L132" s="1702">
        <v>5500</v>
      </c>
      <c r="M132" s="1702">
        <v>21498.106</v>
      </c>
      <c r="N132" s="1701">
        <f t="shared" si="44"/>
        <v>175979.166</v>
      </c>
      <c r="O132" s="1703">
        <f t="shared" si="45"/>
        <v>60500</v>
      </c>
      <c r="P132" s="1701">
        <f t="shared" si="46"/>
        <v>236479.166</v>
      </c>
      <c r="Q132" s="1701"/>
      <c r="R132" s="1677">
        <v>1</v>
      </c>
      <c r="S132" s="1700">
        <f t="shared" si="47"/>
        <v>20.14</v>
      </c>
      <c r="T132" s="1704">
        <f t="shared" si="48"/>
        <v>432971.85483999999</v>
      </c>
      <c r="U132" s="1705">
        <f t="shared" ref="U132:U140" si="54">T132/P132-1</f>
        <v>0.83090909090909082</v>
      </c>
      <c r="V132" s="1716" t="s">
        <v>1447</v>
      </c>
      <c r="W132" s="1707" t="s">
        <v>1448</v>
      </c>
      <c r="X132" s="1708">
        <f t="shared" si="50"/>
        <v>236479.166</v>
      </c>
      <c r="Y132" s="1708">
        <v>0</v>
      </c>
      <c r="Z132" s="1708">
        <v>41853</v>
      </c>
      <c r="AA132" s="1710">
        <f t="shared" si="51"/>
        <v>194626.166</v>
      </c>
      <c r="AB132" s="1717">
        <v>49731</v>
      </c>
      <c r="AC132" s="1717">
        <v>-641</v>
      </c>
      <c r="AD132" s="1712">
        <f t="shared" si="52"/>
        <v>3.9135783716394199</v>
      </c>
      <c r="AE132" s="1712">
        <f t="shared" si="53"/>
        <v>-303.62896411856474</v>
      </c>
      <c r="AF132" s="1713">
        <f t="shared" ref="AF132:AF140" si="55">+P132-X132</f>
        <v>0</v>
      </c>
      <c r="AG132" s="1718"/>
    </row>
    <row r="133" spans="1:73" s="1673" customFormat="1" ht="14.85" customHeight="1">
      <c r="A133" s="1714"/>
      <c r="B133" s="1695" t="s">
        <v>1490</v>
      </c>
      <c r="C133" s="1696" t="s">
        <v>2355</v>
      </c>
      <c r="D133" s="1697" t="s">
        <v>642</v>
      </c>
      <c r="E133" s="1698" t="s">
        <v>1492</v>
      </c>
      <c r="F133" s="1699">
        <v>42327</v>
      </c>
      <c r="G133" s="1715">
        <v>9</v>
      </c>
      <c r="H133" s="1715">
        <v>11</v>
      </c>
      <c r="I133" s="1715">
        <v>13</v>
      </c>
      <c r="J133" s="1715">
        <v>9.11</v>
      </c>
      <c r="K133" s="1701">
        <f t="shared" si="43"/>
        <v>13470.476999999999</v>
      </c>
      <c r="L133" s="1702">
        <v>5666.6670000000004</v>
      </c>
      <c r="M133" s="1702">
        <v>19137.144</v>
      </c>
      <c r="N133" s="1701">
        <f t="shared" si="44"/>
        <v>121234.29299999999</v>
      </c>
      <c r="O133" s="1703">
        <f t="shared" si="45"/>
        <v>51000.003000000004</v>
      </c>
      <c r="P133" s="1701">
        <f t="shared" si="46"/>
        <v>172234.296</v>
      </c>
      <c r="Q133" s="1701"/>
      <c r="R133" s="1677">
        <v>1</v>
      </c>
      <c r="S133" s="1700">
        <f t="shared" si="47"/>
        <v>9.11</v>
      </c>
      <c r="T133" s="1704">
        <f t="shared" si="48"/>
        <v>174339.38183999999</v>
      </c>
      <c r="U133" s="1705">
        <f t="shared" si="54"/>
        <v>1.2222222222222134E-2</v>
      </c>
      <c r="V133" s="1720" t="s">
        <v>1493</v>
      </c>
      <c r="W133" s="1707" t="s">
        <v>1494</v>
      </c>
      <c r="X133" s="1708">
        <f t="shared" si="50"/>
        <v>172234.296</v>
      </c>
      <c r="Y133" s="1708">
        <v>15137820</v>
      </c>
      <c r="Z133" s="1708">
        <v>4620.87</v>
      </c>
      <c r="AA133" s="1710">
        <f t="shared" si="51"/>
        <v>15305433.426000001</v>
      </c>
      <c r="AB133" s="1717">
        <v>0</v>
      </c>
      <c r="AC133" s="1717">
        <v>-17881.009999999998</v>
      </c>
      <c r="AD133" s="1712" t="str">
        <f t="shared" si="52"/>
        <v>n/a</v>
      </c>
      <c r="AE133" s="1712">
        <f t="shared" si="53"/>
        <v>-855.96022965145721</v>
      </c>
      <c r="AF133" s="1713">
        <f t="shared" si="55"/>
        <v>0</v>
      </c>
      <c r="AG133" s="1721"/>
      <c r="AH133" s="1721"/>
      <c r="AI133" s="1721"/>
      <c r="AJ133" s="1721"/>
      <c r="AK133" s="1722"/>
      <c r="AL133" s="1719"/>
      <c r="AM133" s="1718"/>
      <c r="AN133" s="1721"/>
      <c r="AO133" s="1721"/>
      <c r="AP133" s="1721"/>
    </row>
    <row r="134" spans="1:73" s="1673" customFormat="1" ht="14.85" customHeight="1">
      <c r="A134" s="1714"/>
      <c r="B134" s="1695" t="s">
        <v>1551</v>
      </c>
      <c r="C134" s="1698" t="s">
        <v>1552</v>
      </c>
      <c r="D134" s="1697" t="s">
        <v>642</v>
      </c>
      <c r="E134" s="1698" t="s">
        <v>1553</v>
      </c>
      <c r="F134" s="1699">
        <v>42208</v>
      </c>
      <c r="G134" s="1715">
        <v>15</v>
      </c>
      <c r="H134" s="1715">
        <v>14</v>
      </c>
      <c r="I134" s="1715">
        <v>16</v>
      </c>
      <c r="J134" s="1715">
        <v>24.9</v>
      </c>
      <c r="K134" s="1701">
        <f t="shared" si="43"/>
        <v>9688.7160000000003</v>
      </c>
      <c r="L134" s="1702">
        <v>4800</v>
      </c>
      <c r="M134" s="1702">
        <v>14488.716</v>
      </c>
      <c r="N134" s="1701">
        <f t="shared" si="44"/>
        <v>145330.74</v>
      </c>
      <c r="O134" s="1703">
        <f t="shared" si="45"/>
        <v>72000</v>
      </c>
      <c r="P134" s="1701">
        <f t="shared" si="46"/>
        <v>217330.74</v>
      </c>
      <c r="Q134" s="1701"/>
      <c r="R134" s="1677">
        <v>1</v>
      </c>
      <c r="S134" s="1700">
        <f t="shared" si="47"/>
        <v>24.9</v>
      </c>
      <c r="T134" s="1704">
        <f t="shared" si="48"/>
        <v>360769.02840000001</v>
      </c>
      <c r="U134" s="1705">
        <f t="shared" si="54"/>
        <v>0.66000000000000014</v>
      </c>
      <c r="V134" s="1706" t="s">
        <v>1554</v>
      </c>
      <c r="W134" s="1707" t="s">
        <v>1555</v>
      </c>
      <c r="X134" s="1708">
        <f t="shared" si="50"/>
        <v>217330.74</v>
      </c>
      <c r="Y134" s="1708">
        <v>29619000</v>
      </c>
      <c r="Z134" s="1708">
        <v>26169</v>
      </c>
      <c r="AA134" s="1710">
        <f t="shared" si="51"/>
        <v>29810161.739999998</v>
      </c>
      <c r="AB134" s="1717">
        <v>5948</v>
      </c>
      <c r="AC134" s="1717">
        <v>-48634</v>
      </c>
      <c r="AD134" s="1712">
        <f t="shared" si="52"/>
        <v>5011.7958540685941</v>
      </c>
      <c r="AE134" s="1712">
        <f t="shared" si="53"/>
        <v>-612.94900152156924</v>
      </c>
      <c r="AF134" s="1713">
        <f t="shared" si="55"/>
        <v>0</v>
      </c>
      <c r="AG134" s="1688"/>
      <c r="AK134" s="1703"/>
      <c r="AL134" s="1719"/>
      <c r="AM134" s="1718"/>
    </row>
    <row r="135" spans="1:73" s="1721" customFormat="1" ht="14.85" customHeight="1">
      <c r="A135" s="1714"/>
      <c r="B135" s="1695" t="s">
        <v>1556</v>
      </c>
      <c r="C135" s="1698" t="s">
        <v>1557</v>
      </c>
      <c r="D135" s="1697" t="s">
        <v>2041</v>
      </c>
      <c r="E135" s="1698" t="s">
        <v>1558</v>
      </c>
      <c r="F135" s="1699">
        <v>42200</v>
      </c>
      <c r="G135" s="1715">
        <v>16</v>
      </c>
      <c r="H135" s="1715">
        <v>13</v>
      </c>
      <c r="I135" s="1715">
        <v>15</v>
      </c>
      <c r="J135" s="1715">
        <v>28.27</v>
      </c>
      <c r="K135" s="1701">
        <f t="shared" si="43"/>
        <v>16609.642</v>
      </c>
      <c r="L135" s="1702">
        <v>6365</v>
      </c>
      <c r="M135" s="1702">
        <v>22974.642</v>
      </c>
      <c r="N135" s="1701">
        <f t="shared" si="44"/>
        <v>265754.272</v>
      </c>
      <c r="O135" s="1703">
        <f t="shared" si="45"/>
        <v>101840</v>
      </c>
      <c r="P135" s="1701">
        <f t="shared" si="46"/>
        <v>367594.272</v>
      </c>
      <c r="Q135" s="1701"/>
      <c r="R135" s="1677">
        <v>1</v>
      </c>
      <c r="S135" s="1700">
        <f t="shared" si="47"/>
        <v>28.27</v>
      </c>
      <c r="T135" s="1704">
        <f t="shared" si="48"/>
        <v>649493.12933999998</v>
      </c>
      <c r="U135" s="1705">
        <f t="shared" si="54"/>
        <v>0.76687499999999997</v>
      </c>
      <c r="V135" s="1720" t="s">
        <v>1559</v>
      </c>
      <c r="W135" s="1707" t="s">
        <v>1560</v>
      </c>
      <c r="X135" s="1708">
        <f t="shared" si="50"/>
        <v>367594.272</v>
      </c>
      <c r="Y135" s="1708">
        <v>0</v>
      </c>
      <c r="Z135" s="1708">
        <v>70871.77</v>
      </c>
      <c r="AA135" s="1710">
        <f t="shared" si="51"/>
        <v>296722.50199999998</v>
      </c>
      <c r="AB135" s="1717">
        <v>0</v>
      </c>
      <c r="AC135" s="1717">
        <v>-60684</v>
      </c>
      <c r="AD135" s="1712" t="str">
        <f t="shared" si="52"/>
        <v>n/a</v>
      </c>
      <c r="AE135" s="1712">
        <f t="shared" si="53"/>
        <v>-4.8896332146859134</v>
      </c>
      <c r="AF135" s="1713">
        <f t="shared" si="55"/>
        <v>0</v>
      </c>
      <c r="AG135" s="1723"/>
      <c r="AH135" s="1722"/>
      <c r="AI135" s="1723"/>
      <c r="AJ135" s="1724"/>
      <c r="AK135" s="1722"/>
      <c r="AL135" s="1719"/>
      <c r="AM135" s="1718"/>
      <c r="AN135" s="1720"/>
      <c r="AO135" s="1725"/>
      <c r="AP135" s="1725"/>
      <c r="AQ135" s="1673"/>
      <c r="AR135" s="1673"/>
      <c r="AS135" s="1673"/>
      <c r="AT135" s="1673"/>
      <c r="AU135" s="1673"/>
      <c r="AV135" s="1673"/>
      <c r="AW135" s="1673"/>
      <c r="AX135" s="1673"/>
      <c r="AY135" s="1673"/>
      <c r="AZ135" s="1673"/>
      <c r="BA135" s="1673"/>
      <c r="BB135" s="1673"/>
      <c r="BC135" s="1673"/>
      <c r="BD135" s="1673"/>
      <c r="BE135" s="1673"/>
      <c r="BF135" s="1673"/>
      <c r="BG135" s="1673"/>
      <c r="BH135" s="1673"/>
      <c r="BI135" s="1673"/>
      <c r="BJ135" s="1673"/>
      <c r="BK135" s="1673"/>
      <c r="BL135" s="1673"/>
      <c r="BM135" s="1673"/>
      <c r="BN135" s="1673"/>
      <c r="BO135" s="1673"/>
      <c r="BP135" s="1673"/>
      <c r="BQ135" s="1673"/>
      <c r="BR135" s="1673"/>
      <c r="BS135" s="1673"/>
      <c r="BT135" s="1673"/>
      <c r="BU135" s="1673"/>
    </row>
    <row r="136" spans="1:73" s="1721" customFormat="1" ht="14.85" customHeight="1">
      <c r="A136" s="1714"/>
      <c r="B136" s="1695" t="s">
        <v>1586</v>
      </c>
      <c r="C136" s="1698" t="s">
        <v>1587</v>
      </c>
      <c r="D136" s="1697" t="s">
        <v>2041</v>
      </c>
      <c r="E136" s="1698" t="s">
        <v>1588</v>
      </c>
      <c r="F136" s="1699">
        <v>42130</v>
      </c>
      <c r="G136" s="1715">
        <v>12</v>
      </c>
      <c r="H136" s="1715">
        <v>12</v>
      </c>
      <c r="I136" s="1715">
        <v>14</v>
      </c>
      <c r="J136" s="1715">
        <v>19.079999999999998</v>
      </c>
      <c r="K136" s="1701">
        <f t="shared" si="43"/>
        <v>13907.935000000001</v>
      </c>
      <c r="L136" s="1702">
        <v>5800</v>
      </c>
      <c r="M136" s="1702">
        <v>19707.935000000001</v>
      </c>
      <c r="N136" s="1701">
        <f t="shared" si="44"/>
        <v>166895.22000000003</v>
      </c>
      <c r="O136" s="1703">
        <f t="shared" si="45"/>
        <v>69600</v>
      </c>
      <c r="P136" s="1701">
        <f t="shared" si="46"/>
        <v>236495.22000000003</v>
      </c>
      <c r="Q136" s="1701"/>
      <c r="R136" s="1677">
        <v>1</v>
      </c>
      <c r="S136" s="1700">
        <f t="shared" si="47"/>
        <v>19.079999999999998</v>
      </c>
      <c r="T136" s="1704">
        <f t="shared" si="48"/>
        <v>376027.39980000001</v>
      </c>
      <c r="U136" s="1705">
        <f t="shared" si="54"/>
        <v>0.58999999999999986</v>
      </c>
      <c r="V136" s="1706" t="s">
        <v>1589</v>
      </c>
      <c r="W136" s="1707" t="s">
        <v>1590</v>
      </c>
      <c r="X136" s="1708">
        <f t="shared" si="50"/>
        <v>236495.22000000003</v>
      </c>
      <c r="Y136" s="1708">
        <v>13007000</v>
      </c>
      <c r="Z136" s="1708">
        <v>1634</v>
      </c>
      <c r="AA136" s="1710">
        <f t="shared" si="51"/>
        <v>13241861.220000001</v>
      </c>
      <c r="AB136" s="1717">
        <v>0</v>
      </c>
      <c r="AC136" s="1717">
        <v>-58596</v>
      </c>
      <c r="AD136" s="1712" t="str">
        <f t="shared" si="52"/>
        <v>n/a</v>
      </c>
      <c r="AE136" s="1712">
        <f t="shared" si="53"/>
        <v>-225.98575363506043</v>
      </c>
      <c r="AF136" s="1713">
        <f t="shared" si="55"/>
        <v>0</v>
      </c>
      <c r="AG136" s="1688"/>
      <c r="AH136" s="1673"/>
      <c r="AI136" s="1673"/>
      <c r="AJ136" s="1673"/>
      <c r="AK136" s="1703"/>
      <c r="AL136" s="1719"/>
      <c r="AM136" s="1718"/>
      <c r="AN136" s="1673"/>
      <c r="AO136" s="1673"/>
      <c r="AP136" s="1673"/>
    </row>
    <row r="137" spans="1:73" s="1721" customFormat="1" ht="14.85" customHeight="1">
      <c r="A137" s="1714"/>
      <c r="B137" s="1695" t="s">
        <v>1591</v>
      </c>
      <c r="C137" s="1698" t="s">
        <v>1592</v>
      </c>
      <c r="D137" s="1697" t="s">
        <v>642</v>
      </c>
      <c r="E137" s="1698" t="s">
        <v>1593</v>
      </c>
      <c r="F137" s="1699">
        <v>42129</v>
      </c>
      <c r="G137" s="1715">
        <v>10</v>
      </c>
      <c r="H137" s="1715">
        <v>13</v>
      </c>
      <c r="I137" s="1715">
        <v>15</v>
      </c>
      <c r="J137" s="1715">
        <v>8.4499999999999993</v>
      </c>
      <c r="K137" s="1701">
        <f t="shared" si="43"/>
        <v>9638.9889999999996</v>
      </c>
      <c r="L137" s="1702">
        <v>5500</v>
      </c>
      <c r="M137" s="1702">
        <v>15138.989</v>
      </c>
      <c r="N137" s="1701">
        <f t="shared" si="44"/>
        <v>96389.89</v>
      </c>
      <c r="O137" s="1703">
        <f t="shared" si="45"/>
        <v>55000</v>
      </c>
      <c r="P137" s="1701">
        <f t="shared" si="46"/>
        <v>151389.89000000001</v>
      </c>
      <c r="Q137" s="1701"/>
      <c r="R137" s="1677">
        <v>1</v>
      </c>
      <c r="S137" s="1700">
        <f t="shared" si="47"/>
        <v>8.4499999999999993</v>
      </c>
      <c r="T137" s="1704">
        <f t="shared" si="48"/>
        <v>127924.45704999998</v>
      </c>
      <c r="U137" s="1705">
        <f t="shared" si="54"/>
        <v>-0.15500000000000014</v>
      </c>
      <c r="V137" s="1720" t="s">
        <v>1594</v>
      </c>
      <c r="W137" s="1707" t="s">
        <v>1595</v>
      </c>
      <c r="X137" s="1708">
        <f t="shared" si="50"/>
        <v>151389.89000000001</v>
      </c>
      <c r="Y137" s="1708" t="s">
        <v>13</v>
      </c>
      <c r="Z137" s="1708" t="s">
        <v>13</v>
      </c>
      <c r="AA137" s="1708" t="s">
        <v>13</v>
      </c>
      <c r="AB137" s="1708" t="s">
        <v>13</v>
      </c>
      <c r="AC137" s="1708" t="s">
        <v>13</v>
      </c>
      <c r="AD137" s="1712" t="str">
        <f t="shared" si="52"/>
        <v>n/a</v>
      </c>
      <c r="AE137" s="1712" t="str">
        <f t="shared" si="53"/>
        <v>n/a</v>
      </c>
      <c r="AF137" s="1713">
        <f t="shared" si="55"/>
        <v>0</v>
      </c>
      <c r="AK137" s="1766"/>
      <c r="AL137" s="1719"/>
      <c r="AM137" s="1718"/>
    </row>
    <row r="138" spans="1:73" s="1721" customFormat="1" ht="14.85" customHeight="1">
      <c r="A138" s="1714"/>
      <c r="B138" s="1695" t="s">
        <v>1623</v>
      </c>
      <c r="C138" s="1698" t="s">
        <v>1624</v>
      </c>
      <c r="D138" s="1697" t="s">
        <v>642</v>
      </c>
      <c r="E138" s="1698" t="s">
        <v>1625</v>
      </c>
      <c r="F138" s="1699">
        <v>42108</v>
      </c>
      <c r="G138" s="1715">
        <v>19</v>
      </c>
      <c r="H138" s="1715">
        <v>18</v>
      </c>
      <c r="I138" s="1715">
        <v>20</v>
      </c>
      <c r="J138" s="1715">
        <v>19.93</v>
      </c>
      <c r="K138" s="1701">
        <f t="shared" si="43"/>
        <v>27716.631000000001</v>
      </c>
      <c r="L138" s="1702">
        <v>4000</v>
      </c>
      <c r="M138" s="1702">
        <v>31716.631000000001</v>
      </c>
      <c r="N138" s="1701">
        <f t="shared" si="44"/>
        <v>526615.98900000006</v>
      </c>
      <c r="O138" s="1703">
        <f t="shared" si="45"/>
        <v>76000</v>
      </c>
      <c r="P138" s="1701">
        <f t="shared" si="46"/>
        <v>602615.98900000006</v>
      </c>
      <c r="Q138" s="1701"/>
      <c r="R138" s="1677">
        <v>1</v>
      </c>
      <c r="S138" s="1700">
        <f t="shared" si="47"/>
        <v>19.93</v>
      </c>
      <c r="T138" s="1704">
        <f t="shared" si="48"/>
        <v>632112.45582999999</v>
      </c>
      <c r="U138" s="1705">
        <f t="shared" si="54"/>
        <v>4.8947368421052406E-2</v>
      </c>
      <c r="V138" s="1707" t="s">
        <v>1626</v>
      </c>
      <c r="W138" s="1707" t="s">
        <v>1627</v>
      </c>
      <c r="X138" s="1708">
        <f t="shared" si="50"/>
        <v>602615.98900000006</v>
      </c>
      <c r="Y138" s="1708">
        <v>0</v>
      </c>
      <c r="Z138" s="1708">
        <v>57329</v>
      </c>
      <c r="AA138" s="1710">
        <f>X138+Y138-Z138</f>
        <v>545286.98900000006</v>
      </c>
      <c r="AB138" s="1717">
        <v>0</v>
      </c>
      <c r="AC138" s="1717">
        <v>-46039</v>
      </c>
      <c r="AD138" s="1712" t="str">
        <f t="shared" si="52"/>
        <v>n/a</v>
      </c>
      <c r="AE138" s="1712">
        <f t="shared" si="53"/>
        <v>-11.844023306327246</v>
      </c>
      <c r="AF138" s="1713">
        <f t="shared" si="55"/>
        <v>0</v>
      </c>
      <c r="AG138" s="1673"/>
      <c r="AH138" s="1673"/>
      <c r="AI138" s="1758"/>
      <c r="AJ138" s="1703"/>
      <c r="AK138" s="1719"/>
      <c r="AL138" s="1718"/>
      <c r="AM138" s="1673"/>
      <c r="AN138" s="1673"/>
      <c r="AO138" s="1673"/>
    </row>
    <row r="139" spans="1:73" s="1673" customFormat="1" ht="14.85" customHeight="1">
      <c r="A139" s="1714"/>
      <c r="B139" s="1695" t="s">
        <v>1638</v>
      </c>
      <c r="C139" s="1698" t="s">
        <v>1639</v>
      </c>
      <c r="D139" s="1697" t="s">
        <v>642</v>
      </c>
      <c r="E139" s="1698" t="s">
        <v>1640</v>
      </c>
      <c r="F139" s="1699">
        <v>42047</v>
      </c>
      <c r="G139" s="1715">
        <v>6</v>
      </c>
      <c r="H139" s="1715">
        <v>12</v>
      </c>
      <c r="I139" s="1715">
        <v>14</v>
      </c>
      <c r="J139" s="1715">
        <v>3.1</v>
      </c>
      <c r="K139" s="1701">
        <f t="shared" si="43"/>
        <v>5645.3540000000003</v>
      </c>
      <c r="L139" s="1702">
        <v>683.25</v>
      </c>
      <c r="M139" s="1702">
        <v>6328.6040000000003</v>
      </c>
      <c r="N139" s="1701">
        <f t="shared" si="44"/>
        <v>33872.124000000003</v>
      </c>
      <c r="O139" s="1703">
        <f t="shared" si="45"/>
        <v>4099.5</v>
      </c>
      <c r="P139" s="1701">
        <f t="shared" si="46"/>
        <v>37971.624000000003</v>
      </c>
      <c r="Q139" s="1701"/>
      <c r="R139" s="1677">
        <v>1</v>
      </c>
      <c r="S139" s="1700">
        <f t="shared" si="47"/>
        <v>3.1</v>
      </c>
      <c r="T139" s="1704">
        <f t="shared" si="48"/>
        <v>19618.672400000003</v>
      </c>
      <c r="U139" s="1705">
        <f t="shared" si="54"/>
        <v>-0.48333333333333328</v>
      </c>
      <c r="V139" s="1707" t="s">
        <v>1641</v>
      </c>
      <c r="W139" s="1707" t="s">
        <v>1642</v>
      </c>
      <c r="X139" s="1708">
        <f t="shared" si="50"/>
        <v>37971.624000000003</v>
      </c>
      <c r="Y139" s="1708">
        <v>2842130</v>
      </c>
      <c r="Z139" s="1708">
        <v>311.09999999999997</v>
      </c>
      <c r="AA139" s="1710">
        <f>X139+Y139-Z139</f>
        <v>2879790.5239999997</v>
      </c>
      <c r="AB139" s="1717">
        <v>234.6</v>
      </c>
      <c r="AC139" s="1717">
        <v>-10063.75</v>
      </c>
      <c r="AD139" s="1712">
        <f t="shared" si="52"/>
        <v>12275.321926683717</v>
      </c>
      <c r="AE139" s="1712">
        <f t="shared" si="53"/>
        <v>-286.15481545149669</v>
      </c>
      <c r="AF139" s="1713">
        <f t="shared" si="55"/>
        <v>0</v>
      </c>
      <c r="AG139" s="1721"/>
      <c r="AH139" s="1721"/>
      <c r="AI139" s="1721"/>
      <c r="AJ139" s="1722"/>
      <c r="AK139" s="1719"/>
      <c r="AL139" s="1718"/>
      <c r="AM139" s="1721"/>
      <c r="AN139" s="1721"/>
      <c r="AO139" s="1721"/>
      <c r="AP139" s="1721"/>
      <c r="AQ139" s="1721"/>
      <c r="AR139" s="1721"/>
      <c r="AS139" s="1721"/>
      <c r="AT139" s="1721"/>
      <c r="AU139" s="1721"/>
      <c r="AV139" s="1721"/>
      <c r="AW139" s="1721"/>
      <c r="AX139" s="1721"/>
      <c r="AY139" s="1721"/>
      <c r="AZ139" s="1721"/>
      <c r="BA139" s="1721"/>
      <c r="BB139" s="1721"/>
      <c r="BC139" s="1721"/>
      <c r="BD139" s="1721"/>
      <c r="BE139" s="1721"/>
      <c r="BF139" s="1721"/>
      <c r="BG139" s="1721"/>
      <c r="BH139" s="1721"/>
      <c r="BI139" s="1721"/>
      <c r="BJ139" s="1721"/>
      <c r="BK139" s="1721"/>
      <c r="BL139" s="1721"/>
      <c r="BM139" s="1721"/>
      <c r="BN139" s="1721"/>
      <c r="BO139" s="1721"/>
      <c r="BP139" s="1721"/>
      <c r="BQ139" s="1721"/>
      <c r="BR139" s="1721"/>
      <c r="BS139" s="1721"/>
      <c r="BT139" s="1721"/>
      <c r="BU139" s="1721"/>
    </row>
    <row r="140" spans="1:73" s="1721" customFormat="1" ht="14.85" customHeight="1">
      <c r="A140" s="1714"/>
      <c r="B140" s="1695" t="s">
        <v>1023</v>
      </c>
      <c r="C140" s="1698" t="s">
        <v>1021</v>
      </c>
      <c r="D140" s="1697" t="s">
        <v>642</v>
      </c>
      <c r="E140" s="1698" t="s">
        <v>1643</v>
      </c>
      <c r="F140" s="1699">
        <v>42033</v>
      </c>
      <c r="G140" s="1715">
        <v>23</v>
      </c>
      <c r="H140" s="1715">
        <v>15</v>
      </c>
      <c r="I140" s="1715">
        <v>17</v>
      </c>
      <c r="J140" s="1715">
        <v>57.59</v>
      </c>
      <c r="K140" s="1701">
        <f t="shared" si="43"/>
        <v>16490.366999999998</v>
      </c>
      <c r="L140" s="1702">
        <v>7000</v>
      </c>
      <c r="M140" s="1702">
        <v>23490.366999999998</v>
      </c>
      <c r="N140" s="1701">
        <f t="shared" si="44"/>
        <v>379278.44099999999</v>
      </c>
      <c r="O140" s="1703">
        <f t="shared" si="45"/>
        <v>161000</v>
      </c>
      <c r="P140" s="1701">
        <f t="shared" si="46"/>
        <v>540278.44099999999</v>
      </c>
      <c r="Q140" s="1701"/>
      <c r="R140" s="1677">
        <v>1</v>
      </c>
      <c r="S140" s="1700">
        <f t="shared" si="47"/>
        <v>57.59</v>
      </c>
      <c r="T140" s="1704">
        <f t="shared" si="48"/>
        <v>1352810.2355299999</v>
      </c>
      <c r="U140" s="1705">
        <f t="shared" si="54"/>
        <v>1.5039130434782608</v>
      </c>
      <c r="V140" s="1707" t="s">
        <v>1022</v>
      </c>
      <c r="W140" s="1707" t="s">
        <v>1024</v>
      </c>
      <c r="X140" s="1708">
        <f t="shared" si="50"/>
        <v>540278.44099999999</v>
      </c>
      <c r="Y140" s="1708">
        <v>0</v>
      </c>
      <c r="Z140" s="1708">
        <v>67272.599999999991</v>
      </c>
      <c r="AA140" s="1710">
        <f>X140+Y140-Z140</f>
        <v>473005.84100000001</v>
      </c>
      <c r="AB140" s="1717">
        <v>21077.84</v>
      </c>
      <c r="AC140" s="1717">
        <v>-75140.02</v>
      </c>
      <c r="AD140" s="1712">
        <f t="shared" si="52"/>
        <v>22.440906705810463</v>
      </c>
      <c r="AE140" s="1712">
        <f t="shared" si="53"/>
        <v>-6.2949922158657925</v>
      </c>
      <c r="AF140" s="1713">
        <f t="shared" si="55"/>
        <v>0</v>
      </c>
      <c r="AG140" s="1673"/>
      <c r="AH140" s="1673"/>
      <c r="AI140" s="1673"/>
      <c r="AJ140" s="1703"/>
      <c r="AK140" s="1719"/>
      <c r="AL140" s="1718"/>
      <c r="AM140" s="1673"/>
      <c r="AN140" s="1673"/>
      <c r="AO140" s="1673"/>
    </row>
    <row r="141" spans="1:73" s="1673" customFormat="1" ht="14.85" customHeight="1">
      <c r="A141" s="1755"/>
      <c r="B141" s="1695"/>
      <c r="C141" s="1695"/>
      <c r="D141" s="1695"/>
      <c r="E141" s="1695"/>
      <c r="F141" s="1767"/>
      <c r="G141" s="1767"/>
      <c r="H141" s="1767"/>
      <c r="I141" s="1767"/>
      <c r="J141" s="1767"/>
      <c r="K141" s="1767"/>
      <c r="L141" s="1767"/>
      <c r="M141" s="1767"/>
      <c r="N141" s="1767"/>
      <c r="O141" s="1767"/>
      <c r="P141" s="1767"/>
      <c r="Q141" s="1701"/>
      <c r="R141" s="1701"/>
      <c r="S141" s="1768"/>
    </row>
    <row r="142" spans="1:73" s="1673" customFormat="1" ht="14.85" customHeight="1">
      <c r="B142" s="1728" t="s">
        <v>111</v>
      </c>
      <c r="C142" s="1729"/>
      <c r="D142" s="1729"/>
      <c r="E142" s="1729"/>
      <c r="F142" s="1729"/>
      <c r="G142" s="1729"/>
      <c r="H142" s="1729"/>
      <c r="I142" s="1729"/>
      <c r="J142" s="1729"/>
      <c r="K142" s="1729"/>
      <c r="L142" s="1729"/>
      <c r="M142" s="1729"/>
      <c r="N142" s="1730">
        <f>MAX(N122:N140)</f>
        <v>737506.26</v>
      </c>
      <c r="O142" s="1730"/>
      <c r="P142" s="1731">
        <f>MAX(P122:P140)</f>
        <v>887506.25399999996</v>
      </c>
      <c r="Q142" s="1677"/>
      <c r="R142" s="1677"/>
      <c r="S142" s="1769">
        <f>MAX(S122:S140)</f>
        <v>57.59</v>
      </c>
    </row>
    <row r="143" spans="1:73" s="1673" customFormat="1" ht="14.85" customHeight="1">
      <c r="B143" s="1733" t="s">
        <v>115</v>
      </c>
      <c r="C143" s="1734"/>
      <c r="D143" s="1734"/>
      <c r="E143" s="1734"/>
      <c r="F143" s="1734"/>
      <c r="G143" s="1734"/>
      <c r="H143" s="1734"/>
      <c r="I143" s="1734"/>
      <c r="J143" s="1734"/>
      <c r="K143" s="1734"/>
      <c r="L143" s="1734"/>
      <c r="M143" s="1734"/>
      <c r="N143" s="1649">
        <f>QUARTILE(N122:N140,3)</f>
        <v>383930.7365</v>
      </c>
      <c r="O143" s="1649"/>
      <c r="P143" s="1735">
        <f>QUARTILE(P122:P140,3)</f>
        <v>488403.8235</v>
      </c>
      <c r="Q143" s="1677"/>
      <c r="R143" s="1677"/>
      <c r="S143" s="1770">
        <f>QUARTILE(S122:S140,3)</f>
        <v>20.975000000000001</v>
      </c>
    </row>
    <row r="144" spans="1:73" s="1673" customFormat="1" ht="14.85" customHeight="1">
      <c r="B144" s="1733" t="s">
        <v>43</v>
      </c>
      <c r="C144" s="1734"/>
      <c r="D144" s="1734"/>
      <c r="E144" s="1734"/>
      <c r="F144" s="1734"/>
      <c r="G144" s="1734"/>
      <c r="H144" s="1734"/>
      <c r="I144" s="1734"/>
      <c r="J144" s="1734"/>
      <c r="K144" s="1734"/>
      <c r="L144" s="1734"/>
      <c r="M144" s="1734"/>
      <c r="N144" s="1649">
        <f>AVERAGE(N122:N140)</f>
        <v>281326.36131578946</v>
      </c>
      <c r="O144" s="1649"/>
      <c r="P144" s="1735">
        <f>AVERAGE(P122:P140)</f>
        <v>356236.10957894736</v>
      </c>
      <c r="Q144" s="1677"/>
      <c r="R144" s="1677"/>
      <c r="S144" s="1770">
        <f>AVERAGE(S122:S140)</f>
        <v>19.293157894736844</v>
      </c>
    </row>
    <row r="145" spans="2:19" s="1673" customFormat="1" ht="14.85" customHeight="1">
      <c r="B145" s="1733" t="s">
        <v>44</v>
      </c>
      <c r="C145" s="1734"/>
      <c r="D145" s="1734"/>
      <c r="E145" s="1734"/>
      <c r="F145" s="1734"/>
      <c r="G145" s="1734"/>
      <c r="H145" s="1734"/>
      <c r="I145" s="1734"/>
      <c r="J145" s="1734"/>
      <c r="K145" s="1734"/>
      <c r="L145" s="1734"/>
      <c r="M145" s="1734"/>
      <c r="N145" s="1649">
        <f>MEDIAN(N122:N140)</f>
        <v>259245</v>
      </c>
      <c r="O145" s="1649"/>
      <c r="P145" s="1735">
        <f>MEDIAN(P122:P140)</f>
        <v>349245</v>
      </c>
      <c r="Q145" s="1677"/>
      <c r="R145" s="1677"/>
      <c r="S145" s="1770">
        <f>MEDIAN(S122:S140)</f>
        <v>19.5</v>
      </c>
    </row>
    <row r="146" spans="2:19" s="1673" customFormat="1" ht="14.85" customHeight="1">
      <c r="B146" s="1733" t="s">
        <v>114</v>
      </c>
      <c r="C146" s="1734"/>
      <c r="D146" s="1734"/>
      <c r="E146" s="1734"/>
      <c r="F146" s="1734"/>
      <c r="G146" s="1734"/>
      <c r="H146" s="1734"/>
      <c r="I146" s="1734"/>
      <c r="J146" s="1734"/>
      <c r="K146" s="1734"/>
      <c r="L146" s="1734"/>
      <c r="M146" s="1734"/>
      <c r="N146" s="1649">
        <f>QUARTILE(N122:N140,1)</f>
        <v>134395.4945</v>
      </c>
      <c r="O146" s="1649"/>
      <c r="P146" s="1735">
        <f>QUARTILE(P122:P140,1)</f>
        <v>194782.51799999998</v>
      </c>
      <c r="Q146" s="1677"/>
      <c r="R146" s="1677"/>
      <c r="S146" s="1770">
        <f>QUARTILE(S122:S140,1)</f>
        <v>13</v>
      </c>
    </row>
    <row r="147" spans="2:19" s="1673" customFormat="1" ht="14.85" customHeight="1">
      <c r="B147" s="1737" t="s">
        <v>112</v>
      </c>
      <c r="C147" s="1738"/>
      <c r="D147" s="1738"/>
      <c r="E147" s="1738"/>
      <c r="F147" s="1738"/>
      <c r="G147" s="1738"/>
      <c r="H147" s="1738"/>
      <c r="I147" s="1738"/>
      <c r="J147" s="1738"/>
      <c r="K147" s="1738"/>
      <c r="L147" s="1738"/>
      <c r="M147" s="1738"/>
      <c r="N147" s="1651">
        <f>MIN(N122:N140)</f>
        <v>33872.124000000003</v>
      </c>
      <c r="O147" s="1651"/>
      <c r="P147" s="1739">
        <f>MIN(P122:P140)</f>
        <v>37971.624000000003</v>
      </c>
      <c r="Q147" s="1677"/>
      <c r="R147" s="1677"/>
      <c r="S147" s="1771">
        <f>MIN(S122:S140)</f>
        <v>3.1</v>
      </c>
    </row>
    <row r="148" spans="2:19" s="1673" customFormat="1" ht="14.85" customHeight="1">
      <c r="B148" s="1758"/>
      <c r="C148" s="1758"/>
      <c r="D148" s="1758"/>
      <c r="E148" s="1758"/>
      <c r="F148" s="1768"/>
      <c r="G148" s="1768"/>
      <c r="H148" s="1768"/>
      <c r="I148" s="1768"/>
      <c r="J148" s="1768"/>
      <c r="K148" s="1768"/>
      <c r="L148" s="1768"/>
      <c r="M148" s="1768"/>
      <c r="N148" s="1768"/>
      <c r="O148" s="1768"/>
      <c r="P148" s="1768"/>
      <c r="Q148" s="1677"/>
      <c r="R148" s="1677"/>
      <c r="S148" s="1768"/>
    </row>
    <row r="149" spans="2:19" s="1673" customFormat="1" ht="14.85" customHeight="1">
      <c r="B149" s="1772" t="s">
        <v>2042</v>
      </c>
      <c r="C149" s="1758"/>
      <c r="D149" s="1758"/>
      <c r="E149" s="1758"/>
      <c r="F149" s="1768"/>
      <c r="G149" s="1768"/>
      <c r="H149" s="1768"/>
      <c r="I149" s="1768"/>
      <c r="J149" s="1768"/>
      <c r="K149" s="1768"/>
      <c r="L149" s="1768"/>
      <c r="M149" s="1768"/>
      <c r="N149" s="1768"/>
      <c r="O149" s="1768"/>
      <c r="P149" s="1768"/>
      <c r="Q149" s="1677"/>
      <c r="R149" s="1677"/>
      <c r="S149" s="1768"/>
    </row>
    <row r="150" spans="2:19" s="1673" customFormat="1" ht="14.85" customHeight="1">
      <c r="B150" s="1728" t="s">
        <v>111</v>
      </c>
      <c r="C150" s="1729"/>
      <c r="D150" s="1729"/>
      <c r="E150" s="1729"/>
      <c r="F150" s="1729"/>
      <c r="G150" s="1729"/>
      <c r="H150" s="1729"/>
      <c r="I150" s="1729"/>
      <c r="J150" s="1729"/>
      <c r="K150" s="1729"/>
      <c r="L150" s="1729"/>
      <c r="M150" s="1729"/>
      <c r="N150" s="1730">
        <f t="array" ref="N150">MAX(IF($R$12:$R$140=1,N$12:N$140,""))</f>
        <v>1766090.8</v>
      </c>
      <c r="O150" s="1730"/>
      <c r="P150" s="1731">
        <f t="array" ref="P150">MAX(IF($R$12:$R$140=1,P$12:P$140,""))</f>
        <v>1973290.8</v>
      </c>
      <c r="Q150" s="1677"/>
      <c r="R150" s="1677"/>
      <c r="S150" s="1768"/>
    </row>
    <row r="151" spans="2:19" s="1673" customFormat="1" ht="14.85" customHeight="1">
      <c r="B151" s="1733" t="s">
        <v>115</v>
      </c>
      <c r="C151" s="1734"/>
      <c r="D151" s="1734"/>
      <c r="E151" s="1734"/>
      <c r="F151" s="1734"/>
      <c r="G151" s="1734"/>
      <c r="H151" s="1734"/>
      <c r="I151" s="1734"/>
      <c r="J151" s="1734"/>
      <c r="K151" s="1734"/>
      <c r="L151" s="1734"/>
      <c r="M151" s="1734"/>
      <c r="N151" s="1649">
        <f t="array" ref="N151">QUARTILE(IF($R$12:$R$140=1,N$12:N$140,""),3)</f>
        <v>362007.06746106001</v>
      </c>
      <c r="O151" s="1649"/>
      <c r="P151" s="1735">
        <f t="array" ref="P151">QUARTILE(IF($R$12:$R$140=1,P$12:P$140,""),3)</f>
        <v>464537.68125000002</v>
      </c>
      <c r="Q151" s="1677"/>
      <c r="R151" s="1677"/>
      <c r="S151" s="1768"/>
    </row>
    <row r="152" spans="2:19" s="1673" customFormat="1" ht="14.85" customHeight="1">
      <c r="B152" s="1733" t="s">
        <v>43</v>
      </c>
      <c r="C152" s="1734"/>
      <c r="D152" s="1734"/>
      <c r="E152" s="1734"/>
      <c r="F152" s="1734"/>
      <c r="G152" s="1734"/>
      <c r="H152" s="1734"/>
      <c r="I152" s="1734"/>
      <c r="J152" s="1734"/>
      <c r="K152" s="1734"/>
      <c r="L152" s="1734"/>
      <c r="M152" s="1734"/>
      <c r="N152" s="1649">
        <f t="array" ref="N152">AVERAGE(IF($R$12:$R$140=1,N$12:N$140,""))</f>
        <v>291737.12692330958</v>
      </c>
      <c r="O152" s="1649"/>
      <c r="P152" s="1735">
        <f t="array" ref="P152">AVERAGE(IF($R$12:$R$140=1,P$12:P$140,""))</f>
        <v>373228.01189027465</v>
      </c>
      <c r="Q152" s="1677"/>
      <c r="R152" s="1677"/>
      <c r="S152" s="1768"/>
    </row>
    <row r="153" spans="2:19" s="1673" customFormat="1" ht="14.85" customHeight="1">
      <c r="B153" s="1733" t="s">
        <v>44</v>
      </c>
      <c r="C153" s="1734"/>
      <c r="D153" s="1734"/>
      <c r="E153" s="1734"/>
      <c r="F153" s="1734"/>
      <c r="G153" s="1734"/>
      <c r="H153" s="1734"/>
      <c r="I153" s="1734"/>
      <c r="J153" s="1734"/>
      <c r="K153" s="1734"/>
      <c r="L153" s="1734"/>
      <c r="M153" s="1734"/>
      <c r="N153" s="1649">
        <f t="array" ref="N153">MEDIAN(IF($R$12:$R$140=1,N$12:N$140,""))</f>
        <v>233913.50625000001</v>
      </c>
      <c r="O153" s="1649"/>
      <c r="P153" s="1735">
        <f t="array" ref="P153">MEDIAN(IF($R$12:$R$140=1,P$12:P$140,""))</f>
        <v>304277.87549999997</v>
      </c>
      <c r="Q153" s="1677"/>
      <c r="R153" s="1677"/>
      <c r="S153" s="1768"/>
    </row>
    <row r="154" spans="2:19" s="1673" customFormat="1" ht="14.85" customHeight="1">
      <c r="B154" s="1733" t="s">
        <v>114</v>
      </c>
      <c r="C154" s="1734"/>
      <c r="D154" s="1734"/>
      <c r="E154" s="1734"/>
      <c r="F154" s="1734"/>
      <c r="G154" s="1734"/>
      <c r="H154" s="1734"/>
      <c r="I154" s="1734"/>
      <c r="J154" s="1734"/>
      <c r="K154" s="1734"/>
      <c r="L154" s="1734"/>
      <c r="M154" s="1734"/>
      <c r="N154" s="1649">
        <f t="array" ref="N154">QUARTILE(IF($R$12:$R$140=1,N$12:N$140,""),1)</f>
        <v>99683.968500000003</v>
      </c>
      <c r="O154" s="1649"/>
      <c r="P154" s="1735">
        <f t="array" ref="P154">QUARTILE(IF($R$12:$R$140=1,P$12:P$140,""),1)</f>
        <v>155058.69874999998</v>
      </c>
      <c r="Q154" s="1677"/>
      <c r="R154" s="1677"/>
      <c r="S154" s="1768"/>
    </row>
    <row r="155" spans="2:19" s="1673" customFormat="1" ht="14.85" customHeight="1">
      <c r="B155" s="1737" t="s">
        <v>112</v>
      </c>
      <c r="C155" s="1738"/>
      <c r="D155" s="1738"/>
      <c r="E155" s="1738"/>
      <c r="F155" s="1738"/>
      <c r="G155" s="1738"/>
      <c r="H155" s="1738"/>
      <c r="I155" s="1738"/>
      <c r="J155" s="1738"/>
      <c r="K155" s="1738"/>
      <c r="L155" s="1738"/>
      <c r="M155" s="1738"/>
      <c r="N155" s="1651">
        <f t="array" ref="N155">MIN(IF($R$12:$R$140=1,N$12:N$140,""))</f>
        <v>18940.300000000003</v>
      </c>
      <c r="O155" s="1651"/>
      <c r="P155" s="1739">
        <f t="array" ref="P155">MIN(IF($R$12:$R$140=1,P$12:P$140,""))</f>
        <v>37971.624000000003</v>
      </c>
      <c r="Q155" s="1677"/>
      <c r="R155" s="1677"/>
      <c r="S155" s="1768"/>
    </row>
    <row r="156" spans="2:19" s="1673" customFormat="1" ht="14.85" customHeight="1">
      <c r="F156" s="1773"/>
      <c r="G156" s="1773"/>
      <c r="H156" s="1773"/>
      <c r="I156" s="1773"/>
      <c r="J156" s="1773"/>
      <c r="K156" s="1773"/>
      <c r="L156" s="1773"/>
      <c r="M156" s="1773"/>
      <c r="N156" s="1773"/>
      <c r="O156" s="1773"/>
      <c r="P156" s="1773"/>
      <c r="Q156" s="1773"/>
      <c r="R156" s="1773"/>
      <c r="S156" s="1773"/>
    </row>
    <row r="157" spans="2:19" s="1673" customFormat="1" ht="14.85" customHeight="1">
      <c r="B157" s="356" t="s">
        <v>116</v>
      </c>
      <c r="C157" s="1774"/>
      <c r="D157" s="1774"/>
      <c r="E157" s="1774"/>
      <c r="F157" s="1774"/>
      <c r="G157" s="1774"/>
      <c r="H157" s="1774"/>
      <c r="I157" s="1774"/>
      <c r="J157" s="1774"/>
      <c r="K157" s="1774"/>
      <c r="L157" s="1774"/>
      <c r="M157" s="1774"/>
      <c r="N157" s="1774"/>
      <c r="O157" s="1774"/>
      <c r="P157" s="1774"/>
      <c r="Q157" s="1773"/>
      <c r="R157" s="1773"/>
      <c r="S157" s="1773"/>
    </row>
    <row r="158" spans="2:19" ht="14.85" customHeight="1">
      <c r="C158" s="1653" t="s">
        <v>1680</v>
      </c>
      <c r="S158" s="1655"/>
    </row>
    <row r="159" spans="2:19" ht="14.85" customHeight="1">
      <c r="C159" s="1653" t="s">
        <v>1681</v>
      </c>
      <c r="S159" s="1655"/>
    </row>
    <row r="160" spans="2:19" ht="14.85" customHeight="1">
      <c r="C160" s="1653" t="s">
        <v>1682</v>
      </c>
      <c r="S160" s="1655"/>
    </row>
    <row r="161" spans="3:19" ht="14.85" customHeight="1">
      <c r="C161" s="1653" t="s">
        <v>1727</v>
      </c>
      <c r="S161" s="1655"/>
    </row>
    <row r="162" spans="3:19" ht="14.85" customHeight="1">
      <c r="C162" s="1653" t="s">
        <v>1728</v>
      </c>
      <c r="S162" s="1655"/>
    </row>
    <row r="163" spans="3:19" ht="14.85" customHeight="1">
      <c r="C163" s="1653" t="s">
        <v>1683</v>
      </c>
      <c r="S163" s="1655"/>
    </row>
    <row r="164" spans="3:19" ht="14.85" customHeight="1">
      <c r="C164" s="1653" t="s">
        <v>1091</v>
      </c>
      <c r="S164" s="1655"/>
    </row>
    <row r="165" spans="3:19" ht="14.85" customHeight="1">
      <c r="C165" s="1653" t="s">
        <v>1684</v>
      </c>
      <c r="S165" s="1655"/>
    </row>
    <row r="166" spans="3:19" ht="14.85" customHeight="1">
      <c r="C166" s="1653" t="s">
        <v>1685</v>
      </c>
      <c r="S166" s="1655"/>
    </row>
    <row r="167" spans="3:19" ht="14.85" customHeight="1">
      <c r="C167" s="1653" t="s">
        <v>1687</v>
      </c>
      <c r="S167" s="1655"/>
    </row>
    <row r="168" spans="3:19" ht="14.85" customHeight="1">
      <c r="C168" s="1653" t="s">
        <v>1690</v>
      </c>
      <c r="S168" s="1655"/>
    </row>
    <row r="169" spans="3:19" ht="14.85" customHeight="1">
      <c r="C169" s="1653" t="s">
        <v>1692</v>
      </c>
      <c r="S169" s="1655"/>
    </row>
    <row r="170" spans="3:19" ht="14.85" customHeight="1">
      <c r="C170" s="1653" t="s">
        <v>1696</v>
      </c>
      <c r="S170" s="1655"/>
    </row>
    <row r="171" spans="3:19" ht="14.85" customHeight="1">
      <c r="C171" s="1653" t="s">
        <v>1700</v>
      </c>
      <c r="S171" s="1655"/>
    </row>
    <row r="172" spans="3:19" ht="14.85" customHeight="1">
      <c r="C172" s="1653" t="s">
        <v>1701</v>
      </c>
      <c r="S172" s="1655"/>
    </row>
    <row r="173" spans="3:19" ht="14.85" customHeight="1">
      <c r="C173" s="1653" t="s">
        <v>1702</v>
      </c>
      <c r="S173" s="1655"/>
    </row>
    <row r="174" spans="3:19" ht="14.85" customHeight="1">
      <c r="C174" s="1653" t="s">
        <v>1704</v>
      </c>
      <c r="S174" s="1655"/>
    </row>
    <row r="175" spans="3:19" ht="14.85" customHeight="1">
      <c r="S175" s="1655"/>
    </row>
    <row r="176" spans="3:19" ht="14.85" customHeight="1">
      <c r="S176" s="1655"/>
    </row>
    <row r="177" spans="19:19" ht="14.85" customHeight="1">
      <c r="S177" s="1655"/>
    </row>
    <row r="178" spans="19:19" ht="14.85" customHeight="1">
      <c r="S178" s="1655"/>
    </row>
    <row r="179" spans="19:19" ht="14.85" customHeight="1">
      <c r="S179" s="1655"/>
    </row>
    <row r="180" spans="19:19" ht="14.85" customHeight="1">
      <c r="S180" s="1655"/>
    </row>
    <row r="181" spans="19:19" ht="14.85" customHeight="1">
      <c r="S181" s="1655"/>
    </row>
    <row r="182" spans="19:19" ht="14.85" customHeight="1">
      <c r="S182" s="1655"/>
    </row>
    <row r="183" spans="19:19" ht="14.85" customHeight="1">
      <c r="S183" s="1655"/>
    </row>
    <row r="184" spans="19:19" ht="14.85" customHeight="1">
      <c r="S184" s="1655"/>
    </row>
    <row r="185" spans="19:19" ht="14.85" customHeight="1">
      <c r="S185" s="1655"/>
    </row>
    <row r="186" spans="19:19" ht="14.85" customHeight="1">
      <c r="S186" s="1655"/>
    </row>
    <row r="187" spans="19:19" ht="14.85" customHeight="1">
      <c r="S187" s="1655"/>
    </row>
    <row r="188" spans="19:19" ht="14.85" customHeight="1">
      <c r="S188" s="1655"/>
    </row>
    <row r="189" spans="19:19" ht="14.85" customHeight="1"/>
    <row r="190" spans="19:19" ht="14.85" customHeight="1"/>
    <row r="191" spans="19:19" ht="14.85" customHeight="1"/>
    <row r="192" spans="19:19"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21">
    <mergeCell ref="V8:V9"/>
    <mergeCell ref="X8:X9"/>
    <mergeCell ref="AE8:AE9"/>
    <mergeCell ref="AA8:AA9"/>
    <mergeCell ref="AB8:AB9"/>
    <mergeCell ref="AC8:AC9"/>
    <mergeCell ref="AD8:AD9"/>
    <mergeCell ref="F8:F9"/>
    <mergeCell ref="D8:D9"/>
    <mergeCell ref="G8:G9"/>
    <mergeCell ref="H8:I8"/>
    <mergeCell ref="J8:J9"/>
    <mergeCell ref="U8:U9"/>
    <mergeCell ref="P8:P9"/>
    <mergeCell ref="K8:K9"/>
    <mergeCell ref="O8:O9"/>
    <mergeCell ref="L8:L9"/>
    <mergeCell ref="M8:M9"/>
    <mergeCell ref="N8:N9"/>
    <mergeCell ref="S8:S9"/>
    <mergeCell ref="T8:T9"/>
  </mergeCells>
  <conditionalFormatting sqref="C4:E4">
    <cfRule type="cellIs" dxfId="119" priority="8" stopIfTrue="1" operator="equal">
      <formula>"input"</formula>
    </cfRule>
  </conditionalFormatting>
  <conditionalFormatting sqref="F4:G4">
    <cfRule type="cellIs" dxfId="118" priority="7" stopIfTrue="1" operator="equal">
      <formula>"input"</formula>
    </cfRule>
  </conditionalFormatting>
  <conditionalFormatting sqref="H4:I4">
    <cfRule type="cellIs" dxfId="117" priority="6" stopIfTrue="1" operator="equal">
      <formula>"input"</formula>
    </cfRule>
  </conditionalFormatting>
  <conditionalFormatting sqref="J4:K4">
    <cfRule type="cellIs" dxfId="116" priority="5" stopIfTrue="1" operator="equal">
      <formula>"input"</formula>
    </cfRule>
  </conditionalFormatting>
  <conditionalFormatting sqref="L4:M4">
    <cfRule type="cellIs" dxfId="115" priority="4" stopIfTrue="1" operator="equal">
      <formula>"input"</formula>
    </cfRule>
  </conditionalFormatting>
  <conditionalFormatting sqref="N4:O4">
    <cfRule type="cellIs" dxfId="114" priority="3" stopIfTrue="1" operator="equal">
      <formula>"input"</formula>
    </cfRule>
  </conditionalFormatting>
  <conditionalFormatting sqref="P4">
    <cfRule type="cellIs" dxfId="113" priority="2" stopIfTrue="1" operator="equal">
      <formula>"input"</formula>
    </cfRule>
  </conditionalFormatting>
  <conditionalFormatting sqref="B4">
    <cfRule type="cellIs" dxfId="112" priority="1" stopIfTrue="1" operator="equal">
      <formula>"input"</formula>
    </cfRule>
  </conditionalFormatting>
  <pageMargins left="0.5" right="0.5" top="0.5" bottom="0.5" header="0.5" footer="0.5"/>
  <pageSetup scale="78" fitToWidth="0" fitToHeight="0" orientation="landscape" r:id="rId1"/>
  <rowBreaks count="3" manualBreakCount="3">
    <brk id="35" max="16" man="1"/>
    <brk id="68" max="16" man="1"/>
    <brk id="99" max="16" man="1"/>
  </rowBreaks>
  <legacyDrawing r:id="rId2"/>
  <legacyDrawingHF r:id="rId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63"/>
  <dimension ref="A1:AL764"/>
  <sheetViews>
    <sheetView showGridLines="0" view="pageBreakPreview" zoomScale="80" zoomScaleNormal="100" zoomScaleSheetLayoutView="80" workbookViewId="0"/>
  </sheetViews>
  <sheetFormatPr defaultColWidth="10.6640625" defaultRowHeight="12.75" outlineLevelCol="1"/>
  <cols>
    <col min="1" max="1" width="4.5" style="1653" customWidth="1"/>
    <col min="2" max="2" width="40.83203125" style="1653" customWidth="1"/>
    <col min="3" max="3" width="18.6640625" style="1653" hidden="1" customWidth="1" outlineLevel="1"/>
    <col min="4" max="4" width="15.1640625" style="1653" hidden="1" customWidth="1" outlineLevel="1"/>
    <col min="5" max="5" width="12.5" style="1655" bestFit="1" customWidth="1" collapsed="1"/>
    <col min="6" max="6" width="12.33203125" style="1655" customWidth="1"/>
    <col min="7" max="8" width="14" style="1655" hidden="1" customWidth="1" outlineLevel="1"/>
    <col min="9" max="9" width="14.83203125" style="1655" hidden="1" customWidth="1" outlineLevel="1"/>
    <col min="10" max="10" width="14.83203125" style="1655" customWidth="1" collapsed="1"/>
    <col min="11" max="11" width="13.83203125" style="1655" bestFit="1" customWidth="1"/>
    <col min="12" max="12" width="14.83203125" style="1655" customWidth="1"/>
    <col min="13" max="13" width="15.6640625" style="1655" customWidth="1"/>
    <col min="14" max="14" width="15.83203125" style="1655" customWidth="1"/>
    <col min="15" max="15" width="16" style="1655" customWidth="1"/>
    <col min="16" max="16" width="4.5" style="1655" hidden="1" customWidth="1" outlineLevel="1"/>
    <col min="17" max="17" width="28.83203125" style="1655" hidden="1" customWidth="1" outlineLevel="1"/>
    <col min="18" max="18" width="16.33203125" style="1653" hidden="1" customWidth="1" outlineLevel="1"/>
    <col min="19" max="19" width="13.6640625" style="1653" hidden="1" customWidth="1" outlineLevel="1"/>
    <col min="20" max="20" width="14.83203125" style="1653" hidden="1" customWidth="1" outlineLevel="1"/>
    <col min="21" max="21" width="13.5" style="1653" hidden="1" customWidth="1" outlineLevel="1"/>
    <col min="22" max="22" width="16.1640625" style="1653" hidden="1" customWidth="1" outlineLevel="1"/>
    <col min="23" max="23" width="11.5" style="1653" hidden="1" customWidth="1" outlineLevel="1"/>
    <col min="24" max="25" width="10.6640625" style="1653" hidden="1" customWidth="1" outlineLevel="1"/>
    <col min="26" max="26" width="4.5" style="1653" customWidth="1" collapsed="1"/>
    <col min="27" max="27" width="23.5" style="1653" customWidth="1"/>
    <col min="28" max="33" width="15.33203125" style="1653" customWidth="1"/>
    <col min="34" max="34" width="12.6640625" style="1653" bestFit="1" customWidth="1"/>
    <col min="35" max="35" width="13.5" style="1653" bestFit="1" customWidth="1"/>
    <col min="36" max="36" width="13" style="1653" bestFit="1" customWidth="1"/>
    <col min="37" max="37" width="10.83203125" style="1653" bestFit="1" customWidth="1"/>
    <col min="38" max="38" width="14.83203125" style="1653" bestFit="1" customWidth="1"/>
    <col min="39" max="16384" width="10.6640625" style="1653"/>
  </cols>
  <sheetData>
    <row r="1" spans="1:38" ht="11.25" customHeight="1" thickBot="1">
      <c r="A1" s="1652"/>
      <c r="E1" s="1654"/>
      <c r="F1" s="1654"/>
      <c r="G1" s="1654"/>
      <c r="H1" s="1654"/>
      <c r="I1" s="1654"/>
      <c r="J1" s="1654"/>
      <c r="K1" s="1654"/>
      <c r="L1" s="1654"/>
      <c r="M1" s="1654"/>
      <c r="Q1" s="1653"/>
      <c r="R1" s="1656"/>
      <c r="S1" s="1657"/>
      <c r="AG1" s="1653" t="s">
        <v>489</v>
      </c>
      <c r="AH1" s="1653" t="s">
        <v>491</v>
      </c>
      <c r="AJ1" s="1658"/>
    </row>
    <row r="2" spans="1:38" ht="15" thickTop="1">
      <c r="A2" s="1659"/>
      <c r="B2" s="258" t="str">
        <f>'MASTER PubCo Inputs'!$C$5</f>
        <v>ABC, Inc.</v>
      </c>
      <c r="C2" s="258"/>
      <c r="D2" s="258"/>
      <c r="E2" s="258"/>
      <c r="F2" s="258"/>
      <c r="G2" s="258"/>
      <c r="H2" s="258"/>
      <c r="I2" s="258"/>
      <c r="J2" s="258"/>
      <c r="K2" s="258"/>
      <c r="L2" s="258"/>
      <c r="M2" s="258"/>
      <c r="N2" s="258"/>
      <c r="O2" s="258"/>
      <c r="P2" s="1660"/>
      <c r="Q2" s="1661"/>
      <c r="R2" s="1662" t="s">
        <v>1766</v>
      </c>
      <c r="S2" s="1663">
        <v>42704</v>
      </c>
      <c r="AB2" s="1775" t="s">
        <v>2147</v>
      </c>
      <c r="AG2" s="1653" t="s">
        <v>954</v>
      </c>
      <c r="AH2" s="1653" t="s">
        <v>955</v>
      </c>
    </row>
    <row r="3" spans="1:38" ht="14.25">
      <c r="A3" s="1659"/>
      <c r="B3" s="259" t="str">
        <f>VLOOKUP(B4,Outline!$E$8:$G$79,COLUMNS(Outline!$E$8:$G$8),FALSE)</f>
        <v>Exhibit H.11</v>
      </c>
      <c r="C3" s="259"/>
      <c r="D3" s="259"/>
      <c r="E3" s="259"/>
      <c r="F3" s="259"/>
      <c r="G3" s="259"/>
      <c r="H3" s="259"/>
      <c r="I3" s="259"/>
      <c r="J3" s="259"/>
      <c r="K3" s="259"/>
      <c r="L3" s="259"/>
      <c r="M3" s="259"/>
      <c r="N3" s="259"/>
      <c r="O3" s="259"/>
      <c r="P3" s="1660"/>
      <c r="Q3" s="1661"/>
      <c r="R3" s="1776"/>
      <c r="S3" s="1665"/>
      <c r="AB3" s="1777">
        <v>42825</v>
      </c>
      <c r="AC3" s="1653" t="s">
        <v>2148</v>
      </c>
      <c r="AG3" s="1653" t="s">
        <v>490</v>
      </c>
      <c r="AH3" s="1653" t="s">
        <v>492</v>
      </c>
    </row>
    <row r="4" spans="1:38" ht="15" thickBot="1">
      <c r="B4" s="924" t="s">
        <v>1383</v>
      </c>
      <c r="C4" s="924"/>
      <c r="D4" s="924"/>
      <c r="E4" s="924"/>
      <c r="F4" s="924"/>
      <c r="G4" s="924"/>
      <c r="H4" s="924"/>
      <c r="I4" s="924"/>
      <c r="J4" s="924"/>
      <c r="K4" s="924"/>
      <c r="L4" s="924"/>
      <c r="M4" s="924"/>
      <c r="N4" s="924"/>
      <c r="O4" s="925" t="str">
        <f>'MASTER PubCo Inputs'!C20</f>
        <v>(in thousands of USD and shares, except price per share)</v>
      </c>
      <c r="P4" s="1660"/>
      <c r="Q4" s="1653"/>
      <c r="AG4" s="1653" t="s">
        <v>89</v>
      </c>
      <c r="AH4" s="1653" t="s">
        <v>90</v>
      </c>
    </row>
    <row r="5" spans="1:38" s="1778" customFormat="1" ht="14.85" customHeight="1" thickTop="1">
      <c r="B5" s="1666" t="s">
        <v>2354</v>
      </c>
      <c r="C5" s="1667"/>
      <c r="D5" s="1666"/>
      <c r="E5" s="1666"/>
      <c r="F5" s="1668"/>
      <c r="G5" s="1779"/>
      <c r="H5" s="1779"/>
      <c r="I5" s="1779"/>
      <c r="J5" s="1779"/>
      <c r="K5" s="492"/>
      <c r="L5" s="492"/>
      <c r="M5" s="492"/>
      <c r="N5" s="492"/>
      <c r="O5" s="493"/>
      <c r="P5" s="1780"/>
    </row>
    <row r="6" spans="1:38" ht="14.85" customHeight="1">
      <c r="B6" s="1669"/>
      <c r="C6" s="1669"/>
      <c r="D6" s="1669"/>
      <c r="E6" s="1654"/>
      <c r="F6" s="1654"/>
      <c r="G6" s="1654"/>
      <c r="H6" s="1654"/>
      <c r="I6" s="1654"/>
      <c r="J6" s="1654"/>
      <c r="K6" s="1654"/>
      <c r="L6" s="1654"/>
      <c r="M6" s="1654"/>
      <c r="P6" s="1660"/>
      <c r="Q6" s="1653"/>
    </row>
    <row r="7" spans="1:38" s="1673" customFormat="1" ht="14.85" customHeight="1">
      <c r="B7" s="1230" t="s">
        <v>2043</v>
      </c>
      <c r="C7" s="1781"/>
      <c r="D7" s="1781"/>
      <c r="E7" s="1781"/>
      <c r="F7" s="1781"/>
      <c r="G7" s="1781"/>
      <c r="H7" s="1781"/>
      <c r="I7" s="1781"/>
      <c r="J7" s="1781"/>
      <c r="K7" s="1781"/>
      <c r="L7" s="1781"/>
      <c r="M7" s="1781"/>
      <c r="N7" s="1781"/>
      <c r="O7" s="1782"/>
      <c r="P7" s="1781"/>
      <c r="Q7" s="1781"/>
      <c r="R7" s="1781"/>
      <c r="S7" s="1782"/>
      <c r="T7" s="1781"/>
      <c r="U7" s="1781"/>
      <c r="V7" s="1781"/>
      <c r="W7" s="1781"/>
      <c r="X7" s="1781"/>
      <c r="Y7" s="1782"/>
      <c r="Z7" s="1783"/>
      <c r="AA7" s="1678"/>
    </row>
    <row r="8" spans="1:38" s="1784" customFormat="1" ht="14.85" customHeight="1">
      <c r="B8" s="1785"/>
      <c r="C8" s="1786"/>
      <c r="D8" s="1786"/>
      <c r="E8" s="1786"/>
      <c r="F8" s="1787"/>
      <c r="G8" s="1787"/>
      <c r="H8" s="1787"/>
      <c r="I8" s="1788"/>
      <c r="J8" s="1786"/>
      <c r="K8" s="1788"/>
      <c r="L8" s="1788"/>
      <c r="M8" s="1788"/>
      <c r="N8" s="1786"/>
      <c r="O8" s="1789"/>
      <c r="P8" s="1790" t="s">
        <v>2044</v>
      </c>
      <c r="Q8" s="1790"/>
      <c r="R8" s="1790"/>
      <c r="S8" s="1791"/>
      <c r="T8" s="1790" t="s">
        <v>2045</v>
      </c>
      <c r="U8" s="1790"/>
      <c r="V8" s="1790"/>
      <c r="W8" s="1790" t="s">
        <v>2046</v>
      </c>
      <c r="X8" s="1790"/>
      <c r="Y8" s="1791"/>
      <c r="Z8" s="1792"/>
      <c r="AA8" s="1793"/>
      <c r="AB8" s="1755"/>
      <c r="AC8" s="1755"/>
      <c r="AF8" s="1755"/>
    </row>
    <row r="9" spans="1:38" s="1679" customFormat="1" ht="17.25" customHeight="1">
      <c r="B9" s="1794"/>
      <c r="C9" s="1682"/>
      <c r="D9" s="1682" t="s">
        <v>1386</v>
      </c>
      <c r="E9" s="2104" t="s">
        <v>2044</v>
      </c>
      <c r="F9" s="2105" t="s">
        <v>1387</v>
      </c>
      <c r="G9" s="2104" t="s">
        <v>1388</v>
      </c>
      <c r="H9" s="2104"/>
      <c r="I9" s="2105" t="s">
        <v>1389</v>
      </c>
      <c r="J9" s="2105" t="s">
        <v>2350</v>
      </c>
      <c r="K9" s="2105" t="s">
        <v>1390</v>
      </c>
      <c r="L9" s="2105" t="s">
        <v>1391</v>
      </c>
      <c r="M9" s="2105" t="s">
        <v>1392</v>
      </c>
      <c r="N9" s="2105" t="s">
        <v>2351</v>
      </c>
      <c r="O9" s="2106" t="s">
        <v>1397</v>
      </c>
      <c r="P9" s="1795" t="s">
        <v>343</v>
      </c>
      <c r="Q9" s="1795" t="s">
        <v>346</v>
      </c>
      <c r="R9" s="1682" t="s">
        <v>343</v>
      </c>
      <c r="S9" s="1796" t="s">
        <v>346</v>
      </c>
      <c r="T9" s="1682" t="s">
        <v>2047</v>
      </c>
      <c r="U9" s="1682" t="s">
        <v>343</v>
      </c>
      <c r="V9" s="1682" t="s">
        <v>346</v>
      </c>
      <c r="W9" s="1682" t="s">
        <v>2047</v>
      </c>
      <c r="X9" s="1682" t="s">
        <v>343</v>
      </c>
      <c r="Y9" s="1797" t="s">
        <v>346</v>
      </c>
      <c r="Z9" s="1783"/>
      <c r="AA9" s="2103" t="s">
        <v>1393</v>
      </c>
      <c r="AB9" s="2103" t="s">
        <v>1394</v>
      </c>
      <c r="AC9" s="2103" t="s">
        <v>1395</v>
      </c>
      <c r="AE9" s="2107" t="s">
        <v>1397</v>
      </c>
      <c r="AF9" s="2103" t="s">
        <v>935</v>
      </c>
      <c r="AH9" s="2096" t="s">
        <v>153</v>
      </c>
      <c r="AI9" s="2096" t="s">
        <v>2356</v>
      </c>
      <c r="AJ9" s="2096" t="s">
        <v>2357</v>
      </c>
      <c r="AK9" s="2096" t="s">
        <v>2358</v>
      </c>
      <c r="AL9" s="2096" t="s">
        <v>2359</v>
      </c>
    </row>
    <row r="10" spans="1:38" s="1679" customFormat="1" ht="23.25" customHeight="1">
      <c r="B10" s="1683" t="s">
        <v>1398</v>
      </c>
      <c r="C10" s="1684" t="s">
        <v>1399</v>
      </c>
      <c r="D10" s="1684" t="s">
        <v>1400</v>
      </c>
      <c r="E10" s="2102"/>
      <c r="F10" s="2100"/>
      <c r="G10" s="1685" t="s">
        <v>112</v>
      </c>
      <c r="H10" s="1685" t="s">
        <v>111</v>
      </c>
      <c r="I10" s="2100"/>
      <c r="J10" s="2100"/>
      <c r="K10" s="2100"/>
      <c r="L10" s="2100"/>
      <c r="M10" s="2100"/>
      <c r="N10" s="2100"/>
      <c r="O10" s="2098"/>
      <c r="P10" s="1684" t="s">
        <v>168</v>
      </c>
      <c r="Q10" s="1684" t="s">
        <v>168</v>
      </c>
      <c r="R10" s="1684" t="s">
        <v>2048</v>
      </c>
      <c r="S10" s="1798" t="s">
        <v>2049</v>
      </c>
      <c r="T10" s="1684" t="s">
        <v>2050</v>
      </c>
      <c r="U10" s="1684" t="s">
        <v>2048</v>
      </c>
      <c r="V10" s="1684" t="s">
        <v>2049</v>
      </c>
      <c r="W10" s="1684" t="s">
        <v>2050</v>
      </c>
      <c r="X10" s="1684" t="s">
        <v>2048</v>
      </c>
      <c r="Y10" s="1798" t="s">
        <v>2049</v>
      </c>
      <c r="Z10" s="1783"/>
      <c r="AA10" s="2103"/>
      <c r="AB10" s="2103"/>
      <c r="AC10" s="2103"/>
      <c r="AE10" s="2107"/>
      <c r="AF10" s="2103"/>
      <c r="AG10" s="1687" t="s">
        <v>95</v>
      </c>
      <c r="AH10" s="2096"/>
      <c r="AI10" s="2096"/>
      <c r="AJ10" s="2096"/>
      <c r="AK10" s="2096"/>
      <c r="AL10" s="2096"/>
    </row>
    <row r="11" spans="1:38" s="1688" customFormat="1" ht="14.85" customHeight="1">
      <c r="B11" s="1689"/>
      <c r="C11" s="1689"/>
      <c r="D11" s="1689"/>
      <c r="E11" s="1689"/>
      <c r="F11" s="1689"/>
      <c r="G11" s="1689"/>
      <c r="H11" s="1689"/>
      <c r="I11" s="1689"/>
      <c r="J11" s="1689"/>
      <c r="K11" s="1689"/>
      <c r="L11" s="1689"/>
      <c r="M11" s="1689"/>
      <c r="N11" s="1799"/>
      <c r="O11" s="1689"/>
      <c r="P11" s="1799"/>
      <c r="Q11" s="1799"/>
      <c r="R11" s="1689"/>
      <c r="S11" s="1799"/>
      <c r="T11" s="1799"/>
      <c r="U11" s="1689"/>
      <c r="V11" s="1689"/>
      <c r="W11" s="1689"/>
      <c r="X11" s="1689"/>
      <c r="Y11" s="1799"/>
      <c r="Z11" s="1783"/>
      <c r="AA11" s="1690"/>
      <c r="AB11" s="1690"/>
      <c r="AC11" s="1690"/>
      <c r="AF11" s="1800"/>
    </row>
    <row r="12" spans="1:38" s="1714" customFormat="1" ht="14.85" customHeight="1">
      <c r="B12" s="1695" t="s">
        <v>2051</v>
      </c>
      <c r="C12" s="1696" t="s">
        <v>2052</v>
      </c>
      <c r="D12" s="1696" t="s">
        <v>2053</v>
      </c>
      <c r="E12" s="1699">
        <v>42662</v>
      </c>
      <c r="F12" s="1801">
        <v>17</v>
      </c>
      <c r="G12" s="1801">
        <v>13</v>
      </c>
      <c r="H12" s="1802">
        <v>15</v>
      </c>
      <c r="I12" s="1802">
        <v>30.49</v>
      </c>
      <c r="J12" s="1717">
        <f t="shared" ref="J12:J40" si="0">L12-K12</f>
        <v>14828.987000000001</v>
      </c>
      <c r="K12" s="1717">
        <v>5350</v>
      </c>
      <c r="L12" s="1432">
        <v>20178.987000000001</v>
      </c>
      <c r="M12" s="1803">
        <f>+J12*F12</f>
        <v>252092.77900000001</v>
      </c>
      <c r="N12" s="1717">
        <v>107000.01</v>
      </c>
      <c r="O12" s="1803">
        <f>+M12+N12</f>
        <v>359092.78899999999</v>
      </c>
      <c r="P12" s="1804">
        <v>48786000</v>
      </c>
      <c r="Q12" s="1804">
        <v>62887920</v>
      </c>
      <c r="R12" s="1717">
        <f t="shared" ref="R12:R40" si="1">IFERROR(O12/P12,"n/a")</f>
        <v>7.3605704300414047E-3</v>
      </c>
      <c r="S12" s="1803">
        <f t="shared" ref="S12:S40" si="2">IFERROR(O12/Q12,"n/a")</f>
        <v>5.7100439798295124E-3</v>
      </c>
      <c r="T12" s="1804">
        <f>O12+AG12-AF12</f>
        <v>381493.78899999999</v>
      </c>
      <c r="U12" s="1717">
        <f>IFERROR($T12/P12,"n/a")</f>
        <v>7.8197390439880294E-3</v>
      </c>
      <c r="V12" s="1803">
        <f>IFERROR($T12/Q12,"n/a")</f>
        <v>6.0662491142973087E-3</v>
      </c>
      <c r="W12" s="1804">
        <v>766886680</v>
      </c>
      <c r="X12" s="1717">
        <f>IFERROR($W12/P12,"n/a")</f>
        <v>15.719400647726808</v>
      </c>
      <c r="Y12" s="1803">
        <f>IFERROR($W12/Q12,"n/a")</f>
        <v>12.194499038925123</v>
      </c>
      <c r="Z12" s="1803"/>
      <c r="AA12" s="1803">
        <f>+I12*L12</f>
        <v>615257.31362999999</v>
      </c>
      <c r="AB12" s="1805">
        <v>42663</v>
      </c>
      <c r="AC12" s="1805">
        <f t="shared" ref="AC12:AC21" si="3">+AB12+30</f>
        <v>42693</v>
      </c>
      <c r="AD12" s="1706" t="s">
        <v>2054</v>
      </c>
      <c r="AE12" s="1706">
        <v>359092.78899999999</v>
      </c>
      <c r="AF12" s="1653">
        <v>8974</v>
      </c>
      <c r="AG12" s="1653">
        <v>31375</v>
      </c>
      <c r="AH12" s="1806">
        <f>AE12+AG12-AF12</f>
        <v>381493.78899999999</v>
      </c>
      <c r="AI12" s="1807">
        <v>3924</v>
      </c>
      <c r="AJ12" s="1807">
        <v>-15387</v>
      </c>
      <c r="AK12" s="1808">
        <f>IFERROR(AH12/AI12,"n/a")</f>
        <v>97.220639398572885</v>
      </c>
      <c r="AL12" s="1806">
        <f>IFERROR(AH12/AJ12,"n/a")</f>
        <v>-24.793253330733737</v>
      </c>
    </row>
    <row r="13" spans="1:38" s="1714" customFormat="1" ht="14.85" customHeight="1">
      <c r="B13" s="1695" t="s">
        <v>2055</v>
      </c>
      <c r="C13" s="1696" t="s">
        <v>2056</v>
      </c>
      <c r="D13" s="1696" t="s">
        <v>2057</v>
      </c>
      <c r="E13" s="1699">
        <v>42648</v>
      </c>
      <c r="F13" s="1801">
        <v>15</v>
      </c>
      <c r="G13" s="1801">
        <v>14</v>
      </c>
      <c r="H13" s="1802">
        <v>16</v>
      </c>
      <c r="I13" s="1802">
        <v>8.9499999999999993</v>
      </c>
      <c r="J13" s="1717">
        <f t="shared" si="0"/>
        <v>10953.471</v>
      </c>
      <c r="K13" s="1717">
        <v>5000</v>
      </c>
      <c r="L13" s="1432">
        <v>15953.471</v>
      </c>
      <c r="M13" s="1803">
        <f t="shared" ref="M13:M16" si="4">+J13*F13</f>
        <v>164302.065</v>
      </c>
      <c r="N13" s="1717">
        <v>75000</v>
      </c>
      <c r="O13" s="1803">
        <f t="shared" ref="O13:O40" si="5">+M13+N13</f>
        <v>239302.065</v>
      </c>
      <c r="P13" s="1804">
        <v>3924000</v>
      </c>
      <c r="Q13" s="1804">
        <v>3332750</v>
      </c>
      <c r="R13" s="1717">
        <f t="shared" si="1"/>
        <v>6.0984216360856269E-2</v>
      </c>
      <c r="S13" s="1803">
        <f t="shared" si="2"/>
        <v>7.1803185057385047E-2</v>
      </c>
      <c r="T13" s="1804">
        <f t="shared" ref="T13:T16" si="6">O13+AG13-AF13</f>
        <v>244856.065</v>
      </c>
      <c r="U13" s="1717">
        <f t="shared" ref="U13:V16" si="7">IFERROR($T13/P13,"n/a")</f>
        <v>6.2399608817533127E-2</v>
      </c>
      <c r="V13" s="1803">
        <f t="shared" si="7"/>
        <v>7.3469676693421346E-2</v>
      </c>
      <c r="W13" s="1804">
        <v>249632570</v>
      </c>
      <c r="X13" s="1717">
        <f t="shared" ref="X13:Y16" si="8">IFERROR($W13/P13,"n/a")</f>
        <v>63.616862895005099</v>
      </c>
      <c r="Y13" s="1803">
        <f t="shared" si="8"/>
        <v>74.902879003825674</v>
      </c>
      <c r="Z13" s="1803"/>
      <c r="AA13" s="1803">
        <f t="shared" ref="AA13:AA16" si="9">+I13*L13</f>
        <v>142783.56544999999</v>
      </c>
      <c r="AB13" s="1805">
        <v>42649</v>
      </c>
      <c r="AC13" s="1805">
        <f t="shared" si="3"/>
        <v>42679</v>
      </c>
      <c r="AD13" s="1706" t="s">
        <v>2058</v>
      </c>
      <c r="AE13" s="1706">
        <v>239302.065</v>
      </c>
      <c r="AF13" s="1653">
        <v>4329</v>
      </c>
      <c r="AG13" s="1653">
        <v>9883</v>
      </c>
      <c r="AH13" s="1806">
        <f t="shared" ref="AH13:AH40" si="10">AE13+AG13-AF13</f>
        <v>244856.065</v>
      </c>
      <c r="AI13" s="1806">
        <v>71409</v>
      </c>
      <c r="AJ13" s="1806">
        <v>5566</v>
      </c>
      <c r="AK13" s="1808">
        <f t="shared" ref="AK13:AK40" si="11">IFERROR(AH13/AI13,"n/a")</f>
        <v>3.4289244352952708</v>
      </c>
      <c r="AL13" s="1808">
        <f t="shared" ref="AL13:AL40" si="12">IFERROR(AH13/AJ13,"n/a")</f>
        <v>43.99138789076536</v>
      </c>
    </row>
    <row r="14" spans="1:38" s="1714" customFormat="1" ht="14.85" customHeight="1">
      <c r="B14" s="1695" t="s">
        <v>2059</v>
      </c>
      <c r="C14" s="1696" t="s">
        <v>2060</v>
      </c>
      <c r="D14" s="1696" t="s">
        <v>2061</v>
      </c>
      <c r="E14" s="1699">
        <v>42578</v>
      </c>
      <c r="F14" s="1801">
        <v>10</v>
      </c>
      <c r="G14" s="1801">
        <v>14</v>
      </c>
      <c r="H14" s="1802">
        <v>16</v>
      </c>
      <c r="I14" s="1802">
        <v>13.57</v>
      </c>
      <c r="J14" s="1717">
        <f t="shared" si="0"/>
        <v>12649.017</v>
      </c>
      <c r="K14" s="1717">
        <v>4000</v>
      </c>
      <c r="L14" s="1432">
        <v>16649.017</v>
      </c>
      <c r="M14" s="1803">
        <f t="shared" si="4"/>
        <v>126490.17</v>
      </c>
      <c r="N14" s="1717">
        <v>40000</v>
      </c>
      <c r="O14" s="1803">
        <f t="shared" si="5"/>
        <v>166490.16999999998</v>
      </c>
      <c r="P14" s="1804">
        <v>66450999.999999993</v>
      </c>
      <c r="Q14" s="1804">
        <v>82300000</v>
      </c>
      <c r="R14" s="1717">
        <f t="shared" si="1"/>
        <v>2.5054577056778681E-3</v>
      </c>
      <c r="S14" s="1803">
        <f t="shared" si="2"/>
        <v>2.0229668286755771E-3</v>
      </c>
      <c r="T14" s="1804">
        <f t="shared" si="6"/>
        <v>160703.16999999998</v>
      </c>
      <c r="U14" s="1717">
        <f t="shared" si="7"/>
        <v>2.4183709801206903E-3</v>
      </c>
      <c r="V14" s="1803">
        <f t="shared" si="7"/>
        <v>1.9526509113001213E-3</v>
      </c>
      <c r="W14" s="1804">
        <v>199301160</v>
      </c>
      <c r="X14" s="1717">
        <f t="shared" si="8"/>
        <v>2.9992198762998301</v>
      </c>
      <c r="Y14" s="1803">
        <f t="shared" si="8"/>
        <v>2.421642284325638</v>
      </c>
      <c r="Z14" s="1803"/>
      <c r="AA14" s="1803">
        <f t="shared" si="9"/>
        <v>225927.16068999999</v>
      </c>
      <c r="AB14" s="1805">
        <v>42579</v>
      </c>
      <c r="AC14" s="1805">
        <f t="shared" si="3"/>
        <v>42609</v>
      </c>
      <c r="AD14" s="1706" t="s">
        <v>2062</v>
      </c>
      <c r="AE14" s="1706">
        <v>166490.16999999998</v>
      </c>
      <c r="AF14" s="1653">
        <v>5787</v>
      </c>
      <c r="AG14" s="1653">
        <v>0</v>
      </c>
      <c r="AH14" s="1806">
        <f t="shared" si="10"/>
        <v>160703.16999999998</v>
      </c>
      <c r="AI14" s="1806">
        <v>0</v>
      </c>
      <c r="AJ14" s="1806">
        <v>-5970.97</v>
      </c>
      <c r="AK14" s="1808" t="str">
        <f t="shared" si="11"/>
        <v>n/a</v>
      </c>
      <c r="AL14" s="1808">
        <f t="shared" si="12"/>
        <v>-26.914080961719783</v>
      </c>
    </row>
    <row r="15" spans="1:38" s="1714" customFormat="1" ht="14.85" customHeight="1">
      <c r="B15" s="1695" t="s">
        <v>2063</v>
      </c>
      <c r="C15" s="1696" t="s">
        <v>2064</v>
      </c>
      <c r="D15" s="1696" t="s">
        <v>2065</v>
      </c>
      <c r="E15" s="1699">
        <v>42507</v>
      </c>
      <c r="F15" s="1801">
        <v>4</v>
      </c>
      <c r="G15" s="1801">
        <v>0</v>
      </c>
      <c r="H15" s="1802">
        <v>0</v>
      </c>
      <c r="I15" s="1802">
        <v>4.37</v>
      </c>
      <c r="J15" s="1717">
        <f t="shared" si="0"/>
        <v>7565.4509999999991</v>
      </c>
      <c r="K15" s="1717">
        <v>5000</v>
      </c>
      <c r="L15" s="1432">
        <v>12565.450999999999</v>
      </c>
      <c r="M15" s="1803">
        <f t="shared" si="4"/>
        <v>30261.803999999996</v>
      </c>
      <c r="N15" s="1717">
        <v>20000</v>
      </c>
      <c r="O15" s="1803">
        <f t="shared" si="5"/>
        <v>50261.803999999996</v>
      </c>
      <c r="P15" s="1804">
        <v>0</v>
      </c>
      <c r="Q15" s="1804">
        <v>0</v>
      </c>
      <c r="R15" s="1717" t="str">
        <f t="shared" si="1"/>
        <v>n/a</v>
      </c>
      <c r="S15" s="1803" t="str">
        <f t="shared" si="2"/>
        <v>n/a</v>
      </c>
      <c r="T15" s="1804">
        <f t="shared" si="6"/>
        <v>46655.894</v>
      </c>
      <c r="U15" s="1717" t="str">
        <f t="shared" si="7"/>
        <v>n/a</v>
      </c>
      <c r="V15" s="1803" t="str">
        <f t="shared" si="7"/>
        <v>n/a</v>
      </c>
      <c r="W15" s="1804">
        <v>51305110</v>
      </c>
      <c r="X15" s="1717" t="str">
        <f t="shared" si="8"/>
        <v>n/a</v>
      </c>
      <c r="Y15" s="1803" t="str">
        <f t="shared" si="8"/>
        <v>n/a</v>
      </c>
      <c r="Z15" s="1803"/>
      <c r="AA15" s="1803">
        <f t="shared" si="9"/>
        <v>54911.02087</v>
      </c>
      <c r="AB15" s="1805">
        <v>42508</v>
      </c>
      <c r="AC15" s="1805">
        <f t="shared" si="3"/>
        <v>42538</v>
      </c>
      <c r="AD15" s="1706" t="s">
        <v>2066</v>
      </c>
      <c r="AE15" s="1706">
        <v>50261.803999999996</v>
      </c>
      <c r="AF15" s="1653">
        <v>3605.91</v>
      </c>
      <c r="AG15" s="1653">
        <v>0</v>
      </c>
      <c r="AH15" s="1806">
        <f t="shared" si="10"/>
        <v>46655.894</v>
      </c>
      <c r="AI15" s="1806">
        <v>0</v>
      </c>
      <c r="AJ15" s="1806">
        <v>0</v>
      </c>
      <c r="AK15" s="1808" t="str">
        <f t="shared" si="11"/>
        <v>n/a</v>
      </c>
      <c r="AL15" s="1808" t="str">
        <f t="shared" si="12"/>
        <v>n/a</v>
      </c>
    </row>
    <row r="16" spans="1:38" s="1714" customFormat="1" ht="14.85" customHeight="1">
      <c r="B16" s="1695" t="s">
        <v>2067</v>
      </c>
      <c r="C16" s="1696" t="s">
        <v>2068</v>
      </c>
      <c r="D16" s="1696" t="s">
        <v>2069</v>
      </c>
      <c r="E16" s="1699">
        <v>42488</v>
      </c>
      <c r="F16" s="1801">
        <v>5</v>
      </c>
      <c r="G16" s="1801">
        <v>0</v>
      </c>
      <c r="H16" s="1802">
        <v>0</v>
      </c>
      <c r="I16" s="1802">
        <v>14.3</v>
      </c>
      <c r="J16" s="1804">
        <f t="shared" si="0"/>
        <v>12250</v>
      </c>
      <c r="K16" s="1804">
        <f>+L16-(12250000/1000)</f>
        <v>1200</v>
      </c>
      <c r="L16" s="1432">
        <v>13450</v>
      </c>
      <c r="M16" s="1809">
        <f t="shared" si="4"/>
        <v>61250</v>
      </c>
      <c r="N16" s="1717">
        <v>5300</v>
      </c>
      <c r="O16" s="1803">
        <f t="shared" si="5"/>
        <v>66550</v>
      </c>
      <c r="P16" s="1804">
        <v>0</v>
      </c>
      <c r="Q16" s="1804">
        <v>0</v>
      </c>
      <c r="R16" s="1717" t="str">
        <f t="shared" si="1"/>
        <v>n/a</v>
      </c>
      <c r="S16" s="1803" t="str">
        <f t="shared" si="2"/>
        <v>n/a</v>
      </c>
      <c r="T16" s="1804">
        <f t="shared" si="6"/>
        <v>65782.73</v>
      </c>
      <c r="U16" s="1717" t="str">
        <f t="shared" si="7"/>
        <v>n/a</v>
      </c>
      <c r="V16" s="1803" t="str">
        <f t="shared" si="7"/>
        <v>n/a</v>
      </c>
      <c r="W16" s="1804">
        <v>187310150</v>
      </c>
      <c r="X16" s="1717" t="str">
        <f t="shared" si="8"/>
        <v>n/a</v>
      </c>
      <c r="Y16" s="1803" t="str">
        <f t="shared" si="8"/>
        <v>n/a</v>
      </c>
      <c r="Z16" s="1803"/>
      <c r="AA16" s="1803">
        <f t="shared" si="9"/>
        <v>192335</v>
      </c>
      <c r="AB16" s="1805">
        <v>42579</v>
      </c>
      <c r="AC16" s="1805">
        <f t="shared" si="3"/>
        <v>42609</v>
      </c>
      <c r="AD16" s="1706" t="s">
        <v>2070</v>
      </c>
      <c r="AE16" s="1706">
        <v>66550</v>
      </c>
      <c r="AF16" s="1653">
        <v>767.27</v>
      </c>
      <c r="AG16" s="1653">
        <v>0</v>
      </c>
      <c r="AH16" s="1806">
        <f t="shared" si="10"/>
        <v>65782.73</v>
      </c>
      <c r="AI16" s="1806">
        <v>227857</v>
      </c>
      <c r="AJ16" s="1806">
        <v>7320</v>
      </c>
      <c r="AK16" s="1808">
        <f t="shared" si="11"/>
        <v>0.28870181736791056</v>
      </c>
      <c r="AL16" s="1808">
        <f t="shared" si="12"/>
        <v>8.9867117486338799</v>
      </c>
    </row>
    <row r="17" spans="2:38" s="1714" customFormat="1" ht="14.85" customHeight="1">
      <c r="B17" s="1695" t="s">
        <v>2071</v>
      </c>
      <c r="C17" s="1696" t="s">
        <v>2072</v>
      </c>
      <c r="D17" s="1696" t="s">
        <v>2073</v>
      </c>
      <c r="E17" s="1810">
        <v>42264</v>
      </c>
      <c r="F17" s="1801">
        <v>30</v>
      </c>
      <c r="G17" s="1801">
        <v>25</v>
      </c>
      <c r="H17" s="1802">
        <v>28</v>
      </c>
      <c r="I17" s="1802">
        <v>40.799999999999997</v>
      </c>
      <c r="J17" s="1717">
        <f t="shared" si="0"/>
        <v>26038.636999999999</v>
      </c>
      <c r="K17" s="1717">
        <v>4600</v>
      </c>
      <c r="L17" s="1432">
        <v>30638.636999999999</v>
      </c>
      <c r="M17" s="1803">
        <f>+J17*F17</f>
        <v>781159.11</v>
      </c>
      <c r="N17" s="1717">
        <v>120000</v>
      </c>
      <c r="O17" s="1803">
        <f t="shared" si="5"/>
        <v>901159.11</v>
      </c>
      <c r="P17" s="1804">
        <v>149130000</v>
      </c>
      <c r="Q17" s="1804">
        <v>178289300</v>
      </c>
      <c r="R17" s="1717">
        <f t="shared" si="1"/>
        <v>6.0427754978877486E-3</v>
      </c>
      <c r="S17" s="1803">
        <f t="shared" si="2"/>
        <v>5.0544766848038556E-3</v>
      </c>
      <c r="T17" s="1804">
        <f>O17+AG17-AF17</f>
        <v>864395.11</v>
      </c>
      <c r="U17" s="1717">
        <f>IFERROR($T17/P17,"n/a")</f>
        <v>5.7962523301817205E-3</v>
      </c>
      <c r="V17" s="1803">
        <f>IFERROR($T17/Q17,"n/a")</f>
        <v>4.8482724986861243E-3</v>
      </c>
      <c r="W17" s="1804">
        <v>1300279390</v>
      </c>
      <c r="X17" s="1717">
        <f>IFERROR($W17/P17,"n/a")</f>
        <v>8.7191000469389124</v>
      </c>
      <c r="Y17" s="1803">
        <f>IFERROR($W17/Q17,"n/a")</f>
        <v>7.2930870781364892</v>
      </c>
      <c r="Z17" s="1803"/>
      <c r="AA17" s="1803">
        <f>+I17*L17</f>
        <v>1250056.3895999999</v>
      </c>
      <c r="AB17" s="1805">
        <v>42265</v>
      </c>
      <c r="AC17" s="1805">
        <f t="shared" si="3"/>
        <v>42295</v>
      </c>
      <c r="AD17" s="1706" t="s">
        <v>2074</v>
      </c>
      <c r="AE17" s="1706">
        <v>901159.11</v>
      </c>
      <c r="AF17" s="1653">
        <v>36764</v>
      </c>
      <c r="AG17" s="1653">
        <v>0</v>
      </c>
      <c r="AH17" s="1806">
        <f t="shared" si="10"/>
        <v>864395.11</v>
      </c>
      <c r="AI17" s="1806">
        <v>72148</v>
      </c>
      <c r="AJ17" s="1806">
        <v>-57318</v>
      </c>
      <c r="AK17" s="1808">
        <f t="shared" si="11"/>
        <v>11.980860314908243</v>
      </c>
      <c r="AL17" s="1808">
        <f t="shared" si="12"/>
        <v>-15.080692103702154</v>
      </c>
    </row>
    <row r="18" spans="2:38" s="1714" customFormat="1" ht="14.85" customHeight="1">
      <c r="B18" s="1695" t="s">
        <v>2075</v>
      </c>
      <c r="C18" s="1696" t="s">
        <v>2076</v>
      </c>
      <c r="D18" s="1696" t="s">
        <v>2077</v>
      </c>
      <c r="E18" s="1810">
        <v>42185</v>
      </c>
      <c r="F18" s="1801">
        <v>15</v>
      </c>
      <c r="G18" s="1801">
        <v>14</v>
      </c>
      <c r="H18" s="1802">
        <v>16</v>
      </c>
      <c r="I18" s="1802">
        <v>23.08</v>
      </c>
      <c r="J18" s="1717">
        <f t="shared" si="0"/>
        <v>30086.637000000002</v>
      </c>
      <c r="K18" s="1717">
        <v>10350</v>
      </c>
      <c r="L18" s="1432">
        <v>40436.637000000002</v>
      </c>
      <c r="M18" s="1803">
        <f t="shared" ref="M18:M40" si="13">+J18*F18</f>
        <v>451299.55500000005</v>
      </c>
      <c r="N18" s="1717">
        <v>135000</v>
      </c>
      <c r="O18" s="1803">
        <f t="shared" si="5"/>
        <v>586299.55500000005</v>
      </c>
      <c r="P18" s="1804">
        <v>51287000</v>
      </c>
      <c r="Q18" s="1804">
        <v>64888710</v>
      </c>
      <c r="R18" s="1717">
        <f t="shared" si="1"/>
        <v>1.1431738159767583E-2</v>
      </c>
      <c r="S18" s="1803">
        <f t="shared" si="2"/>
        <v>9.0354632570134319E-3</v>
      </c>
      <c r="T18" s="1804">
        <f t="shared" ref="T18:T40" si="14">O18+AG18-AF18</f>
        <v>573920.55500000005</v>
      </c>
      <c r="U18" s="1717">
        <f>IFERROR($T18/P18,"n/a")</f>
        <v>1.1190370951703162E-2</v>
      </c>
      <c r="V18" s="1803">
        <f>IFERROR($T18/Q18,"n/a")</f>
        <v>8.8446904708076347E-3</v>
      </c>
      <c r="W18" s="1804">
        <v>889748960</v>
      </c>
      <c r="X18" s="1717">
        <f t="shared" ref="X18:Y40" si="15">IFERROR($W18/P18,"n/a")</f>
        <v>17.348430596447443</v>
      </c>
      <c r="Y18" s="1803">
        <f t="shared" si="15"/>
        <v>13.711922459238286</v>
      </c>
      <c r="Z18" s="1803"/>
      <c r="AA18" s="1803">
        <f>+I18*L18</f>
        <v>933277.58195999998</v>
      </c>
      <c r="AB18" s="1805">
        <v>42186</v>
      </c>
      <c r="AC18" s="1805">
        <f t="shared" si="3"/>
        <v>42216</v>
      </c>
      <c r="AD18" s="1706" t="s">
        <v>2078</v>
      </c>
      <c r="AE18" s="1706">
        <v>586299.55500000005</v>
      </c>
      <c r="AF18" s="1653">
        <v>22939</v>
      </c>
      <c r="AG18" s="1653">
        <v>10560</v>
      </c>
      <c r="AH18" s="1806">
        <f t="shared" si="10"/>
        <v>573920.55500000005</v>
      </c>
      <c r="AI18" s="1806">
        <v>90928</v>
      </c>
      <c r="AJ18" s="1806">
        <v>3392</v>
      </c>
      <c r="AK18" s="1808">
        <f t="shared" si="11"/>
        <v>6.3118132478444489</v>
      </c>
      <c r="AL18" s="1808">
        <f t="shared" si="12"/>
        <v>169.1982768278302</v>
      </c>
    </row>
    <row r="19" spans="2:38" s="1714" customFormat="1" ht="14.85" customHeight="1">
      <c r="B19" s="1695" t="s">
        <v>2079</v>
      </c>
      <c r="C19" s="1696" t="s">
        <v>2080</v>
      </c>
      <c r="D19" s="1696" t="s">
        <v>2081</v>
      </c>
      <c r="E19" s="1810">
        <v>42179</v>
      </c>
      <c r="F19" s="1802">
        <v>18</v>
      </c>
      <c r="G19" s="1802">
        <v>13</v>
      </c>
      <c r="H19" s="1802">
        <v>15</v>
      </c>
      <c r="I19" s="1802">
        <v>32.119999999999997</v>
      </c>
      <c r="J19" s="1717">
        <f t="shared" si="0"/>
        <v>24363.330999999998</v>
      </c>
      <c r="K19" s="1717">
        <v>6900</v>
      </c>
      <c r="L19" s="1432">
        <v>31263.330999999998</v>
      </c>
      <c r="M19" s="1803">
        <f t="shared" si="13"/>
        <v>438539.95799999998</v>
      </c>
      <c r="N19" s="1717">
        <v>108000</v>
      </c>
      <c r="O19" s="1803">
        <f t="shared" si="5"/>
        <v>546539.95799999998</v>
      </c>
      <c r="P19" s="1804">
        <v>52004000</v>
      </c>
      <c r="Q19" s="1804">
        <v>71599930</v>
      </c>
      <c r="R19" s="1717">
        <f t="shared" si="1"/>
        <v>1.0509575378817014E-2</v>
      </c>
      <c r="S19" s="1803">
        <f t="shared" si="2"/>
        <v>7.6332470995432531E-3</v>
      </c>
      <c r="T19" s="1804">
        <f t="shared" si="14"/>
        <v>564641.95799999998</v>
      </c>
      <c r="U19" s="1717">
        <f t="shared" ref="U19:V40" si="16">IFERROR($T19/P19,"n/a")</f>
        <v>1.0857663987385585E-2</v>
      </c>
      <c r="V19" s="1803">
        <f t="shared" si="16"/>
        <v>7.8860685757653672E-3</v>
      </c>
      <c r="W19" s="1804">
        <v>983313560</v>
      </c>
      <c r="X19" s="1717">
        <f t="shared" si="15"/>
        <v>18.908421659872317</v>
      </c>
      <c r="Y19" s="1803">
        <f t="shared" si="15"/>
        <v>13.733443035489001</v>
      </c>
      <c r="Z19" s="1803"/>
      <c r="AA19" s="1803">
        <f t="shared" ref="AA19:AA40" si="17">+I19*J19</f>
        <v>782550.19171999989</v>
      </c>
      <c r="AB19" s="1805">
        <v>42180</v>
      </c>
      <c r="AC19" s="1805">
        <f t="shared" si="3"/>
        <v>42210</v>
      </c>
      <c r="AD19" s="1706" t="s">
        <v>2082</v>
      </c>
      <c r="AE19" s="1706">
        <v>546539.95799999998</v>
      </c>
      <c r="AF19" s="1653">
        <v>4239</v>
      </c>
      <c r="AG19" s="1653">
        <v>22341</v>
      </c>
      <c r="AH19" s="1806">
        <f t="shared" si="10"/>
        <v>564641.95799999998</v>
      </c>
      <c r="AI19" s="1806">
        <v>462.05</v>
      </c>
      <c r="AJ19" s="1806">
        <v>-14963.6</v>
      </c>
      <c r="AK19" s="1808">
        <f t="shared" si="11"/>
        <v>1222.0364852288712</v>
      </c>
      <c r="AL19" s="1808">
        <f t="shared" si="12"/>
        <v>-37.734365927985245</v>
      </c>
    </row>
    <row r="20" spans="2:38" s="1714" customFormat="1" ht="14.85" customHeight="1">
      <c r="B20" s="1695" t="s">
        <v>2083</v>
      </c>
      <c r="C20" s="1696" t="s">
        <v>2084</v>
      </c>
      <c r="D20" s="1696" t="s">
        <v>2085</v>
      </c>
      <c r="E20" s="1810">
        <v>42173</v>
      </c>
      <c r="F20" s="1802">
        <v>0.39183000000000001</v>
      </c>
      <c r="G20" s="1802">
        <v>0</v>
      </c>
      <c r="H20" s="1802">
        <v>0</v>
      </c>
      <c r="I20" s="1802">
        <v>0.44996999999999998</v>
      </c>
      <c r="J20" s="1717">
        <f t="shared" si="0"/>
        <v>138244.701</v>
      </c>
      <c r="K20" s="1717">
        <v>73027.989000000001</v>
      </c>
      <c r="L20" s="1432">
        <v>211272.69</v>
      </c>
      <c r="M20" s="1803">
        <f t="shared" si="13"/>
        <v>54168.421192829999</v>
      </c>
      <c r="N20" s="1717">
        <v>28614.86</v>
      </c>
      <c r="O20" s="1803">
        <f t="shared" si="5"/>
        <v>82783.281192830007</v>
      </c>
      <c r="P20" s="1804">
        <v>0</v>
      </c>
      <c r="Q20" s="1804">
        <v>900000</v>
      </c>
      <c r="R20" s="1717" t="str">
        <f t="shared" si="1"/>
        <v>n/a</v>
      </c>
      <c r="S20" s="1803">
        <f t="shared" si="2"/>
        <v>9.1981423547588897E-2</v>
      </c>
      <c r="T20" s="1804">
        <f t="shared" si="14"/>
        <v>84696.281192830007</v>
      </c>
      <c r="U20" s="1717" t="str">
        <f t="shared" si="16"/>
        <v>n/a</v>
      </c>
      <c r="V20" s="1803">
        <f t="shared" si="16"/>
        <v>9.4106979103144459E-2</v>
      </c>
      <c r="W20" s="1804">
        <v>96878820</v>
      </c>
      <c r="X20" s="1717" t="str">
        <f t="shared" si="15"/>
        <v>n/a</v>
      </c>
      <c r="Y20" s="1803">
        <f t="shared" si="15"/>
        <v>107.64313333333334</v>
      </c>
      <c r="Z20" s="1803"/>
      <c r="AA20" s="1803">
        <f t="shared" si="17"/>
        <v>62205.968108969995</v>
      </c>
      <c r="AB20" s="1805">
        <v>42177</v>
      </c>
      <c r="AC20" s="1805">
        <f t="shared" si="3"/>
        <v>42207</v>
      </c>
      <c r="AD20" s="1706" t="s">
        <v>2086</v>
      </c>
      <c r="AE20" s="1706">
        <v>82783.281192830007</v>
      </c>
      <c r="AF20" s="1653">
        <v>1651</v>
      </c>
      <c r="AG20" s="1653">
        <v>3564</v>
      </c>
      <c r="AH20" s="1806">
        <f t="shared" si="10"/>
        <v>84696.281192830007</v>
      </c>
      <c r="AI20" s="1806">
        <v>26469</v>
      </c>
      <c r="AJ20" s="1806">
        <v>-37625</v>
      </c>
      <c r="AK20" s="1808">
        <f t="shared" si="11"/>
        <v>3.1998292792636671</v>
      </c>
      <c r="AL20" s="1808">
        <f t="shared" si="12"/>
        <v>-2.251063951968904</v>
      </c>
    </row>
    <row r="21" spans="2:38" s="1714" customFormat="1" ht="14.85" customHeight="1">
      <c r="B21" s="1695" t="s">
        <v>2087</v>
      </c>
      <c r="C21" s="1696" t="s">
        <v>2088</v>
      </c>
      <c r="D21" s="1696" t="s">
        <v>2089</v>
      </c>
      <c r="E21" s="1810">
        <v>42166</v>
      </c>
      <c r="F21" s="1802">
        <v>12</v>
      </c>
      <c r="G21" s="1802">
        <v>14</v>
      </c>
      <c r="H21" s="1802">
        <v>16</v>
      </c>
      <c r="I21" s="1802">
        <v>13.75</v>
      </c>
      <c r="J21" s="1717">
        <f t="shared" si="0"/>
        <v>8701.0920000000006</v>
      </c>
      <c r="K21" s="1717">
        <v>4600</v>
      </c>
      <c r="L21" s="1432">
        <v>13301.092000000001</v>
      </c>
      <c r="M21" s="1803">
        <f t="shared" si="13"/>
        <v>104413.10400000001</v>
      </c>
      <c r="N21" s="1717">
        <v>48000</v>
      </c>
      <c r="O21" s="1803">
        <f t="shared" si="5"/>
        <v>152413.10399999999</v>
      </c>
      <c r="P21" s="1804">
        <v>15391000</v>
      </c>
      <c r="Q21" s="1804">
        <v>20775000</v>
      </c>
      <c r="R21" s="1717">
        <f t="shared" si="1"/>
        <v>9.9027421220193607E-3</v>
      </c>
      <c r="S21" s="1803">
        <f t="shared" si="2"/>
        <v>7.3363708303249096E-3</v>
      </c>
      <c r="T21" s="1804">
        <f t="shared" si="14"/>
        <v>141544.10399999999</v>
      </c>
      <c r="U21" s="1717">
        <f t="shared" si="16"/>
        <v>9.1965501916704568E-3</v>
      </c>
      <c r="V21" s="1803">
        <f t="shared" si="16"/>
        <v>6.8131939350180503E-3</v>
      </c>
      <c r="W21" s="1804">
        <v>163771020</v>
      </c>
      <c r="X21" s="1717">
        <f t="shared" si="15"/>
        <v>10.640700409330128</v>
      </c>
      <c r="Y21" s="1803">
        <f t="shared" si="15"/>
        <v>7.8830815884476531</v>
      </c>
      <c r="Z21" s="1803"/>
      <c r="AA21" s="1803">
        <f t="shared" si="17"/>
        <v>119640.01500000001</v>
      </c>
      <c r="AB21" s="1805">
        <v>42170</v>
      </c>
      <c r="AC21" s="1805">
        <f t="shared" si="3"/>
        <v>42200</v>
      </c>
      <c r="AD21" s="1706" t="s">
        <v>2090</v>
      </c>
      <c r="AE21" s="1706">
        <v>152413.10399999999</v>
      </c>
      <c r="AF21" s="1653">
        <v>25251</v>
      </c>
      <c r="AG21" s="1653">
        <v>14382</v>
      </c>
      <c r="AH21" s="1806">
        <f t="shared" si="10"/>
        <v>141544.10399999999</v>
      </c>
      <c r="AI21" s="1806">
        <v>74624</v>
      </c>
      <c r="AJ21" s="1806">
        <v>-42901</v>
      </c>
      <c r="AK21" s="1808">
        <f t="shared" si="11"/>
        <v>1.8967638293310463</v>
      </c>
      <c r="AL21" s="1808">
        <f t="shared" si="12"/>
        <v>-3.2993194564229271</v>
      </c>
    </row>
    <row r="22" spans="2:38" s="1673" customFormat="1" ht="14.85" customHeight="1">
      <c r="B22" s="1695" t="s">
        <v>2091</v>
      </c>
      <c r="C22" s="1696" t="s">
        <v>2092</v>
      </c>
      <c r="D22" s="1696" t="s">
        <v>2093</v>
      </c>
      <c r="E22" s="1810">
        <v>42159</v>
      </c>
      <c r="F22" s="1802">
        <v>15</v>
      </c>
      <c r="G22" s="1802">
        <v>15</v>
      </c>
      <c r="H22" s="1802">
        <v>17</v>
      </c>
      <c r="I22" s="1802">
        <v>15.80622</v>
      </c>
      <c r="J22" s="1717">
        <f t="shared" si="0"/>
        <v>17910.787</v>
      </c>
      <c r="K22" s="1717">
        <v>7302.5</v>
      </c>
      <c r="L22" s="1432">
        <v>25213.287</v>
      </c>
      <c r="M22" s="1803">
        <f t="shared" si="13"/>
        <v>268661.80499999999</v>
      </c>
      <c r="N22" s="1717">
        <v>95250</v>
      </c>
      <c r="O22" s="1803">
        <f t="shared" si="5"/>
        <v>363911.80499999999</v>
      </c>
      <c r="P22" s="1804" t="s">
        <v>13</v>
      </c>
      <c r="Q22" s="1804" t="s">
        <v>13</v>
      </c>
      <c r="R22" s="1717" t="str">
        <f t="shared" si="1"/>
        <v>n/a</v>
      </c>
      <c r="S22" s="1803" t="str">
        <f t="shared" si="2"/>
        <v>n/a</v>
      </c>
      <c r="T22" s="1804" t="s">
        <v>13</v>
      </c>
      <c r="U22" s="1717" t="str">
        <f t="shared" si="16"/>
        <v>n/a</v>
      </c>
      <c r="V22" s="1803" t="str">
        <f t="shared" si="16"/>
        <v>n/a</v>
      </c>
      <c r="W22" s="1804" t="s">
        <v>13</v>
      </c>
      <c r="X22" s="1717" t="str">
        <f t="shared" si="15"/>
        <v>n/a</v>
      </c>
      <c r="Y22" s="1803" t="str">
        <f t="shared" si="15"/>
        <v>n/a</v>
      </c>
      <c r="Z22" s="1803"/>
      <c r="AA22" s="1803">
        <f t="shared" si="17"/>
        <v>283101.83969514002</v>
      </c>
      <c r="AB22" s="1805">
        <v>42171</v>
      </c>
      <c r="AC22" s="1805">
        <v>42201</v>
      </c>
      <c r="AD22" s="1706" t="s">
        <v>2092</v>
      </c>
      <c r="AE22" s="1706">
        <v>363911.80499999999</v>
      </c>
      <c r="AF22" s="1653">
        <v>32981</v>
      </c>
      <c r="AG22" s="1653">
        <v>39481</v>
      </c>
      <c r="AH22" s="1806">
        <f t="shared" si="10"/>
        <v>370411.80499999999</v>
      </c>
      <c r="AI22" s="1806">
        <v>0</v>
      </c>
      <c r="AJ22" s="1806">
        <v>-32861</v>
      </c>
      <c r="AK22" s="1808" t="str">
        <f t="shared" si="11"/>
        <v>n/a</v>
      </c>
      <c r="AL22" s="1808">
        <f t="shared" si="12"/>
        <v>-11.272079516752381</v>
      </c>
    </row>
    <row r="23" spans="2:38" s="1673" customFormat="1" ht="14.85" customHeight="1">
      <c r="B23" s="1695" t="s">
        <v>1633</v>
      </c>
      <c r="C23" s="1696" t="s">
        <v>1634</v>
      </c>
      <c r="D23" s="1696" t="s">
        <v>1635</v>
      </c>
      <c r="E23" s="1810">
        <v>42048</v>
      </c>
      <c r="F23" s="1802">
        <v>12</v>
      </c>
      <c r="G23" s="1802">
        <v>14</v>
      </c>
      <c r="H23" s="1802">
        <v>16</v>
      </c>
      <c r="I23" s="1802">
        <v>9.75</v>
      </c>
      <c r="J23" s="1717">
        <f t="shared" si="0"/>
        <v>6905.3259999999991</v>
      </c>
      <c r="K23" s="1717">
        <v>5000</v>
      </c>
      <c r="L23" s="1432">
        <v>11905.325999999999</v>
      </c>
      <c r="M23" s="1803">
        <f t="shared" si="13"/>
        <v>82863.911999999982</v>
      </c>
      <c r="N23" s="1717">
        <v>60000</v>
      </c>
      <c r="O23" s="1803">
        <f t="shared" si="5"/>
        <v>142863.91199999998</v>
      </c>
      <c r="P23" s="1804">
        <v>0</v>
      </c>
      <c r="Q23" s="1804">
        <v>0</v>
      </c>
      <c r="R23" s="1717" t="str">
        <f t="shared" si="1"/>
        <v>n/a</v>
      </c>
      <c r="S23" s="1803" t="str">
        <f t="shared" si="2"/>
        <v>n/a</v>
      </c>
      <c r="T23" s="1804">
        <f t="shared" si="14"/>
        <v>112258.91199999998</v>
      </c>
      <c r="U23" s="1717" t="str">
        <f t="shared" si="16"/>
        <v>n/a</v>
      </c>
      <c r="V23" s="1803" t="str">
        <f t="shared" si="16"/>
        <v>n/a</v>
      </c>
      <c r="W23" s="1804">
        <v>95221930</v>
      </c>
      <c r="X23" s="1717" t="str">
        <f t="shared" si="15"/>
        <v>n/a</v>
      </c>
      <c r="Y23" s="1803" t="str">
        <f t="shared" si="15"/>
        <v>n/a</v>
      </c>
      <c r="Z23" s="1803"/>
      <c r="AA23" s="1803">
        <f t="shared" si="17"/>
        <v>67326.928499999995</v>
      </c>
      <c r="AB23" s="1805">
        <v>42048</v>
      </c>
      <c r="AC23" s="1805">
        <f t="shared" ref="AC23:AC40" si="18">+AB23+30</f>
        <v>42078</v>
      </c>
      <c r="AD23" s="1706" t="s">
        <v>1636</v>
      </c>
      <c r="AE23" s="1706">
        <v>142863.91199999998</v>
      </c>
      <c r="AF23" s="1653">
        <v>30605</v>
      </c>
      <c r="AG23" s="1653">
        <v>0</v>
      </c>
      <c r="AH23" s="1806">
        <f t="shared" si="10"/>
        <v>112258.91199999998</v>
      </c>
      <c r="AI23" s="1806">
        <v>14797</v>
      </c>
      <c r="AJ23" s="1806">
        <v>-48150</v>
      </c>
      <c r="AK23" s="1808">
        <f t="shared" si="11"/>
        <v>7.5865994458336141</v>
      </c>
      <c r="AL23" s="1808">
        <f t="shared" si="12"/>
        <v>-2.3314415784008302</v>
      </c>
    </row>
    <row r="24" spans="2:38" s="1673" customFormat="1" ht="14.85" customHeight="1">
      <c r="B24" s="1695" t="s">
        <v>2094</v>
      </c>
      <c r="C24" s="1696" t="s">
        <v>2095</v>
      </c>
      <c r="D24" s="1696" t="s">
        <v>2096</v>
      </c>
      <c r="E24" s="1810">
        <v>42034</v>
      </c>
      <c r="F24" s="1802">
        <v>13</v>
      </c>
      <c r="G24" s="1802">
        <v>12</v>
      </c>
      <c r="H24" s="1802">
        <v>14</v>
      </c>
      <c r="I24" s="1802">
        <v>11.4</v>
      </c>
      <c r="J24" s="1717">
        <f t="shared" si="0"/>
        <v>7211.277</v>
      </c>
      <c r="K24" s="1717">
        <v>5000</v>
      </c>
      <c r="L24" s="1432">
        <v>12211.277</v>
      </c>
      <c r="M24" s="1803">
        <f t="shared" si="13"/>
        <v>93746.600999999995</v>
      </c>
      <c r="N24" s="1717">
        <v>65000</v>
      </c>
      <c r="O24" s="1803">
        <f t="shared" si="5"/>
        <v>158746.601</v>
      </c>
      <c r="P24" s="1804">
        <v>11536000</v>
      </c>
      <c r="Q24" s="1804">
        <v>10923500</v>
      </c>
      <c r="R24" s="1717">
        <f t="shared" si="1"/>
        <v>1.3760974427877947E-2</v>
      </c>
      <c r="S24" s="1717">
        <f t="shared" si="2"/>
        <v>1.4532576646679177E-2</v>
      </c>
      <c r="T24" s="1804">
        <f t="shared" si="14"/>
        <v>179272.601</v>
      </c>
      <c r="U24" s="1717">
        <f t="shared" si="16"/>
        <v>1.554027401178918E-2</v>
      </c>
      <c r="V24" s="1803">
        <f t="shared" si="16"/>
        <v>1.6411644710944293E-2</v>
      </c>
      <c r="W24" s="1804">
        <v>137148000</v>
      </c>
      <c r="X24" s="1717">
        <f t="shared" si="15"/>
        <v>11.88869625520111</v>
      </c>
      <c r="Y24" s="1803">
        <f t="shared" si="15"/>
        <v>12.555316519430585</v>
      </c>
      <c r="Z24" s="1803"/>
      <c r="AA24" s="1803">
        <f t="shared" si="17"/>
        <v>82208.55780000001</v>
      </c>
      <c r="AB24" s="1805">
        <v>42034</v>
      </c>
      <c r="AC24" s="1805">
        <f t="shared" si="18"/>
        <v>42064</v>
      </c>
      <c r="AD24" s="1706" t="s">
        <v>2097</v>
      </c>
      <c r="AE24" s="1706">
        <v>158746.601</v>
      </c>
      <c r="AF24" s="1653">
        <v>12213</v>
      </c>
      <c r="AG24" s="1653">
        <v>32738.999999999996</v>
      </c>
      <c r="AH24" s="1806">
        <f t="shared" si="10"/>
        <v>179272.601</v>
      </c>
      <c r="AI24" s="1806">
        <v>68509</v>
      </c>
      <c r="AJ24" s="1806">
        <v>-19324</v>
      </c>
      <c r="AK24" s="1808">
        <f t="shared" si="11"/>
        <v>2.6167744529915775</v>
      </c>
      <c r="AL24" s="1808">
        <f t="shared" si="12"/>
        <v>-9.2771993893603799</v>
      </c>
    </row>
    <row r="25" spans="2:38" s="1673" customFormat="1" ht="14.85" customHeight="1">
      <c r="B25" s="1695" t="s">
        <v>2098</v>
      </c>
      <c r="C25" s="1696" t="s">
        <v>2099</v>
      </c>
      <c r="D25" s="1696" t="s">
        <v>2100</v>
      </c>
      <c r="E25" s="1810">
        <v>42032</v>
      </c>
      <c r="F25" s="1802">
        <v>17</v>
      </c>
      <c r="G25" s="1802">
        <v>15</v>
      </c>
      <c r="H25" s="1802">
        <v>17</v>
      </c>
      <c r="I25" s="1802">
        <v>21.75</v>
      </c>
      <c r="J25" s="1717">
        <f t="shared" si="0"/>
        <v>13039.407000000001</v>
      </c>
      <c r="K25" s="1717">
        <v>5294.1170000000002</v>
      </c>
      <c r="L25" s="1432">
        <v>18333.524000000001</v>
      </c>
      <c r="M25" s="1803">
        <f t="shared" si="13"/>
        <v>221669.91900000002</v>
      </c>
      <c r="N25" s="1717">
        <v>78260.86</v>
      </c>
      <c r="O25" s="1803">
        <f t="shared" si="5"/>
        <v>299930.77900000004</v>
      </c>
      <c r="P25" s="1804">
        <v>44764000</v>
      </c>
      <c r="Q25" s="1804">
        <v>61076400</v>
      </c>
      <c r="R25" s="1717">
        <f t="shared" si="1"/>
        <v>6.7002676034313294E-3</v>
      </c>
      <c r="S25" s="1717">
        <f t="shared" si="2"/>
        <v>4.9107475064018189E-3</v>
      </c>
      <c r="T25" s="1804">
        <f t="shared" si="14"/>
        <v>313902.77900000004</v>
      </c>
      <c r="U25" s="1717">
        <f t="shared" si="16"/>
        <v>7.0123934188186946E-3</v>
      </c>
      <c r="V25" s="1803">
        <f t="shared" si="16"/>
        <v>5.1395101708679629E-3</v>
      </c>
      <c r="W25" s="1804">
        <v>405211000</v>
      </c>
      <c r="X25" s="1717">
        <f t="shared" si="15"/>
        <v>9.0521624519703341</v>
      </c>
      <c r="Y25" s="1803">
        <f t="shared" si="15"/>
        <v>6.634493847050579</v>
      </c>
      <c r="Z25" s="1803"/>
      <c r="AA25" s="1803">
        <f t="shared" si="17"/>
        <v>283607.10225</v>
      </c>
      <c r="AB25" s="1805">
        <v>42033</v>
      </c>
      <c r="AC25" s="1805">
        <f t="shared" si="18"/>
        <v>42063</v>
      </c>
      <c r="AD25" s="1706" t="s">
        <v>2101</v>
      </c>
      <c r="AE25" s="1706">
        <v>299930.77900000004</v>
      </c>
      <c r="AF25" s="1653">
        <v>1028</v>
      </c>
      <c r="AG25" s="1653">
        <v>15000</v>
      </c>
      <c r="AH25" s="1806">
        <f t="shared" si="10"/>
        <v>313902.77900000004</v>
      </c>
      <c r="AI25" s="1806">
        <v>0</v>
      </c>
      <c r="AJ25" s="1806">
        <v>-26747</v>
      </c>
      <c r="AK25" s="1808" t="str">
        <f t="shared" si="11"/>
        <v>n/a</v>
      </c>
      <c r="AL25" s="1808">
        <f t="shared" si="12"/>
        <v>-11.735999513964185</v>
      </c>
    </row>
    <row r="26" spans="2:38" s="1673" customFormat="1" ht="14.85" customHeight="1">
      <c r="B26" s="1695" t="s">
        <v>1652</v>
      </c>
      <c r="C26" s="1696" t="s">
        <v>1653</v>
      </c>
      <c r="D26" s="1696" t="s">
        <v>1654</v>
      </c>
      <c r="E26" s="1810">
        <v>42030</v>
      </c>
      <c r="F26" s="1802">
        <v>11</v>
      </c>
      <c r="G26" s="1802">
        <v>10</v>
      </c>
      <c r="H26" s="1802">
        <v>12</v>
      </c>
      <c r="I26" s="1802">
        <v>11.04</v>
      </c>
      <c r="J26" s="1717">
        <f t="shared" si="0"/>
        <v>6641.1119999999992</v>
      </c>
      <c r="K26" s="1717">
        <v>5175</v>
      </c>
      <c r="L26" s="1432">
        <v>11816.111999999999</v>
      </c>
      <c r="M26" s="1803">
        <f t="shared" si="13"/>
        <v>73052.231999999989</v>
      </c>
      <c r="N26" s="1717">
        <v>49500</v>
      </c>
      <c r="O26" s="1803">
        <f t="shared" si="5"/>
        <v>122552.23199999999</v>
      </c>
      <c r="P26" s="1804">
        <v>3043000</v>
      </c>
      <c r="Q26" s="1804">
        <v>313000</v>
      </c>
      <c r="R26" s="1717">
        <f t="shared" si="1"/>
        <v>4.0273490634242522E-2</v>
      </c>
      <c r="S26" s="1717">
        <f t="shared" si="2"/>
        <v>0.39154067731629388</v>
      </c>
      <c r="T26" s="1804">
        <f t="shared" si="14"/>
        <v>140512.23199999999</v>
      </c>
      <c r="U26" s="1717">
        <f t="shared" si="16"/>
        <v>4.6175560959579358E-2</v>
      </c>
      <c r="V26" s="1803">
        <f t="shared" si="16"/>
        <v>0.44892086900958461</v>
      </c>
      <c r="W26" s="1804">
        <v>142156640</v>
      </c>
      <c r="X26" s="1717">
        <f t="shared" si="15"/>
        <v>46.715951363785734</v>
      </c>
      <c r="Y26" s="1803">
        <f t="shared" si="15"/>
        <v>454.17456869009584</v>
      </c>
      <c r="Z26" s="1803"/>
      <c r="AA26" s="1803">
        <f t="shared" si="17"/>
        <v>73317.876479999992</v>
      </c>
      <c r="AB26" s="1805">
        <v>42031</v>
      </c>
      <c r="AC26" s="1805">
        <f t="shared" si="18"/>
        <v>42061</v>
      </c>
      <c r="AD26" s="1706" t="s">
        <v>1655</v>
      </c>
      <c r="AE26" s="1706">
        <v>122552.23199999999</v>
      </c>
      <c r="AF26" s="1653">
        <v>2303</v>
      </c>
      <c r="AG26" s="1653">
        <v>20263</v>
      </c>
      <c r="AH26" s="1806">
        <f t="shared" si="10"/>
        <v>140512.23199999999</v>
      </c>
      <c r="AI26" s="1806">
        <v>6679</v>
      </c>
      <c r="AJ26" s="1806">
        <v>-24087</v>
      </c>
      <c r="AK26" s="1808">
        <f t="shared" si="11"/>
        <v>21.037914657882915</v>
      </c>
      <c r="AL26" s="1808">
        <f t="shared" si="12"/>
        <v>-5.8335297878523678</v>
      </c>
    </row>
    <row r="27" spans="2:38" s="1673" customFormat="1" ht="14.85" customHeight="1">
      <c r="B27" s="1695" t="s">
        <v>2102</v>
      </c>
      <c r="C27" s="1696" t="s">
        <v>2103</v>
      </c>
      <c r="D27" s="1696" t="s">
        <v>2104</v>
      </c>
      <c r="E27" s="1810">
        <v>41962</v>
      </c>
      <c r="F27" s="1802">
        <v>9</v>
      </c>
      <c r="G27" s="1802">
        <v>0</v>
      </c>
      <c r="H27" s="1802">
        <v>0</v>
      </c>
      <c r="I27" s="1802">
        <v>11.19</v>
      </c>
      <c r="J27" s="1717">
        <f t="shared" si="0"/>
        <v>31125.572999999997</v>
      </c>
      <c r="K27" s="1717">
        <v>4025</v>
      </c>
      <c r="L27" s="1432">
        <v>35150.572999999997</v>
      </c>
      <c r="M27" s="1803">
        <f t="shared" si="13"/>
        <v>280130.15699999995</v>
      </c>
      <c r="N27" s="1717">
        <v>31500</v>
      </c>
      <c r="O27" s="1803">
        <f t="shared" si="5"/>
        <v>311630.15699999995</v>
      </c>
      <c r="P27" s="1804">
        <v>2441260</v>
      </c>
      <c r="Q27" s="1804">
        <v>0</v>
      </c>
      <c r="R27" s="1717">
        <f t="shared" si="1"/>
        <v>0.12765135913421755</v>
      </c>
      <c r="S27" s="1717" t="str">
        <f t="shared" si="2"/>
        <v>n/a</v>
      </c>
      <c r="T27" s="1804">
        <f t="shared" si="14"/>
        <v>335839.81699999992</v>
      </c>
      <c r="U27" s="1717">
        <f t="shared" si="16"/>
        <v>0.13756822993044573</v>
      </c>
      <c r="V27" s="1803" t="str">
        <f t="shared" si="16"/>
        <v>n/a</v>
      </c>
      <c r="W27" s="1804">
        <v>410977260</v>
      </c>
      <c r="X27" s="1717">
        <f t="shared" si="15"/>
        <v>168.34637031696747</v>
      </c>
      <c r="Y27" s="1803" t="str">
        <f t="shared" si="15"/>
        <v>n/a</v>
      </c>
      <c r="Z27" s="1803"/>
      <c r="AA27" s="1803">
        <f t="shared" si="17"/>
        <v>348295.16186999995</v>
      </c>
      <c r="AB27" s="1805">
        <v>41962</v>
      </c>
      <c r="AC27" s="1805">
        <f t="shared" si="18"/>
        <v>41992</v>
      </c>
      <c r="AD27" s="1706" t="s">
        <v>2105</v>
      </c>
      <c r="AE27" s="1706">
        <v>311630.15699999995</v>
      </c>
      <c r="AF27" s="1653">
        <v>977.4</v>
      </c>
      <c r="AG27" s="1653">
        <v>25187.06</v>
      </c>
      <c r="AH27" s="1806">
        <f t="shared" si="10"/>
        <v>335839.81699999992</v>
      </c>
      <c r="AI27" s="1806">
        <v>145577</v>
      </c>
      <c r="AJ27" s="1806">
        <v>-44540</v>
      </c>
      <c r="AK27" s="1808">
        <f t="shared" si="11"/>
        <v>2.306956572810265</v>
      </c>
      <c r="AL27" s="1808">
        <f t="shared" si="12"/>
        <v>-7.5401844858554092</v>
      </c>
    </row>
    <row r="28" spans="2:38" s="1673" customFormat="1" ht="14.85" customHeight="1">
      <c r="B28" s="1695" t="s">
        <v>2106</v>
      </c>
      <c r="C28" s="1696" t="s">
        <v>2107</v>
      </c>
      <c r="D28" s="1696" t="s">
        <v>2108</v>
      </c>
      <c r="E28" s="1810">
        <v>41948</v>
      </c>
      <c r="F28" s="1802">
        <v>18</v>
      </c>
      <c r="G28" s="1802">
        <v>15</v>
      </c>
      <c r="H28" s="1802">
        <v>17</v>
      </c>
      <c r="I28" s="1802">
        <v>35.86</v>
      </c>
      <c r="J28" s="1717">
        <f t="shared" si="0"/>
        <v>16543.131000000001</v>
      </c>
      <c r="K28" s="1717">
        <v>8050</v>
      </c>
      <c r="L28" s="1432">
        <v>24593.131000000001</v>
      </c>
      <c r="M28" s="1803">
        <f t="shared" si="13"/>
        <v>297776.35800000001</v>
      </c>
      <c r="N28" s="1717">
        <v>126000</v>
      </c>
      <c r="O28" s="1803">
        <f t="shared" si="5"/>
        <v>423776.35800000001</v>
      </c>
      <c r="P28" s="1804">
        <v>26584000</v>
      </c>
      <c r="Q28" s="1804">
        <v>31448010</v>
      </c>
      <c r="R28" s="1717">
        <f t="shared" si="1"/>
        <v>1.5941030619921758E-2</v>
      </c>
      <c r="S28" s="1717">
        <f t="shared" si="2"/>
        <v>1.3475458637923354E-2</v>
      </c>
      <c r="T28" s="1804">
        <f t="shared" si="14"/>
        <v>406382.35800000001</v>
      </c>
      <c r="U28" s="1717">
        <f t="shared" si="16"/>
        <v>1.5286727279566656E-2</v>
      </c>
      <c r="V28" s="1803">
        <f t="shared" si="16"/>
        <v>1.2922355277806132E-2</v>
      </c>
      <c r="W28" s="1804">
        <v>1010615700</v>
      </c>
      <c r="X28" s="1717">
        <f t="shared" si="15"/>
        <v>38.015938158290702</v>
      </c>
      <c r="Y28" s="1803">
        <f t="shared" si="15"/>
        <v>32.136077926711422</v>
      </c>
      <c r="Z28" s="1803"/>
      <c r="AA28" s="1803">
        <f t="shared" si="17"/>
        <v>593236.67766000004</v>
      </c>
      <c r="AB28" s="1805">
        <v>41949</v>
      </c>
      <c r="AC28" s="1805">
        <f t="shared" si="18"/>
        <v>41979</v>
      </c>
      <c r="AD28" s="1706" t="s">
        <v>2109</v>
      </c>
      <c r="AE28" s="1706">
        <v>423776.35800000001</v>
      </c>
      <c r="AF28" s="1653">
        <v>17394</v>
      </c>
      <c r="AG28" s="1653">
        <v>0</v>
      </c>
      <c r="AH28" s="1806">
        <f t="shared" si="10"/>
        <v>406382.35800000001</v>
      </c>
      <c r="AI28" s="1806">
        <v>2618.1800000000003</v>
      </c>
      <c r="AJ28" s="1806">
        <v>-27556.27</v>
      </c>
      <c r="AK28" s="1808">
        <f t="shared" si="11"/>
        <v>155.21559174693868</v>
      </c>
      <c r="AL28" s="1808">
        <f t="shared" si="12"/>
        <v>-14.747364501799408</v>
      </c>
    </row>
    <row r="29" spans="2:38" s="1673" customFormat="1" ht="14.85" customHeight="1">
      <c r="B29" s="1695" t="s">
        <v>2110</v>
      </c>
      <c r="C29" s="1698" t="s">
        <v>2111</v>
      </c>
      <c r="D29" s="1696" t="s">
        <v>2112</v>
      </c>
      <c r="E29" s="1810">
        <v>41920</v>
      </c>
      <c r="F29" s="1802">
        <v>7</v>
      </c>
      <c r="G29" s="1802">
        <v>6</v>
      </c>
      <c r="H29" s="1802">
        <v>7</v>
      </c>
      <c r="I29" s="1802" t="s">
        <v>13</v>
      </c>
      <c r="J29" s="1717">
        <f t="shared" si="0"/>
        <v>3928.4620000000004</v>
      </c>
      <c r="K29" s="1717">
        <v>1150</v>
      </c>
      <c r="L29" s="1432">
        <v>5078.4620000000004</v>
      </c>
      <c r="M29" s="1803">
        <f t="shared" si="13"/>
        <v>27499.234000000004</v>
      </c>
      <c r="N29" s="1717">
        <v>8050.0000000000009</v>
      </c>
      <c r="O29" s="1803">
        <f t="shared" si="5"/>
        <v>35549.234000000004</v>
      </c>
      <c r="P29" s="1804" t="s">
        <v>13</v>
      </c>
      <c r="Q29" s="1804" t="s">
        <v>13</v>
      </c>
      <c r="R29" s="1717" t="str">
        <f t="shared" si="1"/>
        <v>n/a</v>
      </c>
      <c r="S29" s="1717" t="str">
        <f t="shared" si="2"/>
        <v>n/a</v>
      </c>
      <c r="T29" s="1804" t="s">
        <v>13</v>
      </c>
      <c r="U29" s="1717" t="str">
        <f t="shared" si="16"/>
        <v>n/a</v>
      </c>
      <c r="V29" s="1803" t="str">
        <f t="shared" si="16"/>
        <v>n/a</v>
      </c>
      <c r="W29" s="1804" t="s">
        <v>13</v>
      </c>
      <c r="X29" s="1717" t="str">
        <f t="shared" si="15"/>
        <v>n/a</v>
      </c>
      <c r="Y29" s="1803" t="str">
        <f t="shared" si="15"/>
        <v>n/a</v>
      </c>
      <c r="Z29" s="1803"/>
      <c r="AA29" s="1811">
        <v>996023842737.35803</v>
      </c>
      <c r="AB29" s="1805">
        <v>41921</v>
      </c>
      <c r="AC29" s="1805">
        <v>41951</v>
      </c>
      <c r="AD29" s="1706" t="s">
        <v>2111</v>
      </c>
      <c r="AE29" s="1706">
        <v>35549.234000000004</v>
      </c>
      <c r="AF29" s="1653">
        <v>412.75</v>
      </c>
      <c r="AG29" s="1653">
        <v>4079.5899999999997</v>
      </c>
      <c r="AH29" s="1806">
        <f t="shared" si="10"/>
        <v>39216.074000000001</v>
      </c>
      <c r="AI29" s="1806">
        <v>67932</v>
      </c>
      <c r="AJ29" s="1806">
        <v>-29239</v>
      </c>
      <c r="AK29" s="1808">
        <f t="shared" si="11"/>
        <v>0.57728425484307833</v>
      </c>
      <c r="AL29" s="1808">
        <f t="shared" si="12"/>
        <v>-1.3412248708916175</v>
      </c>
    </row>
    <row r="30" spans="2:38" s="1755" customFormat="1" ht="14.85" customHeight="1">
      <c r="B30" s="1695" t="s">
        <v>1686</v>
      </c>
      <c r="C30" s="1698" t="s">
        <v>1687</v>
      </c>
      <c r="D30" s="1698" t="s">
        <v>1688</v>
      </c>
      <c r="E30" s="1699">
        <v>41843</v>
      </c>
      <c r="F30" s="1812">
        <v>11</v>
      </c>
      <c r="G30" s="1812">
        <v>11</v>
      </c>
      <c r="H30" s="1812">
        <v>13</v>
      </c>
      <c r="I30" s="1812">
        <v>15.86</v>
      </c>
      <c r="J30" s="1717">
        <f t="shared" si="0"/>
        <v>16751.808000000001</v>
      </c>
      <c r="K30" s="1717">
        <v>5750</v>
      </c>
      <c r="L30" s="1432">
        <v>22501.808000000001</v>
      </c>
      <c r="M30" s="1809">
        <f t="shared" si="13"/>
        <v>184269.88800000001</v>
      </c>
      <c r="N30" s="1717">
        <v>55000</v>
      </c>
      <c r="O30" s="1803">
        <f t="shared" si="5"/>
        <v>239269.88800000001</v>
      </c>
      <c r="P30" s="1804">
        <v>22384000</v>
      </c>
      <c r="Q30" s="1804">
        <v>38406000</v>
      </c>
      <c r="R30" s="1717">
        <f t="shared" si="1"/>
        <v>1.0689326661901359E-2</v>
      </c>
      <c r="S30" s="1717">
        <f t="shared" si="2"/>
        <v>6.2300132270999321E-3</v>
      </c>
      <c r="T30" s="1804">
        <f t="shared" si="14"/>
        <v>233071.88800000001</v>
      </c>
      <c r="U30" s="1717">
        <f t="shared" si="16"/>
        <v>1.0412432451751252E-2</v>
      </c>
      <c r="V30" s="1803">
        <f t="shared" si="16"/>
        <v>6.0686321928865279E-3</v>
      </c>
      <c r="W30" s="1804">
        <v>350683720</v>
      </c>
      <c r="X30" s="1717">
        <f t="shared" si="15"/>
        <v>15.666713724088634</v>
      </c>
      <c r="Y30" s="1803">
        <f t="shared" si="15"/>
        <v>9.1309618288809045</v>
      </c>
      <c r="Z30" s="1809"/>
      <c r="AA30" s="1809">
        <f t="shared" si="17"/>
        <v>265683.67488000001</v>
      </c>
      <c r="AB30" s="1813">
        <v>41844</v>
      </c>
      <c r="AC30" s="1813">
        <f t="shared" si="18"/>
        <v>41874</v>
      </c>
      <c r="AD30" s="1764" t="s">
        <v>1689</v>
      </c>
      <c r="AE30" s="1764">
        <v>239269.88800000001</v>
      </c>
      <c r="AF30" s="1653">
        <v>7478</v>
      </c>
      <c r="AG30" s="1653">
        <v>1280</v>
      </c>
      <c r="AH30" s="1806">
        <f t="shared" si="10"/>
        <v>233071.88800000001</v>
      </c>
      <c r="AI30" s="1806">
        <v>6460</v>
      </c>
      <c r="AJ30" s="1806">
        <v>-26733</v>
      </c>
      <c r="AK30" s="1808">
        <f t="shared" si="11"/>
        <v>36.079239628482974</v>
      </c>
      <c r="AL30" s="1808">
        <f t="shared" si="12"/>
        <v>-8.7185085100811737</v>
      </c>
    </row>
    <row r="31" spans="2:38" s="1673" customFormat="1" ht="14.85" customHeight="1">
      <c r="B31" s="1695" t="s">
        <v>1691</v>
      </c>
      <c r="C31" s="1696" t="s">
        <v>1692</v>
      </c>
      <c r="D31" s="1696" t="s">
        <v>1693</v>
      </c>
      <c r="E31" s="1810">
        <v>41836</v>
      </c>
      <c r="F31" s="1802">
        <v>12</v>
      </c>
      <c r="G31" s="1802">
        <v>14</v>
      </c>
      <c r="H31" s="1802">
        <v>16</v>
      </c>
      <c r="I31" s="1802">
        <v>124.8</v>
      </c>
      <c r="J31" s="1717">
        <f t="shared" si="0"/>
        <v>12631.596000000001</v>
      </c>
      <c r="K31" s="1717">
        <v>5000</v>
      </c>
      <c r="L31" s="1432">
        <v>17631.596000000001</v>
      </c>
      <c r="M31" s="1803">
        <f t="shared" si="13"/>
        <v>151579.152</v>
      </c>
      <c r="N31" s="1717">
        <v>60000</v>
      </c>
      <c r="O31" s="1803">
        <f t="shared" si="5"/>
        <v>211579.152</v>
      </c>
      <c r="P31" s="1804">
        <v>2744000</v>
      </c>
      <c r="Q31" s="1804">
        <v>5125110</v>
      </c>
      <c r="R31" s="1717">
        <f t="shared" si="1"/>
        <v>7.7106104956268226E-2</v>
      </c>
      <c r="S31" s="1717">
        <f t="shared" si="2"/>
        <v>4.1282850904663507E-2</v>
      </c>
      <c r="T31" s="1804">
        <f t="shared" si="14"/>
        <v>188605.152</v>
      </c>
      <c r="U31" s="1717">
        <f t="shared" si="16"/>
        <v>6.8733655976676383E-2</v>
      </c>
      <c r="V31" s="1803">
        <f t="shared" si="16"/>
        <v>3.680021541001071E-2</v>
      </c>
      <c r="W31" s="1804">
        <v>332946300</v>
      </c>
      <c r="X31" s="1717">
        <f t="shared" si="15"/>
        <v>121.33611516034985</v>
      </c>
      <c r="Y31" s="1803">
        <f t="shared" si="15"/>
        <v>64.963737363685851</v>
      </c>
      <c r="Z31" s="1803"/>
      <c r="AA31" s="1803">
        <f t="shared" si="17"/>
        <v>1576423.1808000002</v>
      </c>
      <c r="AB31" s="1805">
        <v>41838</v>
      </c>
      <c r="AC31" s="1805">
        <f t="shared" si="18"/>
        <v>41868</v>
      </c>
      <c r="AD31" s="1706" t="s">
        <v>1694</v>
      </c>
      <c r="AE31" s="1706">
        <v>211579.152</v>
      </c>
      <c r="AF31" s="1653">
        <v>32698.999999999996</v>
      </c>
      <c r="AG31" s="1653">
        <v>9725</v>
      </c>
      <c r="AH31" s="1806">
        <f t="shared" si="10"/>
        <v>188605.152</v>
      </c>
      <c r="AI31" s="1806">
        <v>35461.060000000005</v>
      </c>
      <c r="AJ31" s="1806">
        <v>13616.65</v>
      </c>
      <c r="AK31" s="1808">
        <f t="shared" si="11"/>
        <v>5.3186552235043161</v>
      </c>
      <c r="AL31" s="1808">
        <f t="shared" si="12"/>
        <v>13.85106850803979</v>
      </c>
    </row>
    <row r="32" spans="2:38" s="1673" customFormat="1" ht="14.85" customHeight="1">
      <c r="B32" s="1695" t="s">
        <v>2113</v>
      </c>
      <c r="C32" s="1696" t="s">
        <v>2114</v>
      </c>
      <c r="D32" s="1696" t="s">
        <v>2115</v>
      </c>
      <c r="E32" s="1810">
        <v>41835</v>
      </c>
      <c r="F32" s="1802">
        <v>6.25</v>
      </c>
      <c r="G32" s="1802">
        <v>0</v>
      </c>
      <c r="H32" s="1802">
        <v>0</v>
      </c>
      <c r="I32" s="1802">
        <v>10.75</v>
      </c>
      <c r="J32" s="1717">
        <f t="shared" si="0"/>
        <v>8400</v>
      </c>
      <c r="K32" s="1717">
        <v>2318.4</v>
      </c>
      <c r="L32" s="1432">
        <v>10718.4</v>
      </c>
      <c r="M32" s="1803">
        <f t="shared" si="13"/>
        <v>52500</v>
      </c>
      <c r="N32" s="1717">
        <v>12600</v>
      </c>
      <c r="O32" s="1803">
        <f t="shared" si="5"/>
        <v>65100</v>
      </c>
      <c r="P32" s="1804">
        <v>12056490</v>
      </c>
      <c r="Q32" s="1804">
        <v>15600000</v>
      </c>
      <c r="R32" s="1717">
        <f t="shared" si="1"/>
        <v>5.3995814702288971E-3</v>
      </c>
      <c r="S32" s="1717">
        <f t="shared" si="2"/>
        <v>4.1730769230769234E-3</v>
      </c>
      <c r="T32" s="1804">
        <f t="shared" si="14"/>
        <v>62191.360000000001</v>
      </c>
      <c r="U32" s="1717">
        <f t="shared" si="16"/>
        <v>5.1583304925397026E-3</v>
      </c>
      <c r="V32" s="1803">
        <f t="shared" si="16"/>
        <v>3.9866256410256411E-3</v>
      </c>
      <c r="W32" s="1804">
        <v>110703210</v>
      </c>
      <c r="X32" s="1717">
        <f t="shared" si="15"/>
        <v>9.1820430324248594</v>
      </c>
      <c r="Y32" s="1803">
        <f t="shared" si="15"/>
        <v>7.0963596153846158</v>
      </c>
      <c r="Z32" s="1803"/>
      <c r="AA32" s="1803">
        <f t="shared" si="17"/>
        <v>90300</v>
      </c>
      <c r="AB32" s="1805">
        <v>41836</v>
      </c>
      <c r="AC32" s="1805">
        <f t="shared" si="18"/>
        <v>41866</v>
      </c>
      <c r="AD32" s="1706" t="s">
        <v>2116</v>
      </c>
      <c r="AE32" s="1706">
        <v>65100</v>
      </c>
      <c r="AF32" s="1653">
        <v>2908.64</v>
      </c>
      <c r="AG32" s="1653">
        <v>0</v>
      </c>
      <c r="AH32" s="1806">
        <f t="shared" si="10"/>
        <v>62191.360000000001</v>
      </c>
      <c r="AI32" s="1806">
        <v>224262</v>
      </c>
      <c r="AJ32" s="1806">
        <v>-10153</v>
      </c>
      <c r="AK32" s="1808">
        <f t="shared" si="11"/>
        <v>0.27731563974280082</v>
      </c>
      <c r="AL32" s="1808">
        <f t="shared" si="12"/>
        <v>-6.1254171180931749</v>
      </c>
    </row>
    <row r="33" spans="2:38" s="1673" customFormat="1" ht="14.85" customHeight="1">
      <c r="B33" s="1695" t="s">
        <v>2117</v>
      </c>
      <c r="C33" s="1696" t="s">
        <v>2118</v>
      </c>
      <c r="D33" s="1696" t="s">
        <v>2119</v>
      </c>
      <c r="E33" s="1810">
        <v>41766</v>
      </c>
      <c r="F33" s="1802">
        <v>15</v>
      </c>
      <c r="G33" s="1802">
        <v>16</v>
      </c>
      <c r="H33" s="1802">
        <v>18</v>
      </c>
      <c r="I33" s="1802">
        <v>14.6</v>
      </c>
      <c r="J33" s="1717">
        <f t="shared" si="0"/>
        <v>29566.542000000001</v>
      </c>
      <c r="K33" s="1717">
        <v>9825</v>
      </c>
      <c r="L33" s="1432">
        <v>39391.542000000001</v>
      </c>
      <c r="M33" s="1803">
        <f t="shared" si="13"/>
        <v>443498.13</v>
      </c>
      <c r="N33" s="1717">
        <v>132375</v>
      </c>
      <c r="O33" s="1803">
        <f t="shared" si="5"/>
        <v>575873.13</v>
      </c>
      <c r="P33" s="1804">
        <v>155584000</v>
      </c>
      <c r="Q33" s="1804">
        <v>186350000</v>
      </c>
      <c r="R33" s="1717">
        <f t="shared" si="1"/>
        <v>3.701364729020979E-3</v>
      </c>
      <c r="S33" s="1717">
        <f t="shared" si="2"/>
        <v>3.0902770592970219E-3</v>
      </c>
      <c r="T33" s="1804">
        <f t="shared" si="14"/>
        <v>611604.13</v>
      </c>
      <c r="U33" s="1717">
        <f t="shared" si="16"/>
        <v>3.931022020259153E-3</v>
      </c>
      <c r="V33" s="1803">
        <f t="shared" si="16"/>
        <v>3.2820184062248457E-3</v>
      </c>
      <c r="W33" s="1804">
        <v>698421600</v>
      </c>
      <c r="X33" s="1717">
        <f t="shared" si="15"/>
        <v>4.4890322912381739</v>
      </c>
      <c r="Y33" s="1803">
        <f t="shared" si="15"/>
        <v>3.7479023343171454</v>
      </c>
      <c r="Z33" s="1803"/>
      <c r="AA33" s="1803">
        <f t="shared" si="17"/>
        <v>431671.51319999999</v>
      </c>
      <c r="AB33" s="1805">
        <v>41767</v>
      </c>
      <c r="AC33" s="1805">
        <f t="shared" si="18"/>
        <v>41797</v>
      </c>
      <c r="AD33" s="1706" t="s">
        <v>2120</v>
      </c>
      <c r="AE33" s="1706">
        <v>575873.13</v>
      </c>
      <c r="AF33" s="1653">
        <v>7419</v>
      </c>
      <c r="AG33" s="1653">
        <v>43150</v>
      </c>
      <c r="AH33" s="1806">
        <f t="shared" si="10"/>
        <v>611604.13</v>
      </c>
      <c r="AI33" s="1806" t="e">
        <v>#VALUE!</v>
      </c>
      <c r="AJ33" s="1806" t="e">
        <v>#VALUE!</v>
      </c>
      <c r="AK33" s="1808" t="str">
        <f t="shared" si="11"/>
        <v>n/a</v>
      </c>
      <c r="AL33" s="1808" t="str">
        <f t="shared" si="12"/>
        <v>n/a</v>
      </c>
    </row>
    <row r="34" spans="2:38" s="1673" customFormat="1" ht="14.85" customHeight="1">
      <c r="B34" s="1695" t="s">
        <v>2121</v>
      </c>
      <c r="C34" s="1696" t="s">
        <v>2122</v>
      </c>
      <c r="D34" s="1696" t="s">
        <v>2123</v>
      </c>
      <c r="E34" s="1810">
        <v>41753</v>
      </c>
      <c r="F34" s="1802">
        <v>11</v>
      </c>
      <c r="G34" s="1802">
        <v>15</v>
      </c>
      <c r="H34" s="1802">
        <v>18</v>
      </c>
      <c r="I34" s="1802">
        <v>8.3000000000000007</v>
      </c>
      <c r="J34" s="1717">
        <f t="shared" si="0"/>
        <v>11185.797</v>
      </c>
      <c r="K34" s="1717">
        <v>5000</v>
      </c>
      <c r="L34" s="1432">
        <v>16185.797</v>
      </c>
      <c r="M34" s="1803">
        <f t="shared" si="13"/>
        <v>123043.76700000001</v>
      </c>
      <c r="N34" s="1717">
        <v>55000</v>
      </c>
      <c r="O34" s="1803">
        <f t="shared" si="5"/>
        <v>178043.76699999999</v>
      </c>
      <c r="P34" s="1804">
        <v>6960000</v>
      </c>
      <c r="Q34" s="1804">
        <v>0</v>
      </c>
      <c r="R34" s="1717">
        <f t="shared" si="1"/>
        <v>2.5581001005747124E-2</v>
      </c>
      <c r="S34" s="1717" t="str">
        <f t="shared" si="2"/>
        <v>n/a</v>
      </c>
      <c r="T34" s="1804">
        <f t="shared" si="14"/>
        <v>139735.76699999999</v>
      </c>
      <c r="U34" s="1717">
        <f t="shared" si="16"/>
        <v>2.0076978017241377E-2</v>
      </c>
      <c r="V34" s="1803" t="str">
        <f t="shared" si="16"/>
        <v>n/a</v>
      </c>
      <c r="W34" s="1804">
        <v>96034120</v>
      </c>
      <c r="X34" s="1717">
        <f t="shared" si="15"/>
        <v>13.798005747126437</v>
      </c>
      <c r="Y34" s="1803" t="str">
        <f t="shared" si="15"/>
        <v>n/a</v>
      </c>
      <c r="Z34" s="1803"/>
      <c r="AA34" s="1803">
        <f t="shared" si="17"/>
        <v>92842.11510000001</v>
      </c>
      <c r="AB34" s="1805">
        <v>41754</v>
      </c>
      <c r="AC34" s="1805">
        <f t="shared" si="18"/>
        <v>41784</v>
      </c>
      <c r="AD34" s="1706" t="s">
        <v>2124</v>
      </c>
      <c r="AE34" s="1706">
        <v>178043.76699999999</v>
      </c>
      <c r="AF34" s="1653">
        <v>40866</v>
      </c>
      <c r="AG34" s="1653">
        <v>2558</v>
      </c>
      <c r="AH34" s="1806">
        <f t="shared" si="10"/>
        <v>139735.76699999999</v>
      </c>
      <c r="AI34" s="1806">
        <v>36301</v>
      </c>
      <c r="AJ34" s="1806">
        <v>-49816</v>
      </c>
      <c r="AK34" s="1808">
        <f t="shared" si="11"/>
        <v>3.8493641222004902</v>
      </c>
      <c r="AL34" s="1808">
        <f t="shared" si="12"/>
        <v>-2.8050378793961777</v>
      </c>
    </row>
    <row r="35" spans="2:38" s="1673" customFormat="1" ht="14.85" customHeight="1">
      <c r="B35" s="1695" t="s">
        <v>2125</v>
      </c>
      <c r="C35" s="1698" t="s">
        <v>2126</v>
      </c>
      <c r="D35" s="1696" t="s">
        <v>2127</v>
      </c>
      <c r="E35" s="1810">
        <v>41744</v>
      </c>
      <c r="F35" s="1802">
        <v>12</v>
      </c>
      <c r="G35" s="1802">
        <v>13</v>
      </c>
      <c r="H35" s="1802">
        <v>15</v>
      </c>
      <c r="I35" s="1802">
        <v>14.06</v>
      </c>
      <c r="J35" s="1717">
        <f t="shared" si="0"/>
        <v>12829.154999999999</v>
      </c>
      <c r="K35" s="1717">
        <v>7475</v>
      </c>
      <c r="L35" s="1432">
        <v>20304.154999999999</v>
      </c>
      <c r="M35" s="1803">
        <f t="shared" si="13"/>
        <v>153949.85999999999</v>
      </c>
      <c r="N35" s="1717">
        <v>78000</v>
      </c>
      <c r="O35" s="1803">
        <f t="shared" si="5"/>
        <v>231949.86</v>
      </c>
      <c r="P35" s="1804" t="s">
        <v>13</v>
      </c>
      <c r="Q35" s="1804" t="s">
        <v>13</v>
      </c>
      <c r="R35" s="1717" t="str">
        <f t="shared" si="1"/>
        <v>n/a</v>
      </c>
      <c r="S35" s="1717" t="str">
        <f t="shared" si="2"/>
        <v>n/a</v>
      </c>
      <c r="T35" s="1804" t="s">
        <v>13</v>
      </c>
      <c r="U35" s="1717" t="str">
        <f t="shared" si="16"/>
        <v>n/a</v>
      </c>
      <c r="V35" s="1803" t="str">
        <f t="shared" si="16"/>
        <v>n/a</v>
      </c>
      <c r="W35" s="1804" t="s">
        <v>13</v>
      </c>
      <c r="X35" s="1717" t="str">
        <f t="shared" si="15"/>
        <v>n/a</v>
      </c>
      <c r="Y35" s="1803" t="str">
        <f t="shared" si="15"/>
        <v>n/a</v>
      </c>
      <c r="Z35" s="1803"/>
      <c r="AA35" s="1811">
        <v>180377.91930000001</v>
      </c>
      <c r="AB35" s="1805">
        <v>41745</v>
      </c>
      <c r="AC35" s="1805">
        <v>41775</v>
      </c>
      <c r="AD35" s="1706" t="s">
        <v>2126</v>
      </c>
      <c r="AE35" s="1706">
        <v>231949.86</v>
      </c>
      <c r="AF35" s="1653">
        <v>38108</v>
      </c>
      <c r="AG35" s="1653">
        <v>44288</v>
      </c>
      <c r="AH35" s="1806">
        <f t="shared" si="10"/>
        <v>238129.86</v>
      </c>
      <c r="AI35" s="1806">
        <v>7632</v>
      </c>
      <c r="AJ35" s="1806">
        <v>-7146</v>
      </c>
      <c r="AK35" s="1808">
        <f t="shared" si="11"/>
        <v>31.201501572327043</v>
      </c>
      <c r="AL35" s="1808">
        <f t="shared" si="12"/>
        <v>-33.323518052057096</v>
      </c>
    </row>
    <row r="36" spans="2:38" s="1673" customFormat="1" ht="14.85" customHeight="1">
      <c r="B36" s="1695" t="s">
        <v>2128</v>
      </c>
      <c r="C36" s="1698" t="s">
        <v>2129</v>
      </c>
      <c r="D36" s="1696" t="s">
        <v>2130</v>
      </c>
      <c r="E36" s="1810">
        <v>41690</v>
      </c>
      <c r="F36" s="1802">
        <v>7</v>
      </c>
      <c r="G36" s="1802">
        <v>12</v>
      </c>
      <c r="H36" s="1802">
        <v>14</v>
      </c>
      <c r="I36" s="1802">
        <v>5.65</v>
      </c>
      <c r="J36" s="1717">
        <f t="shared" si="0"/>
        <v>3278.0169999999998</v>
      </c>
      <c r="K36" s="1717">
        <v>1430</v>
      </c>
      <c r="L36" s="1432">
        <v>4708.0169999999998</v>
      </c>
      <c r="M36" s="1803">
        <f t="shared" si="13"/>
        <v>22946.118999999999</v>
      </c>
      <c r="N36" s="1717">
        <v>10010</v>
      </c>
      <c r="O36" s="1803">
        <f t="shared" si="5"/>
        <v>32956.118999999999</v>
      </c>
      <c r="P36" s="1804" t="s">
        <v>13</v>
      </c>
      <c r="Q36" s="1804" t="s">
        <v>13</v>
      </c>
      <c r="R36" s="1717" t="str">
        <f t="shared" si="1"/>
        <v>n/a</v>
      </c>
      <c r="S36" s="1717" t="str">
        <f t="shared" si="2"/>
        <v>n/a</v>
      </c>
      <c r="T36" s="1804" t="s">
        <v>13</v>
      </c>
      <c r="U36" s="1717" t="str">
        <f t="shared" si="16"/>
        <v>n/a</v>
      </c>
      <c r="V36" s="1803" t="str">
        <f t="shared" si="16"/>
        <v>n/a</v>
      </c>
      <c r="W36" s="1804" t="s">
        <v>13</v>
      </c>
      <c r="X36" s="1717" t="str">
        <f t="shared" si="15"/>
        <v>n/a</v>
      </c>
      <c r="Y36" s="1803" t="str">
        <f t="shared" si="15"/>
        <v>n/a</v>
      </c>
      <c r="Z36" s="1803"/>
      <c r="AA36" s="1811">
        <v>18520.796050000001</v>
      </c>
      <c r="AB36" s="1805">
        <v>41691</v>
      </c>
      <c r="AC36" s="1805">
        <v>41721</v>
      </c>
      <c r="AD36" s="1706" t="s">
        <v>2129</v>
      </c>
      <c r="AE36" s="1706">
        <v>32956.118999999999</v>
      </c>
      <c r="AF36" s="1653">
        <v>734</v>
      </c>
      <c r="AG36" s="1653">
        <v>270</v>
      </c>
      <c r="AH36" s="1806">
        <f t="shared" si="10"/>
        <v>32492.118999999999</v>
      </c>
      <c r="AI36" s="1806">
        <v>178780</v>
      </c>
      <c r="AJ36" s="1806">
        <v>32462.000000000004</v>
      </c>
      <c r="AK36" s="1808">
        <f t="shared" si="11"/>
        <v>0.18174358988701197</v>
      </c>
      <c r="AL36" s="1808">
        <f t="shared" si="12"/>
        <v>1.0009278233010903</v>
      </c>
    </row>
    <row r="37" spans="2:38" s="1673" customFormat="1" ht="14.85" customHeight="1">
      <c r="B37" s="1695" t="s">
        <v>2131</v>
      </c>
      <c r="C37" s="1696" t="s">
        <v>2132</v>
      </c>
      <c r="D37" s="1696" t="s">
        <v>2133</v>
      </c>
      <c r="E37" s="1810">
        <v>41683</v>
      </c>
      <c r="F37" s="1802">
        <v>16</v>
      </c>
      <c r="G37" s="1802">
        <v>16</v>
      </c>
      <c r="H37" s="1802">
        <v>18</v>
      </c>
      <c r="I37" s="1802">
        <v>19.399999999999999</v>
      </c>
      <c r="J37" s="1717">
        <f t="shared" si="0"/>
        <v>13537.623000000001</v>
      </c>
      <c r="K37" s="1717">
        <v>4511.3130000000001</v>
      </c>
      <c r="L37" s="1432">
        <v>18048.936000000002</v>
      </c>
      <c r="M37" s="1803">
        <f t="shared" si="13"/>
        <v>216601.96800000002</v>
      </c>
      <c r="N37" s="1717">
        <v>70588.210000000006</v>
      </c>
      <c r="O37" s="1803">
        <f t="shared" si="5"/>
        <v>287190.17800000001</v>
      </c>
      <c r="P37" s="1804">
        <v>69522000</v>
      </c>
      <c r="Q37" s="1804">
        <v>109881000</v>
      </c>
      <c r="R37" s="1717">
        <f t="shared" si="1"/>
        <v>4.1309251459969512E-3</v>
      </c>
      <c r="S37" s="1717">
        <f t="shared" si="2"/>
        <v>2.6136472911604375E-3</v>
      </c>
      <c r="T37" s="1804">
        <f t="shared" si="14"/>
        <v>282158.17800000001</v>
      </c>
      <c r="U37" s="1717">
        <f t="shared" si="16"/>
        <v>4.0585451799430398E-3</v>
      </c>
      <c r="V37" s="1803">
        <f t="shared" si="16"/>
        <v>2.5678522947552352E-3</v>
      </c>
      <c r="W37" s="1804">
        <v>462310600</v>
      </c>
      <c r="X37" s="1717">
        <f t="shared" si="15"/>
        <v>6.6498460918845836</v>
      </c>
      <c r="Y37" s="1803">
        <f t="shared" si="15"/>
        <v>4.207375251408342</v>
      </c>
      <c r="Z37" s="1803"/>
      <c r="AA37" s="1803">
        <f t="shared" si="17"/>
        <v>262629.88620000001</v>
      </c>
      <c r="AB37" s="1805">
        <v>41684</v>
      </c>
      <c r="AC37" s="1805">
        <f t="shared" si="18"/>
        <v>41714</v>
      </c>
      <c r="AD37" s="1706" t="s">
        <v>2134</v>
      </c>
      <c r="AE37" s="1706">
        <v>287190.17800000001</v>
      </c>
      <c r="AF37" s="1653">
        <v>17059</v>
      </c>
      <c r="AG37" s="1653">
        <v>12027</v>
      </c>
      <c r="AH37" s="1806">
        <f t="shared" si="10"/>
        <v>282158.17800000001</v>
      </c>
      <c r="AI37" s="1806">
        <v>18126</v>
      </c>
      <c r="AJ37" s="1806">
        <v>-8340</v>
      </c>
      <c r="AK37" s="1808">
        <f t="shared" si="11"/>
        <v>15.566488910956638</v>
      </c>
      <c r="AL37" s="1808">
        <f t="shared" si="12"/>
        <v>-33.831915827338129</v>
      </c>
    </row>
    <row r="38" spans="2:38" s="1673" customFormat="1" ht="14.85" customHeight="1">
      <c r="B38" s="1695" t="s">
        <v>2135</v>
      </c>
      <c r="C38" s="1696" t="s">
        <v>2136</v>
      </c>
      <c r="D38" s="1696" t="s">
        <v>2137</v>
      </c>
      <c r="E38" s="1810">
        <v>41682</v>
      </c>
      <c r="F38" s="1802">
        <v>5.75</v>
      </c>
      <c r="G38" s="1802">
        <v>10</v>
      </c>
      <c r="H38" s="1802">
        <v>12</v>
      </c>
      <c r="I38" s="1802">
        <v>109.65011</v>
      </c>
      <c r="J38" s="1717">
        <f t="shared" si="0"/>
        <v>8444.5540000000001</v>
      </c>
      <c r="K38" s="1717">
        <v>3682.9</v>
      </c>
      <c r="L38" s="1432">
        <v>12127.454</v>
      </c>
      <c r="M38" s="1803">
        <f t="shared" si="13"/>
        <v>48556.1855</v>
      </c>
      <c r="N38" s="1717">
        <v>20125</v>
      </c>
      <c r="O38" s="1803">
        <f t="shared" si="5"/>
        <v>68681.185499999992</v>
      </c>
      <c r="P38" s="1804">
        <v>22242540</v>
      </c>
      <c r="Q38" s="1804">
        <v>23350000</v>
      </c>
      <c r="R38" s="1717">
        <f t="shared" si="1"/>
        <v>3.0878301443989756E-3</v>
      </c>
      <c r="S38" s="1717">
        <f t="shared" si="2"/>
        <v>2.9413783940042825E-3</v>
      </c>
      <c r="T38" s="1804">
        <f t="shared" si="14"/>
        <v>79035.395499999999</v>
      </c>
      <c r="U38" s="1717">
        <f t="shared" si="16"/>
        <v>3.5533439751035626E-3</v>
      </c>
      <c r="V38" s="1803">
        <f t="shared" si="16"/>
        <v>3.3848135117773019E-3</v>
      </c>
      <c r="W38" s="1804">
        <v>99002490</v>
      </c>
      <c r="X38" s="1717">
        <f t="shared" si="15"/>
        <v>4.4510424618771056</v>
      </c>
      <c r="Y38" s="1803">
        <f t="shared" si="15"/>
        <v>4.239935331905782</v>
      </c>
      <c r="Z38" s="1803"/>
      <c r="AA38" s="1803">
        <f t="shared" si="17"/>
        <v>925946.27500093996</v>
      </c>
      <c r="AB38" s="1805">
        <v>41684</v>
      </c>
      <c r="AC38" s="1805">
        <f t="shared" si="18"/>
        <v>41714</v>
      </c>
      <c r="AD38" s="1706" t="s">
        <v>2138</v>
      </c>
      <c r="AE38" s="1706">
        <v>68681.185499999992</v>
      </c>
      <c r="AF38" s="1653">
        <v>7562.4</v>
      </c>
      <c r="AG38" s="1653">
        <v>17916.61</v>
      </c>
      <c r="AH38" s="1806">
        <f t="shared" si="10"/>
        <v>79035.395499999999</v>
      </c>
      <c r="AI38" s="1806">
        <v>87879</v>
      </c>
      <c r="AJ38" s="1806">
        <v>-61080</v>
      </c>
      <c r="AK38" s="1808">
        <f t="shared" si="11"/>
        <v>0.89936612273694505</v>
      </c>
      <c r="AL38" s="1808">
        <f t="shared" si="12"/>
        <v>-1.2939652177472167</v>
      </c>
    </row>
    <row r="39" spans="2:38" s="1673" customFormat="1" ht="14.85" customHeight="1">
      <c r="B39" s="1695" t="s">
        <v>2139</v>
      </c>
      <c r="C39" s="1696" t="s">
        <v>2140</v>
      </c>
      <c r="D39" s="1696" t="s">
        <v>2141</v>
      </c>
      <c r="E39" s="1810">
        <v>41591</v>
      </c>
      <c r="F39" s="1802">
        <v>15</v>
      </c>
      <c r="G39" s="1802">
        <v>13</v>
      </c>
      <c r="H39" s="1802">
        <v>15</v>
      </c>
      <c r="I39" s="1802">
        <v>22.67</v>
      </c>
      <c r="J39" s="1717">
        <f t="shared" si="0"/>
        <v>12178.095000000001</v>
      </c>
      <c r="K39" s="1717">
        <v>9200</v>
      </c>
      <c r="L39" s="1432">
        <v>21378.095000000001</v>
      </c>
      <c r="M39" s="1803">
        <f t="shared" si="13"/>
        <v>182671.42500000002</v>
      </c>
      <c r="N39" s="1717">
        <v>120000</v>
      </c>
      <c r="O39" s="1803">
        <f t="shared" si="5"/>
        <v>302671.42500000005</v>
      </c>
      <c r="P39" s="1804">
        <v>21019270</v>
      </c>
      <c r="Q39" s="1804">
        <v>27458360</v>
      </c>
      <c r="R39" s="1717">
        <f t="shared" si="1"/>
        <v>1.4399711550401133E-2</v>
      </c>
      <c r="S39" s="1717">
        <f t="shared" si="2"/>
        <v>1.1022924347994565E-2</v>
      </c>
      <c r="T39" s="1804">
        <f t="shared" si="14"/>
        <v>316469.70500000002</v>
      </c>
      <c r="U39" s="1717">
        <f t="shared" si="16"/>
        <v>1.5056170123891079E-2</v>
      </c>
      <c r="V39" s="1803">
        <f t="shared" si="16"/>
        <v>1.1525440885763025E-2</v>
      </c>
      <c r="W39" s="1804">
        <v>498437530</v>
      </c>
      <c r="X39" s="1717">
        <f t="shared" si="15"/>
        <v>23.713360644779765</v>
      </c>
      <c r="Y39" s="1803">
        <f t="shared" si="15"/>
        <v>18.152487257068522</v>
      </c>
      <c r="Z39" s="1803"/>
      <c r="AA39" s="1803">
        <f t="shared" si="17"/>
        <v>276077.41365000006</v>
      </c>
      <c r="AB39" s="1805">
        <v>41592</v>
      </c>
      <c r="AC39" s="1805">
        <f t="shared" si="18"/>
        <v>41622</v>
      </c>
      <c r="AD39" s="1706" t="s">
        <v>2142</v>
      </c>
      <c r="AE39" s="1706">
        <v>302671.42500000005</v>
      </c>
      <c r="AF39" s="1653">
        <v>15550.02</v>
      </c>
      <c r="AG39" s="1653">
        <v>29348.3</v>
      </c>
      <c r="AH39" s="1806">
        <f t="shared" si="10"/>
        <v>316469.70500000002</v>
      </c>
      <c r="AI39" s="1806">
        <v>54602</v>
      </c>
      <c r="AJ39" s="1806">
        <v>-34860</v>
      </c>
      <c r="AK39" s="1808">
        <f t="shared" si="11"/>
        <v>5.7959361378704077</v>
      </c>
      <c r="AL39" s="1808">
        <f t="shared" si="12"/>
        <v>-9.078304790590936</v>
      </c>
    </row>
    <row r="40" spans="2:38" s="1673" customFormat="1" ht="14.85" customHeight="1">
      <c r="B40" s="1695" t="s">
        <v>2143</v>
      </c>
      <c r="C40" s="1696" t="s">
        <v>2144</v>
      </c>
      <c r="D40" s="1696" t="s">
        <v>2145</v>
      </c>
      <c r="E40" s="1810">
        <v>41577</v>
      </c>
      <c r="F40" s="1802">
        <v>13</v>
      </c>
      <c r="G40" s="1802">
        <v>13</v>
      </c>
      <c r="H40" s="1802">
        <v>15</v>
      </c>
      <c r="I40" s="1802">
        <v>12.98</v>
      </c>
      <c r="J40" s="1717">
        <f t="shared" si="0"/>
        <v>15989.89</v>
      </c>
      <c r="K40" s="1717">
        <v>5000</v>
      </c>
      <c r="L40" s="1432">
        <v>20989.89</v>
      </c>
      <c r="M40" s="1803">
        <f t="shared" si="13"/>
        <v>207868.57</v>
      </c>
      <c r="N40" s="1717">
        <v>65000</v>
      </c>
      <c r="O40" s="1803">
        <f t="shared" si="5"/>
        <v>272868.57</v>
      </c>
      <c r="P40" s="1804">
        <v>17133000</v>
      </c>
      <c r="Q40" s="1804">
        <v>21510330</v>
      </c>
      <c r="R40" s="1717">
        <f t="shared" si="1"/>
        <v>1.5926490982314832E-2</v>
      </c>
      <c r="S40" s="1717">
        <f t="shared" si="2"/>
        <v>1.2685466471225686E-2</v>
      </c>
      <c r="T40" s="1804">
        <f t="shared" si="14"/>
        <v>257011.57</v>
      </c>
      <c r="U40" s="1717">
        <f t="shared" si="16"/>
        <v>1.5000967139438512E-2</v>
      </c>
      <c r="V40" s="1803">
        <f t="shared" si="16"/>
        <v>1.1948285777112671E-2</v>
      </c>
      <c r="W40" s="1804">
        <v>341745300</v>
      </c>
      <c r="X40" s="1717">
        <f t="shared" si="15"/>
        <v>19.946611801786027</v>
      </c>
      <c r="Y40" s="1803">
        <f t="shared" si="15"/>
        <v>15.887496844539344</v>
      </c>
      <c r="Z40" s="1803"/>
      <c r="AA40" s="1803">
        <f t="shared" si="17"/>
        <v>207548.77220000001</v>
      </c>
      <c r="AB40" s="1805">
        <v>41577</v>
      </c>
      <c r="AC40" s="1805">
        <f t="shared" si="18"/>
        <v>41607</v>
      </c>
      <c r="AD40" s="1706" t="s">
        <v>2146</v>
      </c>
      <c r="AE40" s="1706">
        <v>272868.57</v>
      </c>
      <c r="AF40" s="1653">
        <v>20683</v>
      </c>
      <c r="AG40" s="1653">
        <v>4826</v>
      </c>
      <c r="AH40" s="1806">
        <f t="shared" si="10"/>
        <v>257011.57</v>
      </c>
      <c r="AI40" s="1806" t="e">
        <v>#VALUE!</v>
      </c>
      <c r="AJ40" s="1806" t="e">
        <v>#VALUE!</v>
      </c>
      <c r="AK40" s="1808" t="str">
        <f t="shared" si="11"/>
        <v>n/a</v>
      </c>
      <c r="AL40" s="1808" t="str">
        <f t="shared" si="12"/>
        <v>n/a</v>
      </c>
    </row>
    <row r="41" spans="2:38" s="1673" customFormat="1" ht="14.85" customHeight="1">
      <c r="B41" s="1814"/>
      <c r="C41" s="1814"/>
      <c r="D41" s="1814"/>
      <c r="E41" s="1815"/>
      <c r="F41" s="1815"/>
      <c r="G41" s="1815"/>
      <c r="H41" s="1815"/>
      <c r="I41" s="1815"/>
      <c r="J41" s="1815"/>
      <c r="K41" s="1815"/>
      <c r="L41" s="1815"/>
      <c r="M41" s="1815"/>
      <c r="N41" s="1815"/>
      <c r="O41" s="1768"/>
      <c r="P41" s="1815"/>
      <c r="Q41" s="1768"/>
      <c r="R41" s="1768"/>
      <c r="S41" s="1768"/>
      <c r="T41" s="1816"/>
      <c r="U41" s="1174"/>
      <c r="V41" s="1817"/>
      <c r="W41" s="1815"/>
      <c r="X41" s="1768"/>
      <c r="Y41" s="1815"/>
      <c r="Z41" s="1783"/>
      <c r="AA41" s="1815"/>
    </row>
    <row r="42" spans="2:38" s="1673" customFormat="1" ht="14.85" customHeight="1">
      <c r="B42" s="1818" t="s">
        <v>111</v>
      </c>
      <c r="C42" s="1819"/>
      <c r="D42" s="1819"/>
      <c r="E42" s="1820"/>
      <c r="F42" s="1820"/>
      <c r="G42" s="1820"/>
      <c r="H42" s="1820"/>
      <c r="I42" s="1820"/>
      <c r="J42" s="1820"/>
      <c r="K42" s="1820"/>
      <c r="L42" s="1820"/>
      <c r="M42" s="1821">
        <f>MAX(M12:M40)</f>
        <v>781159.11</v>
      </c>
      <c r="N42" s="1821"/>
      <c r="O42" s="1822">
        <f>MAX(O12:O40)</f>
        <v>901159.11</v>
      </c>
      <c r="P42" s="1823">
        <f t="shared" ref="P42:Y42" si="19">MIN(P12:P40)</f>
        <v>0</v>
      </c>
      <c r="Q42" s="1823">
        <f t="shared" si="19"/>
        <v>0</v>
      </c>
      <c r="R42" s="1824">
        <f t="shared" si="19"/>
        <v>2.5054577056778681E-3</v>
      </c>
      <c r="S42" s="1825">
        <f t="shared" si="19"/>
        <v>2.0229668286755771E-3</v>
      </c>
      <c r="T42" s="1823">
        <f t="shared" si="19"/>
        <v>46655.894</v>
      </c>
      <c r="U42" s="1824">
        <f t="shared" si="19"/>
        <v>2.4183709801206903E-3</v>
      </c>
      <c r="V42" s="1824">
        <f t="shared" si="19"/>
        <v>1.9526509113001213E-3</v>
      </c>
      <c r="W42" s="1823">
        <f t="shared" si="19"/>
        <v>51305110</v>
      </c>
      <c r="X42" s="1824">
        <f t="shared" si="19"/>
        <v>2.9992198762998301</v>
      </c>
      <c r="Y42" s="1825">
        <f t="shared" si="19"/>
        <v>2.421642284325638</v>
      </c>
      <c r="Z42" s="1783"/>
      <c r="AA42" s="1822">
        <f>MAX(AA12:AA40)</f>
        <v>996023842737.35803</v>
      </c>
    </row>
    <row r="43" spans="2:38" s="1673" customFormat="1" ht="14.85" customHeight="1">
      <c r="B43" s="1826" t="s">
        <v>115</v>
      </c>
      <c r="C43" s="1827"/>
      <c r="D43" s="1827"/>
      <c r="E43" s="1828"/>
      <c r="F43" s="1828"/>
      <c r="G43" s="1828"/>
      <c r="H43" s="1828"/>
      <c r="I43" s="1828"/>
      <c r="J43" s="1828"/>
      <c r="K43" s="1828"/>
      <c r="L43" s="1828"/>
      <c r="M43" s="1829">
        <f>QUARTILE(M12:M40,3)</f>
        <v>252092.77900000001</v>
      </c>
      <c r="N43" s="1829"/>
      <c r="O43" s="1830">
        <f>QUARTILE(O12:O40,3)</f>
        <v>311630.15699999995</v>
      </c>
      <c r="P43" s="1831">
        <f t="shared" ref="P43:Y43" si="20">QUARTILE(P12:P40,1)</f>
        <v>3043000</v>
      </c>
      <c r="Q43" s="1831">
        <f t="shared" si="20"/>
        <v>900000</v>
      </c>
      <c r="R43" s="1832">
        <f t="shared" si="20"/>
        <v>6.0427754978877486E-3</v>
      </c>
      <c r="S43" s="1833">
        <f t="shared" si="20"/>
        <v>4.7263298605705953E-3</v>
      </c>
      <c r="T43" s="1831">
        <f t="shared" si="20"/>
        <v>139735.76699999999</v>
      </c>
      <c r="U43" s="1832">
        <f t="shared" si="20"/>
        <v>5.7962523301817205E-3</v>
      </c>
      <c r="V43" s="1832">
        <f t="shared" si="20"/>
        <v>4.6328607842710031E-3</v>
      </c>
      <c r="W43" s="1831">
        <f t="shared" si="20"/>
        <v>137148000</v>
      </c>
      <c r="X43" s="1832">
        <f t="shared" si="20"/>
        <v>9.0521624519703341</v>
      </c>
      <c r="Y43" s="1833">
        <f t="shared" si="20"/>
        <v>6.9808931733011068</v>
      </c>
      <c r="Z43" s="1783"/>
      <c r="AA43" s="1830">
        <f>QUARTILE(AA12:AA40,3)</f>
        <v>593236.67766000004</v>
      </c>
    </row>
    <row r="44" spans="2:38" s="1673" customFormat="1" ht="14.85" customHeight="1">
      <c r="B44" s="1826" t="s">
        <v>113</v>
      </c>
      <c r="C44" s="1827"/>
      <c r="D44" s="1827"/>
      <c r="E44" s="1828"/>
      <c r="F44" s="1828"/>
      <c r="G44" s="1828"/>
      <c r="H44" s="1828"/>
      <c r="I44" s="1828"/>
      <c r="J44" s="1828"/>
      <c r="K44" s="1828"/>
      <c r="L44" s="1828"/>
      <c r="M44" s="1829">
        <f>AVERAGE(M12:M40)</f>
        <v>192995.24995492518</v>
      </c>
      <c r="N44" s="1829"/>
      <c r="O44" s="1830">
        <f>AVERAGE(O12:O40)</f>
        <v>257794.35133423554</v>
      </c>
      <c r="P44" s="1831">
        <f t="shared" ref="P44:Y44" si="21">MEDIAN(P12:P40)</f>
        <v>17133000</v>
      </c>
      <c r="Q44" s="1831">
        <f t="shared" si="21"/>
        <v>21510330</v>
      </c>
      <c r="R44" s="1832">
        <f t="shared" si="21"/>
        <v>1.0689326661901359E-2</v>
      </c>
      <c r="S44" s="1833">
        <f t="shared" si="21"/>
        <v>7.4848089649340813E-3</v>
      </c>
      <c r="T44" s="1831">
        <f t="shared" si="21"/>
        <v>233071.88800000001</v>
      </c>
      <c r="U44" s="1832">
        <f t="shared" si="21"/>
        <v>1.0857663987385585E-2</v>
      </c>
      <c r="V44" s="1832">
        <f t="shared" si="21"/>
        <v>7.3496312553917083E-3</v>
      </c>
      <c r="W44" s="1831">
        <f t="shared" si="21"/>
        <v>332946300</v>
      </c>
      <c r="X44" s="1832">
        <f t="shared" si="21"/>
        <v>15.666713724088634</v>
      </c>
      <c r="Y44" s="1833">
        <f t="shared" si="21"/>
        <v>12.374907779177853</v>
      </c>
      <c r="Z44" s="1783"/>
      <c r="AA44" s="1830">
        <f>AVERAGE(AA12:AA40)</f>
        <v>34346009682.663994</v>
      </c>
    </row>
    <row r="45" spans="2:38" s="1673" customFormat="1" ht="14.85" customHeight="1">
      <c r="B45" s="1826" t="s">
        <v>44</v>
      </c>
      <c r="C45" s="1827"/>
      <c r="D45" s="1827"/>
      <c r="E45" s="1828"/>
      <c r="F45" s="1828"/>
      <c r="G45" s="1828"/>
      <c r="H45" s="1828"/>
      <c r="I45" s="1828"/>
      <c r="J45" s="1828"/>
      <c r="K45" s="1828"/>
      <c r="L45" s="1828"/>
      <c r="M45" s="1829">
        <f>MEDIAN(M12:M40)</f>
        <v>153949.85999999999</v>
      </c>
      <c r="N45" s="1829"/>
      <c r="O45" s="1830">
        <f>MEDIAN(O12:O40)</f>
        <v>231949.86</v>
      </c>
      <c r="P45" s="1831">
        <f t="shared" ref="P45:Y45" si="22">AVERAGE(P12:P40)</f>
        <v>32199462.399999999</v>
      </c>
      <c r="Q45" s="1831">
        <f t="shared" si="22"/>
        <v>40656612.799999997</v>
      </c>
      <c r="R45" s="1832">
        <f t="shared" si="22"/>
        <v>2.2527930224811279E-2</v>
      </c>
      <c r="S45" s="1833">
        <f t="shared" si="22"/>
        <v>3.5453813600549257E-2</v>
      </c>
      <c r="T45" s="1831">
        <f t="shared" si="22"/>
        <v>271469.66002771322</v>
      </c>
      <c r="U45" s="1832">
        <f t="shared" si="22"/>
        <v>2.2725866060934595E-2</v>
      </c>
      <c r="V45" s="1832">
        <f t="shared" si="22"/>
        <v>3.8347302229559968E-2</v>
      </c>
      <c r="W45" s="1831">
        <f t="shared" si="22"/>
        <v>403201712.80000001</v>
      </c>
      <c r="X45" s="1832">
        <f t="shared" si="22"/>
        <v>30.057334553971014</v>
      </c>
      <c r="Y45" s="1833">
        <f t="shared" si="22"/>
        <v>43.635520031610007</v>
      </c>
      <c r="Z45" s="1783"/>
      <c r="AA45" s="1830">
        <f>MEDIAN(AA12:AA40)</f>
        <v>262629.88620000001</v>
      </c>
    </row>
    <row r="46" spans="2:38" s="1673" customFormat="1" ht="14.85" customHeight="1">
      <c r="B46" s="1826" t="s">
        <v>114</v>
      </c>
      <c r="C46" s="1827"/>
      <c r="D46" s="1827"/>
      <c r="E46" s="1828"/>
      <c r="F46" s="1828"/>
      <c r="G46" s="1828"/>
      <c r="H46" s="1828"/>
      <c r="I46" s="1828"/>
      <c r="J46" s="1828"/>
      <c r="K46" s="1828"/>
      <c r="L46" s="1828"/>
      <c r="M46" s="1829">
        <f>QUARTILE(M12:M40,1)</f>
        <v>73052.231999999989</v>
      </c>
      <c r="N46" s="1829"/>
      <c r="O46" s="1830">
        <f>QUARTILE(O12:O40,1)</f>
        <v>122552.23199999999</v>
      </c>
      <c r="P46" s="1831">
        <f t="shared" ref="P46:Y46" si="23">QUARTILE(P12:P40,3)</f>
        <v>48786000</v>
      </c>
      <c r="Q46" s="1831">
        <f t="shared" si="23"/>
        <v>62887920</v>
      </c>
      <c r="R46" s="1832">
        <f t="shared" si="23"/>
        <v>1.5941030619921758E-2</v>
      </c>
      <c r="S46" s="1833">
        <f t="shared" si="23"/>
        <v>1.373973814011231E-2</v>
      </c>
      <c r="T46" s="1831">
        <f t="shared" si="23"/>
        <v>335839.81699999992</v>
      </c>
      <c r="U46" s="1832">
        <f t="shared" si="23"/>
        <v>1.554027401178918E-2</v>
      </c>
      <c r="V46" s="1832">
        <f t="shared" si="23"/>
        <v>1.3794677636090671E-2</v>
      </c>
      <c r="W46" s="1831">
        <f t="shared" si="23"/>
        <v>498437530</v>
      </c>
      <c r="X46" s="1832">
        <f t="shared" si="23"/>
        <v>23.713360644779765</v>
      </c>
      <c r="Y46" s="1833">
        <f t="shared" si="23"/>
        <v>21.648384924479245</v>
      </c>
      <c r="Z46" s="1783"/>
      <c r="AA46" s="1830">
        <f>QUARTILE(AA12:AA40,1)</f>
        <v>92842.11510000001</v>
      </c>
    </row>
    <row r="47" spans="2:38" s="1673" customFormat="1" ht="14.85" customHeight="1">
      <c r="B47" s="1834" t="s">
        <v>112</v>
      </c>
      <c r="C47" s="1835"/>
      <c r="D47" s="1835"/>
      <c r="E47" s="1836"/>
      <c r="F47" s="1836"/>
      <c r="G47" s="1836"/>
      <c r="H47" s="1836"/>
      <c r="I47" s="1836"/>
      <c r="J47" s="1836"/>
      <c r="K47" s="1836"/>
      <c r="L47" s="1836"/>
      <c r="M47" s="1837">
        <f>MIN(M12:M40)</f>
        <v>22946.118999999999</v>
      </c>
      <c r="N47" s="1837"/>
      <c r="O47" s="1838">
        <f>MIN(O12:O40)</f>
        <v>32956.118999999999</v>
      </c>
      <c r="P47" s="1839">
        <f t="shared" ref="P47:Y47" si="24">MAX(P12:P40)</f>
        <v>155584000</v>
      </c>
      <c r="Q47" s="1839">
        <f t="shared" si="24"/>
        <v>186350000</v>
      </c>
      <c r="R47" s="1840">
        <f t="shared" si="24"/>
        <v>0.12765135913421755</v>
      </c>
      <c r="S47" s="1841">
        <f t="shared" si="24"/>
        <v>0.39154067731629388</v>
      </c>
      <c r="T47" s="1839">
        <f t="shared" si="24"/>
        <v>864395.11</v>
      </c>
      <c r="U47" s="1840">
        <f t="shared" si="24"/>
        <v>0.13756822993044573</v>
      </c>
      <c r="V47" s="1840">
        <f t="shared" si="24"/>
        <v>0.44892086900958461</v>
      </c>
      <c r="W47" s="1839">
        <f t="shared" si="24"/>
        <v>1300279390</v>
      </c>
      <c r="X47" s="1840">
        <f t="shared" si="24"/>
        <v>168.34637031696747</v>
      </c>
      <c r="Y47" s="1841">
        <f t="shared" si="24"/>
        <v>454.17456869009584</v>
      </c>
      <c r="Z47" s="1783"/>
      <c r="AA47" s="1838">
        <f>MIN(AA12:AA40)</f>
        <v>18520.796050000001</v>
      </c>
    </row>
    <row r="48" spans="2:38" s="1673" customFormat="1" ht="14.85" customHeight="1">
      <c r="B48" s="1842"/>
      <c r="C48" s="1842"/>
      <c r="D48" s="1842"/>
      <c r="E48" s="1843"/>
      <c r="F48" s="1843"/>
      <c r="G48" s="1843"/>
      <c r="H48" s="1843"/>
      <c r="I48" s="1843"/>
      <c r="J48" s="1843"/>
      <c r="K48" s="1843"/>
      <c r="L48" s="1843"/>
      <c r="M48" s="1843"/>
      <c r="N48" s="1843"/>
      <c r="O48" s="1768"/>
      <c r="P48" s="1768"/>
      <c r="Q48" s="1768"/>
      <c r="R48" s="1768"/>
      <c r="S48" s="1768"/>
      <c r="T48" s="1768"/>
      <c r="U48" s="1768"/>
      <c r="V48" s="1768"/>
      <c r="W48" s="1768"/>
      <c r="X48" s="1768"/>
      <c r="Y48" s="1768"/>
      <c r="Z48" s="1783"/>
      <c r="AA48" s="1843"/>
    </row>
    <row r="49" spans="2:27" s="1673" customFormat="1" ht="14.85" customHeight="1">
      <c r="B49" s="356" t="s">
        <v>116</v>
      </c>
      <c r="E49" s="1773"/>
      <c r="F49" s="1773"/>
      <c r="G49" s="1773"/>
      <c r="H49" s="1773"/>
      <c r="I49" s="1773"/>
      <c r="J49" s="1773"/>
      <c r="K49" s="1773"/>
      <c r="L49" s="1768"/>
      <c r="M49" s="1773"/>
      <c r="N49" s="1773"/>
      <c r="O49" s="1768"/>
      <c r="P49" s="1773"/>
      <c r="Q49" s="1773"/>
      <c r="R49" s="1773"/>
      <c r="S49" s="1773"/>
      <c r="T49" s="1768"/>
      <c r="U49" s="1773"/>
      <c r="V49" s="1773"/>
      <c r="W49" s="1773"/>
      <c r="X49" s="1773"/>
      <c r="Y49" s="1773"/>
      <c r="Z49" s="1773"/>
      <c r="AA49" s="1768"/>
    </row>
    <row r="50" spans="2:27" ht="14.85" customHeight="1"/>
    <row r="51" spans="2:27" ht="14.85" customHeight="1"/>
    <row r="52" spans="2:27" ht="14.85" customHeight="1"/>
    <row r="53" spans="2:27" ht="14.85" customHeight="1"/>
    <row r="54" spans="2:27" ht="14.85" customHeight="1"/>
    <row r="55" spans="2:27" ht="14.85" customHeight="1"/>
    <row r="56" spans="2:27" ht="14.85" customHeight="1"/>
    <row r="57" spans="2:27" ht="14.85" customHeight="1"/>
    <row r="58" spans="2:27" ht="14.85" customHeight="1"/>
    <row r="59" spans="2:27" ht="14.85" customHeight="1"/>
    <row r="60" spans="2:27" ht="14.85" customHeight="1"/>
    <row r="61" spans="2:27" ht="14.85" customHeight="1"/>
    <row r="62" spans="2:27" ht="14.85" customHeight="1"/>
    <row r="63" spans="2:27" ht="14.85" customHeight="1"/>
    <row r="64" spans="2:27"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20">
    <mergeCell ref="AH9:AH10"/>
    <mergeCell ref="AI9:AI10"/>
    <mergeCell ref="AJ9:AJ10"/>
    <mergeCell ref="AK9:AK10"/>
    <mergeCell ref="AL9:AL10"/>
    <mergeCell ref="AF9:AF10"/>
    <mergeCell ref="F9:F10"/>
    <mergeCell ref="G9:H9"/>
    <mergeCell ref="I9:I10"/>
    <mergeCell ref="K9:K10"/>
    <mergeCell ref="AA9:AA10"/>
    <mergeCell ref="AB9:AB10"/>
    <mergeCell ref="L9:L10"/>
    <mergeCell ref="M9:M10"/>
    <mergeCell ref="AE9:AE10"/>
    <mergeCell ref="E9:E10"/>
    <mergeCell ref="J9:J10"/>
    <mergeCell ref="N9:N10"/>
    <mergeCell ref="O9:O10"/>
    <mergeCell ref="AC9:AC10"/>
  </mergeCells>
  <conditionalFormatting sqref="C4:D4">
    <cfRule type="cellIs" dxfId="111" priority="8" stopIfTrue="1" operator="equal">
      <formula>"input"</formula>
    </cfRule>
  </conditionalFormatting>
  <conditionalFormatting sqref="E4:F4">
    <cfRule type="cellIs" dxfId="110" priority="7" stopIfTrue="1" operator="equal">
      <formula>"input"</formula>
    </cfRule>
  </conditionalFormatting>
  <conditionalFormatting sqref="G4:H5">
    <cfRule type="cellIs" dxfId="109" priority="6" stopIfTrue="1" operator="equal">
      <formula>"input"</formula>
    </cfRule>
  </conditionalFormatting>
  <conditionalFormatting sqref="I4:J5">
    <cfRule type="cellIs" dxfId="108" priority="5" stopIfTrue="1" operator="equal">
      <formula>"input"</formula>
    </cfRule>
  </conditionalFormatting>
  <conditionalFormatting sqref="K4:L5">
    <cfRule type="cellIs" dxfId="107" priority="4" stopIfTrue="1" operator="equal">
      <formula>"input"</formula>
    </cfRule>
  </conditionalFormatting>
  <conditionalFormatting sqref="M4:N5">
    <cfRule type="cellIs" dxfId="106" priority="3" stopIfTrue="1" operator="equal">
      <formula>"input"</formula>
    </cfRule>
  </conditionalFormatting>
  <conditionalFormatting sqref="O4:O5">
    <cfRule type="cellIs" dxfId="105" priority="2" stopIfTrue="1" operator="equal">
      <formula>"input"</formula>
    </cfRule>
  </conditionalFormatting>
  <conditionalFormatting sqref="B4">
    <cfRule type="cellIs" dxfId="104" priority="1" stopIfTrue="1" operator="equal">
      <formula>"input"</formula>
    </cfRule>
  </conditionalFormatting>
  <pageMargins left="0.5" right="0.5" top="0.5" bottom="0.5" header="0.5" footer="0.5"/>
  <pageSetup scale="92" fitToWidth="0" fitToHeight="0" orientation="landscape" r:id="rId1"/>
  <legacyDrawing r:id="rId2"/>
  <legacyDrawingHF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64"/>
  <dimension ref="A1:BM764"/>
  <sheetViews>
    <sheetView showGridLines="0" view="pageBreakPreview" zoomScale="80" zoomScaleNormal="100" zoomScaleSheetLayoutView="80" workbookViewId="0"/>
  </sheetViews>
  <sheetFormatPr defaultColWidth="10.6640625" defaultRowHeight="12.75" outlineLevelRow="1" outlineLevelCol="1"/>
  <cols>
    <col min="1" max="1" width="4.5" style="1653" customWidth="1"/>
    <col min="2" max="2" width="42.33203125" style="1653" customWidth="1"/>
    <col min="3" max="3" width="19.83203125" style="1653" hidden="1" customWidth="1" outlineLevel="1"/>
    <col min="4" max="4" width="18.6640625" style="1653" hidden="1" customWidth="1" outlineLevel="1" collapsed="1"/>
    <col min="5" max="5" width="15.5" style="1653" hidden="1" customWidth="1" outlineLevel="1"/>
    <col min="6" max="6" width="12.83203125" style="1655" bestFit="1" customWidth="1" collapsed="1"/>
    <col min="7" max="7" width="12" style="1655" customWidth="1"/>
    <col min="8" max="9" width="14" style="1655" hidden="1" customWidth="1" outlineLevel="1"/>
    <col min="10" max="10" width="15" style="1655" customWidth="1" collapsed="1"/>
    <col min="11" max="13" width="16.83203125" style="1655" customWidth="1"/>
    <col min="14" max="14" width="18.33203125" style="1655" customWidth="1"/>
    <col min="15" max="15" width="16.83203125" style="1655" customWidth="1"/>
    <col min="16" max="16" width="18.33203125" style="1655" customWidth="1"/>
    <col min="17" max="17" width="4.5" style="1655" customWidth="1"/>
    <col min="18" max="18" width="29.1640625" style="1655" bestFit="1" customWidth="1"/>
    <col min="19" max="19" width="16.33203125" style="1653" customWidth="1"/>
    <col min="20" max="20" width="13.6640625" style="1653" customWidth="1"/>
    <col min="21" max="21" width="14.83203125" style="1653" customWidth="1"/>
    <col min="22" max="22" width="13.5" style="1653" bestFit="1" customWidth="1"/>
    <col min="23" max="23" width="16.5" style="1653" bestFit="1" customWidth="1"/>
    <col min="24" max="24" width="12.5" style="1653" bestFit="1" customWidth="1"/>
    <col min="25" max="25" width="13.6640625" style="1653" bestFit="1" customWidth="1"/>
    <col min="26" max="26" width="13.6640625" style="1653" customWidth="1"/>
    <col min="27" max="27" width="12.5" style="1653" bestFit="1" customWidth="1"/>
    <col min="28" max="28" width="13.1640625" style="1653" bestFit="1" customWidth="1"/>
    <col min="29" max="29" width="13" style="1653" bestFit="1" customWidth="1"/>
    <col min="30" max="30" width="15.6640625" style="1653" bestFit="1" customWidth="1"/>
    <col min="31" max="31" width="11" style="1653" bestFit="1" customWidth="1"/>
    <col min="32" max="34" width="10.6640625" style="1653"/>
    <col min="35" max="36" width="12.5" style="1653" bestFit="1" customWidth="1"/>
    <col min="37" max="37" width="14" style="1653" bestFit="1" customWidth="1"/>
    <col min="38" max="38" width="10.6640625" style="1653"/>
    <col min="39" max="40" width="11" style="1653" bestFit="1" customWidth="1"/>
    <col min="41" max="41" width="12.5" style="1653" bestFit="1" customWidth="1"/>
    <col min="42" max="42" width="12.33203125" style="1653" bestFit="1" customWidth="1"/>
    <col min="43" max="43" width="14" style="1653" bestFit="1" customWidth="1"/>
    <col min="44" max="44" width="14.33203125" style="1653" bestFit="1" customWidth="1"/>
    <col min="45" max="45" width="11" style="1653" bestFit="1" customWidth="1"/>
    <col min="46" max="46" width="18" style="1653" bestFit="1" customWidth="1"/>
    <col min="47" max="47" width="14" style="1653" bestFit="1" customWidth="1"/>
    <col min="48" max="48" width="18" style="1653" bestFit="1" customWidth="1"/>
    <col min="49" max="51" width="11" style="1653" bestFit="1" customWidth="1"/>
    <col min="52" max="52" width="14" style="1653" bestFit="1" customWidth="1"/>
    <col min="53" max="53" width="11" style="1653" bestFit="1" customWidth="1"/>
    <col min="54" max="54" width="18.1640625" style="1653" bestFit="1" customWidth="1"/>
    <col min="55" max="55" width="10.6640625" style="1653"/>
    <col min="56" max="56" width="14" style="1653" bestFit="1" customWidth="1"/>
    <col min="57" max="57" width="11" style="1653" bestFit="1" customWidth="1"/>
    <col min="58" max="58" width="12" style="1653" bestFit="1" customWidth="1"/>
    <col min="59" max="59" width="15.5" style="1653" bestFit="1" customWidth="1"/>
    <col min="60" max="60" width="12" style="1653" bestFit="1" customWidth="1"/>
    <col min="61" max="64" width="10.6640625" style="1653"/>
    <col min="65" max="65" width="11" style="1653" bestFit="1" customWidth="1"/>
    <col min="66" max="16384" width="10.6640625" style="1653"/>
  </cols>
  <sheetData>
    <row r="1" spans="1:36" ht="11.25" customHeight="1" thickBot="1">
      <c r="A1" s="1652"/>
      <c r="F1" s="1654"/>
      <c r="G1" s="1654"/>
      <c r="H1" s="1654"/>
      <c r="I1" s="1654"/>
      <c r="J1" s="1654"/>
      <c r="K1" s="1654"/>
      <c r="L1" s="1654"/>
      <c r="M1" s="1654"/>
      <c r="N1" s="1654"/>
      <c r="R1" s="1653"/>
      <c r="S1" s="1656"/>
      <c r="T1" s="1657"/>
      <c r="W1" s="1653" t="s">
        <v>489</v>
      </c>
      <c r="X1" s="1653" t="s">
        <v>491</v>
      </c>
      <c r="AJ1" s="1658"/>
    </row>
    <row r="2" spans="1:36" ht="15" thickTop="1">
      <c r="A2" s="1659"/>
      <c r="B2" s="258" t="str">
        <f>'MASTER PubCo Inputs'!$C$5</f>
        <v>ABC, Inc.</v>
      </c>
      <c r="C2" s="258"/>
      <c r="D2" s="258"/>
      <c r="E2" s="258"/>
      <c r="F2" s="258"/>
      <c r="G2" s="258"/>
      <c r="H2" s="258"/>
      <c r="I2" s="258"/>
      <c r="J2" s="258"/>
      <c r="K2" s="258"/>
      <c r="L2" s="258"/>
      <c r="M2" s="258"/>
      <c r="N2" s="258"/>
      <c r="O2" s="258"/>
      <c r="P2" s="258"/>
      <c r="Q2" s="1660"/>
      <c r="R2" s="1661"/>
      <c r="S2" s="1662" t="s">
        <v>1766</v>
      </c>
      <c r="T2" s="1663">
        <v>42837</v>
      </c>
      <c r="U2" s="1653" t="s">
        <v>2186</v>
      </c>
      <c r="W2" s="1653" t="s">
        <v>954</v>
      </c>
      <c r="X2" s="1653" t="s">
        <v>955</v>
      </c>
    </row>
    <row r="3" spans="1:36" ht="14.25">
      <c r="A3" s="1659"/>
      <c r="B3" s="259" t="str">
        <f>VLOOKUP(B4,Outline!$E$8:$G$79,COLUMNS(Outline!$E$8:$G$8),FALSE)</f>
        <v>Exhibit H.11</v>
      </c>
      <c r="C3" s="259"/>
      <c r="D3" s="259"/>
      <c r="E3" s="259"/>
      <c r="F3" s="259"/>
      <c r="G3" s="259"/>
      <c r="H3" s="259"/>
      <c r="I3" s="259"/>
      <c r="J3" s="259"/>
      <c r="K3" s="259"/>
      <c r="L3" s="259"/>
      <c r="M3" s="259"/>
      <c r="N3" s="259"/>
      <c r="O3" s="259"/>
      <c r="P3" s="259"/>
      <c r="Q3" s="1660"/>
      <c r="R3" s="1661"/>
      <c r="S3" s="1776"/>
      <c r="T3" s="1665"/>
      <c r="W3" s="1653" t="s">
        <v>490</v>
      </c>
      <c r="X3" s="1653" t="s">
        <v>492</v>
      </c>
    </row>
    <row r="4" spans="1:36" ht="15" thickBot="1">
      <c r="B4" s="924" t="s">
        <v>1383</v>
      </c>
      <c r="C4" s="924"/>
      <c r="D4" s="924"/>
      <c r="E4" s="924"/>
      <c r="F4" s="924"/>
      <c r="G4" s="924"/>
      <c r="H4" s="924"/>
      <c r="I4" s="924"/>
      <c r="J4" s="924"/>
      <c r="K4" s="924"/>
      <c r="L4" s="924"/>
      <c r="M4" s="924"/>
      <c r="N4" s="924"/>
      <c r="O4" s="924"/>
      <c r="P4" s="925" t="str">
        <f>'MASTER PubCo Inputs'!C20</f>
        <v>(in thousands of USD and shares, except price per share)</v>
      </c>
      <c r="Q4" s="1660"/>
      <c r="R4" s="1653"/>
      <c r="W4" s="1653" t="s">
        <v>89</v>
      </c>
      <c r="X4" s="1653" t="s">
        <v>90</v>
      </c>
    </row>
    <row r="5" spans="1:36" ht="14.85" customHeight="1" thickTop="1">
      <c r="B5" s="1666" t="s">
        <v>2354</v>
      </c>
      <c r="C5" s="1667"/>
      <c r="D5" s="1666"/>
      <c r="E5" s="1666"/>
      <c r="F5" s="1668"/>
      <c r="G5" s="1668"/>
      <c r="H5" s="1668"/>
      <c r="I5" s="1668"/>
      <c r="J5" s="1668"/>
      <c r="K5" s="1654"/>
      <c r="L5" s="1654"/>
      <c r="M5" s="1654"/>
      <c r="N5" s="1654"/>
      <c r="Q5" s="1660"/>
      <c r="R5" s="1653"/>
    </row>
    <row r="6" spans="1:36" ht="14.85" customHeight="1">
      <c r="B6" s="1669"/>
      <c r="C6" s="1659"/>
      <c r="D6" s="1669"/>
      <c r="E6" s="1669"/>
      <c r="F6" s="1654"/>
      <c r="G6" s="1654"/>
      <c r="H6" s="1654"/>
      <c r="I6" s="1654"/>
      <c r="J6" s="1654"/>
      <c r="K6" s="1654"/>
      <c r="L6" s="1670"/>
      <c r="M6" s="1654"/>
      <c r="N6" s="1671"/>
      <c r="P6" s="1672"/>
    </row>
    <row r="7" spans="1:36" s="1673" customFormat="1" ht="14.85" customHeight="1">
      <c r="B7" s="1230" t="s">
        <v>2149</v>
      </c>
      <c r="C7" s="1781"/>
      <c r="D7" s="1781"/>
      <c r="E7" s="1781"/>
      <c r="F7" s="1781"/>
      <c r="G7" s="1781"/>
      <c r="H7" s="1781"/>
      <c r="I7" s="1781"/>
      <c r="J7" s="1781"/>
      <c r="K7" s="1781"/>
      <c r="L7" s="1781"/>
      <c r="M7" s="1781"/>
      <c r="N7" s="1781"/>
      <c r="O7" s="1781"/>
      <c r="P7" s="1782"/>
      <c r="Q7" s="1677"/>
      <c r="R7" s="1678"/>
    </row>
    <row r="8" spans="1:36" s="1679" customFormat="1" ht="25.5">
      <c r="B8" s="1844"/>
      <c r="C8" s="1795"/>
      <c r="D8" s="1795" t="s">
        <v>1385</v>
      </c>
      <c r="E8" s="1795" t="s">
        <v>1386</v>
      </c>
      <c r="F8" s="2108" t="s">
        <v>2044</v>
      </c>
      <c r="G8" s="2111" t="s">
        <v>1387</v>
      </c>
      <c r="H8" s="2111" t="s">
        <v>1388</v>
      </c>
      <c r="I8" s="2111"/>
      <c r="J8" s="2111" t="s">
        <v>1389</v>
      </c>
      <c r="K8" s="2109" t="s">
        <v>2350</v>
      </c>
      <c r="L8" s="2111" t="s">
        <v>1390</v>
      </c>
      <c r="M8" s="2111" t="s">
        <v>1391</v>
      </c>
      <c r="N8" s="2111" t="s">
        <v>1392</v>
      </c>
      <c r="O8" s="2109" t="s">
        <v>2351</v>
      </c>
      <c r="P8" s="2110" t="s">
        <v>2353</v>
      </c>
      <c r="Q8" s="1677"/>
      <c r="R8" s="2103" t="s">
        <v>1393</v>
      </c>
      <c r="S8" s="2103" t="s">
        <v>1394</v>
      </c>
      <c r="T8" s="2103" t="s">
        <v>1395</v>
      </c>
      <c r="U8" s="2103" t="s">
        <v>1396</v>
      </c>
      <c r="W8" s="1687" t="s">
        <v>1397</v>
      </c>
      <c r="X8" s="2103" t="s">
        <v>935</v>
      </c>
      <c r="Z8" s="2096" t="s">
        <v>153</v>
      </c>
      <c r="AA8" s="2096" t="s">
        <v>2356</v>
      </c>
      <c r="AB8" s="2096" t="s">
        <v>2357</v>
      </c>
      <c r="AC8" s="2096" t="s">
        <v>2358</v>
      </c>
      <c r="AD8" s="2096" t="s">
        <v>2359</v>
      </c>
    </row>
    <row r="9" spans="1:36" s="1679" customFormat="1" ht="25.5">
      <c r="B9" s="1683" t="s">
        <v>1398</v>
      </c>
      <c r="C9" s="1684" t="s">
        <v>1399</v>
      </c>
      <c r="D9" s="1684" t="s">
        <v>633</v>
      </c>
      <c r="E9" s="1684" t="s">
        <v>1400</v>
      </c>
      <c r="F9" s="2102"/>
      <c r="G9" s="2100"/>
      <c r="H9" s="1685" t="s">
        <v>112</v>
      </c>
      <c r="I9" s="1685" t="s">
        <v>111</v>
      </c>
      <c r="J9" s="2100"/>
      <c r="K9" s="2100"/>
      <c r="L9" s="2100"/>
      <c r="M9" s="2100"/>
      <c r="N9" s="2100"/>
      <c r="O9" s="2100"/>
      <c r="P9" s="2098"/>
      <c r="Q9" s="1677"/>
      <c r="R9" s="2103"/>
      <c r="S9" s="2103"/>
      <c r="T9" s="2103"/>
      <c r="U9" s="2103"/>
      <c r="X9" s="2103"/>
      <c r="Y9" s="1687" t="s">
        <v>95</v>
      </c>
      <c r="Z9" s="2096"/>
      <c r="AA9" s="2096"/>
      <c r="AB9" s="2096"/>
      <c r="AC9" s="2096"/>
      <c r="AD9" s="2096"/>
    </row>
    <row r="10" spans="1:36" s="1688" customFormat="1" ht="14.85" customHeight="1">
      <c r="B10" s="1689"/>
      <c r="C10" s="1689"/>
      <c r="D10" s="1689"/>
      <c r="E10" s="1689"/>
      <c r="F10" s="1689"/>
      <c r="G10" s="1689"/>
      <c r="H10" s="1689"/>
      <c r="I10" s="1689"/>
      <c r="J10" s="1689"/>
      <c r="K10" s="1845"/>
      <c r="L10" s="1689"/>
      <c r="M10" s="1689"/>
      <c r="N10" s="1689"/>
      <c r="O10" s="1689"/>
      <c r="P10" s="1689"/>
      <c r="Q10" s="1677"/>
      <c r="R10" s="1690"/>
      <c r="S10" s="1690"/>
      <c r="T10" s="1690"/>
      <c r="AE10" s="1688" t="s">
        <v>110</v>
      </c>
    </row>
    <row r="11" spans="1:36" s="1688" customFormat="1" ht="14.85" customHeight="1">
      <c r="B11" s="1695" t="s">
        <v>2150</v>
      </c>
      <c r="C11" s="1696" t="s">
        <v>2151</v>
      </c>
      <c r="D11" s="1697" t="s">
        <v>13</v>
      </c>
      <c r="E11" s="1698" t="s">
        <v>2152</v>
      </c>
      <c r="F11" s="1699">
        <v>42641</v>
      </c>
      <c r="G11" s="1846">
        <v>9</v>
      </c>
      <c r="H11" s="1700">
        <v>12</v>
      </c>
      <c r="I11" s="1700">
        <v>14</v>
      </c>
      <c r="J11" s="1846">
        <v>9.09</v>
      </c>
      <c r="K11" s="1847">
        <f>M11-L11</f>
        <v>12846.256000000001</v>
      </c>
      <c r="L11" s="1811">
        <v>4200</v>
      </c>
      <c r="M11" s="893">
        <v>17046.256000000001</v>
      </c>
      <c r="N11" s="1803">
        <f>+K11*G11</f>
        <v>115616.304</v>
      </c>
      <c r="O11" s="1811">
        <v>37800</v>
      </c>
      <c r="P11" s="1809">
        <f>N11+O11</f>
        <v>153416.304</v>
      </c>
      <c r="Q11" s="1803"/>
      <c r="R11" s="1848">
        <f>M11*J11</f>
        <v>154950.46704000002</v>
      </c>
      <c r="S11" s="1849">
        <v>42642</v>
      </c>
      <c r="T11" s="1849">
        <v>42672</v>
      </c>
      <c r="U11" s="1706" t="s">
        <v>2153</v>
      </c>
      <c r="V11" s="1707" t="s">
        <v>2154</v>
      </c>
      <c r="W11" s="1708">
        <f>+N11+O11</f>
        <v>153416.304</v>
      </c>
      <c r="X11" s="1850">
        <v>16060</v>
      </c>
      <c r="Y11" s="1850">
        <v>0</v>
      </c>
      <c r="Z11" s="1850">
        <f>W11+Y11-X11</f>
        <v>137356.304</v>
      </c>
      <c r="AA11" s="1850">
        <v>13218</v>
      </c>
      <c r="AB11" s="1850">
        <v>-5000</v>
      </c>
      <c r="AC11" s="1850">
        <f>Z11/AA11</f>
        <v>10.391610228476321</v>
      </c>
      <c r="AD11" s="1850">
        <f>Z11/AB11</f>
        <v>-27.4712608</v>
      </c>
      <c r="AE11" s="1713">
        <f t="shared" ref="AE11:AE19" si="0">+P11-W11</f>
        <v>0</v>
      </c>
    </row>
    <row r="12" spans="1:36" s="1688" customFormat="1" ht="14.85" customHeight="1">
      <c r="B12" s="1695" t="s">
        <v>2155</v>
      </c>
      <c r="C12" s="1696" t="s">
        <v>2156</v>
      </c>
      <c r="D12" s="1697" t="s">
        <v>13</v>
      </c>
      <c r="E12" s="1698" t="s">
        <v>2157</v>
      </c>
      <c r="F12" s="1699">
        <v>42522</v>
      </c>
      <c r="G12" s="1846">
        <v>14</v>
      </c>
      <c r="H12" s="1700">
        <v>12.5</v>
      </c>
      <c r="I12" s="1700">
        <v>15.5</v>
      </c>
      <c r="J12" s="1846">
        <v>12.87</v>
      </c>
      <c r="K12" s="1847">
        <f t="shared" ref="K12:K19" si="1">M12-L12</f>
        <v>111345.825</v>
      </c>
      <c r="L12" s="1811">
        <v>6500</v>
      </c>
      <c r="M12" s="893">
        <v>117845.825</v>
      </c>
      <c r="N12" s="1803">
        <f t="shared" ref="N12:N19" si="2">+K12*G12</f>
        <v>1558841.55</v>
      </c>
      <c r="O12" s="1811">
        <v>91000</v>
      </c>
      <c r="P12" s="1809">
        <f t="shared" ref="P12:P19" si="3">N12+O12</f>
        <v>1649841.55</v>
      </c>
      <c r="Q12" s="1803"/>
      <c r="R12" s="1848">
        <f t="shared" ref="R12:R19" si="4">M12*J12</f>
        <v>1516675.7677499999</v>
      </c>
      <c r="S12" s="1849">
        <v>42523</v>
      </c>
      <c r="T12" s="1849">
        <v>42553</v>
      </c>
      <c r="U12" s="1706" t="s">
        <v>2158</v>
      </c>
      <c r="V12" s="1707" t="s">
        <v>2159</v>
      </c>
      <c r="W12" s="1708">
        <f t="shared" ref="W12:W19" si="5">+N12+O12</f>
        <v>1649841.55</v>
      </c>
      <c r="X12" s="1850">
        <v>24560</v>
      </c>
      <c r="Y12" s="1850">
        <v>152666</v>
      </c>
      <c r="Z12" s="1850">
        <f t="shared" ref="Z12:Z19" si="6">W12+Y12-X12</f>
        <v>1777947.55</v>
      </c>
      <c r="AA12" s="1850">
        <v>66012</v>
      </c>
      <c r="AB12" s="1850">
        <v>-81859</v>
      </c>
      <c r="AC12" s="1850">
        <f t="shared" ref="AC12:AC19" si="7">Z12/AA12</f>
        <v>26.933702205659579</v>
      </c>
      <c r="AD12" s="1850">
        <f t="shared" ref="AD12:AD19" si="8">Z12/AB12</f>
        <v>-21.719634371296987</v>
      </c>
      <c r="AE12" s="1713">
        <f t="shared" si="0"/>
        <v>0</v>
      </c>
    </row>
    <row r="13" spans="1:36" s="1688" customFormat="1" ht="14.85" customHeight="1">
      <c r="B13" s="1851" t="s">
        <v>2160</v>
      </c>
      <c r="C13" s="1696" t="s">
        <v>2161</v>
      </c>
      <c r="D13" s="1697" t="s">
        <v>13</v>
      </c>
      <c r="E13" s="1698" t="s">
        <v>2162</v>
      </c>
      <c r="F13" s="1699">
        <v>42129</v>
      </c>
      <c r="G13" s="1846">
        <v>14</v>
      </c>
      <c r="H13" s="1700">
        <v>13</v>
      </c>
      <c r="I13" s="1700">
        <v>15</v>
      </c>
      <c r="J13" s="1846">
        <v>15.61</v>
      </c>
      <c r="K13" s="1847">
        <f t="shared" si="1"/>
        <v>3164.6130000000003</v>
      </c>
      <c r="L13" s="1811">
        <v>3570</v>
      </c>
      <c r="M13" s="893">
        <v>6734.6130000000003</v>
      </c>
      <c r="N13" s="1803">
        <f t="shared" si="2"/>
        <v>44304.582000000002</v>
      </c>
      <c r="O13" s="1811">
        <v>49980</v>
      </c>
      <c r="P13" s="1809">
        <f t="shared" si="3"/>
        <v>94284.581999999995</v>
      </c>
      <c r="Q13" s="1803"/>
      <c r="R13" s="1848">
        <f t="shared" si="4"/>
        <v>105127.30893</v>
      </c>
      <c r="S13" s="1849">
        <v>42131</v>
      </c>
      <c r="T13" s="1849">
        <v>42161</v>
      </c>
      <c r="U13" s="1706" t="s">
        <v>2163</v>
      </c>
      <c r="V13" s="1707" t="s">
        <v>2164</v>
      </c>
      <c r="W13" s="1708">
        <f t="shared" si="5"/>
        <v>94284.581999999995</v>
      </c>
      <c r="X13" s="1850">
        <v>3613.39</v>
      </c>
      <c r="Y13" s="1850">
        <v>10519.37</v>
      </c>
      <c r="Z13" s="1850">
        <f t="shared" si="6"/>
        <v>101190.56199999999</v>
      </c>
      <c r="AA13" s="1850">
        <v>3328.96</v>
      </c>
      <c r="AB13" s="1850">
        <v>-12367.85</v>
      </c>
      <c r="AC13" s="1850">
        <f t="shared" si="7"/>
        <v>30.39704952898202</v>
      </c>
      <c r="AD13" s="1850">
        <f t="shared" si="8"/>
        <v>-8.1817423400186762</v>
      </c>
      <c r="AE13" s="1713">
        <f t="shared" si="0"/>
        <v>0</v>
      </c>
    </row>
    <row r="14" spans="1:36" s="1688" customFormat="1" ht="14.85" customHeight="1">
      <c r="B14" s="1695" t="s">
        <v>2165</v>
      </c>
      <c r="C14" s="1696" t="s">
        <v>2166</v>
      </c>
      <c r="D14" s="1697" t="s">
        <v>13</v>
      </c>
      <c r="E14" s="1698" t="s">
        <v>2167</v>
      </c>
      <c r="F14" s="1699">
        <v>41955</v>
      </c>
      <c r="G14" s="1846">
        <v>6.5</v>
      </c>
      <c r="H14" s="1700">
        <v>0</v>
      </c>
      <c r="I14" s="1700">
        <v>0</v>
      </c>
      <c r="J14" s="1846">
        <v>2.5</v>
      </c>
      <c r="K14" s="1847">
        <f t="shared" si="1"/>
        <v>4822.67</v>
      </c>
      <c r="L14" s="1811">
        <v>1550</v>
      </c>
      <c r="M14" s="893">
        <v>6372.67</v>
      </c>
      <c r="N14" s="1803">
        <f t="shared" si="2"/>
        <v>31347.355</v>
      </c>
      <c r="O14" s="1811">
        <v>10075</v>
      </c>
      <c r="P14" s="1809">
        <f t="shared" si="3"/>
        <v>41422.354999999996</v>
      </c>
      <c r="Q14" s="1803"/>
      <c r="R14" s="1848">
        <f t="shared" si="4"/>
        <v>15931.674999999999</v>
      </c>
      <c r="S14" s="1849">
        <v>41957</v>
      </c>
      <c r="T14" s="1849">
        <v>41987</v>
      </c>
      <c r="U14" s="1706" t="s">
        <v>2168</v>
      </c>
      <c r="V14" s="1707" t="s">
        <v>2169</v>
      </c>
      <c r="W14" s="1708">
        <f t="shared" si="5"/>
        <v>41422.354999999996</v>
      </c>
      <c r="X14" s="1850" t="e">
        <v>#VALUE!</v>
      </c>
      <c r="Y14" s="1850" t="e">
        <v>#VALUE!</v>
      </c>
      <c r="Z14" s="1850" t="e">
        <f t="shared" si="6"/>
        <v>#VALUE!</v>
      </c>
      <c r="AA14" s="1850" t="e">
        <v>#VALUE!</v>
      </c>
      <c r="AB14" s="1850" t="e">
        <v>#VALUE!</v>
      </c>
      <c r="AC14" s="1850" t="e">
        <f t="shared" si="7"/>
        <v>#VALUE!</v>
      </c>
      <c r="AD14" s="1850" t="e">
        <f t="shared" si="8"/>
        <v>#VALUE!</v>
      </c>
      <c r="AE14" s="1713">
        <f t="shared" si="0"/>
        <v>0</v>
      </c>
    </row>
    <row r="15" spans="1:36" s="1688" customFormat="1" ht="14.85" customHeight="1">
      <c r="B15" s="1695" t="s">
        <v>2170</v>
      </c>
      <c r="C15" s="1696" t="s">
        <v>2171</v>
      </c>
      <c r="D15" s="1697" t="s">
        <v>13</v>
      </c>
      <c r="E15" s="1698" t="s">
        <v>2172</v>
      </c>
      <c r="F15" s="1699">
        <v>41857</v>
      </c>
      <c r="G15" s="1846">
        <v>11</v>
      </c>
      <c r="H15" s="1700">
        <v>15</v>
      </c>
      <c r="I15" s="1700">
        <v>17</v>
      </c>
      <c r="J15" s="1846">
        <v>19.66</v>
      </c>
      <c r="K15" s="1847">
        <f t="shared" si="1"/>
        <v>14021.603999999999</v>
      </c>
      <c r="L15" s="1811">
        <v>4000</v>
      </c>
      <c r="M15" s="893">
        <v>18021.603999999999</v>
      </c>
      <c r="N15" s="1803">
        <f t="shared" si="2"/>
        <v>154237.644</v>
      </c>
      <c r="O15" s="1811">
        <v>44000</v>
      </c>
      <c r="P15" s="1809">
        <f>N15+O15</f>
        <v>198237.644</v>
      </c>
      <c r="Q15" s="1803"/>
      <c r="R15" s="1848">
        <f t="shared" si="4"/>
        <v>354304.73463999998</v>
      </c>
      <c r="S15" s="1849">
        <v>41858</v>
      </c>
      <c r="T15" s="1849">
        <v>41888</v>
      </c>
      <c r="U15" s="1706" t="s">
        <v>2173</v>
      </c>
      <c r="V15" s="1707" t="s">
        <v>2174</v>
      </c>
      <c r="W15" s="1708">
        <f t="shared" si="5"/>
        <v>198237.644</v>
      </c>
      <c r="X15" s="1850">
        <v>23698</v>
      </c>
      <c r="Y15" s="1850">
        <v>4619</v>
      </c>
      <c r="Z15" s="1850">
        <f t="shared" si="6"/>
        <v>179158.644</v>
      </c>
      <c r="AA15" s="1850">
        <v>266</v>
      </c>
      <c r="AB15" s="1850">
        <v>-21409</v>
      </c>
      <c r="AC15" s="1850">
        <f t="shared" si="7"/>
        <v>673.52873684210522</v>
      </c>
      <c r="AD15" s="1850">
        <f t="shared" si="8"/>
        <v>-8.3683798402540983</v>
      </c>
      <c r="AE15" s="1713">
        <f t="shared" si="0"/>
        <v>0</v>
      </c>
    </row>
    <row r="16" spans="1:36" s="1688" customFormat="1" ht="14.85" customHeight="1">
      <c r="B16" s="1695" t="s">
        <v>1695</v>
      </c>
      <c r="C16" s="1696" t="s">
        <v>1696</v>
      </c>
      <c r="D16" s="1697" t="s">
        <v>13</v>
      </c>
      <c r="E16" s="1698" t="s">
        <v>1697</v>
      </c>
      <c r="F16" s="1699">
        <v>41836</v>
      </c>
      <c r="G16" s="1846">
        <v>10</v>
      </c>
      <c r="H16" s="1700">
        <v>15</v>
      </c>
      <c r="I16" s="1700">
        <v>17</v>
      </c>
      <c r="J16" s="1846">
        <v>10.02</v>
      </c>
      <c r="K16" s="1847">
        <f t="shared" si="1"/>
        <v>7379.3019999999997</v>
      </c>
      <c r="L16" s="1811">
        <v>3125</v>
      </c>
      <c r="M16" s="893">
        <v>10504.302</v>
      </c>
      <c r="N16" s="1803">
        <f t="shared" si="2"/>
        <v>73793.01999999999</v>
      </c>
      <c r="O16" s="1811">
        <v>31250</v>
      </c>
      <c r="P16" s="1809">
        <f t="shared" si="3"/>
        <v>105043.01999999999</v>
      </c>
      <c r="Q16" s="1803"/>
      <c r="R16" s="1848">
        <f t="shared" si="4"/>
        <v>105253.10604</v>
      </c>
      <c r="S16" s="1849">
        <v>41838</v>
      </c>
      <c r="T16" s="1849">
        <v>41868</v>
      </c>
      <c r="U16" s="1706" t="s">
        <v>1698</v>
      </c>
      <c r="V16" s="1707" t="s">
        <v>1699</v>
      </c>
      <c r="W16" s="1708">
        <f t="shared" si="5"/>
        <v>105043.01999999999</v>
      </c>
      <c r="X16" s="1850">
        <v>4837</v>
      </c>
      <c r="Y16" s="1850">
        <v>15114</v>
      </c>
      <c r="Z16" s="1850">
        <f t="shared" si="6"/>
        <v>115320.01999999999</v>
      </c>
      <c r="AA16" s="1850">
        <v>23041</v>
      </c>
      <c r="AB16" s="1850">
        <v>59</v>
      </c>
      <c r="AC16" s="1850">
        <f t="shared" si="7"/>
        <v>5.0049919708345989</v>
      </c>
      <c r="AD16" s="1850">
        <f t="shared" si="8"/>
        <v>1954.5766101694915</v>
      </c>
      <c r="AE16" s="1713">
        <f t="shared" si="0"/>
        <v>0</v>
      </c>
    </row>
    <row r="17" spans="1:31" s="1688" customFormat="1" ht="14.85" customHeight="1">
      <c r="B17" s="1695" t="s">
        <v>2143</v>
      </c>
      <c r="C17" s="1696" t="s">
        <v>2144</v>
      </c>
      <c r="D17" s="1697" t="s">
        <v>13</v>
      </c>
      <c r="E17" s="1698" t="s">
        <v>2145</v>
      </c>
      <c r="F17" s="1699">
        <v>41577</v>
      </c>
      <c r="G17" s="1846">
        <v>13</v>
      </c>
      <c r="H17" s="1700">
        <v>13</v>
      </c>
      <c r="I17" s="1700">
        <v>15</v>
      </c>
      <c r="J17" s="1846">
        <v>12.98</v>
      </c>
      <c r="K17" s="1847">
        <f t="shared" si="1"/>
        <v>15989.89</v>
      </c>
      <c r="L17" s="1811">
        <v>4700</v>
      </c>
      <c r="M17" s="893">
        <v>20689.89</v>
      </c>
      <c r="N17" s="1803">
        <f t="shared" si="2"/>
        <v>207868.57</v>
      </c>
      <c r="O17" s="1811">
        <v>61100</v>
      </c>
      <c r="P17" s="1809">
        <f t="shared" si="3"/>
        <v>268968.57</v>
      </c>
      <c r="Q17" s="1803"/>
      <c r="R17" s="1848">
        <f t="shared" si="4"/>
        <v>268554.77220000001</v>
      </c>
      <c r="S17" s="1849">
        <v>41577</v>
      </c>
      <c r="T17" s="1849">
        <v>41607</v>
      </c>
      <c r="U17" s="1706" t="s">
        <v>2146</v>
      </c>
      <c r="V17" s="1707" t="s">
        <v>2175</v>
      </c>
      <c r="W17" s="1708">
        <f t="shared" si="5"/>
        <v>268968.57</v>
      </c>
      <c r="X17" s="1850">
        <v>20683</v>
      </c>
      <c r="Y17" s="1850">
        <v>4826</v>
      </c>
      <c r="Z17" s="1850">
        <f t="shared" si="6"/>
        <v>253111.57</v>
      </c>
      <c r="AA17" s="1850">
        <v>17133</v>
      </c>
      <c r="AB17" s="1850">
        <v>-20627</v>
      </c>
      <c r="AC17" s="1850">
        <f t="shared" si="7"/>
        <v>14.773336251678048</v>
      </c>
      <c r="AD17" s="1850">
        <f t="shared" si="8"/>
        <v>-12.2708862170941</v>
      </c>
      <c r="AE17" s="1713">
        <f t="shared" si="0"/>
        <v>0</v>
      </c>
    </row>
    <row r="18" spans="1:31" s="1688" customFormat="1" ht="14.85" customHeight="1">
      <c r="B18" s="1695" t="s">
        <v>2176</v>
      </c>
      <c r="C18" s="1696" t="s">
        <v>2177</v>
      </c>
      <c r="D18" s="1697" t="s">
        <v>13</v>
      </c>
      <c r="E18" s="1698" t="s">
        <v>2178</v>
      </c>
      <c r="F18" s="1699">
        <v>41541</v>
      </c>
      <c r="G18" s="1846">
        <v>18</v>
      </c>
      <c r="H18" s="1700">
        <v>14</v>
      </c>
      <c r="I18" s="1700">
        <v>16</v>
      </c>
      <c r="J18" s="1846">
        <v>30.87</v>
      </c>
      <c r="K18" s="1847">
        <f t="shared" si="1"/>
        <v>21283.454000000002</v>
      </c>
      <c r="L18" s="1811">
        <v>5000</v>
      </c>
      <c r="M18" s="893">
        <v>26283.454000000002</v>
      </c>
      <c r="N18" s="1803">
        <f t="shared" si="2"/>
        <v>383102.17200000002</v>
      </c>
      <c r="O18" s="1811">
        <v>90000</v>
      </c>
      <c r="P18" s="1809">
        <f t="shared" si="3"/>
        <v>473102.17200000002</v>
      </c>
      <c r="Q18" s="1803"/>
      <c r="R18" s="1848">
        <f>M18*J18</f>
        <v>811370.22498000006</v>
      </c>
      <c r="S18" s="1849">
        <v>41542</v>
      </c>
      <c r="T18" s="1849">
        <v>41572</v>
      </c>
      <c r="U18" s="1706" t="s">
        <v>2179</v>
      </c>
      <c r="V18" s="1707" t="s">
        <v>2180</v>
      </c>
      <c r="W18" s="1708">
        <f t="shared" si="5"/>
        <v>473102.17200000002</v>
      </c>
      <c r="X18" s="1850">
        <v>35965</v>
      </c>
      <c r="Y18" s="1850">
        <v>2346</v>
      </c>
      <c r="Z18" s="1850">
        <f t="shared" si="6"/>
        <v>439483.17200000002</v>
      </c>
      <c r="AA18" s="1850">
        <v>19336</v>
      </c>
      <c r="AB18" s="1850">
        <v>-24930</v>
      </c>
      <c r="AC18" s="1850">
        <f t="shared" si="7"/>
        <v>22.728753206454282</v>
      </c>
      <c r="AD18" s="1850">
        <f t="shared" si="8"/>
        <v>-17.62868720417168</v>
      </c>
      <c r="AE18" s="1713">
        <f t="shared" si="0"/>
        <v>0</v>
      </c>
    </row>
    <row r="19" spans="1:31" s="1688" customFormat="1" ht="14.85" customHeight="1">
      <c r="B19" s="1695" t="s">
        <v>2181</v>
      </c>
      <c r="C19" s="1696" t="s">
        <v>2182</v>
      </c>
      <c r="D19" s="1697" t="s">
        <v>13</v>
      </c>
      <c r="E19" s="1698" t="s">
        <v>2183</v>
      </c>
      <c r="F19" s="1699">
        <v>41493</v>
      </c>
      <c r="G19" s="1846">
        <v>16</v>
      </c>
      <c r="H19" s="1700">
        <v>14</v>
      </c>
      <c r="I19" s="1700">
        <v>16</v>
      </c>
      <c r="J19" s="1846">
        <v>25.54</v>
      </c>
      <c r="K19" s="1847">
        <f t="shared" si="1"/>
        <v>85486.074000000008</v>
      </c>
      <c r="L19" s="1811">
        <v>8333.3330000000005</v>
      </c>
      <c r="M19" s="893">
        <v>93819.407000000007</v>
      </c>
      <c r="N19" s="1803">
        <f t="shared" si="2"/>
        <v>1367777.1840000001</v>
      </c>
      <c r="O19" s="1811">
        <v>133333.32800000001</v>
      </c>
      <c r="P19" s="1809">
        <f t="shared" si="3"/>
        <v>1501110.5120000001</v>
      </c>
      <c r="Q19" s="1803"/>
      <c r="R19" s="1848">
        <f t="shared" si="4"/>
        <v>2396147.65478</v>
      </c>
      <c r="S19" s="1849">
        <v>41494</v>
      </c>
      <c r="T19" s="1849">
        <v>41524</v>
      </c>
      <c r="U19" s="1706" t="s">
        <v>2184</v>
      </c>
      <c r="V19" s="1707" t="s">
        <v>2185</v>
      </c>
      <c r="W19" s="1708">
        <f t="shared" si="5"/>
        <v>1501110.5120000001</v>
      </c>
      <c r="X19" s="1850">
        <v>59724</v>
      </c>
      <c r="Y19" s="1850">
        <v>2288</v>
      </c>
      <c r="Z19" s="1850">
        <f t="shared" si="6"/>
        <v>1443674.5120000001</v>
      </c>
      <c r="AA19" s="1850">
        <v>16283.000000000002</v>
      </c>
      <c r="AB19" s="1850">
        <v>-56078</v>
      </c>
      <c r="AC19" s="1850">
        <f t="shared" si="7"/>
        <v>88.661457470982</v>
      </c>
      <c r="AD19" s="1850">
        <f t="shared" si="8"/>
        <v>-25.744044224116411</v>
      </c>
      <c r="AE19" s="1713">
        <f t="shared" si="0"/>
        <v>0</v>
      </c>
    </row>
    <row r="20" spans="1:31" s="1688" customFormat="1" ht="14.85" customHeight="1">
      <c r="B20" s="1689"/>
      <c r="C20" s="1689"/>
      <c r="D20" s="1689"/>
      <c r="E20" s="1689"/>
      <c r="F20" s="1689"/>
      <c r="G20" s="1689"/>
      <c r="H20" s="1689"/>
      <c r="I20" s="1689"/>
      <c r="J20" s="1689"/>
      <c r="K20" s="1689"/>
      <c r="L20" s="1689"/>
      <c r="M20" s="1689"/>
      <c r="N20" s="1689"/>
      <c r="O20" s="1689"/>
      <c r="P20" s="1689"/>
      <c r="Q20" s="1677"/>
      <c r="R20" s="1690"/>
      <c r="S20" s="1690"/>
      <c r="T20" s="1690"/>
    </row>
    <row r="21" spans="1:31" s="1688" customFormat="1" ht="14.85" customHeight="1" outlineLevel="1">
      <c r="B21" s="1692" t="s">
        <v>1985</v>
      </c>
      <c r="C21" s="1689"/>
      <c r="D21" s="1689"/>
      <c r="E21" s="1689"/>
      <c r="F21" s="1689"/>
      <c r="G21" s="1689"/>
      <c r="H21" s="1689"/>
      <c r="I21" s="1689"/>
      <c r="J21" s="1689"/>
      <c r="K21" s="1689"/>
      <c r="L21" s="1694"/>
      <c r="M21" s="1689"/>
      <c r="N21" s="1689"/>
      <c r="O21" s="1689"/>
      <c r="P21" s="1689"/>
      <c r="Q21" s="1677"/>
      <c r="R21" s="1677"/>
      <c r="S21" s="1690"/>
      <c r="T21" s="1690"/>
    </row>
    <row r="22" spans="1:31" s="1688" customFormat="1" ht="14.85" customHeight="1" outlineLevel="1">
      <c r="B22" s="1692"/>
      <c r="C22" s="1689"/>
      <c r="D22" s="1689"/>
      <c r="E22" s="1689"/>
      <c r="F22" s="1689"/>
      <c r="G22" s="1689"/>
      <c r="H22" s="1689"/>
      <c r="I22" s="1689"/>
      <c r="J22" s="1689"/>
      <c r="K22" s="1689"/>
      <c r="L22" s="1694"/>
      <c r="M22" s="1689"/>
      <c r="N22" s="1689"/>
      <c r="O22" s="1689"/>
      <c r="P22" s="1689"/>
      <c r="Q22" s="1677"/>
      <c r="R22" s="1677"/>
      <c r="S22" s="1690"/>
      <c r="T22" s="1690"/>
    </row>
    <row r="23" spans="1:31" s="1688" customFormat="1" ht="14.85" customHeight="1" outlineLevel="1">
      <c r="B23" s="1695" t="s">
        <v>1027</v>
      </c>
      <c r="C23" s="1696" t="s">
        <v>1025</v>
      </c>
      <c r="D23" s="1697" t="s">
        <v>1228</v>
      </c>
      <c r="E23" s="1698" t="s">
        <v>1406</v>
      </c>
      <c r="F23" s="1699">
        <v>42661</v>
      </c>
      <c r="G23" s="1846">
        <v>14</v>
      </c>
      <c r="H23" s="1700">
        <v>15</v>
      </c>
      <c r="I23" s="1700">
        <v>17</v>
      </c>
      <c r="J23" s="1846">
        <v>20.5</v>
      </c>
      <c r="K23" s="1727">
        <f t="shared" ref="K23:K38" si="9">+M23-L23</f>
        <v>35360.633999999998</v>
      </c>
      <c r="L23" s="1694">
        <v>4000</v>
      </c>
      <c r="M23" s="1694">
        <v>39360.633999999998</v>
      </c>
      <c r="N23" s="1701">
        <f t="shared" ref="N23:N38" si="10">+G23*K23</f>
        <v>495048.87599999999</v>
      </c>
      <c r="O23" s="1703">
        <f t="shared" ref="O23:O38" si="11">+G23*L23</f>
        <v>56000</v>
      </c>
      <c r="P23" s="1701">
        <f t="shared" ref="P23:P38" si="12">+N23+O23</f>
        <v>551048.87599999993</v>
      </c>
      <c r="Q23" s="1677"/>
      <c r="R23" s="1700">
        <v>20.5</v>
      </c>
      <c r="S23" s="1704">
        <f t="shared" ref="S23:S38" si="13">R23*M23</f>
        <v>806892.99699999997</v>
      </c>
      <c r="T23" s="1705">
        <f t="shared" ref="T23:T38" si="14">S23/P23-1</f>
        <v>0.46428571428571441</v>
      </c>
      <c r="U23" s="1706" t="s">
        <v>1026</v>
      </c>
      <c r="V23" s="1707" t="s">
        <v>1028</v>
      </c>
      <c r="W23" s="1708">
        <f t="shared" ref="W23:W38" si="15">+N23+O23</f>
        <v>551048.87599999993</v>
      </c>
      <c r="X23" s="1713">
        <f t="shared" ref="X23:X38" si="16">+P23-W23</f>
        <v>0</v>
      </c>
    </row>
    <row r="24" spans="1:31" s="1688" customFormat="1" ht="14.85" customHeight="1" outlineLevel="1">
      <c r="A24" s="1714"/>
      <c r="B24" s="1695" t="s">
        <v>1069</v>
      </c>
      <c r="C24" s="1696" t="s">
        <v>1067</v>
      </c>
      <c r="D24" s="1697" t="s">
        <v>1005</v>
      </c>
      <c r="E24" s="1698" t="s">
        <v>1432</v>
      </c>
      <c r="F24" s="1699">
        <v>42571</v>
      </c>
      <c r="G24" s="1726">
        <v>15</v>
      </c>
      <c r="H24" s="1715">
        <v>14</v>
      </c>
      <c r="I24" s="1715">
        <v>16</v>
      </c>
      <c r="J24" s="1726">
        <v>14.4</v>
      </c>
      <c r="K24" s="1727">
        <f t="shared" si="9"/>
        <v>16020.378000000001</v>
      </c>
      <c r="L24" s="1694">
        <v>5000</v>
      </c>
      <c r="M24" s="1694">
        <v>21020.378000000001</v>
      </c>
      <c r="N24" s="1701">
        <f t="shared" si="10"/>
        <v>240305.67</v>
      </c>
      <c r="O24" s="1703">
        <f t="shared" si="11"/>
        <v>75000</v>
      </c>
      <c r="P24" s="1701">
        <f t="shared" si="12"/>
        <v>315305.67000000004</v>
      </c>
      <c r="Q24" s="1701"/>
      <c r="R24" s="1700">
        <v>14.4</v>
      </c>
      <c r="S24" s="1704">
        <f t="shared" si="13"/>
        <v>302693.44320000004</v>
      </c>
      <c r="T24" s="1705">
        <f t="shared" si="14"/>
        <v>-4.0000000000000036E-2</v>
      </c>
      <c r="U24" s="1716" t="s">
        <v>1068</v>
      </c>
      <c r="V24" s="1707" t="s">
        <v>1070</v>
      </c>
      <c r="W24" s="1708">
        <f t="shared" si="15"/>
        <v>315305.67000000004</v>
      </c>
      <c r="X24" s="1713">
        <f t="shared" si="16"/>
        <v>0</v>
      </c>
      <c r="Y24" s="1718"/>
    </row>
    <row r="25" spans="1:31" s="1688" customFormat="1" ht="14.85" customHeight="1" outlineLevel="1">
      <c r="A25" s="1714"/>
      <c r="B25" s="1695" t="s">
        <v>1439</v>
      </c>
      <c r="C25" s="1696" t="s">
        <v>1440</v>
      </c>
      <c r="D25" s="1697" t="s">
        <v>1005</v>
      </c>
      <c r="E25" s="1698" t="s">
        <v>1441</v>
      </c>
      <c r="F25" s="1699">
        <v>42522</v>
      </c>
      <c r="G25" s="1726">
        <v>6</v>
      </c>
      <c r="H25" s="1715">
        <v>5</v>
      </c>
      <c r="I25" s="1715">
        <v>6</v>
      </c>
      <c r="J25" s="1726">
        <v>7.0350000000000001</v>
      </c>
      <c r="K25" s="1727">
        <f t="shared" si="9"/>
        <v>6895.2960000000003</v>
      </c>
      <c r="L25" s="1694">
        <v>1540.0260000000001</v>
      </c>
      <c r="M25" s="1694">
        <v>8435.3220000000001</v>
      </c>
      <c r="N25" s="1701">
        <f t="shared" si="10"/>
        <v>41371.775999999998</v>
      </c>
      <c r="O25" s="1703">
        <f t="shared" si="11"/>
        <v>9240.1560000000009</v>
      </c>
      <c r="P25" s="1701">
        <f t="shared" si="12"/>
        <v>50611.932000000001</v>
      </c>
      <c r="Q25" s="1701"/>
      <c r="R25" s="1700">
        <v>7.0350000000000001</v>
      </c>
      <c r="S25" s="1704">
        <f t="shared" si="13"/>
        <v>59342.490270000002</v>
      </c>
      <c r="T25" s="1705">
        <f t="shared" si="14"/>
        <v>0.1725000000000001</v>
      </c>
      <c r="U25" s="1716" t="s">
        <v>1442</v>
      </c>
      <c r="V25" s="1707" t="s">
        <v>1443</v>
      </c>
      <c r="W25" s="1708">
        <f t="shared" si="15"/>
        <v>50611.932000000001</v>
      </c>
      <c r="X25" s="1713">
        <f t="shared" si="16"/>
        <v>0</v>
      </c>
      <c r="Y25" s="1718"/>
    </row>
    <row r="26" spans="1:31" s="1718" customFormat="1" ht="14.85" customHeight="1" outlineLevel="1">
      <c r="A26" s="1714"/>
      <c r="B26" s="1695" t="s">
        <v>1108</v>
      </c>
      <c r="C26" s="1698" t="s">
        <v>1106</v>
      </c>
      <c r="D26" s="1697" t="s">
        <v>1005</v>
      </c>
      <c r="E26" s="1698" t="s">
        <v>1454</v>
      </c>
      <c r="F26" s="1699">
        <v>42507</v>
      </c>
      <c r="G26" s="1726">
        <v>5</v>
      </c>
      <c r="H26" s="1715">
        <v>0</v>
      </c>
      <c r="I26" s="1715">
        <v>0</v>
      </c>
      <c r="J26" s="1726">
        <v>5.18</v>
      </c>
      <c r="K26" s="1727">
        <f t="shared" si="9"/>
        <v>7883.2340000000004</v>
      </c>
      <c r="L26" s="1694">
        <v>3700</v>
      </c>
      <c r="M26" s="1694">
        <v>11583.234</v>
      </c>
      <c r="N26" s="1701">
        <f t="shared" si="10"/>
        <v>39416.17</v>
      </c>
      <c r="O26" s="1703">
        <f t="shared" si="11"/>
        <v>18500</v>
      </c>
      <c r="P26" s="1701">
        <f t="shared" si="12"/>
        <v>57916.17</v>
      </c>
      <c r="Q26" s="1701"/>
      <c r="R26" s="1700">
        <v>5.18</v>
      </c>
      <c r="S26" s="1704">
        <f t="shared" si="13"/>
        <v>60001.152119999999</v>
      </c>
      <c r="T26" s="1705">
        <f t="shared" si="14"/>
        <v>3.6000000000000032E-2</v>
      </c>
      <c r="U26" s="1716" t="s">
        <v>1107</v>
      </c>
      <c r="V26" s="1707" t="s">
        <v>1109</v>
      </c>
      <c r="W26" s="1708">
        <f t="shared" si="15"/>
        <v>57916.17</v>
      </c>
      <c r="X26" s="1713">
        <f t="shared" si="16"/>
        <v>0</v>
      </c>
      <c r="Y26" s="1688"/>
      <c r="AC26" s="1713"/>
      <c r="AD26" s="1719"/>
    </row>
    <row r="27" spans="1:31" s="1688" customFormat="1" ht="14.85" customHeight="1" outlineLevel="1">
      <c r="A27" s="1714"/>
      <c r="B27" s="1695" t="s">
        <v>1058</v>
      </c>
      <c r="C27" s="1698" t="s">
        <v>1056</v>
      </c>
      <c r="D27" s="1697" t="s">
        <v>1228</v>
      </c>
      <c r="E27" s="1698" t="s">
        <v>1460</v>
      </c>
      <c r="F27" s="1699">
        <v>42495</v>
      </c>
      <c r="G27" s="1726">
        <v>18</v>
      </c>
      <c r="H27" s="1715">
        <v>16</v>
      </c>
      <c r="I27" s="1715">
        <v>18</v>
      </c>
      <c r="J27" s="1726">
        <v>28.8</v>
      </c>
      <c r="K27" s="1727">
        <f t="shared" si="9"/>
        <v>29096.264999999999</v>
      </c>
      <c r="L27" s="1694">
        <v>6000</v>
      </c>
      <c r="M27" s="1694">
        <v>35096.264999999999</v>
      </c>
      <c r="N27" s="1701">
        <f t="shared" si="10"/>
        <v>523732.77</v>
      </c>
      <c r="O27" s="1703">
        <f t="shared" si="11"/>
        <v>108000</v>
      </c>
      <c r="P27" s="1701">
        <f t="shared" si="12"/>
        <v>631732.77</v>
      </c>
      <c r="Q27" s="1701"/>
      <c r="R27" s="1700">
        <v>28.8</v>
      </c>
      <c r="S27" s="1704">
        <f t="shared" si="13"/>
        <v>1010772.432</v>
      </c>
      <c r="T27" s="1705">
        <f t="shared" si="14"/>
        <v>0.60000000000000009</v>
      </c>
      <c r="U27" s="1716" t="s">
        <v>1057</v>
      </c>
      <c r="V27" s="1707" t="s">
        <v>1059</v>
      </c>
      <c r="W27" s="1708">
        <f t="shared" si="15"/>
        <v>631732.77</v>
      </c>
      <c r="X27" s="1713">
        <f t="shared" si="16"/>
        <v>0</v>
      </c>
      <c r="AC27" s="1713"/>
      <c r="AD27" s="1719"/>
      <c r="AE27" s="1718"/>
    </row>
    <row r="28" spans="1:31" s="1688" customFormat="1" ht="14.85" customHeight="1" outlineLevel="1">
      <c r="A28" s="1714"/>
      <c r="B28" s="1695" t="s">
        <v>1465</v>
      </c>
      <c r="C28" s="1698" t="s">
        <v>1466</v>
      </c>
      <c r="D28" s="1697" t="s">
        <v>1986</v>
      </c>
      <c r="E28" s="1698" t="s">
        <v>1467</v>
      </c>
      <c r="F28" s="1699">
        <v>42466</v>
      </c>
      <c r="G28" s="1726">
        <v>10</v>
      </c>
      <c r="H28" s="1715">
        <v>16</v>
      </c>
      <c r="I28" s="1715">
        <v>18</v>
      </c>
      <c r="J28" s="1726">
        <v>8.7100000000000009</v>
      </c>
      <c r="K28" s="1727">
        <f t="shared" si="9"/>
        <v>7929.8320000000003</v>
      </c>
      <c r="L28" s="1694">
        <v>5000</v>
      </c>
      <c r="M28" s="1694">
        <v>12929.832</v>
      </c>
      <c r="N28" s="1701">
        <f t="shared" si="10"/>
        <v>79298.320000000007</v>
      </c>
      <c r="O28" s="1703">
        <f t="shared" si="11"/>
        <v>50000</v>
      </c>
      <c r="P28" s="1701">
        <f t="shared" si="12"/>
        <v>129298.32</v>
      </c>
      <c r="Q28" s="1701"/>
      <c r="R28" s="1700">
        <v>8.7100000000000009</v>
      </c>
      <c r="S28" s="1704">
        <f t="shared" si="13"/>
        <v>112618.83672000002</v>
      </c>
      <c r="T28" s="1705">
        <f t="shared" si="14"/>
        <v>-0.12899999999999989</v>
      </c>
      <c r="U28" s="1706" t="s">
        <v>1468</v>
      </c>
      <c r="V28" s="1707" t="s">
        <v>1469</v>
      </c>
      <c r="W28" s="1708">
        <f t="shared" si="15"/>
        <v>129298.32</v>
      </c>
      <c r="X28" s="1713">
        <f t="shared" si="16"/>
        <v>0</v>
      </c>
      <c r="AC28" s="1703"/>
      <c r="AD28" s="1719"/>
      <c r="AE28" s="1718"/>
    </row>
    <row r="29" spans="1:31" s="1673" customFormat="1" ht="14.85" customHeight="1" outlineLevel="1">
      <c r="A29" s="1714"/>
      <c r="B29" s="1695" t="s">
        <v>1484</v>
      </c>
      <c r="C29" s="1698" t="s">
        <v>1485</v>
      </c>
      <c r="D29" s="1697" t="s">
        <v>1986</v>
      </c>
      <c r="E29" s="1698" t="s">
        <v>1486</v>
      </c>
      <c r="F29" s="1699">
        <v>42410</v>
      </c>
      <c r="G29" s="1726">
        <v>8</v>
      </c>
      <c r="H29" s="1715">
        <v>12</v>
      </c>
      <c r="I29" s="1715">
        <v>14</v>
      </c>
      <c r="J29" s="1726">
        <v>8.9600000000000009</v>
      </c>
      <c r="K29" s="1727">
        <f t="shared" si="9"/>
        <v>12861.478999999999</v>
      </c>
      <c r="L29" s="1694">
        <v>6250</v>
      </c>
      <c r="M29" s="1694">
        <v>19111.478999999999</v>
      </c>
      <c r="N29" s="1701">
        <f t="shared" si="10"/>
        <v>102891.83199999999</v>
      </c>
      <c r="O29" s="1703">
        <f t="shared" si="11"/>
        <v>50000</v>
      </c>
      <c r="P29" s="1701">
        <f t="shared" si="12"/>
        <v>152891.83199999999</v>
      </c>
      <c r="Q29" s="1701"/>
      <c r="R29" s="1700">
        <v>8.9600000000000009</v>
      </c>
      <c r="S29" s="1704">
        <f t="shared" si="13"/>
        <v>171238.85184000002</v>
      </c>
      <c r="T29" s="1705">
        <f t="shared" si="14"/>
        <v>0.12000000000000011</v>
      </c>
      <c r="U29" s="1706" t="s">
        <v>1487</v>
      </c>
      <c r="V29" s="1707" t="s">
        <v>1488</v>
      </c>
      <c r="W29" s="1708">
        <f t="shared" si="15"/>
        <v>152891.83199999999</v>
      </c>
      <c r="X29" s="1713">
        <f t="shared" si="16"/>
        <v>0</v>
      </c>
      <c r="Y29" s="1688"/>
      <c r="AC29" s="1703"/>
      <c r="AD29" s="1719"/>
      <c r="AE29" s="1718"/>
    </row>
    <row r="30" spans="1:31" s="1673" customFormat="1" ht="14.85" customHeight="1" outlineLevel="1">
      <c r="A30" s="1714"/>
      <c r="B30" s="1695" t="s">
        <v>1046</v>
      </c>
      <c r="C30" s="1698" t="s">
        <v>1044</v>
      </c>
      <c r="D30" s="1697" t="s">
        <v>1005</v>
      </c>
      <c r="E30" s="1698" t="s">
        <v>1489</v>
      </c>
      <c r="F30" s="1699">
        <v>42402</v>
      </c>
      <c r="G30" s="1726">
        <v>16</v>
      </c>
      <c r="H30" s="1715">
        <v>16</v>
      </c>
      <c r="I30" s="1715">
        <v>18</v>
      </c>
      <c r="J30" s="1726">
        <v>35.56</v>
      </c>
      <c r="K30" s="1727">
        <f t="shared" si="9"/>
        <v>29799.538</v>
      </c>
      <c r="L30" s="1694">
        <v>5900</v>
      </c>
      <c r="M30" s="1694">
        <v>35699.538</v>
      </c>
      <c r="N30" s="1701">
        <f t="shared" si="10"/>
        <v>476792.60800000001</v>
      </c>
      <c r="O30" s="1703">
        <f t="shared" si="11"/>
        <v>94400</v>
      </c>
      <c r="P30" s="1701">
        <f t="shared" si="12"/>
        <v>571192.60800000001</v>
      </c>
      <c r="Q30" s="1701"/>
      <c r="R30" s="1700">
        <v>35.56</v>
      </c>
      <c r="S30" s="1704">
        <f t="shared" si="13"/>
        <v>1269475.57128</v>
      </c>
      <c r="T30" s="1705">
        <f t="shared" si="14"/>
        <v>1.2225000000000001</v>
      </c>
      <c r="U30" s="1706" t="s">
        <v>1045</v>
      </c>
      <c r="V30" s="1707" t="s">
        <v>1047</v>
      </c>
      <c r="W30" s="1708">
        <f t="shared" si="15"/>
        <v>571192.60800000001</v>
      </c>
      <c r="X30" s="1713">
        <f t="shared" si="16"/>
        <v>0</v>
      </c>
      <c r="Y30" s="1688"/>
      <c r="AC30" s="1703"/>
      <c r="AD30" s="1719"/>
      <c r="AE30" s="1718"/>
    </row>
    <row r="31" spans="1:31" s="1673" customFormat="1" ht="14.85" customHeight="1" outlineLevel="1">
      <c r="A31" s="1714"/>
      <c r="B31" s="1695" t="s">
        <v>1031</v>
      </c>
      <c r="C31" s="1698" t="s">
        <v>1029</v>
      </c>
      <c r="D31" s="1697" t="s">
        <v>1005</v>
      </c>
      <c r="E31" s="1698" t="s">
        <v>1498</v>
      </c>
      <c r="F31" s="1699">
        <v>42318</v>
      </c>
      <c r="G31" s="1726">
        <v>16</v>
      </c>
      <c r="H31" s="1715">
        <v>15</v>
      </c>
      <c r="I31" s="1715">
        <v>17</v>
      </c>
      <c r="J31" s="1726">
        <v>13.785</v>
      </c>
      <c r="K31" s="1727">
        <f t="shared" si="9"/>
        <v>14558.296999999999</v>
      </c>
      <c r="L31" s="1694">
        <v>6375</v>
      </c>
      <c r="M31" s="1694">
        <v>20933.296999999999</v>
      </c>
      <c r="N31" s="1701">
        <f t="shared" si="10"/>
        <v>232932.75199999998</v>
      </c>
      <c r="O31" s="1703">
        <f t="shared" si="11"/>
        <v>102000</v>
      </c>
      <c r="P31" s="1701">
        <f t="shared" si="12"/>
        <v>334932.75199999998</v>
      </c>
      <c r="Q31" s="1701"/>
      <c r="R31" s="1700">
        <v>13.785</v>
      </c>
      <c r="S31" s="1704">
        <f t="shared" si="13"/>
        <v>288565.49914500001</v>
      </c>
      <c r="T31" s="1705">
        <f t="shared" si="14"/>
        <v>-0.13843749999999988</v>
      </c>
      <c r="U31" s="1706" t="s">
        <v>1030</v>
      </c>
      <c r="V31" s="1707" t="s">
        <v>1032</v>
      </c>
      <c r="W31" s="1708">
        <f t="shared" si="15"/>
        <v>334932.75199999998</v>
      </c>
      <c r="X31" s="1713">
        <f t="shared" si="16"/>
        <v>0</v>
      </c>
      <c r="Y31" s="1688"/>
      <c r="AC31" s="1703"/>
      <c r="AD31" s="1719"/>
      <c r="AE31" s="1718"/>
    </row>
    <row r="32" spans="1:31" s="1673" customFormat="1" ht="14.85" customHeight="1" outlineLevel="1">
      <c r="A32" s="1714"/>
      <c r="B32" s="1695" t="s">
        <v>1515</v>
      </c>
      <c r="C32" s="1698" t="s">
        <v>1516</v>
      </c>
      <c r="D32" s="1697" t="s">
        <v>1005</v>
      </c>
      <c r="E32" s="1698" t="s">
        <v>1517</v>
      </c>
      <c r="F32" s="1699">
        <v>42284</v>
      </c>
      <c r="G32" s="1726">
        <v>12</v>
      </c>
      <c r="H32" s="1715">
        <v>14</v>
      </c>
      <c r="I32" s="1715">
        <v>16</v>
      </c>
      <c r="J32" s="1726">
        <v>11.42</v>
      </c>
      <c r="K32" s="1727">
        <f t="shared" si="9"/>
        <v>28253.925999999999</v>
      </c>
      <c r="L32" s="1694">
        <v>6666.6670000000004</v>
      </c>
      <c r="M32" s="1694">
        <v>34920.593000000001</v>
      </c>
      <c r="N32" s="1701">
        <f t="shared" si="10"/>
        <v>339047.11199999996</v>
      </c>
      <c r="O32" s="1703">
        <f t="shared" si="11"/>
        <v>80000.004000000001</v>
      </c>
      <c r="P32" s="1701">
        <f t="shared" si="12"/>
        <v>419047.11599999998</v>
      </c>
      <c r="Q32" s="1701"/>
      <c r="R32" s="1700">
        <v>11.42</v>
      </c>
      <c r="S32" s="1704">
        <f t="shared" si="13"/>
        <v>398793.17206000001</v>
      </c>
      <c r="T32" s="1705">
        <f t="shared" si="14"/>
        <v>-4.8333333333333228E-2</v>
      </c>
      <c r="U32" s="1706" t="s">
        <v>1518</v>
      </c>
      <c r="V32" s="1707" t="s">
        <v>1519</v>
      </c>
      <c r="W32" s="1708">
        <f t="shared" si="15"/>
        <v>419047.11599999998</v>
      </c>
      <c r="X32" s="1713">
        <f t="shared" si="16"/>
        <v>0</v>
      </c>
      <c r="Y32" s="1688"/>
      <c r="AC32" s="1703"/>
      <c r="AD32" s="1719"/>
      <c r="AE32" s="1718"/>
    </row>
    <row r="33" spans="1:34" s="1673" customFormat="1" ht="14.85" customHeight="1" outlineLevel="1">
      <c r="A33" s="1714"/>
      <c r="B33" s="1695" t="s">
        <v>1035</v>
      </c>
      <c r="C33" s="1698" t="s">
        <v>1033</v>
      </c>
      <c r="D33" s="1697" t="s">
        <v>1005</v>
      </c>
      <c r="E33" s="1698" t="s">
        <v>1534</v>
      </c>
      <c r="F33" s="1699">
        <v>42263</v>
      </c>
      <c r="G33" s="1726">
        <v>22</v>
      </c>
      <c r="H33" s="1715">
        <v>17</v>
      </c>
      <c r="I33" s="1715">
        <v>19</v>
      </c>
      <c r="J33" s="1726">
        <v>18.55</v>
      </c>
      <c r="K33" s="1727">
        <f t="shared" si="9"/>
        <v>19050.707999999999</v>
      </c>
      <c r="L33" s="1694">
        <v>6300</v>
      </c>
      <c r="M33" s="1694">
        <v>25350.707999999999</v>
      </c>
      <c r="N33" s="1701">
        <f t="shared" si="10"/>
        <v>419115.576</v>
      </c>
      <c r="O33" s="1703">
        <f t="shared" si="11"/>
        <v>138600</v>
      </c>
      <c r="P33" s="1701">
        <f t="shared" si="12"/>
        <v>557715.576</v>
      </c>
      <c r="Q33" s="1701"/>
      <c r="R33" s="1700">
        <v>18.55</v>
      </c>
      <c r="S33" s="1704">
        <f t="shared" si="13"/>
        <v>470255.63339999999</v>
      </c>
      <c r="T33" s="1705">
        <f t="shared" si="14"/>
        <v>-0.15681818181818186</v>
      </c>
      <c r="U33" s="1720" t="s">
        <v>1034</v>
      </c>
      <c r="V33" s="1707" t="s">
        <v>1036</v>
      </c>
      <c r="W33" s="1708">
        <f t="shared" si="15"/>
        <v>557715.576</v>
      </c>
      <c r="X33" s="1713">
        <f t="shared" si="16"/>
        <v>0</v>
      </c>
      <c r="Y33" s="1721"/>
      <c r="Z33" s="1721"/>
      <c r="AA33" s="1721"/>
      <c r="AB33" s="1721"/>
      <c r="AC33" s="1722"/>
      <c r="AD33" s="1719"/>
      <c r="AE33" s="1718"/>
      <c r="AF33" s="1721"/>
      <c r="AG33" s="1721"/>
      <c r="AH33" s="1721"/>
    </row>
    <row r="34" spans="1:34" s="1673" customFormat="1" ht="14.85" customHeight="1" outlineLevel="1">
      <c r="A34" s="1714"/>
      <c r="B34" s="1695" t="s">
        <v>1545</v>
      </c>
      <c r="C34" s="1698" t="s">
        <v>1546</v>
      </c>
      <c r="D34" s="1697" t="s">
        <v>1005</v>
      </c>
      <c r="E34" s="1698" t="s">
        <v>1547</v>
      </c>
      <c r="F34" s="1699">
        <v>42220</v>
      </c>
      <c r="G34" s="1726">
        <v>14</v>
      </c>
      <c r="H34" s="1715">
        <v>13</v>
      </c>
      <c r="I34" s="1715">
        <v>15</v>
      </c>
      <c r="J34" s="1726">
        <v>28.8</v>
      </c>
      <c r="K34" s="1727">
        <f t="shared" si="9"/>
        <v>5733.9629999999997</v>
      </c>
      <c r="L34" s="1694">
        <v>3000</v>
      </c>
      <c r="M34" s="1694">
        <v>8733.9629999999997</v>
      </c>
      <c r="N34" s="1701">
        <f t="shared" si="10"/>
        <v>80275.481999999989</v>
      </c>
      <c r="O34" s="1703">
        <f t="shared" si="11"/>
        <v>42000</v>
      </c>
      <c r="P34" s="1701">
        <f t="shared" si="12"/>
        <v>122275.48199999999</v>
      </c>
      <c r="Q34" s="1701"/>
      <c r="R34" s="1700">
        <v>28.8</v>
      </c>
      <c r="S34" s="1704">
        <f t="shared" si="13"/>
        <v>251538.13440000001</v>
      </c>
      <c r="T34" s="1705">
        <f t="shared" si="14"/>
        <v>1.0571428571428574</v>
      </c>
      <c r="U34" s="1720" t="s">
        <v>1548</v>
      </c>
      <c r="V34" s="1707" t="s">
        <v>1549</v>
      </c>
      <c r="W34" s="1708">
        <f t="shared" si="15"/>
        <v>122275.48199999999</v>
      </c>
      <c r="X34" s="1713">
        <f t="shared" si="16"/>
        <v>0</v>
      </c>
      <c r="Y34" s="1723"/>
      <c r="Z34" s="1722"/>
      <c r="AA34" s="1723"/>
      <c r="AB34" s="1724"/>
      <c r="AC34" s="1722"/>
      <c r="AD34" s="1719"/>
      <c r="AE34" s="1718"/>
      <c r="AF34" s="1720"/>
      <c r="AG34" s="1725"/>
      <c r="AH34" s="1725"/>
    </row>
    <row r="35" spans="1:34" s="1721" customFormat="1" ht="14.85" customHeight="1" outlineLevel="1">
      <c r="A35" s="1714"/>
      <c r="B35" s="1695" t="s">
        <v>1596</v>
      </c>
      <c r="C35" s="1698" t="s">
        <v>1597</v>
      </c>
      <c r="D35" s="1697" t="s">
        <v>1005</v>
      </c>
      <c r="E35" s="1698" t="s">
        <v>1598</v>
      </c>
      <c r="F35" s="1699">
        <v>42125</v>
      </c>
      <c r="G35" s="1726">
        <v>3.0585200000000001</v>
      </c>
      <c r="H35" s="1715">
        <v>0</v>
      </c>
      <c r="I35" s="1715">
        <v>0</v>
      </c>
      <c r="J35" s="1726">
        <v>3.2423000000000002</v>
      </c>
      <c r="K35" s="1727">
        <f t="shared" si="9"/>
        <v>117170.86200000002</v>
      </c>
      <c r="L35" s="1694">
        <v>32569.046999999999</v>
      </c>
      <c r="M35" s="1694">
        <v>149739.90900000001</v>
      </c>
      <c r="N35" s="1701">
        <f t="shared" si="10"/>
        <v>358369.42484424007</v>
      </c>
      <c r="O35" s="1703">
        <f t="shared" si="11"/>
        <v>99613.081630440007</v>
      </c>
      <c r="P35" s="1701">
        <f t="shared" si="12"/>
        <v>457982.50647468009</v>
      </c>
      <c r="Q35" s="1701"/>
      <c r="R35" s="1700">
        <v>3.2423000000000002</v>
      </c>
      <c r="S35" s="1704">
        <f t="shared" si="13"/>
        <v>485501.70695070009</v>
      </c>
      <c r="T35" s="1705">
        <f t="shared" si="14"/>
        <v>6.0087885644036998E-2</v>
      </c>
      <c r="U35" s="1706" t="s">
        <v>1599</v>
      </c>
      <c r="V35" s="1707" t="s">
        <v>1600</v>
      </c>
      <c r="W35" s="1708">
        <f t="shared" si="15"/>
        <v>457982.50647468009</v>
      </c>
      <c r="X35" s="1713">
        <f t="shared" si="16"/>
        <v>0</v>
      </c>
      <c r="Y35" s="1688"/>
      <c r="Z35" s="1673"/>
      <c r="AA35" s="1673"/>
      <c r="AB35" s="1673"/>
      <c r="AC35" s="1703"/>
      <c r="AD35" s="1719"/>
      <c r="AE35" s="1718"/>
      <c r="AF35" s="1673"/>
      <c r="AG35" s="1673"/>
      <c r="AH35" s="1673"/>
    </row>
    <row r="36" spans="1:34" s="1721" customFormat="1" ht="14.85" customHeight="1" outlineLevel="1">
      <c r="A36" s="1714"/>
      <c r="B36" s="1695" t="s">
        <v>1366</v>
      </c>
      <c r="C36" s="1698" t="s">
        <v>1601</v>
      </c>
      <c r="D36" s="1697" t="s">
        <v>1987</v>
      </c>
      <c r="E36" s="1698" t="s">
        <v>1602</v>
      </c>
      <c r="F36" s="1699">
        <v>42123</v>
      </c>
      <c r="G36" s="1726">
        <v>18</v>
      </c>
      <c r="H36" s="1715">
        <v>15</v>
      </c>
      <c r="I36" s="1715">
        <v>17</v>
      </c>
      <c r="J36" s="1726">
        <v>28.69</v>
      </c>
      <c r="K36" s="1727">
        <f t="shared" si="9"/>
        <v>17686.131000000001</v>
      </c>
      <c r="L36" s="1694">
        <v>8145.8339999999998</v>
      </c>
      <c r="M36" s="1694">
        <v>25831.965</v>
      </c>
      <c r="N36" s="1701">
        <f t="shared" si="10"/>
        <v>318350.35800000001</v>
      </c>
      <c r="O36" s="1703">
        <f t="shared" si="11"/>
        <v>146625.01199999999</v>
      </c>
      <c r="P36" s="1701">
        <f t="shared" si="12"/>
        <v>464975.37</v>
      </c>
      <c r="Q36" s="1701"/>
      <c r="R36" s="1700">
        <v>28.69</v>
      </c>
      <c r="S36" s="1704">
        <f t="shared" si="13"/>
        <v>741119.07585000002</v>
      </c>
      <c r="T36" s="1705">
        <f t="shared" si="14"/>
        <v>0.59388888888888891</v>
      </c>
      <c r="U36" s="1720" t="s">
        <v>1603</v>
      </c>
      <c r="V36" s="1707" t="s">
        <v>1988</v>
      </c>
      <c r="W36" s="1708">
        <f t="shared" si="15"/>
        <v>464975.37</v>
      </c>
      <c r="X36" s="1713">
        <f t="shared" si="16"/>
        <v>0</v>
      </c>
      <c r="AC36" s="1722"/>
      <c r="AD36" s="1719"/>
      <c r="AE36" s="1718"/>
    </row>
    <row r="37" spans="1:34" s="1721" customFormat="1" ht="14.85" customHeight="1" outlineLevel="1">
      <c r="A37" s="1714"/>
      <c r="B37" s="1695" t="s">
        <v>1614</v>
      </c>
      <c r="C37" s="1698" t="s">
        <v>1615</v>
      </c>
      <c r="D37" s="1697" t="s">
        <v>1005</v>
      </c>
      <c r="E37" s="1698" t="s">
        <v>1616</v>
      </c>
      <c r="F37" s="1699">
        <v>42108</v>
      </c>
      <c r="G37" s="1726">
        <v>16</v>
      </c>
      <c r="H37" s="1715">
        <v>14</v>
      </c>
      <c r="I37" s="1715">
        <v>16</v>
      </c>
      <c r="J37" s="1726">
        <v>16.32</v>
      </c>
      <c r="K37" s="1727">
        <f t="shared" si="9"/>
        <v>8694.1180000000004</v>
      </c>
      <c r="L37" s="1694">
        <v>4800</v>
      </c>
      <c r="M37" s="1694">
        <v>13494.118</v>
      </c>
      <c r="N37" s="1701">
        <f t="shared" si="10"/>
        <v>139105.88800000001</v>
      </c>
      <c r="O37" s="1703">
        <f t="shared" si="11"/>
        <v>76800</v>
      </c>
      <c r="P37" s="1701">
        <f t="shared" si="12"/>
        <v>215905.88800000001</v>
      </c>
      <c r="Q37" s="1701"/>
      <c r="R37" s="1700">
        <v>16.32</v>
      </c>
      <c r="S37" s="1704">
        <f t="shared" si="13"/>
        <v>220224.00576</v>
      </c>
      <c r="T37" s="1705">
        <f t="shared" si="14"/>
        <v>2.0000000000000018E-2</v>
      </c>
      <c r="U37" s="1707" t="s">
        <v>1617</v>
      </c>
      <c r="V37" s="1707" t="s">
        <v>1618</v>
      </c>
      <c r="W37" s="1708">
        <f t="shared" si="15"/>
        <v>215905.88800000001</v>
      </c>
      <c r="X37" s="1713">
        <f t="shared" si="16"/>
        <v>0</v>
      </c>
      <c r="Y37" s="1673"/>
      <c r="Z37" s="1673"/>
      <c r="AA37" s="1673"/>
      <c r="AB37" s="1703"/>
      <c r="AC37" s="1719"/>
      <c r="AD37" s="1718"/>
      <c r="AE37" s="1673"/>
      <c r="AF37" s="1673"/>
      <c r="AG37" s="1673"/>
    </row>
    <row r="38" spans="1:34" s="1721" customFormat="1" ht="14.85" customHeight="1" outlineLevel="1">
      <c r="A38" s="1714"/>
      <c r="B38" s="1695" t="s">
        <v>1648</v>
      </c>
      <c r="C38" s="1698" t="s">
        <v>1649</v>
      </c>
      <c r="D38" s="1697" t="s">
        <v>1005</v>
      </c>
      <c r="E38" s="1698" t="s">
        <v>1650</v>
      </c>
      <c r="F38" s="1699">
        <v>42032</v>
      </c>
      <c r="G38" s="1726">
        <v>16</v>
      </c>
      <c r="H38" s="1715">
        <v>12</v>
      </c>
      <c r="I38" s="1715">
        <v>14</v>
      </c>
      <c r="J38" s="1726">
        <v>17.385000000000002</v>
      </c>
      <c r="K38" s="1727">
        <f t="shared" si="9"/>
        <v>12405.409</v>
      </c>
      <c r="L38" s="1694">
        <v>5400</v>
      </c>
      <c r="M38" s="1694">
        <v>17805.409</v>
      </c>
      <c r="N38" s="1701">
        <f t="shared" si="10"/>
        <v>198486.54399999999</v>
      </c>
      <c r="O38" s="1703">
        <f t="shared" si="11"/>
        <v>86400</v>
      </c>
      <c r="P38" s="1701">
        <f t="shared" si="12"/>
        <v>284886.54399999999</v>
      </c>
      <c r="Q38" s="1701"/>
      <c r="R38" s="1700">
        <v>17.385000000000002</v>
      </c>
      <c r="S38" s="1704">
        <f t="shared" si="13"/>
        <v>309547.03546500002</v>
      </c>
      <c r="T38" s="1705">
        <f t="shared" si="14"/>
        <v>8.6562500000000098E-2</v>
      </c>
      <c r="U38" s="1707" t="s">
        <v>1651</v>
      </c>
      <c r="V38" s="1707" t="s">
        <v>1989</v>
      </c>
      <c r="W38" s="1708">
        <f t="shared" si="15"/>
        <v>284886.54399999999</v>
      </c>
      <c r="X38" s="1713">
        <f t="shared" si="16"/>
        <v>0</v>
      </c>
      <c r="Y38" s="1673"/>
      <c r="Z38" s="1673"/>
      <c r="AA38" s="1673"/>
      <c r="AB38" s="1703"/>
      <c r="AC38" s="1719"/>
      <c r="AD38" s="1718"/>
      <c r="AE38" s="1673"/>
      <c r="AF38" s="1673"/>
      <c r="AG38" s="1673"/>
    </row>
    <row r="39" spans="1:34" s="1721" customFormat="1" ht="14.85" customHeight="1" outlineLevel="1">
      <c r="A39" s="1756"/>
      <c r="B39" s="1695" t="s">
        <v>1703</v>
      </c>
      <c r="C39" s="1698" t="s">
        <v>1704</v>
      </c>
      <c r="D39" s="1697" t="s">
        <v>618</v>
      </c>
      <c r="E39" s="1698" t="s">
        <v>1705</v>
      </c>
      <c r="F39" s="1699">
        <v>41810</v>
      </c>
      <c r="G39" s="1726">
        <v>17</v>
      </c>
      <c r="H39" s="1715">
        <v>12</v>
      </c>
      <c r="I39" s="1715">
        <v>14</v>
      </c>
      <c r="J39" s="1726">
        <v>22.84</v>
      </c>
      <c r="K39" s="1727">
        <f>+M39-L39</f>
        <v>29366.629000000001</v>
      </c>
      <c r="L39" s="1694">
        <v>8625</v>
      </c>
      <c r="M39" s="1694">
        <v>37991.629000000001</v>
      </c>
      <c r="N39" s="1701">
        <f>+G39*K39</f>
        <v>499232.69300000003</v>
      </c>
      <c r="O39" s="1703">
        <f>+G39*L39</f>
        <v>146625</v>
      </c>
      <c r="P39" s="1701">
        <f>+N39+O39</f>
        <v>645857.69299999997</v>
      </c>
      <c r="Q39" s="1701"/>
      <c r="R39" s="1726">
        <v>22.84</v>
      </c>
      <c r="S39" s="1704">
        <f>R39*M39</f>
        <v>867728.80636000005</v>
      </c>
      <c r="T39" s="1705">
        <f>S39/P39-1</f>
        <v>0.34352941176470608</v>
      </c>
      <c r="U39" s="1707" t="s">
        <v>1706</v>
      </c>
      <c r="V39" s="1707" t="s">
        <v>1707</v>
      </c>
      <c r="W39" s="1708">
        <f>+N39+O39</f>
        <v>645857.69299999997</v>
      </c>
      <c r="X39" s="1713">
        <f>+P39-W39</f>
        <v>0</v>
      </c>
      <c r="Y39" s="1673"/>
      <c r="Z39" s="1673"/>
      <c r="AA39" s="1673"/>
      <c r="AB39" s="1703"/>
      <c r="AC39" s="1719"/>
      <c r="AD39" s="1718"/>
      <c r="AE39" s="1673"/>
      <c r="AF39" s="1673"/>
      <c r="AG39" s="1673"/>
    </row>
    <row r="40" spans="1:34" s="1721" customFormat="1" ht="14.85" customHeight="1" outlineLevel="1">
      <c r="A40" s="1714"/>
      <c r="B40" s="1695"/>
      <c r="C40" s="1698"/>
      <c r="D40" s="1697"/>
      <c r="E40" s="1698"/>
      <c r="F40" s="1699"/>
      <c r="G40" s="1726"/>
      <c r="H40" s="1715"/>
      <c r="I40" s="1715"/>
      <c r="J40" s="1726"/>
      <c r="K40" s="1727"/>
      <c r="L40" s="1703"/>
      <c r="M40" s="1703"/>
      <c r="N40" s="1701"/>
      <c r="O40" s="1703"/>
      <c r="P40" s="1701"/>
      <c r="Q40" s="1701"/>
      <c r="R40" s="1700"/>
      <c r="S40" s="1704"/>
      <c r="T40" s="1705"/>
      <c r="U40" s="1707"/>
      <c r="V40" s="1707"/>
      <c r="W40" s="1708"/>
      <c r="X40" s="1713"/>
      <c r="Y40" s="1673"/>
      <c r="Z40" s="1673"/>
      <c r="AA40" s="1673"/>
      <c r="AB40" s="1703"/>
      <c r="AC40" s="1719"/>
      <c r="AD40" s="1718"/>
      <c r="AE40" s="1673"/>
      <c r="AF40" s="1673"/>
      <c r="AG40" s="1673"/>
    </row>
    <row r="41" spans="1:34" s="1721" customFormat="1" ht="14.85" customHeight="1" outlineLevel="1">
      <c r="A41" s="1714"/>
      <c r="B41" s="1852" t="s">
        <v>111</v>
      </c>
      <c r="C41" s="1853"/>
      <c r="D41" s="1853"/>
      <c r="E41" s="1853"/>
      <c r="F41" s="1853"/>
      <c r="G41" s="1853"/>
      <c r="H41" s="1853"/>
      <c r="I41" s="1853"/>
      <c r="J41" s="1853"/>
      <c r="K41" s="1853"/>
      <c r="L41" s="1853"/>
      <c r="M41" s="1853"/>
      <c r="N41" s="1854">
        <f>MAX(N23:N39)</f>
        <v>523732.77</v>
      </c>
      <c r="O41" s="1854"/>
      <c r="P41" s="1855">
        <f>MAX(P23:P39)</f>
        <v>645857.69299999997</v>
      </c>
      <c r="Q41" s="1701"/>
      <c r="R41" s="1856">
        <f>MAX(R23:R38)</f>
        <v>35.56</v>
      </c>
      <c r="S41" s="1704"/>
      <c r="T41" s="1705"/>
      <c r="U41" s="1707"/>
      <c r="V41" s="1707"/>
      <c r="W41" s="1708"/>
      <c r="X41" s="1713"/>
      <c r="Y41" s="1673"/>
      <c r="Z41" s="1673"/>
      <c r="AA41" s="1673"/>
      <c r="AB41" s="1703"/>
      <c r="AC41" s="1719"/>
      <c r="AD41" s="1718"/>
      <c r="AE41" s="1673"/>
      <c r="AF41" s="1673"/>
      <c r="AG41" s="1673"/>
    </row>
    <row r="42" spans="1:34" s="1721" customFormat="1" ht="14.85" customHeight="1" outlineLevel="1">
      <c r="A42" s="1714"/>
      <c r="B42" s="1733" t="s">
        <v>115</v>
      </c>
      <c r="C42" s="1734"/>
      <c r="D42" s="1734"/>
      <c r="E42" s="1734"/>
      <c r="F42" s="1734"/>
      <c r="G42" s="1734"/>
      <c r="H42" s="1734"/>
      <c r="I42" s="1734"/>
      <c r="J42" s="1734"/>
      <c r="K42" s="1734"/>
      <c r="L42" s="1734"/>
      <c r="M42" s="1734"/>
      <c r="N42" s="1649">
        <f>_xlfn.QUARTILE.INC(N23:N39,3)</f>
        <v>419115.576</v>
      </c>
      <c r="O42" s="1649"/>
      <c r="P42" s="1735">
        <f>_xlfn.QUARTILE.INC(P23:P39,3)</f>
        <v>551048.87599999993</v>
      </c>
      <c r="Q42" s="1701"/>
      <c r="R42" s="1736">
        <f>_xlfn.QUARTILE.INC(R23:R38,3)</f>
        <v>22.547499999999999</v>
      </c>
      <c r="S42" s="1704"/>
      <c r="T42" s="1705"/>
      <c r="U42" s="1707"/>
      <c r="V42" s="1707"/>
      <c r="W42" s="1708"/>
      <c r="X42" s="1713"/>
      <c r="Y42" s="1673"/>
      <c r="Z42" s="1673"/>
      <c r="AA42" s="1673"/>
      <c r="AB42" s="1703"/>
      <c r="AC42" s="1719"/>
      <c r="AD42" s="1718"/>
      <c r="AE42" s="1673"/>
      <c r="AF42" s="1673"/>
      <c r="AG42" s="1673"/>
    </row>
    <row r="43" spans="1:34" s="1721" customFormat="1" ht="14.85" customHeight="1" outlineLevel="1">
      <c r="A43" s="1714"/>
      <c r="B43" s="1733" t="s">
        <v>43</v>
      </c>
      <c r="C43" s="1734"/>
      <c r="D43" s="1734"/>
      <c r="E43" s="1734"/>
      <c r="F43" s="1734"/>
      <c r="G43" s="1734"/>
      <c r="H43" s="1734"/>
      <c r="I43" s="1734"/>
      <c r="J43" s="1734"/>
      <c r="K43" s="1734"/>
      <c r="L43" s="1734"/>
      <c r="M43" s="1734"/>
      <c r="N43" s="1649">
        <f>AVERAGE(N23:N39)</f>
        <v>269633.75599083764</v>
      </c>
      <c r="O43" s="1649"/>
      <c r="P43" s="1735">
        <f>AVERAGE(P23:P39)</f>
        <v>350798.65326321643</v>
      </c>
      <c r="Q43" s="1701"/>
      <c r="R43" s="1736">
        <f>AVERAGE(R23:R38)</f>
        <v>16.708581250000002</v>
      </c>
      <c r="S43" s="1704"/>
      <c r="T43" s="1705"/>
      <c r="U43" s="1707"/>
      <c r="V43" s="1707"/>
      <c r="W43" s="1708"/>
      <c r="X43" s="1713"/>
      <c r="Y43" s="1673"/>
      <c r="Z43" s="1673"/>
      <c r="AA43" s="1673"/>
      <c r="AB43" s="1703"/>
      <c r="AC43" s="1719"/>
      <c r="AD43" s="1718"/>
      <c r="AE43" s="1673"/>
      <c r="AF43" s="1673"/>
      <c r="AG43" s="1673"/>
    </row>
    <row r="44" spans="1:34" s="1721" customFormat="1" ht="14.85" customHeight="1" outlineLevel="1">
      <c r="A44" s="1714"/>
      <c r="B44" s="1733" t="s">
        <v>44</v>
      </c>
      <c r="C44" s="1734"/>
      <c r="D44" s="1734"/>
      <c r="E44" s="1734"/>
      <c r="F44" s="1734"/>
      <c r="G44" s="1734"/>
      <c r="H44" s="1734"/>
      <c r="I44" s="1734"/>
      <c r="J44" s="1734"/>
      <c r="K44" s="1734"/>
      <c r="L44" s="1734"/>
      <c r="M44" s="1734"/>
      <c r="N44" s="1649">
        <f>MEDIAN(N23:N39)</f>
        <v>240305.67</v>
      </c>
      <c r="O44" s="1649"/>
      <c r="P44" s="1735">
        <f>MEDIAN(P23:P39)</f>
        <v>334932.75199999998</v>
      </c>
      <c r="Q44" s="1701"/>
      <c r="R44" s="1736">
        <f>MEDIAN(R23:R38)</f>
        <v>15.36</v>
      </c>
      <c r="S44" s="1704"/>
      <c r="T44" s="1705"/>
      <c r="U44" s="1707"/>
      <c r="V44" s="1707"/>
      <c r="W44" s="1708"/>
      <c r="X44" s="1713"/>
      <c r="Y44" s="1673"/>
      <c r="Z44" s="1673"/>
      <c r="AA44" s="1673"/>
      <c r="AB44" s="1703"/>
      <c r="AC44" s="1719"/>
      <c r="AD44" s="1718"/>
      <c r="AE44" s="1673"/>
      <c r="AF44" s="1673"/>
      <c r="AG44" s="1673"/>
    </row>
    <row r="45" spans="1:34" s="1721" customFormat="1" ht="14.85" customHeight="1" outlineLevel="1">
      <c r="A45" s="1714"/>
      <c r="B45" s="1733" t="s">
        <v>114</v>
      </c>
      <c r="C45" s="1734"/>
      <c r="D45" s="1734"/>
      <c r="E45" s="1734"/>
      <c r="F45" s="1734"/>
      <c r="G45" s="1734"/>
      <c r="H45" s="1734"/>
      <c r="I45" s="1734"/>
      <c r="J45" s="1734"/>
      <c r="K45" s="1734"/>
      <c r="L45" s="1734"/>
      <c r="M45" s="1734"/>
      <c r="N45" s="1649">
        <f>_xlfn.QUARTILE.INC(N23:N39,1)</f>
        <v>102891.83199999999</v>
      </c>
      <c r="O45" s="1649"/>
      <c r="P45" s="1735">
        <f>_xlfn.QUARTILE.INC(P23:P39,1)</f>
        <v>152891.83199999999</v>
      </c>
      <c r="Q45" s="1701"/>
      <c r="R45" s="1736">
        <f>_xlfn.QUARTILE.INC(R23:R38,1)</f>
        <v>8.8975000000000009</v>
      </c>
      <c r="S45" s="1704"/>
      <c r="T45" s="1705"/>
      <c r="U45" s="1707"/>
      <c r="V45" s="1707"/>
      <c r="W45" s="1708"/>
      <c r="X45" s="1713"/>
      <c r="Y45" s="1673"/>
      <c r="Z45" s="1673"/>
      <c r="AA45" s="1673"/>
      <c r="AB45" s="1703"/>
      <c r="AC45" s="1719"/>
      <c r="AD45" s="1718"/>
      <c r="AE45" s="1673"/>
      <c r="AF45" s="1673"/>
      <c r="AG45" s="1673"/>
    </row>
    <row r="46" spans="1:34" s="1721" customFormat="1" ht="14.85" customHeight="1" outlineLevel="1">
      <c r="A46" s="1714"/>
      <c r="B46" s="1737" t="s">
        <v>112</v>
      </c>
      <c r="C46" s="1738"/>
      <c r="D46" s="1738"/>
      <c r="E46" s="1738"/>
      <c r="F46" s="1738"/>
      <c r="G46" s="1738"/>
      <c r="H46" s="1738"/>
      <c r="I46" s="1738"/>
      <c r="J46" s="1738"/>
      <c r="K46" s="1738"/>
      <c r="L46" s="1738"/>
      <c r="M46" s="1738"/>
      <c r="N46" s="1651">
        <f>MIN(N23:N39)</f>
        <v>39416.17</v>
      </c>
      <c r="O46" s="1651"/>
      <c r="P46" s="1739">
        <f>MIN(P23:P39)</f>
        <v>50611.932000000001</v>
      </c>
      <c r="Q46" s="1701"/>
      <c r="R46" s="1740">
        <f>MIN(R23:R38)</f>
        <v>3.2423000000000002</v>
      </c>
      <c r="S46" s="1704"/>
      <c r="T46" s="1705"/>
      <c r="U46" s="1707"/>
      <c r="V46" s="1707"/>
      <c r="W46" s="1708"/>
      <c r="X46" s="1713"/>
      <c r="Y46" s="1673"/>
      <c r="Z46" s="1673"/>
      <c r="AA46" s="1673"/>
      <c r="AB46" s="1703"/>
      <c r="AC46" s="1719"/>
      <c r="AD46" s="1718"/>
      <c r="AE46" s="1673"/>
      <c r="AF46" s="1673"/>
      <c r="AG46" s="1673"/>
    </row>
    <row r="47" spans="1:34" s="1721" customFormat="1" ht="14.85" customHeight="1" outlineLevel="1">
      <c r="A47" s="1714"/>
      <c r="B47" s="1695"/>
      <c r="C47" s="1698"/>
      <c r="D47" s="1697"/>
      <c r="E47" s="1698"/>
      <c r="F47" s="1699"/>
      <c r="G47" s="1726"/>
      <c r="H47" s="1715"/>
      <c r="I47" s="1715"/>
      <c r="J47" s="1726"/>
      <c r="K47" s="1727"/>
      <c r="L47" s="1703"/>
      <c r="M47" s="1703"/>
      <c r="N47" s="1701"/>
      <c r="O47" s="1703"/>
      <c r="P47" s="1701"/>
      <c r="Q47" s="1701"/>
      <c r="R47" s="1700"/>
      <c r="S47" s="1704"/>
      <c r="T47" s="1705"/>
      <c r="U47" s="1707"/>
      <c r="V47" s="1707"/>
      <c r="W47" s="1713"/>
      <c r="X47" s="1688"/>
      <c r="Y47" s="1673"/>
      <c r="Z47" s="1673"/>
      <c r="AA47" s="1673"/>
      <c r="AB47" s="1703"/>
      <c r="AC47" s="1719"/>
      <c r="AD47" s="1718"/>
      <c r="AE47" s="1673"/>
      <c r="AF47" s="1673"/>
      <c r="AG47" s="1673"/>
    </row>
    <row r="48" spans="1:34" s="1721" customFormat="1" ht="14.85" customHeight="1" outlineLevel="1">
      <c r="A48" s="1714"/>
      <c r="B48" s="1741" t="s">
        <v>1990</v>
      </c>
      <c r="C48" s="1698"/>
      <c r="D48" s="1697"/>
      <c r="E48" s="1698"/>
      <c r="F48" s="1699"/>
      <c r="G48" s="1726"/>
      <c r="H48" s="1715"/>
      <c r="I48" s="1715"/>
      <c r="J48" s="1726"/>
      <c r="K48" s="1727"/>
      <c r="L48" s="1703"/>
      <c r="M48" s="1703"/>
      <c r="N48" s="1701"/>
      <c r="O48" s="1703"/>
      <c r="P48" s="1701"/>
      <c r="Q48" s="1701"/>
      <c r="R48" s="1700"/>
      <c r="S48" s="1704"/>
      <c r="T48" s="1705"/>
      <c r="U48" s="1707"/>
      <c r="V48" s="1707"/>
      <c r="W48" s="1713"/>
      <c r="X48" s="1688"/>
      <c r="Y48" s="1673"/>
      <c r="Z48" s="1673"/>
      <c r="AA48" s="1673"/>
      <c r="AB48" s="1703"/>
      <c r="AC48" s="1719"/>
      <c r="AD48" s="1718"/>
      <c r="AE48" s="1673"/>
      <c r="AF48" s="1673"/>
      <c r="AG48" s="1673"/>
    </row>
    <row r="49" spans="1:34" s="1721" customFormat="1" ht="14.85" customHeight="1" outlineLevel="1">
      <c r="A49" s="1714"/>
      <c r="B49" s="1695" t="s">
        <v>1991</v>
      </c>
      <c r="C49" s="1698" t="s">
        <v>1992</v>
      </c>
      <c r="D49" s="1697" t="s">
        <v>1506</v>
      </c>
      <c r="E49" s="1698" t="s">
        <v>1993</v>
      </c>
      <c r="F49" s="1699">
        <v>42761</v>
      </c>
      <c r="G49" s="1726">
        <v>16</v>
      </c>
      <c r="H49" s="1715">
        <v>13</v>
      </c>
      <c r="I49" s="1715">
        <v>15</v>
      </c>
      <c r="J49" s="1726">
        <v>19.84</v>
      </c>
      <c r="K49" s="1727">
        <f t="shared" ref="K49:K67" si="17">+M49-L49</f>
        <v>24802.026000000002</v>
      </c>
      <c r="L49" s="1703">
        <f>5360000/1000</f>
        <v>5360</v>
      </c>
      <c r="M49" s="1703">
        <f>30162026/1000</f>
        <v>30162.026000000002</v>
      </c>
      <c r="N49" s="1701">
        <f t="shared" ref="N49:N67" si="18">+G49*K49</f>
        <v>396832.41600000003</v>
      </c>
      <c r="O49" s="1703">
        <f t="shared" ref="O49:O70" si="19">+G49*L49</f>
        <v>85760</v>
      </c>
      <c r="P49" s="1701">
        <f t="shared" ref="P49:P70" si="20">+N49+O49</f>
        <v>482592.41600000003</v>
      </c>
      <c r="Q49" s="1701"/>
      <c r="R49" s="1700">
        <v>19.84</v>
      </c>
      <c r="S49" s="1704">
        <f>598414595.84/1000</f>
        <v>598414.59584000008</v>
      </c>
      <c r="T49" s="1705">
        <v>0.24</v>
      </c>
      <c r="U49" s="1706" t="s">
        <v>1993</v>
      </c>
      <c r="V49" s="1707"/>
      <c r="W49" s="1708">
        <f t="shared" ref="W49:W70" si="21">+N49+O49</f>
        <v>482592.41600000003</v>
      </c>
      <c r="X49" s="1713">
        <f t="shared" ref="X49:X70" si="22">+P49-W49</f>
        <v>0</v>
      </c>
      <c r="Y49" s="1673"/>
      <c r="Z49" s="1673"/>
      <c r="AA49" s="1673"/>
      <c r="AB49" s="1703"/>
      <c r="AC49" s="1719"/>
      <c r="AD49" s="1718"/>
      <c r="AE49" s="1673"/>
      <c r="AF49" s="1673"/>
      <c r="AG49" s="1673"/>
    </row>
    <row r="50" spans="1:34" s="1688" customFormat="1" ht="14.85" customHeight="1" outlineLevel="1">
      <c r="B50" s="1695" t="s">
        <v>1994</v>
      </c>
      <c r="C50" s="1698" t="s">
        <v>1995</v>
      </c>
      <c r="D50" s="1697" t="s">
        <v>641</v>
      </c>
      <c r="E50" s="1698" t="s">
        <v>1996</v>
      </c>
      <c r="F50" s="1699">
        <v>42760</v>
      </c>
      <c r="G50" s="1846">
        <v>15</v>
      </c>
      <c r="H50" s="1700">
        <v>14</v>
      </c>
      <c r="I50" s="1700">
        <v>16</v>
      </c>
      <c r="J50" s="1846">
        <v>24.6</v>
      </c>
      <c r="K50" s="1727">
        <f t="shared" si="17"/>
        <v>14159.332999999999</v>
      </c>
      <c r="L50" s="1694">
        <f>4000000/1000</f>
        <v>4000</v>
      </c>
      <c r="M50" s="1694">
        <f>18159333/1000</f>
        <v>18159.332999999999</v>
      </c>
      <c r="N50" s="1701">
        <f t="shared" si="18"/>
        <v>212389.995</v>
      </c>
      <c r="O50" s="1703">
        <f t="shared" si="19"/>
        <v>60000</v>
      </c>
      <c r="P50" s="1701">
        <f t="shared" si="20"/>
        <v>272389.995</v>
      </c>
      <c r="Q50" s="1677"/>
      <c r="R50" s="1700">
        <v>24.6</v>
      </c>
      <c r="S50" s="1704">
        <f>446719591.8/1000</f>
        <v>446719.59179999999</v>
      </c>
      <c r="T50" s="1705">
        <v>0.64000000000000012</v>
      </c>
      <c r="U50" s="1706" t="s">
        <v>1997</v>
      </c>
      <c r="V50" s="1707"/>
      <c r="W50" s="1708">
        <f t="shared" si="21"/>
        <v>272389.995</v>
      </c>
      <c r="X50" s="1713">
        <f t="shared" si="22"/>
        <v>0</v>
      </c>
    </row>
    <row r="51" spans="1:34" s="1688" customFormat="1" ht="14.85" customHeight="1" outlineLevel="1">
      <c r="B51" s="1695" t="s">
        <v>1401</v>
      </c>
      <c r="C51" s="1698" t="s">
        <v>1402</v>
      </c>
      <c r="D51" s="1697" t="s">
        <v>641</v>
      </c>
      <c r="E51" s="1698" t="s">
        <v>1403</v>
      </c>
      <c r="F51" s="1699">
        <v>42668</v>
      </c>
      <c r="G51" s="1846">
        <v>13</v>
      </c>
      <c r="H51" s="1700">
        <v>12</v>
      </c>
      <c r="I51" s="1700">
        <v>14</v>
      </c>
      <c r="J51" s="1846">
        <v>13.14</v>
      </c>
      <c r="K51" s="1727">
        <f t="shared" si="17"/>
        <v>14439.55</v>
      </c>
      <c r="L51" s="1694">
        <v>7049.23</v>
      </c>
      <c r="M51" s="1694">
        <v>21488.78</v>
      </c>
      <c r="N51" s="1701">
        <f t="shared" si="18"/>
        <v>187714.15</v>
      </c>
      <c r="O51" s="1703">
        <f t="shared" si="19"/>
        <v>91639.989999999991</v>
      </c>
      <c r="P51" s="1701">
        <f t="shared" si="20"/>
        <v>279354.14</v>
      </c>
      <c r="Q51" s="1677"/>
      <c r="R51" s="1700">
        <v>13.14</v>
      </c>
      <c r="S51" s="1704">
        <f t="shared" ref="S51:S70" si="23">R51*M51</f>
        <v>282362.56919999997</v>
      </c>
      <c r="T51" s="1705">
        <f t="shared" ref="T51:T70" si="24">S51/P51-1</f>
        <v>1.0769230769230642E-2</v>
      </c>
      <c r="U51" s="1706" t="s">
        <v>1404</v>
      </c>
      <c r="V51" s="1707" t="s">
        <v>1405</v>
      </c>
      <c r="W51" s="1708">
        <f t="shared" si="21"/>
        <v>279354.14</v>
      </c>
      <c r="X51" s="1713">
        <f t="shared" si="22"/>
        <v>0</v>
      </c>
    </row>
    <row r="52" spans="1:34" s="1688" customFormat="1" ht="14.85" customHeight="1" outlineLevel="1">
      <c r="A52" s="1714"/>
      <c r="B52" s="1695" t="s">
        <v>1407</v>
      </c>
      <c r="C52" s="1698" t="s">
        <v>1408</v>
      </c>
      <c r="D52" s="1697" t="s">
        <v>1998</v>
      </c>
      <c r="E52" s="1698" t="s">
        <v>1409</v>
      </c>
      <c r="F52" s="1699">
        <v>42654</v>
      </c>
      <c r="G52" s="1846">
        <v>5.5</v>
      </c>
      <c r="H52" s="1700">
        <v>6</v>
      </c>
      <c r="I52" s="1700">
        <v>8</v>
      </c>
      <c r="J52" s="1846">
        <v>4.74</v>
      </c>
      <c r="K52" s="1727">
        <f t="shared" si="17"/>
        <v>8671.0879999999997</v>
      </c>
      <c r="L52" s="1694">
        <v>960</v>
      </c>
      <c r="M52" s="1694">
        <v>9631.0879999999997</v>
      </c>
      <c r="N52" s="1701">
        <f t="shared" si="18"/>
        <v>47690.983999999997</v>
      </c>
      <c r="O52" s="1703">
        <f t="shared" si="19"/>
        <v>5280</v>
      </c>
      <c r="P52" s="1701">
        <f t="shared" si="20"/>
        <v>52970.983999999997</v>
      </c>
      <c r="Q52" s="1701"/>
      <c r="R52" s="1700">
        <v>4.74</v>
      </c>
      <c r="S52" s="1704">
        <f t="shared" si="23"/>
        <v>45651.357120000001</v>
      </c>
      <c r="T52" s="1705">
        <f t="shared" si="24"/>
        <v>-0.13818181818181807</v>
      </c>
      <c r="U52" s="1706" t="s">
        <v>1410</v>
      </c>
      <c r="V52" s="1707" t="s">
        <v>1411</v>
      </c>
      <c r="W52" s="1708">
        <f t="shared" si="21"/>
        <v>52970.983999999997</v>
      </c>
      <c r="X52" s="1713">
        <f t="shared" si="22"/>
        <v>0</v>
      </c>
    </row>
    <row r="53" spans="1:34" s="1688" customFormat="1" ht="14.85" customHeight="1" outlineLevel="1">
      <c r="A53" s="1714"/>
      <c r="B53" s="1695" t="s">
        <v>1417</v>
      </c>
      <c r="C53" s="1698" t="s">
        <v>1418</v>
      </c>
      <c r="D53" s="1697" t="s">
        <v>641</v>
      </c>
      <c r="E53" s="1698" t="s">
        <v>1419</v>
      </c>
      <c r="F53" s="1699">
        <v>42592</v>
      </c>
      <c r="G53" s="1846">
        <v>12</v>
      </c>
      <c r="H53" s="1700">
        <v>11</v>
      </c>
      <c r="I53" s="1700">
        <v>13</v>
      </c>
      <c r="J53" s="1846">
        <v>12.4</v>
      </c>
      <c r="K53" s="1727">
        <f t="shared" si="17"/>
        <v>8823.5509999999995</v>
      </c>
      <c r="L53" s="1694">
        <v>7500</v>
      </c>
      <c r="M53" s="1694">
        <v>16323.550999999999</v>
      </c>
      <c r="N53" s="1701">
        <f t="shared" si="18"/>
        <v>105882.61199999999</v>
      </c>
      <c r="O53" s="1703">
        <f t="shared" si="19"/>
        <v>90000</v>
      </c>
      <c r="P53" s="1701">
        <f t="shared" si="20"/>
        <v>195882.61199999999</v>
      </c>
      <c r="Q53" s="1701"/>
      <c r="R53" s="1700">
        <v>12.4</v>
      </c>
      <c r="S53" s="1704">
        <f t="shared" si="23"/>
        <v>202412.0324</v>
      </c>
      <c r="T53" s="1705">
        <f t="shared" si="24"/>
        <v>3.3333333333333437E-2</v>
      </c>
      <c r="U53" s="1716" t="s">
        <v>1420</v>
      </c>
      <c r="V53" s="1707" t="s">
        <v>1421</v>
      </c>
      <c r="W53" s="1708">
        <f t="shared" si="21"/>
        <v>195882.61199999999</v>
      </c>
      <c r="X53" s="1713">
        <f t="shared" si="22"/>
        <v>0</v>
      </c>
      <c r="Y53" s="1718"/>
    </row>
    <row r="54" spans="1:34" s="1688" customFormat="1" ht="14.85" customHeight="1" outlineLevel="1">
      <c r="A54" s="1714"/>
      <c r="B54" s="1695" t="s">
        <v>1073</v>
      </c>
      <c r="C54" s="1698" t="s">
        <v>1071</v>
      </c>
      <c r="D54" s="1697" t="s">
        <v>641</v>
      </c>
      <c r="E54" s="1698" t="s">
        <v>1433</v>
      </c>
      <c r="F54" s="1699">
        <v>42550</v>
      </c>
      <c r="G54" s="1726">
        <v>12.5</v>
      </c>
      <c r="H54" s="1715">
        <v>14</v>
      </c>
      <c r="I54" s="1715">
        <v>16</v>
      </c>
      <c r="J54" s="1726">
        <v>11.58</v>
      </c>
      <c r="K54" s="1727">
        <f t="shared" si="17"/>
        <v>18760.161</v>
      </c>
      <c r="L54" s="1694">
        <v>4000</v>
      </c>
      <c r="M54" s="1694">
        <v>22760.161</v>
      </c>
      <c r="N54" s="1701">
        <f t="shared" si="18"/>
        <v>234502.01250000001</v>
      </c>
      <c r="O54" s="1703">
        <f t="shared" si="19"/>
        <v>50000</v>
      </c>
      <c r="P54" s="1701">
        <f t="shared" si="20"/>
        <v>284502.01250000001</v>
      </c>
      <c r="Q54" s="1701"/>
      <c r="R54" s="1700">
        <v>11.58</v>
      </c>
      <c r="S54" s="1704">
        <f t="shared" si="23"/>
        <v>263562.66438000003</v>
      </c>
      <c r="T54" s="1705">
        <f t="shared" si="24"/>
        <v>-7.3599999999999888E-2</v>
      </c>
      <c r="U54" s="1716" t="s">
        <v>1072</v>
      </c>
      <c r="V54" s="1707" t="s">
        <v>1074</v>
      </c>
      <c r="W54" s="1708">
        <f t="shared" si="21"/>
        <v>284502.01250000001</v>
      </c>
      <c r="X54" s="1713">
        <f t="shared" si="22"/>
        <v>0</v>
      </c>
      <c r="Y54" s="1718"/>
    </row>
    <row r="55" spans="1:34" s="1688" customFormat="1" ht="14.85" customHeight="1" outlineLevel="1">
      <c r="A55" s="1714"/>
      <c r="B55" s="1695" t="s">
        <v>1434</v>
      </c>
      <c r="C55" s="1698" t="s">
        <v>1435</v>
      </c>
      <c r="D55" s="1697" t="s">
        <v>641</v>
      </c>
      <c r="E55" s="1698" t="s">
        <v>1436</v>
      </c>
      <c r="F55" s="1699">
        <v>42542</v>
      </c>
      <c r="G55" s="1726">
        <v>14</v>
      </c>
      <c r="H55" s="1715">
        <v>14</v>
      </c>
      <c r="I55" s="1715">
        <v>16</v>
      </c>
      <c r="J55" s="1726">
        <v>13.77</v>
      </c>
      <c r="K55" s="1727">
        <f t="shared" si="17"/>
        <v>12899.585999999999</v>
      </c>
      <c r="L55" s="1694">
        <v>5000</v>
      </c>
      <c r="M55" s="1694">
        <v>17899.585999999999</v>
      </c>
      <c r="N55" s="1701">
        <f t="shared" si="18"/>
        <v>180594.204</v>
      </c>
      <c r="O55" s="1703">
        <f t="shared" si="19"/>
        <v>70000</v>
      </c>
      <c r="P55" s="1701">
        <f t="shared" si="20"/>
        <v>250594.204</v>
      </c>
      <c r="Q55" s="1701"/>
      <c r="R55" s="1700">
        <v>13.77</v>
      </c>
      <c r="S55" s="1704">
        <f t="shared" si="23"/>
        <v>246477.29921999999</v>
      </c>
      <c r="T55" s="1705">
        <f t="shared" si="24"/>
        <v>-1.6428571428571459E-2</v>
      </c>
      <c r="U55" s="1716" t="s">
        <v>1437</v>
      </c>
      <c r="V55" s="1707" t="s">
        <v>1438</v>
      </c>
      <c r="W55" s="1708">
        <f t="shared" si="21"/>
        <v>250594.204</v>
      </c>
      <c r="X55" s="1713">
        <f t="shared" si="22"/>
        <v>0</v>
      </c>
      <c r="Y55" s="1718"/>
    </row>
    <row r="56" spans="1:34" s="1688" customFormat="1" ht="14.85" customHeight="1" outlineLevel="1">
      <c r="A56" s="1714"/>
      <c r="B56" s="1695" t="s">
        <v>1449</v>
      </c>
      <c r="C56" s="1698" t="s">
        <v>1450</v>
      </c>
      <c r="D56" s="1697" t="s">
        <v>1506</v>
      </c>
      <c r="E56" s="1698" t="s">
        <v>1451</v>
      </c>
      <c r="F56" s="1699">
        <v>42508</v>
      </c>
      <c r="G56" s="1726">
        <v>10</v>
      </c>
      <c r="H56" s="1715">
        <v>14</v>
      </c>
      <c r="I56" s="1715">
        <v>16</v>
      </c>
      <c r="J56" s="1726">
        <v>9.1691500000000001</v>
      </c>
      <c r="K56" s="1727">
        <f t="shared" si="17"/>
        <v>8740.4410000000007</v>
      </c>
      <c r="L56" s="1694">
        <v>5500</v>
      </c>
      <c r="M56" s="1694">
        <v>14240.441000000001</v>
      </c>
      <c r="N56" s="1701">
        <f t="shared" si="18"/>
        <v>87404.41</v>
      </c>
      <c r="O56" s="1703">
        <f t="shared" si="19"/>
        <v>55000</v>
      </c>
      <c r="P56" s="1701">
        <f t="shared" si="20"/>
        <v>142404.41</v>
      </c>
      <c r="Q56" s="1701"/>
      <c r="R56" s="1700">
        <v>9.1691500000000001</v>
      </c>
      <c r="S56" s="1704">
        <f t="shared" si="23"/>
        <v>130572.73959515001</v>
      </c>
      <c r="T56" s="1705">
        <f t="shared" si="24"/>
        <v>-8.3084999999999964E-2</v>
      </c>
      <c r="U56" s="1716" t="s">
        <v>1452</v>
      </c>
      <c r="V56" s="1707" t="s">
        <v>1453</v>
      </c>
      <c r="W56" s="1708">
        <f t="shared" si="21"/>
        <v>142404.41</v>
      </c>
      <c r="X56" s="1713">
        <f t="shared" si="22"/>
        <v>0</v>
      </c>
      <c r="Y56" s="1718"/>
    </row>
    <row r="57" spans="1:34" s="1688" customFormat="1" ht="14.85" customHeight="1" outlineLevel="1">
      <c r="A57" s="1714"/>
      <c r="B57" s="1695" t="s">
        <v>1455</v>
      </c>
      <c r="C57" s="1698" t="s">
        <v>1456</v>
      </c>
      <c r="D57" s="1697" t="s">
        <v>641</v>
      </c>
      <c r="E57" s="1698" t="s">
        <v>1457</v>
      </c>
      <c r="F57" s="1699">
        <v>42502</v>
      </c>
      <c r="G57" s="1726">
        <v>6</v>
      </c>
      <c r="H57" s="1715">
        <v>11</v>
      </c>
      <c r="I57" s="1715">
        <v>13</v>
      </c>
      <c r="J57" s="1726">
        <v>3.35</v>
      </c>
      <c r="K57" s="1727">
        <f t="shared" si="17"/>
        <v>16969.444</v>
      </c>
      <c r="L57" s="1694">
        <v>5833.3339999999998</v>
      </c>
      <c r="M57" s="1694">
        <v>22802.777999999998</v>
      </c>
      <c r="N57" s="1701">
        <f t="shared" si="18"/>
        <v>101816.66399999999</v>
      </c>
      <c r="O57" s="1703">
        <f t="shared" si="19"/>
        <v>35000.004000000001</v>
      </c>
      <c r="P57" s="1701">
        <f t="shared" si="20"/>
        <v>136816.66800000001</v>
      </c>
      <c r="Q57" s="1701"/>
      <c r="R57" s="1700">
        <v>3.35</v>
      </c>
      <c r="S57" s="1704">
        <f t="shared" si="23"/>
        <v>76389.306299999997</v>
      </c>
      <c r="T57" s="1705">
        <f t="shared" si="24"/>
        <v>-0.44166666666666676</v>
      </c>
      <c r="U57" s="1716" t="s">
        <v>1458</v>
      </c>
      <c r="V57" s="1707" t="s">
        <v>1459</v>
      </c>
      <c r="W57" s="1708">
        <f t="shared" si="21"/>
        <v>136816.66800000001</v>
      </c>
      <c r="X57" s="1713">
        <f t="shared" si="22"/>
        <v>0</v>
      </c>
      <c r="AC57" s="1713"/>
      <c r="AD57" s="1719"/>
      <c r="AE57" s="1718"/>
    </row>
    <row r="58" spans="1:34" s="1673" customFormat="1" ht="14.85" customHeight="1" outlineLevel="1">
      <c r="A58" s="1714"/>
      <c r="B58" s="1695" t="s">
        <v>1296</v>
      </c>
      <c r="C58" s="1698" t="s">
        <v>1470</v>
      </c>
      <c r="D58" s="1697" t="s">
        <v>1471</v>
      </c>
      <c r="E58" s="1698" t="s">
        <v>1472</v>
      </c>
      <c r="F58" s="1699">
        <v>42451</v>
      </c>
      <c r="G58" s="1726">
        <v>15</v>
      </c>
      <c r="H58" s="1715">
        <v>15</v>
      </c>
      <c r="I58" s="1715">
        <v>17</v>
      </c>
      <c r="J58" s="1726">
        <v>15.13</v>
      </c>
      <c r="K58" s="1727">
        <f t="shared" si="17"/>
        <v>15706.356</v>
      </c>
      <c r="L58" s="1694">
        <v>4700</v>
      </c>
      <c r="M58" s="1694">
        <v>20406.356</v>
      </c>
      <c r="N58" s="1701">
        <f t="shared" si="18"/>
        <v>235595.34</v>
      </c>
      <c r="O58" s="1703">
        <f t="shared" si="19"/>
        <v>70500</v>
      </c>
      <c r="P58" s="1701">
        <f t="shared" si="20"/>
        <v>306095.33999999997</v>
      </c>
      <c r="Q58" s="1701"/>
      <c r="R58" s="1700">
        <v>15.13</v>
      </c>
      <c r="S58" s="1704">
        <f t="shared" si="23"/>
        <v>308748.16628</v>
      </c>
      <c r="T58" s="1705">
        <f t="shared" si="24"/>
        <v>8.6666666666668224E-3</v>
      </c>
      <c r="U58" s="1706" t="s">
        <v>1473</v>
      </c>
      <c r="V58" s="1707" t="s">
        <v>1474</v>
      </c>
      <c r="W58" s="1708">
        <f t="shared" si="21"/>
        <v>306095.33999999997</v>
      </c>
      <c r="X58" s="1713">
        <f t="shared" si="22"/>
        <v>0</v>
      </c>
      <c r="Y58" s="1688"/>
      <c r="AC58" s="1703"/>
      <c r="AD58" s="1719"/>
      <c r="AE58" s="1718"/>
    </row>
    <row r="59" spans="1:34" s="1673" customFormat="1" ht="14.85" customHeight="1" outlineLevel="1">
      <c r="A59" s="1714"/>
      <c r="B59" s="1695" t="s">
        <v>1300</v>
      </c>
      <c r="C59" s="1698" t="s">
        <v>1475</v>
      </c>
      <c r="D59" s="1697" t="s">
        <v>1582</v>
      </c>
      <c r="E59" s="1698" t="s">
        <v>1476</v>
      </c>
      <c r="F59" s="1699">
        <v>42431</v>
      </c>
      <c r="G59" s="1726">
        <v>12</v>
      </c>
      <c r="H59" s="1715">
        <v>14</v>
      </c>
      <c r="I59" s="1715">
        <v>16</v>
      </c>
      <c r="J59" s="1726">
        <v>13.11</v>
      </c>
      <c r="K59" s="1727">
        <f t="shared" si="17"/>
        <v>12972.674999999999</v>
      </c>
      <c r="L59" s="1694">
        <v>4400</v>
      </c>
      <c r="M59" s="1694">
        <v>17372.674999999999</v>
      </c>
      <c r="N59" s="1701">
        <f t="shared" si="18"/>
        <v>155672.09999999998</v>
      </c>
      <c r="O59" s="1703">
        <f t="shared" si="19"/>
        <v>52800</v>
      </c>
      <c r="P59" s="1701">
        <f t="shared" si="20"/>
        <v>208472.09999999998</v>
      </c>
      <c r="Q59" s="1701"/>
      <c r="R59" s="1700">
        <v>13.11</v>
      </c>
      <c r="S59" s="1704">
        <f t="shared" si="23"/>
        <v>227755.76924999998</v>
      </c>
      <c r="T59" s="1705">
        <f t="shared" si="24"/>
        <v>9.2500000000000027E-2</v>
      </c>
      <c r="U59" s="1706" t="s">
        <v>1477</v>
      </c>
      <c r="V59" s="1707" t="s">
        <v>1478</v>
      </c>
      <c r="W59" s="1708">
        <f t="shared" si="21"/>
        <v>208472.09999999998</v>
      </c>
      <c r="X59" s="1713">
        <f t="shared" si="22"/>
        <v>0</v>
      </c>
      <c r="Y59" s="1688"/>
      <c r="AC59" s="1703"/>
      <c r="AD59" s="1719"/>
      <c r="AE59" s="1718"/>
    </row>
    <row r="60" spans="1:34" s="1673" customFormat="1" ht="14.85" customHeight="1" outlineLevel="1">
      <c r="A60" s="1714"/>
      <c r="B60" s="1695" t="s">
        <v>1479</v>
      </c>
      <c r="C60" s="1698" t="s">
        <v>1480</v>
      </c>
      <c r="D60" s="1697" t="s">
        <v>641</v>
      </c>
      <c r="E60" s="1698" t="s">
        <v>1481</v>
      </c>
      <c r="F60" s="1699">
        <v>42410</v>
      </c>
      <c r="G60" s="1726">
        <v>20</v>
      </c>
      <c r="H60" s="1715">
        <v>19</v>
      </c>
      <c r="I60" s="1715">
        <v>21</v>
      </c>
      <c r="J60" s="1726">
        <v>21.15</v>
      </c>
      <c r="K60" s="1727">
        <f t="shared" si="17"/>
        <v>17650.57</v>
      </c>
      <c r="L60" s="1694">
        <v>4750</v>
      </c>
      <c r="M60" s="1694">
        <v>22400.57</v>
      </c>
      <c r="N60" s="1701">
        <f t="shared" si="18"/>
        <v>353011.4</v>
      </c>
      <c r="O60" s="1703">
        <f t="shared" si="19"/>
        <v>95000</v>
      </c>
      <c r="P60" s="1701">
        <f t="shared" si="20"/>
        <v>448011.4</v>
      </c>
      <c r="Q60" s="1701"/>
      <c r="R60" s="1700">
        <v>21.15</v>
      </c>
      <c r="S60" s="1704">
        <f t="shared" si="23"/>
        <v>473772.05549999996</v>
      </c>
      <c r="T60" s="1705">
        <f t="shared" si="24"/>
        <v>5.7499999999999885E-2</v>
      </c>
      <c r="U60" s="1706" t="s">
        <v>1482</v>
      </c>
      <c r="V60" s="1707" t="s">
        <v>1483</v>
      </c>
      <c r="W60" s="1708">
        <f t="shared" si="21"/>
        <v>448011.4</v>
      </c>
      <c r="X60" s="1713">
        <f t="shared" si="22"/>
        <v>0</v>
      </c>
      <c r="Y60" s="1688"/>
      <c r="AC60" s="1703"/>
      <c r="AD60" s="1719"/>
      <c r="AE60" s="1718"/>
    </row>
    <row r="61" spans="1:34" s="1673" customFormat="1" ht="14.85" customHeight="1" outlineLevel="1">
      <c r="A61" s="1714"/>
      <c r="B61" s="1695" t="s">
        <v>909</v>
      </c>
      <c r="C61" s="1698" t="s">
        <v>1495</v>
      </c>
      <c r="D61" s="1697" t="s">
        <v>617</v>
      </c>
      <c r="E61" s="1698" t="s">
        <v>1496</v>
      </c>
      <c r="F61" s="1699">
        <v>42318</v>
      </c>
      <c r="G61" s="1726">
        <v>14</v>
      </c>
      <c r="H61" s="1715">
        <v>15</v>
      </c>
      <c r="I61" s="1715">
        <v>17</v>
      </c>
      <c r="J61" s="1726">
        <v>23.72</v>
      </c>
      <c r="K61" s="1727">
        <f t="shared" si="17"/>
        <v>21034.71</v>
      </c>
      <c r="L61" s="1694">
        <v>5000</v>
      </c>
      <c r="M61" s="1694">
        <v>26034.71</v>
      </c>
      <c r="N61" s="1701">
        <f t="shared" si="18"/>
        <v>294485.94</v>
      </c>
      <c r="O61" s="1703">
        <f t="shared" si="19"/>
        <v>70000</v>
      </c>
      <c r="P61" s="1701">
        <f t="shared" si="20"/>
        <v>364485.94</v>
      </c>
      <c r="Q61" s="1701"/>
      <c r="R61" s="1700">
        <v>23.72</v>
      </c>
      <c r="S61" s="1704">
        <f t="shared" si="23"/>
        <v>617543.32120000001</v>
      </c>
      <c r="T61" s="1705">
        <f t="shared" si="24"/>
        <v>0.69428571428571439</v>
      </c>
      <c r="U61" s="1720" t="s">
        <v>1497</v>
      </c>
      <c r="V61" s="1707" t="s">
        <v>1999</v>
      </c>
      <c r="W61" s="1708">
        <f t="shared" si="21"/>
        <v>364485.94</v>
      </c>
      <c r="X61" s="1713">
        <f t="shared" si="22"/>
        <v>0</v>
      </c>
      <c r="Y61" s="1723"/>
      <c r="Z61" s="1722"/>
      <c r="AA61" s="1723"/>
      <c r="AB61" s="1723"/>
      <c r="AC61" s="1722"/>
      <c r="AD61" s="1719"/>
      <c r="AE61" s="1718"/>
      <c r="AF61" s="1720"/>
      <c r="AG61" s="1725"/>
      <c r="AH61" s="1725"/>
    </row>
    <row r="62" spans="1:34" s="1673" customFormat="1" ht="14.85" customHeight="1" outlineLevel="1">
      <c r="A62" s="1714"/>
      <c r="B62" s="1755" t="s">
        <v>1499</v>
      </c>
      <c r="C62" s="1698" t="s">
        <v>1500</v>
      </c>
      <c r="D62" s="1697" t="s">
        <v>641</v>
      </c>
      <c r="E62" s="1698" t="s">
        <v>1501</v>
      </c>
      <c r="F62" s="1699">
        <v>42305</v>
      </c>
      <c r="G62" s="1726">
        <v>10</v>
      </c>
      <c r="H62" s="1715">
        <v>15</v>
      </c>
      <c r="I62" s="1715">
        <v>17</v>
      </c>
      <c r="J62" s="1726">
        <v>12.4</v>
      </c>
      <c r="K62" s="1727">
        <f t="shared" si="17"/>
        <v>20805.473000000002</v>
      </c>
      <c r="L62" s="1694">
        <v>5437.5</v>
      </c>
      <c r="M62" s="1694">
        <v>26242.973000000002</v>
      </c>
      <c r="N62" s="1701">
        <f t="shared" si="18"/>
        <v>208054.73</v>
      </c>
      <c r="O62" s="1703">
        <f t="shared" si="19"/>
        <v>54375</v>
      </c>
      <c r="P62" s="1701">
        <f t="shared" si="20"/>
        <v>262429.73</v>
      </c>
      <c r="Q62" s="1701"/>
      <c r="R62" s="1700">
        <v>12.4</v>
      </c>
      <c r="S62" s="1704">
        <f t="shared" si="23"/>
        <v>325412.86520000006</v>
      </c>
      <c r="T62" s="1705">
        <f t="shared" si="24"/>
        <v>0.24000000000000021</v>
      </c>
      <c r="U62" s="1720" t="s">
        <v>1502</v>
      </c>
      <c r="V62" s="1707" t="s">
        <v>1503</v>
      </c>
      <c r="W62" s="1708">
        <f t="shared" si="21"/>
        <v>262429.73</v>
      </c>
      <c r="X62" s="1713">
        <f t="shared" si="22"/>
        <v>0</v>
      </c>
      <c r="Y62" s="1723"/>
      <c r="Z62" s="1722"/>
      <c r="AA62" s="1723"/>
      <c r="AB62" s="1723"/>
      <c r="AC62" s="1722"/>
      <c r="AD62" s="1719"/>
      <c r="AE62" s="1718"/>
      <c r="AF62" s="1720"/>
      <c r="AG62" s="1725"/>
      <c r="AH62" s="1725"/>
    </row>
    <row r="63" spans="1:34" s="1673" customFormat="1" ht="14.85" customHeight="1" outlineLevel="1">
      <c r="A63" s="1714"/>
      <c r="B63" s="1695" t="s">
        <v>1504</v>
      </c>
      <c r="C63" s="1698" t="s">
        <v>1505</v>
      </c>
      <c r="D63" s="1697" t="s">
        <v>641</v>
      </c>
      <c r="E63" s="1698" t="s">
        <v>1507</v>
      </c>
      <c r="F63" s="1699">
        <v>42298</v>
      </c>
      <c r="G63" s="1726">
        <v>13</v>
      </c>
      <c r="H63" s="1715">
        <v>14</v>
      </c>
      <c r="I63" s="1715">
        <v>16</v>
      </c>
      <c r="J63" s="1726">
        <v>13.45</v>
      </c>
      <c r="K63" s="1727">
        <f t="shared" si="17"/>
        <v>19379.574000000001</v>
      </c>
      <c r="L63" s="1694">
        <v>5500</v>
      </c>
      <c r="M63" s="1694">
        <v>24879.574000000001</v>
      </c>
      <c r="N63" s="1701">
        <f t="shared" si="18"/>
        <v>251934.462</v>
      </c>
      <c r="O63" s="1703">
        <f t="shared" si="19"/>
        <v>71500</v>
      </c>
      <c r="P63" s="1701">
        <f t="shared" si="20"/>
        <v>323434.462</v>
      </c>
      <c r="Q63" s="1701"/>
      <c r="R63" s="1700">
        <v>13.45</v>
      </c>
      <c r="S63" s="1704">
        <f t="shared" si="23"/>
        <v>334630.27029999997</v>
      </c>
      <c r="T63" s="1705">
        <f t="shared" si="24"/>
        <v>3.4615384615384492E-2</v>
      </c>
      <c r="U63" s="1706" t="s">
        <v>1508</v>
      </c>
      <c r="V63" s="1707" t="s">
        <v>1509</v>
      </c>
      <c r="W63" s="1708">
        <f t="shared" si="21"/>
        <v>323434.462</v>
      </c>
      <c r="X63" s="1713">
        <f t="shared" si="22"/>
        <v>0</v>
      </c>
      <c r="Y63" s="1688"/>
      <c r="AC63" s="1703"/>
      <c r="AD63" s="1719"/>
      <c r="AE63" s="1718"/>
    </row>
    <row r="64" spans="1:34" s="1673" customFormat="1" ht="14.85" customHeight="1" outlineLevel="1">
      <c r="A64" s="1714"/>
      <c r="B64" s="1695" t="s">
        <v>1525</v>
      </c>
      <c r="C64" s="1698" t="s">
        <v>1526</v>
      </c>
      <c r="D64" s="1697" t="s">
        <v>641</v>
      </c>
      <c r="E64" s="1698" t="s">
        <v>1527</v>
      </c>
      <c r="F64" s="1699">
        <v>42277</v>
      </c>
      <c r="G64" s="1726">
        <v>7</v>
      </c>
      <c r="H64" s="1715">
        <v>13</v>
      </c>
      <c r="I64" s="1715">
        <v>15</v>
      </c>
      <c r="J64" s="1726">
        <v>5.78</v>
      </c>
      <c r="K64" s="1727">
        <f t="shared" si="17"/>
        <v>13806.725999999999</v>
      </c>
      <c r="L64" s="1694">
        <v>6250</v>
      </c>
      <c r="M64" s="1694">
        <v>20056.725999999999</v>
      </c>
      <c r="N64" s="1701">
        <f t="shared" si="18"/>
        <v>96647.081999999995</v>
      </c>
      <c r="O64" s="1703">
        <f t="shared" si="19"/>
        <v>43750</v>
      </c>
      <c r="P64" s="1701">
        <f t="shared" si="20"/>
        <v>140397.08199999999</v>
      </c>
      <c r="Q64" s="1701"/>
      <c r="R64" s="1700">
        <v>5.78</v>
      </c>
      <c r="S64" s="1704">
        <f t="shared" si="23"/>
        <v>115927.87628</v>
      </c>
      <c r="T64" s="1705">
        <f t="shared" si="24"/>
        <v>-0.17428571428571427</v>
      </c>
      <c r="U64" s="1706" t="s">
        <v>1528</v>
      </c>
      <c r="V64" s="1707" t="s">
        <v>2000</v>
      </c>
      <c r="W64" s="1708">
        <f t="shared" si="21"/>
        <v>140397.08199999999</v>
      </c>
      <c r="X64" s="1713">
        <f t="shared" si="22"/>
        <v>0</v>
      </c>
      <c r="Y64" s="1688"/>
      <c r="AC64" s="1703"/>
      <c r="AD64" s="1719"/>
      <c r="AE64" s="1718"/>
    </row>
    <row r="65" spans="1:65" s="1673" customFormat="1" ht="14.85" customHeight="1" outlineLevel="1">
      <c r="A65" s="1714"/>
      <c r="B65" s="1695" t="s">
        <v>1566</v>
      </c>
      <c r="C65" s="1698" t="s">
        <v>1567</v>
      </c>
      <c r="D65" s="1697" t="s">
        <v>1506</v>
      </c>
      <c r="E65" s="1698" t="s">
        <v>1568</v>
      </c>
      <c r="F65" s="1699">
        <v>42179</v>
      </c>
      <c r="G65" s="1726">
        <v>12</v>
      </c>
      <c r="H65" s="1715">
        <v>13</v>
      </c>
      <c r="I65" s="1715">
        <v>15</v>
      </c>
      <c r="J65" s="1726">
        <v>13.9</v>
      </c>
      <c r="K65" s="1727">
        <f t="shared" si="17"/>
        <v>9547.7960000000003</v>
      </c>
      <c r="L65" s="1694">
        <v>5000</v>
      </c>
      <c r="M65" s="1694">
        <v>14547.796</v>
      </c>
      <c r="N65" s="1701">
        <f t="shared" si="18"/>
        <v>114573.552</v>
      </c>
      <c r="O65" s="1703">
        <f t="shared" si="19"/>
        <v>60000</v>
      </c>
      <c r="P65" s="1701">
        <f t="shared" si="20"/>
        <v>174573.552</v>
      </c>
      <c r="Q65" s="1701"/>
      <c r="R65" s="1700">
        <v>13.9</v>
      </c>
      <c r="S65" s="1704">
        <f t="shared" si="23"/>
        <v>202214.36440000002</v>
      </c>
      <c r="T65" s="1705">
        <f t="shared" si="24"/>
        <v>0.15833333333333344</v>
      </c>
      <c r="U65" s="1720" t="s">
        <v>1569</v>
      </c>
      <c r="V65" s="1707" t="s">
        <v>2001</v>
      </c>
      <c r="W65" s="1708">
        <f t="shared" si="21"/>
        <v>174573.552</v>
      </c>
      <c r="X65" s="1713">
        <f t="shared" si="22"/>
        <v>0</v>
      </c>
      <c r="Y65" s="1723"/>
      <c r="Z65" s="1722"/>
      <c r="AA65" s="1723"/>
      <c r="AB65" s="1724"/>
      <c r="AC65" s="1722"/>
      <c r="AD65" s="1719"/>
      <c r="AE65" s="1718"/>
      <c r="AF65" s="1720"/>
      <c r="AG65" s="1725"/>
      <c r="AH65" s="1725"/>
    </row>
    <row r="66" spans="1:65" s="1721" customFormat="1" ht="14.85" customHeight="1" outlineLevel="1">
      <c r="A66" s="1714"/>
      <c r="B66" s="1695" t="s">
        <v>1576</v>
      </c>
      <c r="C66" s="1698" t="s">
        <v>1577</v>
      </c>
      <c r="D66" s="1697" t="s">
        <v>617</v>
      </c>
      <c r="E66" s="1698" t="s">
        <v>1578</v>
      </c>
      <c r="F66" s="1699">
        <v>42171</v>
      </c>
      <c r="G66" s="1726">
        <v>14</v>
      </c>
      <c r="H66" s="1715">
        <v>13</v>
      </c>
      <c r="I66" s="1715">
        <v>15</v>
      </c>
      <c r="J66" s="1726">
        <v>19.010000000000002</v>
      </c>
      <c r="K66" s="1727">
        <f t="shared" si="17"/>
        <v>9126.6830000000009</v>
      </c>
      <c r="L66" s="1694">
        <v>5500</v>
      </c>
      <c r="M66" s="1694">
        <v>14626.683000000001</v>
      </c>
      <c r="N66" s="1701">
        <f t="shared" si="18"/>
        <v>127773.56200000001</v>
      </c>
      <c r="O66" s="1703">
        <f t="shared" si="19"/>
        <v>77000</v>
      </c>
      <c r="P66" s="1701">
        <f t="shared" si="20"/>
        <v>204773.56200000001</v>
      </c>
      <c r="Q66" s="1701"/>
      <c r="R66" s="1700">
        <v>19.010000000000002</v>
      </c>
      <c r="S66" s="1704">
        <f t="shared" si="23"/>
        <v>278053.24383000005</v>
      </c>
      <c r="T66" s="1705">
        <f t="shared" si="24"/>
        <v>0.3578571428571431</v>
      </c>
      <c r="U66" s="1706" t="s">
        <v>1579</v>
      </c>
      <c r="V66" s="1707" t="s">
        <v>1580</v>
      </c>
      <c r="W66" s="1708">
        <f t="shared" si="21"/>
        <v>204773.56200000001</v>
      </c>
      <c r="X66" s="1713">
        <f t="shared" si="22"/>
        <v>0</v>
      </c>
      <c r="Y66" s="1688"/>
      <c r="Z66" s="1673"/>
      <c r="AA66" s="1673"/>
      <c r="AB66" s="1673"/>
      <c r="AC66" s="1703"/>
      <c r="AD66" s="1719"/>
      <c r="AE66" s="1718"/>
      <c r="AF66" s="1673"/>
      <c r="AG66" s="1673"/>
      <c r="AH66" s="1673"/>
    </row>
    <row r="67" spans="1:65" s="1721" customFormat="1" ht="14.85" customHeight="1" outlineLevel="1">
      <c r="A67" s="1714"/>
      <c r="B67" s="1695" t="s">
        <v>2002</v>
      </c>
      <c r="C67" s="1698" t="s">
        <v>1581</v>
      </c>
      <c r="D67" s="1697" t="s">
        <v>1582</v>
      </c>
      <c r="E67" s="1698" t="s">
        <v>1583</v>
      </c>
      <c r="F67" s="1699">
        <v>42130</v>
      </c>
      <c r="G67" s="1726">
        <v>14</v>
      </c>
      <c r="H67" s="1715">
        <v>13</v>
      </c>
      <c r="I67" s="1715">
        <v>15</v>
      </c>
      <c r="J67" s="1726">
        <v>25.87</v>
      </c>
      <c r="K67" s="1727">
        <f t="shared" si="17"/>
        <v>17189.739000000001</v>
      </c>
      <c r="L67" s="1694">
        <v>5360</v>
      </c>
      <c r="M67" s="1694">
        <v>22549.739000000001</v>
      </c>
      <c r="N67" s="1701">
        <f t="shared" si="18"/>
        <v>240656.34600000002</v>
      </c>
      <c r="O67" s="1703">
        <f t="shared" si="19"/>
        <v>75040</v>
      </c>
      <c r="P67" s="1701">
        <f t="shared" si="20"/>
        <v>315696.34600000002</v>
      </c>
      <c r="Q67" s="1701"/>
      <c r="R67" s="1700">
        <v>25.87</v>
      </c>
      <c r="S67" s="1704">
        <f t="shared" si="23"/>
        <v>583361.74793000007</v>
      </c>
      <c r="T67" s="1705">
        <f t="shared" si="24"/>
        <v>0.84785714285714286</v>
      </c>
      <c r="U67" s="1706" t="s">
        <v>1584</v>
      </c>
      <c r="V67" s="1707" t="s">
        <v>1585</v>
      </c>
      <c r="W67" s="1708">
        <f t="shared" si="21"/>
        <v>315696.34600000002</v>
      </c>
      <c r="X67" s="1713">
        <f t="shared" si="22"/>
        <v>0</v>
      </c>
      <c r="Y67" s="1688"/>
      <c r="Z67" s="1673"/>
      <c r="AA67" s="1673"/>
      <c r="AB67" s="1673"/>
      <c r="AC67" s="1703"/>
      <c r="AD67" s="1719"/>
      <c r="AE67" s="1718"/>
      <c r="AF67" s="1673"/>
      <c r="AG67" s="1673"/>
      <c r="AH67" s="1673"/>
    </row>
    <row r="68" spans="1:65" s="1721" customFormat="1" ht="14.85" customHeight="1" outlineLevel="1">
      <c r="A68" s="1756"/>
      <c r="B68" s="1695" t="s">
        <v>2003</v>
      </c>
      <c r="C68" s="1698" t="s">
        <v>2004</v>
      </c>
      <c r="D68" s="1697" t="s">
        <v>1506</v>
      </c>
      <c r="E68" s="1698" t="s">
        <v>2005</v>
      </c>
      <c r="F68" s="1699">
        <v>42130</v>
      </c>
      <c r="G68" s="1726">
        <v>17</v>
      </c>
      <c r="H68" s="1715">
        <v>15</v>
      </c>
      <c r="I68" s="1715">
        <v>17</v>
      </c>
      <c r="J68" s="1726">
        <v>15.34</v>
      </c>
      <c r="K68" s="1727">
        <v>59535316.666666672</v>
      </c>
      <c r="L68" s="1694">
        <v>9375</v>
      </c>
      <c r="M68" s="1694">
        <v>68910.316666666695</v>
      </c>
      <c r="N68" s="1701">
        <v>1012100.38333333</v>
      </c>
      <c r="O68" s="1703">
        <f t="shared" si="19"/>
        <v>159375</v>
      </c>
      <c r="P68" s="1701">
        <f t="shared" si="20"/>
        <v>1171475.38333333</v>
      </c>
      <c r="Q68" s="1701"/>
      <c r="R68" s="1700">
        <v>15.34</v>
      </c>
      <c r="S68" s="1704">
        <f t="shared" si="23"/>
        <v>1057084.257666667</v>
      </c>
      <c r="T68" s="1705">
        <f t="shared" si="24"/>
        <v>-9.7647058823526645E-2</v>
      </c>
      <c r="U68" s="1706" t="s">
        <v>2006</v>
      </c>
      <c r="V68" s="1707" t="s">
        <v>2007</v>
      </c>
      <c r="W68" s="1708">
        <f t="shared" si="21"/>
        <v>1171475.38333333</v>
      </c>
      <c r="X68" s="1713">
        <f t="shared" si="22"/>
        <v>0</v>
      </c>
      <c r="Y68" s="1688"/>
      <c r="Z68" s="1673"/>
      <c r="AA68" s="1673"/>
      <c r="AB68" s="1673"/>
      <c r="AC68" s="1703"/>
      <c r="AD68" s="1719"/>
      <c r="AE68" s="1718"/>
      <c r="AF68" s="1673"/>
      <c r="AG68" s="1673"/>
      <c r="AH68" s="1673"/>
    </row>
    <row r="69" spans="1:65" s="1721" customFormat="1" ht="14.85" customHeight="1" outlineLevel="1">
      <c r="A69" s="1714"/>
      <c r="B69" s="1695" t="s">
        <v>1604</v>
      </c>
      <c r="C69" s="1698" t="s">
        <v>1605</v>
      </c>
      <c r="D69" s="1697" t="s">
        <v>641</v>
      </c>
      <c r="E69" s="1698" t="s">
        <v>1606</v>
      </c>
      <c r="F69" s="1699">
        <v>42122</v>
      </c>
      <c r="G69" s="1726">
        <v>8</v>
      </c>
      <c r="H69" s="1715">
        <v>10</v>
      </c>
      <c r="I69" s="1715">
        <v>12</v>
      </c>
      <c r="J69" s="1726">
        <v>8.23</v>
      </c>
      <c r="K69" s="1727">
        <f>+M69-L69</f>
        <v>6154.3289999999997</v>
      </c>
      <c r="L69" s="1694">
        <v>3000</v>
      </c>
      <c r="M69" s="1694">
        <v>9154.3289999999997</v>
      </c>
      <c r="N69" s="1701">
        <f>+G69*K69</f>
        <v>49234.631999999998</v>
      </c>
      <c r="O69" s="1703">
        <f t="shared" si="19"/>
        <v>24000</v>
      </c>
      <c r="P69" s="1701">
        <f t="shared" si="20"/>
        <v>73234.631999999998</v>
      </c>
      <c r="Q69" s="1701"/>
      <c r="R69" s="1700">
        <v>8.23</v>
      </c>
      <c r="S69" s="1704">
        <f t="shared" si="23"/>
        <v>75340.127670000002</v>
      </c>
      <c r="T69" s="1705">
        <f t="shared" si="24"/>
        <v>2.8750000000000053E-2</v>
      </c>
      <c r="U69" s="1720" t="s">
        <v>1607</v>
      </c>
      <c r="V69" s="1707" t="s">
        <v>1608</v>
      </c>
      <c r="W69" s="1708">
        <f t="shared" si="21"/>
        <v>73234.631999999998</v>
      </c>
      <c r="X69" s="1713">
        <f t="shared" si="22"/>
        <v>0</v>
      </c>
      <c r="AC69" s="1722"/>
      <c r="AD69" s="1719"/>
      <c r="AE69" s="1718"/>
    </row>
    <row r="70" spans="1:65" s="1721" customFormat="1" ht="14.85" customHeight="1" outlineLevel="1">
      <c r="A70" s="1756"/>
      <c r="B70" s="1695" t="s">
        <v>1662</v>
      </c>
      <c r="C70" s="1698" t="s">
        <v>1663</v>
      </c>
      <c r="D70" s="1697" t="s">
        <v>1506</v>
      </c>
      <c r="E70" s="1698" t="s">
        <v>1664</v>
      </c>
      <c r="F70" s="1699">
        <v>41991</v>
      </c>
      <c r="G70" s="1726">
        <v>24</v>
      </c>
      <c r="H70" s="1715">
        <v>15</v>
      </c>
      <c r="I70" s="1715">
        <v>18</v>
      </c>
      <c r="J70" s="1726">
        <v>50.14</v>
      </c>
      <c r="K70" s="1727">
        <f>+M70-L70</f>
        <v>65143.189000000006</v>
      </c>
      <c r="L70" s="1694">
        <v>12676.353999999999</v>
      </c>
      <c r="M70" s="1694">
        <v>77819.543000000005</v>
      </c>
      <c r="N70" s="1701">
        <f>+G70*K70</f>
        <v>1563436.5360000001</v>
      </c>
      <c r="O70" s="1703">
        <f t="shared" si="19"/>
        <v>304232.49599999998</v>
      </c>
      <c r="P70" s="1701">
        <f t="shared" si="20"/>
        <v>1867669.0320000001</v>
      </c>
      <c r="Q70" s="1701"/>
      <c r="R70" s="1726">
        <v>50.14</v>
      </c>
      <c r="S70" s="1760">
        <f t="shared" si="23"/>
        <v>3901871.8860200001</v>
      </c>
      <c r="T70" s="1705">
        <f t="shared" si="24"/>
        <v>1.0891666666666664</v>
      </c>
      <c r="U70" s="1707" t="s">
        <v>1665</v>
      </c>
      <c r="V70" s="1707" t="s">
        <v>1666</v>
      </c>
      <c r="W70" s="1708">
        <f t="shared" si="21"/>
        <v>1867669.0320000001</v>
      </c>
      <c r="X70" s="1713">
        <f t="shared" si="22"/>
        <v>0</v>
      </c>
      <c r="AC70" s="1722"/>
      <c r="AD70" s="1719"/>
      <c r="AE70" s="1718"/>
    </row>
    <row r="71" spans="1:65" s="1721" customFormat="1" ht="14.85" customHeight="1" outlineLevel="1">
      <c r="A71" s="1714"/>
      <c r="B71" s="1695"/>
      <c r="C71" s="1698"/>
      <c r="D71" s="1697"/>
      <c r="E71" s="1698"/>
      <c r="F71" s="1699"/>
      <c r="G71" s="1726"/>
      <c r="H71" s="1715"/>
      <c r="I71" s="1715"/>
      <c r="J71" s="1726"/>
      <c r="K71" s="1727"/>
      <c r="L71" s="1703"/>
      <c r="M71" s="1703"/>
      <c r="N71" s="1701"/>
      <c r="O71" s="1703"/>
      <c r="P71" s="1701"/>
      <c r="Q71" s="1701"/>
      <c r="R71" s="1700"/>
      <c r="S71" s="1704"/>
      <c r="T71" s="1705"/>
      <c r="U71" s="1720"/>
      <c r="V71" s="1707"/>
      <c r="W71" s="1708"/>
      <c r="X71" s="1713"/>
      <c r="AC71" s="1722"/>
      <c r="AD71" s="1719"/>
      <c r="AE71" s="1718"/>
    </row>
    <row r="72" spans="1:65" s="1721" customFormat="1" ht="14.85" customHeight="1" outlineLevel="1">
      <c r="A72" s="1714"/>
      <c r="B72" s="1852" t="s">
        <v>111</v>
      </c>
      <c r="C72" s="1853"/>
      <c r="D72" s="1853"/>
      <c r="E72" s="1853"/>
      <c r="F72" s="1853"/>
      <c r="G72" s="1853"/>
      <c r="H72" s="1853"/>
      <c r="I72" s="1853"/>
      <c r="J72" s="1853"/>
      <c r="K72" s="1853"/>
      <c r="L72" s="1853"/>
      <c r="M72" s="1853"/>
      <c r="N72" s="1854">
        <f>MAX(N49:N70)</f>
        <v>1563436.5360000001</v>
      </c>
      <c r="O72" s="1854"/>
      <c r="P72" s="1855">
        <f>MAX(P49:P70)</f>
        <v>1867669.0320000001</v>
      </c>
      <c r="Q72" s="1701"/>
      <c r="R72" s="1856">
        <f>MAX(R51:R69)</f>
        <v>25.87</v>
      </c>
      <c r="S72" s="1704"/>
      <c r="T72" s="1705"/>
      <c r="U72" s="1720"/>
      <c r="V72" s="1707"/>
      <c r="W72" s="1708"/>
      <c r="X72" s="1713"/>
      <c r="AC72" s="1722"/>
      <c r="AD72" s="1719"/>
      <c r="AE72" s="1718"/>
    </row>
    <row r="73" spans="1:65" s="1721" customFormat="1" ht="14.85" customHeight="1" outlineLevel="1">
      <c r="A73" s="1714"/>
      <c r="B73" s="1733" t="s">
        <v>115</v>
      </c>
      <c r="C73" s="1734"/>
      <c r="D73" s="1734"/>
      <c r="E73" s="1734"/>
      <c r="F73" s="1734"/>
      <c r="G73" s="1734"/>
      <c r="H73" s="1734"/>
      <c r="I73" s="1734"/>
      <c r="J73" s="1734"/>
      <c r="K73" s="1734"/>
      <c r="L73" s="1734"/>
      <c r="M73" s="1734"/>
      <c r="N73" s="1649">
        <f>_xlfn.QUARTILE.INC(N49:N70,3)</f>
        <v>249114.93300000002</v>
      </c>
      <c r="O73" s="1649"/>
      <c r="P73" s="1735">
        <f>_xlfn.QUARTILE.INC(P49:P70,3)</f>
        <v>321499.93300000002</v>
      </c>
      <c r="Q73" s="1701"/>
      <c r="R73" s="1736">
        <f>_xlfn.QUARTILE.INC(R51:R69,3)</f>
        <v>15.234999999999999</v>
      </c>
      <c r="S73" s="1704"/>
      <c r="T73" s="1705"/>
      <c r="U73" s="1720"/>
      <c r="V73" s="1707"/>
      <c r="W73" s="1708"/>
      <c r="X73" s="1713"/>
      <c r="AC73" s="1722"/>
      <c r="AD73" s="1719"/>
      <c r="AE73" s="1718"/>
    </row>
    <row r="74" spans="1:65" s="1721" customFormat="1" ht="14.85" customHeight="1" outlineLevel="1">
      <c r="A74" s="1714"/>
      <c r="B74" s="1733" t="s">
        <v>43</v>
      </c>
      <c r="C74" s="1734"/>
      <c r="D74" s="1734"/>
      <c r="E74" s="1734"/>
      <c r="F74" s="1734"/>
      <c r="G74" s="1734"/>
      <c r="H74" s="1734"/>
      <c r="I74" s="1734"/>
      <c r="J74" s="1734"/>
      <c r="K74" s="1734"/>
      <c r="L74" s="1734"/>
      <c r="M74" s="1734"/>
      <c r="N74" s="1649">
        <f>AVERAGE(N49:N70)</f>
        <v>284454.70512878773</v>
      </c>
      <c r="O74" s="1649"/>
      <c r="P74" s="1735">
        <f>AVERAGE(P49:P70)</f>
        <v>361738.90921969677</v>
      </c>
      <c r="Q74" s="1701"/>
      <c r="R74" s="1736">
        <f>AVERAGE(R51:R69)</f>
        <v>13.43363947368421</v>
      </c>
      <c r="S74" s="1704"/>
      <c r="T74" s="1705"/>
      <c r="U74" s="1720"/>
      <c r="V74" s="1707"/>
      <c r="W74" s="1708"/>
      <c r="X74" s="1713"/>
      <c r="AC74" s="1722"/>
      <c r="AD74" s="1719"/>
      <c r="AE74" s="1718"/>
    </row>
    <row r="75" spans="1:65" s="1721" customFormat="1" ht="14.85" customHeight="1" outlineLevel="1">
      <c r="A75" s="1714"/>
      <c r="B75" s="1733" t="s">
        <v>44</v>
      </c>
      <c r="C75" s="1734"/>
      <c r="D75" s="1734"/>
      <c r="E75" s="1734"/>
      <c r="F75" s="1734"/>
      <c r="G75" s="1734"/>
      <c r="H75" s="1734"/>
      <c r="I75" s="1734"/>
      <c r="J75" s="1734"/>
      <c r="K75" s="1734"/>
      <c r="L75" s="1734"/>
      <c r="M75" s="1734"/>
      <c r="N75" s="1649">
        <f>MEDIAN(N49:N70)</f>
        <v>197884.44</v>
      </c>
      <c r="O75" s="1649"/>
      <c r="P75" s="1735">
        <f>MEDIAN(P49:P70)</f>
        <v>267409.86249999999</v>
      </c>
      <c r="Q75" s="1701"/>
      <c r="R75" s="1736">
        <f>MEDIAN(R51:R69)</f>
        <v>13.14</v>
      </c>
      <c r="S75" s="1704"/>
      <c r="T75" s="1705"/>
      <c r="U75" s="1720"/>
      <c r="V75" s="1707"/>
      <c r="W75" s="1708"/>
      <c r="X75" s="1713"/>
      <c r="AC75" s="1722"/>
      <c r="AD75" s="1719"/>
      <c r="AE75" s="1718"/>
    </row>
    <row r="76" spans="1:65" s="1721" customFormat="1" ht="14.85" customHeight="1" outlineLevel="1">
      <c r="A76" s="1714"/>
      <c r="B76" s="1733" t="s">
        <v>114</v>
      </c>
      <c r="C76" s="1734"/>
      <c r="D76" s="1734"/>
      <c r="E76" s="1734"/>
      <c r="F76" s="1734"/>
      <c r="G76" s="1734"/>
      <c r="H76" s="1734"/>
      <c r="I76" s="1734"/>
      <c r="J76" s="1734"/>
      <c r="K76" s="1734"/>
      <c r="L76" s="1734"/>
      <c r="M76" s="1734"/>
      <c r="N76" s="1649">
        <f>_xlfn.QUARTILE.INC(N49:N70,1)</f>
        <v>108055.34699999999</v>
      </c>
      <c r="O76" s="1649"/>
      <c r="P76" s="1735">
        <f>_xlfn.QUARTILE.INC(P49:P70,1)</f>
        <v>179900.81699999998</v>
      </c>
      <c r="Q76" s="1701"/>
      <c r="R76" s="1736">
        <f>_xlfn.QUARTILE.INC(R51:R69,1)</f>
        <v>10.374575</v>
      </c>
      <c r="S76" s="1704"/>
      <c r="T76" s="1705"/>
      <c r="U76" s="1720"/>
      <c r="V76" s="1707"/>
      <c r="W76" s="1708"/>
      <c r="X76" s="1713"/>
      <c r="AC76" s="1722"/>
      <c r="AD76" s="1719"/>
      <c r="AE76" s="1718"/>
    </row>
    <row r="77" spans="1:65" s="1721" customFormat="1" ht="14.85" customHeight="1" outlineLevel="1">
      <c r="A77" s="1714"/>
      <c r="B77" s="1737" t="s">
        <v>112</v>
      </c>
      <c r="C77" s="1738"/>
      <c r="D77" s="1738"/>
      <c r="E77" s="1738"/>
      <c r="F77" s="1738"/>
      <c r="G77" s="1738"/>
      <c r="H77" s="1738"/>
      <c r="I77" s="1738"/>
      <c r="J77" s="1738"/>
      <c r="K77" s="1738"/>
      <c r="L77" s="1738"/>
      <c r="M77" s="1738"/>
      <c r="N77" s="1651">
        <f>MIN(N49:N70)</f>
        <v>47690.983999999997</v>
      </c>
      <c r="O77" s="1651"/>
      <c r="P77" s="1739">
        <f>MIN(P49:P70)</f>
        <v>52970.983999999997</v>
      </c>
      <c r="Q77" s="1701"/>
      <c r="R77" s="1740">
        <f>MIN(R51:R69)</f>
        <v>3.35</v>
      </c>
      <c r="S77" s="1704"/>
      <c r="T77" s="1705"/>
      <c r="U77" s="1720"/>
      <c r="V77" s="1707"/>
      <c r="W77" s="1708"/>
      <c r="X77" s="1713"/>
      <c r="AC77" s="1722"/>
      <c r="AD77" s="1719"/>
      <c r="AE77" s="1718"/>
    </row>
    <row r="78" spans="1:65" s="1721" customFormat="1" ht="14.85" customHeight="1" outlineLevel="1">
      <c r="A78" s="1714"/>
      <c r="B78" s="1695"/>
      <c r="C78" s="1698"/>
      <c r="D78" s="1697"/>
      <c r="E78" s="1698"/>
      <c r="F78" s="1699"/>
      <c r="G78" s="1726"/>
      <c r="H78" s="1715"/>
      <c r="I78" s="1715"/>
      <c r="J78" s="1726"/>
      <c r="K78" s="1727"/>
      <c r="L78" s="1703"/>
      <c r="M78" s="1703"/>
      <c r="N78" s="1701"/>
      <c r="O78" s="1703"/>
      <c r="P78" s="1701"/>
      <c r="Q78" s="1701"/>
      <c r="R78" s="1700"/>
      <c r="S78" s="1704"/>
      <c r="T78" s="1705"/>
      <c r="U78" s="1720"/>
      <c r="V78" s="1707"/>
      <c r="W78" s="1708"/>
      <c r="X78" s="1713"/>
      <c r="AC78" s="1722"/>
      <c r="AD78" s="1719"/>
      <c r="AE78" s="1718"/>
    </row>
    <row r="79" spans="1:65" s="1721" customFormat="1" ht="14.85" customHeight="1" outlineLevel="1">
      <c r="A79" s="1714"/>
      <c r="B79" s="1741" t="s">
        <v>2008</v>
      </c>
      <c r="C79" s="1698"/>
      <c r="D79" s="1697"/>
      <c r="E79" s="1698"/>
      <c r="F79" s="1699"/>
      <c r="G79" s="1726"/>
      <c r="H79" s="1715"/>
      <c r="I79" s="1715"/>
      <c r="J79" s="1726"/>
      <c r="K79" s="1727"/>
      <c r="L79" s="1703"/>
      <c r="M79" s="1703"/>
      <c r="N79" s="1701"/>
      <c r="O79" s="1703"/>
      <c r="P79" s="1701"/>
      <c r="Q79" s="1701"/>
      <c r="R79" s="1700"/>
      <c r="S79" s="1704"/>
      <c r="T79" s="1705"/>
      <c r="U79" s="1720"/>
      <c r="V79" s="1707"/>
      <c r="W79" s="1708"/>
      <c r="X79" s="1713"/>
      <c r="AC79" s="1722"/>
      <c r="AD79" s="1719"/>
      <c r="AE79" s="1718"/>
    </row>
    <row r="80" spans="1:65" s="1688" customFormat="1" ht="14.85" customHeight="1" outlineLevel="1">
      <c r="A80" s="1714"/>
      <c r="B80" s="1695" t="s">
        <v>2015</v>
      </c>
      <c r="C80" s="1698" t="s">
        <v>2016</v>
      </c>
      <c r="D80" s="1697" t="s">
        <v>1572</v>
      </c>
      <c r="E80" s="1698" t="s">
        <v>2017</v>
      </c>
      <c r="F80" s="1699">
        <v>42760</v>
      </c>
      <c r="G80" s="1846">
        <v>15</v>
      </c>
      <c r="H80" s="1700">
        <v>14</v>
      </c>
      <c r="I80" s="1700">
        <v>16</v>
      </c>
      <c r="J80" s="1846">
        <v>13.99</v>
      </c>
      <c r="K80" s="1727">
        <f t="shared" ref="K80:K98" si="25">+M80-L80</f>
        <v>23181.261999999999</v>
      </c>
      <c r="L80" s="1694">
        <f>6450000/1000</f>
        <v>6450</v>
      </c>
      <c r="M80" s="1694">
        <f>29631262/1000</f>
        <v>29631.261999999999</v>
      </c>
      <c r="N80" s="1701">
        <f t="shared" ref="N80:N98" si="26">+G80*K80</f>
        <v>347718.93</v>
      </c>
      <c r="O80" s="1703">
        <f>96750000/1000</f>
        <v>96750</v>
      </c>
      <c r="P80" s="1701">
        <f t="shared" ref="P80:P99" si="27">+N80+O80</f>
        <v>444468.93</v>
      </c>
      <c r="Q80" s="1701"/>
      <c r="R80" s="1700">
        <v>13.99</v>
      </c>
      <c r="S80" s="1704">
        <f>414541355.38/1000</f>
        <v>414541.35538000002</v>
      </c>
      <c r="T80" s="1705">
        <v>-6.7333333333333356E-2</v>
      </c>
      <c r="U80" s="1716" t="s">
        <v>2017</v>
      </c>
      <c r="V80" s="1707"/>
      <c r="W80" s="1708">
        <f t="shared" ref="W80:W99" si="28">+N80+O80</f>
        <v>444468.93</v>
      </c>
      <c r="X80" s="1713">
        <f t="shared" ref="X80:X99" si="29">+P80-W80</f>
        <v>0</v>
      </c>
      <c r="Y80" s="1718"/>
      <c r="AE80" s="1688" t="s">
        <v>2019</v>
      </c>
      <c r="AF80" s="1688" t="s">
        <v>2020</v>
      </c>
      <c r="AG80" s="1688" t="s">
        <v>2021</v>
      </c>
      <c r="AI80" s="1688">
        <v>6450000</v>
      </c>
      <c r="AJ80" s="1688">
        <v>6450000</v>
      </c>
      <c r="AK80" s="1688">
        <v>29631262</v>
      </c>
      <c r="AM80" s="1688">
        <f>AI80-AO80</f>
        <v>0</v>
      </c>
      <c r="AN80" s="1688">
        <f>AK80-AQ80</f>
        <v>0</v>
      </c>
      <c r="AO80" s="1688">
        <v>6450000</v>
      </c>
      <c r="AP80" s="1688">
        <f>AO80+AS80</f>
        <v>7417500</v>
      </c>
      <c r="AQ80" s="1688">
        <v>29631262</v>
      </c>
      <c r="AR80" s="1688">
        <f>AQ80+AS80</f>
        <v>30598762</v>
      </c>
      <c r="AS80" s="1688">
        <v>967500</v>
      </c>
      <c r="AT80" s="1688">
        <f>AU80*J80</f>
        <v>414541327.40000004</v>
      </c>
      <c r="AU80" s="1688">
        <v>29631260</v>
      </c>
      <c r="AV80" s="1688">
        <f>+J80*M80</f>
        <v>414541.35537999996</v>
      </c>
      <c r="AW80" s="1688">
        <v>42761</v>
      </c>
      <c r="AX80" s="1688">
        <f>+AW80+30</f>
        <v>42791</v>
      </c>
      <c r="AY80" s="1688">
        <f>AW80+90</f>
        <v>42851</v>
      </c>
      <c r="AZ80" s="1688">
        <v>29631260</v>
      </c>
      <c r="BA80" s="1688">
        <v>13.62</v>
      </c>
      <c r="BB80" s="1688">
        <f>BA80*AZ80</f>
        <v>403577761.19999999</v>
      </c>
      <c r="BC80" s="1688" t="s">
        <v>2022</v>
      </c>
      <c r="BD80" s="1688">
        <v>38910000</v>
      </c>
      <c r="BE80" s="1688">
        <v>0</v>
      </c>
      <c r="BF80" s="1688" t="e">
        <f ca="1">_xll.ciqfunctions.udf.CIQ(C80, "IQ_MARKETCAP", $BF$1)*1000000</f>
        <v>#NAME?</v>
      </c>
      <c r="BG80" s="1688">
        <v>123139750</v>
      </c>
      <c r="BH80" s="1688" t="e">
        <f ca="1">(BF80-BG80)/BF80</f>
        <v>#NAME?</v>
      </c>
      <c r="BJ80" s="1688" t="s">
        <v>2023</v>
      </c>
      <c r="BM80" s="1688" t="b">
        <f>IF(ABS(O80-P80)&lt;100,TRUE,FALSE)</f>
        <v>0</v>
      </c>
    </row>
    <row r="81" spans="1:34" s="1688" customFormat="1" ht="14.85" customHeight="1" outlineLevel="1">
      <c r="A81" s="1714"/>
      <c r="B81" s="1695" t="s">
        <v>1422</v>
      </c>
      <c r="C81" s="1698" t="s">
        <v>1423</v>
      </c>
      <c r="D81" s="1697" t="s">
        <v>618</v>
      </c>
      <c r="E81" s="1698" t="s">
        <v>1424</v>
      </c>
      <c r="F81" s="1699">
        <v>42586</v>
      </c>
      <c r="G81" s="1846">
        <v>10</v>
      </c>
      <c r="H81" s="1700">
        <v>11</v>
      </c>
      <c r="I81" s="1700">
        <v>13</v>
      </c>
      <c r="J81" s="1846">
        <v>13.23</v>
      </c>
      <c r="K81" s="1727">
        <f t="shared" si="25"/>
        <v>5431.6149999999998</v>
      </c>
      <c r="L81" s="1694">
        <v>3000</v>
      </c>
      <c r="M81" s="1694">
        <v>8431.6149999999998</v>
      </c>
      <c r="N81" s="1701">
        <f t="shared" si="26"/>
        <v>54316.149999999994</v>
      </c>
      <c r="O81" s="1703">
        <f t="shared" ref="O81:O99" si="30">+G81*L81</f>
        <v>30000</v>
      </c>
      <c r="P81" s="1701">
        <f t="shared" si="27"/>
        <v>84316.15</v>
      </c>
      <c r="Q81" s="1701"/>
      <c r="R81" s="1700">
        <v>13.23</v>
      </c>
      <c r="S81" s="1704">
        <f t="shared" ref="S81:S99" si="31">R81*M81</f>
        <v>111550.26645</v>
      </c>
      <c r="T81" s="1705">
        <f t="shared" ref="T81:T99" si="32">S81/P81-1</f>
        <v>0.32299999999999995</v>
      </c>
      <c r="U81" s="1716" t="s">
        <v>1425</v>
      </c>
      <c r="V81" s="1707" t="s">
        <v>1426</v>
      </c>
      <c r="W81" s="1708">
        <f t="shared" si="28"/>
        <v>84316.15</v>
      </c>
      <c r="X81" s="1713">
        <f t="shared" si="29"/>
        <v>0</v>
      </c>
      <c r="Y81" s="1718"/>
    </row>
    <row r="82" spans="1:34" s="1688" customFormat="1" ht="14.85" customHeight="1" outlineLevel="1">
      <c r="A82" s="1714"/>
      <c r="B82" s="1695" t="s">
        <v>1427</v>
      </c>
      <c r="C82" s="1698" t="s">
        <v>1428</v>
      </c>
      <c r="D82" s="1697" t="s">
        <v>618</v>
      </c>
      <c r="E82" s="1698" t="s">
        <v>1429</v>
      </c>
      <c r="F82" s="1699">
        <v>42577</v>
      </c>
      <c r="G82" s="1726">
        <v>12</v>
      </c>
      <c r="H82" s="1715">
        <v>0</v>
      </c>
      <c r="I82" s="1715">
        <v>0</v>
      </c>
      <c r="J82" s="1726">
        <v>10.06</v>
      </c>
      <c r="K82" s="1727">
        <f t="shared" si="25"/>
        <v>38620.332000000002</v>
      </c>
      <c r="L82" s="1694">
        <v>6250</v>
      </c>
      <c r="M82" s="1694">
        <v>44870.332000000002</v>
      </c>
      <c r="N82" s="1701">
        <f t="shared" si="26"/>
        <v>463443.98400000005</v>
      </c>
      <c r="O82" s="1703">
        <f t="shared" si="30"/>
        <v>75000</v>
      </c>
      <c r="P82" s="1701">
        <f t="shared" si="27"/>
        <v>538443.98400000005</v>
      </c>
      <c r="Q82" s="1701"/>
      <c r="R82" s="1700">
        <v>10.06</v>
      </c>
      <c r="S82" s="1704">
        <f t="shared" si="31"/>
        <v>451395.53992000007</v>
      </c>
      <c r="T82" s="1705">
        <f t="shared" si="32"/>
        <v>-0.16166666666666663</v>
      </c>
      <c r="U82" s="1716" t="s">
        <v>1430</v>
      </c>
      <c r="V82" s="1707" t="s">
        <v>1431</v>
      </c>
      <c r="W82" s="1708">
        <f t="shared" si="28"/>
        <v>538443.98400000005</v>
      </c>
      <c r="X82" s="1713">
        <f t="shared" si="29"/>
        <v>0</v>
      </c>
      <c r="Y82" s="1718"/>
    </row>
    <row r="83" spans="1:34" s="1688" customFormat="1" ht="14.85" customHeight="1" outlineLevel="1">
      <c r="A83" s="1714"/>
      <c r="B83" s="1757" t="s">
        <v>1461</v>
      </c>
      <c r="C83" s="1698" t="s">
        <v>1462</v>
      </c>
      <c r="D83" s="1697" t="s">
        <v>618</v>
      </c>
      <c r="E83" s="1698" t="s">
        <v>1463</v>
      </c>
      <c r="F83" s="1699">
        <v>42495</v>
      </c>
      <c r="G83" s="1726">
        <v>12</v>
      </c>
      <c r="H83" s="1715">
        <v>13</v>
      </c>
      <c r="I83" s="1715">
        <v>15</v>
      </c>
      <c r="J83" s="1726">
        <v>11.2</v>
      </c>
      <c r="K83" s="1727">
        <f t="shared" si="25"/>
        <v>6171.0910000000003</v>
      </c>
      <c r="L83" s="1694">
        <v>920</v>
      </c>
      <c r="M83" s="1694">
        <v>7091.0910000000003</v>
      </c>
      <c r="N83" s="1701">
        <f t="shared" si="26"/>
        <v>74053.092000000004</v>
      </c>
      <c r="O83" s="1703">
        <f t="shared" si="30"/>
        <v>11040</v>
      </c>
      <c r="P83" s="1701">
        <f t="shared" si="27"/>
        <v>85093.092000000004</v>
      </c>
      <c r="Q83" s="1701"/>
      <c r="R83" s="1700">
        <v>11.2</v>
      </c>
      <c r="S83" s="1704">
        <f t="shared" si="31"/>
        <v>79420.219199999992</v>
      </c>
      <c r="T83" s="1705">
        <f t="shared" si="32"/>
        <v>-6.6666666666666763E-2</v>
      </c>
      <c r="U83" s="1706" t="s">
        <v>1464</v>
      </c>
      <c r="V83" s="1707" t="s">
        <v>2024</v>
      </c>
      <c r="W83" s="1708">
        <f t="shared" si="28"/>
        <v>85093.092000000004</v>
      </c>
      <c r="X83" s="1713">
        <f t="shared" si="29"/>
        <v>0</v>
      </c>
      <c r="AC83" s="1703"/>
      <c r="AD83" s="1719"/>
      <c r="AE83" s="1718"/>
    </row>
    <row r="84" spans="1:34" s="1673" customFormat="1" ht="14.85" customHeight="1" outlineLevel="1">
      <c r="A84" s="1714"/>
      <c r="B84" s="1695" t="s">
        <v>1510</v>
      </c>
      <c r="C84" s="1698" t="s">
        <v>1511</v>
      </c>
      <c r="D84" s="1697" t="s">
        <v>618</v>
      </c>
      <c r="E84" s="1698" t="s">
        <v>1512</v>
      </c>
      <c r="F84" s="1699">
        <v>42291</v>
      </c>
      <c r="G84" s="1726">
        <v>6.5</v>
      </c>
      <c r="H84" s="1715">
        <v>6</v>
      </c>
      <c r="I84" s="1715">
        <v>7</v>
      </c>
      <c r="J84" s="1726">
        <v>3.13</v>
      </c>
      <c r="K84" s="1727">
        <f t="shared" si="25"/>
        <v>4630.143</v>
      </c>
      <c r="L84" s="1694">
        <v>4000</v>
      </c>
      <c r="M84" s="1694">
        <v>8630.143</v>
      </c>
      <c r="N84" s="1701">
        <f t="shared" si="26"/>
        <v>30095.929499999998</v>
      </c>
      <c r="O84" s="1703">
        <f t="shared" si="30"/>
        <v>26000</v>
      </c>
      <c r="P84" s="1701">
        <f t="shared" si="27"/>
        <v>56095.929499999998</v>
      </c>
      <c r="Q84" s="1701"/>
      <c r="R84" s="1700">
        <v>3.13</v>
      </c>
      <c r="S84" s="1704">
        <f t="shared" si="31"/>
        <v>27012.347589999998</v>
      </c>
      <c r="T84" s="1705">
        <f t="shared" si="32"/>
        <v>-0.51846153846153853</v>
      </c>
      <c r="U84" s="1706" t="s">
        <v>1513</v>
      </c>
      <c r="V84" s="1707" t="s">
        <v>1514</v>
      </c>
      <c r="W84" s="1708">
        <f t="shared" si="28"/>
        <v>56095.929499999998</v>
      </c>
      <c r="X84" s="1713">
        <f t="shared" si="29"/>
        <v>0</v>
      </c>
      <c r="Y84" s="1688"/>
      <c r="AC84" s="1703"/>
      <c r="AD84" s="1719"/>
      <c r="AE84" s="1718"/>
    </row>
    <row r="85" spans="1:34" s="1673" customFormat="1" ht="14.85" customHeight="1" outlineLevel="1">
      <c r="A85" s="1714"/>
      <c r="B85" s="1695" t="s">
        <v>1520</v>
      </c>
      <c r="C85" s="1698" t="s">
        <v>1521</v>
      </c>
      <c r="D85" s="1697" t="s">
        <v>618</v>
      </c>
      <c r="E85" s="1698" t="s">
        <v>1522</v>
      </c>
      <c r="F85" s="1699">
        <v>42283</v>
      </c>
      <c r="G85" s="1726">
        <v>11</v>
      </c>
      <c r="H85" s="1715">
        <v>14</v>
      </c>
      <c r="I85" s="1715">
        <v>16</v>
      </c>
      <c r="J85" s="1726">
        <v>14.67</v>
      </c>
      <c r="K85" s="1727">
        <f t="shared" si="25"/>
        <v>14407.503000000001</v>
      </c>
      <c r="L85" s="1694">
        <v>5000</v>
      </c>
      <c r="M85" s="1694">
        <v>19407.503000000001</v>
      </c>
      <c r="N85" s="1701">
        <f t="shared" si="26"/>
        <v>158482.533</v>
      </c>
      <c r="O85" s="1703">
        <f t="shared" si="30"/>
        <v>55000</v>
      </c>
      <c r="P85" s="1701">
        <f t="shared" si="27"/>
        <v>213482.533</v>
      </c>
      <c r="Q85" s="1701"/>
      <c r="R85" s="1700">
        <v>14.67</v>
      </c>
      <c r="S85" s="1704">
        <f t="shared" si="31"/>
        <v>284708.06901000004</v>
      </c>
      <c r="T85" s="1705">
        <f t="shared" si="32"/>
        <v>0.33363636363636373</v>
      </c>
      <c r="U85" s="1706" t="s">
        <v>1523</v>
      </c>
      <c r="V85" s="1707" t="s">
        <v>1524</v>
      </c>
      <c r="W85" s="1708">
        <f t="shared" si="28"/>
        <v>213482.533</v>
      </c>
      <c r="X85" s="1713">
        <f t="shared" si="29"/>
        <v>0</v>
      </c>
      <c r="Y85" s="1688"/>
      <c r="AC85" s="1703"/>
      <c r="AD85" s="1719"/>
      <c r="AE85" s="1718"/>
    </row>
    <row r="86" spans="1:34" s="1673" customFormat="1" ht="14.85" customHeight="1" outlineLevel="1">
      <c r="A86" s="1714"/>
      <c r="B86" s="1695" t="s">
        <v>1529</v>
      </c>
      <c r="C86" s="1698" t="s">
        <v>1530</v>
      </c>
      <c r="D86" s="1697" t="s">
        <v>618</v>
      </c>
      <c r="E86" s="1698" t="s">
        <v>1531</v>
      </c>
      <c r="F86" s="1699">
        <v>42277</v>
      </c>
      <c r="G86" s="1726">
        <v>11</v>
      </c>
      <c r="H86" s="1715">
        <v>14</v>
      </c>
      <c r="I86" s="1715">
        <v>16</v>
      </c>
      <c r="J86" s="1726">
        <v>17.88</v>
      </c>
      <c r="K86" s="1727">
        <f t="shared" si="25"/>
        <v>20181.25</v>
      </c>
      <c r="L86" s="1694">
        <v>7315.1509999999998</v>
      </c>
      <c r="M86" s="1694">
        <v>27496.401000000002</v>
      </c>
      <c r="N86" s="1701">
        <f t="shared" si="26"/>
        <v>221993.75</v>
      </c>
      <c r="O86" s="1703">
        <f t="shared" si="30"/>
        <v>80466.660999999993</v>
      </c>
      <c r="P86" s="1701">
        <f t="shared" si="27"/>
        <v>302460.41099999996</v>
      </c>
      <c r="Q86" s="1701"/>
      <c r="R86" s="1700">
        <v>17.88</v>
      </c>
      <c r="S86" s="1704">
        <f t="shared" si="31"/>
        <v>491635.64987999998</v>
      </c>
      <c r="T86" s="1705">
        <f t="shared" si="32"/>
        <v>0.62545454545454549</v>
      </c>
      <c r="U86" s="1706" t="s">
        <v>1532</v>
      </c>
      <c r="V86" s="1707" t="s">
        <v>1533</v>
      </c>
      <c r="W86" s="1708">
        <f t="shared" si="28"/>
        <v>302460.41099999996</v>
      </c>
      <c r="X86" s="1713">
        <f t="shared" si="29"/>
        <v>0</v>
      </c>
      <c r="Y86" s="1688"/>
      <c r="AC86" s="1703"/>
      <c r="AD86" s="1719"/>
      <c r="AE86" s="1718"/>
    </row>
    <row r="87" spans="1:34" s="1673" customFormat="1" ht="14.85" customHeight="1" outlineLevel="1">
      <c r="A87" s="1714"/>
      <c r="B87" s="1755" t="s">
        <v>1535</v>
      </c>
      <c r="C87" s="1698" t="s">
        <v>1536</v>
      </c>
      <c r="D87" s="1697" t="s">
        <v>618</v>
      </c>
      <c r="E87" s="1698" t="s">
        <v>1537</v>
      </c>
      <c r="F87" s="1699">
        <v>42227</v>
      </c>
      <c r="G87" s="1726">
        <v>20</v>
      </c>
      <c r="H87" s="1715">
        <v>16</v>
      </c>
      <c r="I87" s="1715">
        <v>18</v>
      </c>
      <c r="J87" s="1726">
        <v>52.72</v>
      </c>
      <c r="K87" s="1727">
        <f t="shared" si="25"/>
        <v>21808.456999999999</v>
      </c>
      <c r="L87" s="1694">
        <v>6000</v>
      </c>
      <c r="M87" s="1694">
        <v>27808.456999999999</v>
      </c>
      <c r="N87" s="1701">
        <f t="shared" si="26"/>
        <v>436169.13999999996</v>
      </c>
      <c r="O87" s="1703">
        <f t="shared" si="30"/>
        <v>120000</v>
      </c>
      <c r="P87" s="1701">
        <f t="shared" si="27"/>
        <v>556169.1399999999</v>
      </c>
      <c r="Q87" s="1701"/>
      <c r="R87" s="1700">
        <v>52.72</v>
      </c>
      <c r="S87" s="1704">
        <f t="shared" si="31"/>
        <v>1466061.85304</v>
      </c>
      <c r="T87" s="1705">
        <f t="shared" si="32"/>
        <v>1.6360000000000006</v>
      </c>
      <c r="U87" s="1720" t="s">
        <v>1538</v>
      </c>
      <c r="V87" s="1707" t="s">
        <v>1539</v>
      </c>
      <c r="W87" s="1708">
        <f t="shared" si="28"/>
        <v>556169.1399999999</v>
      </c>
      <c r="X87" s="1713">
        <f t="shared" si="29"/>
        <v>0</v>
      </c>
      <c r="Y87" s="1723"/>
      <c r="Z87" s="1722"/>
      <c r="AA87" s="1723"/>
      <c r="AB87" s="1723"/>
      <c r="AC87" s="1722"/>
      <c r="AD87" s="1719"/>
      <c r="AE87" s="1718"/>
      <c r="AF87" s="1720"/>
      <c r="AG87" s="1725"/>
      <c r="AH87" s="1725"/>
    </row>
    <row r="88" spans="1:34" s="1673" customFormat="1" ht="14.85" customHeight="1" outlineLevel="1">
      <c r="A88" s="1714"/>
      <c r="B88" s="1695" t="s">
        <v>1540</v>
      </c>
      <c r="C88" s="1698" t="s">
        <v>1541</v>
      </c>
      <c r="D88" s="1697" t="s">
        <v>618</v>
      </c>
      <c r="E88" s="1698" t="s">
        <v>1542</v>
      </c>
      <c r="F88" s="1699">
        <v>42221</v>
      </c>
      <c r="G88" s="1726">
        <v>16</v>
      </c>
      <c r="H88" s="1715">
        <v>14</v>
      </c>
      <c r="I88" s="1715">
        <v>16</v>
      </c>
      <c r="J88" s="1726">
        <v>22.59</v>
      </c>
      <c r="K88" s="1727">
        <f t="shared" si="25"/>
        <v>30679.538</v>
      </c>
      <c r="L88" s="1694">
        <v>10000</v>
      </c>
      <c r="M88" s="1694">
        <v>40679.538</v>
      </c>
      <c r="N88" s="1701">
        <f t="shared" si="26"/>
        <v>490872.60800000001</v>
      </c>
      <c r="O88" s="1703">
        <f t="shared" si="30"/>
        <v>160000</v>
      </c>
      <c r="P88" s="1701">
        <f t="shared" si="27"/>
        <v>650872.60800000001</v>
      </c>
      <c r="Q88" s="1701"/>
      <c r="R88" s="1700">
        <v>22.59</v>
      </c>
      <c r="S88" s="1704">
        <f t="shared" si="31"/>
        <v>918950.76341999997</v>
      </c>
      <c r="T88" s="1705">
        <f t="shared" si="32"/>
        <v>0.41187499999999999</v>
      </c>
      <c r="U88" s="1706" t="s">
        <v>1543</v>
      </c>
      <c r="V88" s="1707" t="s">
        <v>1544</v>
      </c>
      <c r="W88" s="1708">
        <f t="shared" si="28"/>
        <v>650872.60800000001</v>
      </c>
      <c r="X88" s="1713">
        <f t="shared" si="29"/>
        <v>0</v>
      </c>
      <c r="Y88" s="1688"/>
      <c r="AC88" s="1703"/>
      <c r="AD88" s="1719"/>
      <c r="AE88" s="1718"/>
    </row>
    <row r="89" spans="1:34" s="1673" customFormat="1" ht="14.85" customHeight="1" outlineLevel="1">
      <c r="A89" s="1756"/>
      <c r="B89" s="1695" t="s">
        <v>1050</v>
      </c>
      <c r="C89" s="1698" t="s">
        <v>1048</v>
      </c>
      <c r="D89" s="1697" t="s">
        <v>618</v>
      </c>
      <c r="E89" s="1698" t="s">
        <v>1550</v>
      </c>
      <c r="F89" s="1699">
        <v>42213</v>
      </c>
      <c r="G89" s="1726">
        <v>25</v>
      </c>
      <c r="H89" s="1715">
        <v>20</v>
      </c>
      <c r="I89" s="1715">
        <v>23</v>
      </c>
      <c r="J89" s="1726">
        <v>19.510000000000002</v>
      </c>
      <c r="K89" s="1727">
        <f t="shared" si="25"/>
        <v>70643.631999999998</v>
      </c>
      <c r="L89" s="1694">
        <v>8288</v>
      </c>
      <c r="M89" s="1694">
        <v>78931.631999999998</v>
      </c>
      <c r="N89" s="1701">
        <f t="shared" si="26"/>
        <v>1766090.8</v>
      </c>
      <c r="O89" s="1703">
        <f t="shared" si="30"/>
        <v>207200</v>
      </c>
      <c r="P89" s="1701">
        <f t="shared" si="27"/>
        <v>1973290.8</v>
      </c>
      <c r="Q89" s="1701"/>
      <c r="R89" s="1700">
        <v>19.510000000000002</v>
      </c>
      <c r="S89" s="1704">
        <f t="shared" si="31"/>
        <v>1539956.14032</v>
      </c>
      <c r="T89" s="1705">
        <f t="shared" si="32"/>
        <v>-0.21960000000000002</v>
      </c>
      <c r="U89" s="1706" t="s">
        <v>1049</v>
      </c>
      <c r="V89" s="1707" t="s">
        <v>1051</v>
      </c>
      <c r="W89" s="1708">
        <f t="shared" si="28"/>
        <v>1973290.8</v>
      </c>
      <c r="X89" s="1713">
        <f t="shared" si="29"/>
        <v>0</v>
      </c>
      <c r="Y89" s="1688"/>
      <c r="AC89" s="1703"/>
      <c r="AD89" s="1719"/>
      <c r="AE89" s="1718"/>
    </row>
    <row r="90" spans="1:34" s="1673" customFormat="1" ht="14.85" customHeight="1" outlineLevel="1">
      <c r="A90" s="1714"/>
      <c r="B90" s="1695" t="s">
        <v>1561</v>
      </c>
      <c r="C90" s="1698" t="s">
        <v>1562</v>
      </c>
      <c r="D90" s="1697" t="s">
        <v>618</v>
      </c>
      <c r="E90" s="1698" t="s">
        <v>1563</v>
      </c>
      <c r="F90" s="1699">
        <v>42180</v>
      </c>
      <c r="G90" s="1726">
        <v>18</v>
      </c>
      <c r="H90" s="1715">
        <v>15</v>
      </c>
      <c r="I90" s="1715">
        <v>17</v>
      </c>
      <c r="J90" s="1726">
        <v>38.200000000000003</v>
      </c>
      <c r="K90" s="1727">
        <f t="shared" si="25"/>
        <v>30403.502</v>
      </c>
      <c r="L90" s="1694">
        <v>7430.5550000000003</v>
      </c>
      <c r="M90" s="1694">
        <v>37834.057000000001</v>
      </c>
      <c r="N90" s="1701">
        <f t="shared" si="26"/>
        <v>547263.03599999996</v>
      </c>
      <c r="O90" s="1703">
        <f t="shared" si="30"/>
        <v>133749.99</v>
      </c>
      <c r="P90" s="1701">
        <f t="shared" si="27"/>
        <v>681013.02599999995</v>
      </c>
      <c r="Q90" s="1701"/>
      <c r="R90" s="1700">
        <v>38.200000000000003</v>
      </c>
      <c r="S90" s="1704">
        <f t="shared" si="31"/>
        <v>1445260.9774000002</v>
      </c>
      <c r="T90" s="1705">
        <f t="shared" si="32"/>
        <v>1.1222222222222227</v>
      </c>
      <c r="U90" s="1720" t="s">
        <v>1564</v>
      </c>
      <c r="V90" s="1707" t="s">
        <v>1565</v>
      </c>
      <c r="W90" s="1708">
        <f t="shared" si="28"/>
        <v>681013.02599999995</v>
      </c>
      <c r="X90" s="1713">
        <f t="shared" si="29"/>
        <v>0</v>
      </c>
      <c r="Y90" s="1723"/>
      <c r="Z90" s="1722"/>
      <c r="AA90" s="1723"/>
      <c r="AB90" s="1724"/>
      <c r="AC90" s="1722"/>
      <c r="AD90" s="1719"/>
      <c r="AE90" s="1718"/>
      <c r="AF90" s="1720"/>
      <c r="AG90" s="1725"/>
      <c r="AH90" s="1725"/>
    </row>
    <row r="91" spans="1:34" s="1673" customFormat="1" ht="14.85" customHeight="1" outlineLevel="1">
      <c r="A91" s="1714"/>
      <c r="B91" s="1695" t="s">
        <v>1570</v>
      </c>
      <c r="C91" s="1698" t="s">
        <v>1571</v>
      </c>
      <c r="D91" s="1697" t="s">
        <v>1667</v>
      </c>
      <c r="E91" s="1698" t="s">
        <v>1573</v>
      </c>
      <c r="F91" s="1699">
        <v>42179</v>
      </c>
      <c r="G91" s="1726">
        <v>5</v>
      </c>
      <c r="H91" s="1715">
        <v>0</v>
      </c>
      <c r="I91" s="1715">
        <v>0</v>
      </c>
      <c r="J91" s="1726">
        <v>4.1599000000000004</v>
      </c>
      <c r="K91" s="1727">
        <f t="shared" si="25"/>
        <v>3788.0600000000004</v>
      </c>
      <c r="L91" s="1694">
        <v>4000</v>
      </c>
      <c r="M91" s="1694">
        <v>7788.06</v>
      </c>
      <c r="N91" s="1701">
        <f t="shared" si="26"/>
        <v>18940.300000000003</v>
      </c>
      <c r="O91" s="1703">
        <f t="shared" si="30"/>
        <v>20000</v>
      </c>
      <c r="P91" s="1701">
        <f t="shared" si="27"/>
        <v>38940.300000000003</v>
      </c>
      <c r="Q91" s="1701"/>
      <c r="R91" s="1700">
        <v>4.1599000000000004</v>
      </c>
      <c r="S91" s="1704">
        <f t="shared" si="31"/>
        <v>32397.550794000006</v>
      </c>
      <c r="T91" s="1705">
        <f t="shared" si="32"/>
        <v>-0.16801999999999995</v>
      </c>
      <c r="U91" s="1706" t="s">
        <v>1574</v>
      </c>
      <c r="V91" s="1707" t="s">
        <v>1575</v>
      </c>
      <c r="W91" s="1708">
        <f t="shared" si="28"/>
        <v>38940.300000000003</v>
      </c>
      <c r="X91" s="1713">
        <f t="shared" si="29"/>
        <v>0</v>
      </c>
      <c r="Y91" s="1688"/>
      <c r="AC91" s="1703"/>
      <c r="AD91" s="1719"/>
      <c r="AE91" s="1718"/>
    </row>
    <row r="92" spans="1:34" s="1721" customFormat="1" ht="14.85" customHeight="1" outlineLevel="1">
      <c r="A92" s="1714"/>
      <c r="B92" s="1695" t="s">
        <v>1609</v>
      </c>
      <c r="C92" s="1698" t="s">
        <v>1610</v>
      </c>
      <c r="D92" s="1697" t="s">
        <v>618</v>
      </c>
      <c r="E92" s="1698" t="s">
        <v>1611</v>
      </c>
      <c r="F92" s="1699">
        <v>42109</v>
      </c>
      <c r="G92" s="1726">
        <v>11</v>
      </c>
      <c r="H92" s="1715">
        <v>12</v>
      </c>
      <c r="I92" s="1715">
        <v>14</v>
      </c>
      <c r="J92" s="1726">
        <v>12.5</v>
      </c>
      <c r="K92" s="1727">
        <f t="shared" si="25"/>
        <v>8371.7650000000012</v>
      </c>
      <c r="L92" s="1694">
        <v>5090.9089999999997</v>
      </c>
      <c r="M92" s="1694">
        <v>13462.674000000001</v>
      </c>
      <c r="N92" s="1701">
        <f t="shared" si="26"/>
        <v>92089.415000000008</v>
      </c>
      <c r="O92" s="1703">
        <f t="shared" si="30"/>
        <v>55999.998999999996</v>
      </c>
      <c r="P92" s="1701">
        <f t="shared" si="27"/>
        <v>148089.41399999999</v>
      </c>
      <c r="Q92" s="1701"/>
      <c r="R92" s="1700">
        <v>12.5</v>
      </c>
      <c r="S92" s="1704">
        <f t="shared" si="31"/>
        <v>168283.42500000002</v>
      </c>
      <c r="T92" s="1705">
        <f t="shared" si="32"/>
        <v>0.13636363636363646</v>
      </c>
      <c r="U92" s="1720" t="s">
        <v>1612</v>
      </c>
      <c r="V92" s="1707" t="s">
        <v>1613</v>
      </c>
      <c r="W92" s="1708">
        <f t="shared" si="28"/>
        <v>148089.41399999999</v>
      </c>
      <c r="X92" s="1713">
        <f t="shared" si="29"/>
        <v>0</v>
      </c>
      <c r="AC92" s="1722"/>
      <c r="AD92" s="1719"/>
      <c r="AE92" s="1718"/>
    </row>
    <row r="93" spans="1:34" s="1721" customFormat="1" ht="14.85" customHeight="1" outlineLevel="1">
      <c r="A93" s="1714"/>
      <c r="B93" s="1695" t="s">
        <v>1619</v>
      </c>
      <c r="C93" s="1698" t="s">
        <v>1620</v>
      </c>
      <c r="D93" s="1697" t="s">
        <v>1572</v>
      </c>
      <c r="E93" s="1698" t="s">
        <v>1621</v>
      </c>
      <c r="F93" s="1699">
        <v>42108</v>
      </c>
      <c r="G93" s="1726">
        <v>17</v>
      </c>
      <c r="H93" s="1715">
        <v>14</v>
      </c>
      <c r="I93" s="1715">
        <v>16</v>
      </c>
      <c r="J93" s="1726">
        <v>31.47</v>
      </c>
      <c r="K93" s="1727">
        <f t="shared" si="25"/>
        <v>51950.504000000001</v>
      </c>
      <c r="L93" s="1694">
        <v>7000</v>
      </c>
      <c r="M93" s="1694">
        <v>58950.504000000001</v>
      </c>
      <c r="N93" s="1701">
        <f t="shared" si="26"/>
        <v>883158.56799999997</v>
      </c>
      <c r="O93" s="1703">
        <f t="shared" si="30"/>
        <v>119000</v>
      </c>
      <c r="P93" s="1701">
        <f t="shared" si="27"/>
        <v>1002158.568</v>
      </c>
      <c r="Q93" s="1701"/>
      <c r="R93" s="1700">
        <v>31.47</v>
      </c>
      <c r="S93" s="1704">
        <f t="shared" si="31"/>
        <v>1855172.3608800001</v>
      </c>
      <c r="T93" s="1705">
        <f t="shared" si="32"/>
        <v>0.85117647058823542</v>
      </c>
      <c r="U93" s="1707" t="s">
        <v>1622</v>
      </c>
      <c r="V93" s="1707" t="s">
        <v>2025</v>
      </c>
      <c r="W93" s="1708">
        <f t="shared" si="28"/>
        <v>1002158.568</v>
      </c>
      <c r="X93" s="1713">
        <f t="shared" si="29"/>
        <v>0</v>
      </c>
      <c r="Y93" s="1673"/>
      <c r="Z93" s="1673"/>
      <c r="AA93" s="1758"/>
      <c r="AB93" s="1703"/>
      <c r="AC93" s="1719"/>
      <c r="AD93" s="1718"/>
      <c r="AE93" s="1673"/>
      <c r="AF93" s="1673"/>
      <c r="AG93" s="1673"/>
    </row>
    <row r="94" spans="1:34" s="1721" customFormat="1" ht="14.85" customHeight="1" outlineLevel="1">
      <c r="A94" s="1714"/>
      <c r="B94" s="1695" t="s">
        <v>1628</v>
      </c>
      <c r="C94" s="1698" t="s">
        <v>1629</v>
      </c>
      <c r="D94" s="1697" t="s">
        <v>618</v>
      </c>
      <c r="E94" s="1698" t="s">
        <v>1630</v>
      </c>
      <c r="F94" s="1699">
        <v>42053</v>
      </c>
      <c r="G94" s="1726">
        <v>6</v>
      </c>
      <c r="H94" s="1715">
        <v>13</v>
      </c>
      <c r="I94" s="1715">
        <v>15</v>
      </c>
      <c r="J94" s="1726">
        <v>5.75</v>
      </c>
      <c r="K94" s="1727">
        <f t="shared" si="25"/>
        <v>9210.49</v>
      </c>
      <c r="L94" s="1694">
        <v>6667</v>
      </c>
      <c r="M94" s="1694">
        <v>15877.49</v>
      </c>
      <c r="N94" s="1701">
        <f t="shared" si="26"/>
        <v>55262.94</v>
      </c>
      <c r="O94" s="1703">
        <f t="shared" si="30"/>
        <v>40002</v>
      </c>
      <c r="P94" s="1701">
        <f t="shared" si="27"/>
        <v>95264.94</v>
      </c>
      <c r="Q94" s="1701"/>
      <c r="R94" s="1700">
        <v>5.75</v>
      </c>
      <c r="S94" s="1704">
        <f t="shared" si="31"/>
        <v>91295.567500000005</v>
      </c>
      <c r="T94" s="1705">
        <f t="shared" si="32"/>
        <v>-4.166666666666663E-2</v>
      </c>
      <c r="U94" s="1707" t="s">
        <v>1631</v>
      </c>
      <c r="V94" s="1707" t="s">
        <v>1632</v>
      </c>
      <c r="W94" s="1708">
        <f t="shared" si="28"/>
        <v>95264.94</v>
      </c>
      <c r="X94" s="1713">
        <f t="shared" si="29"/>
        <v>0</v>
      </c>
      <c r="Y94" s="1673"/>
      <c r="Z94" s="1673"/>
      <c r="AA94" s="1758"/>
      <c r="AB94" s="1703"/>
      <c r="AC94" s="1719"/>
      <c r="AD94" s="1718"/>
      <c r="AE94" s="1673"/>
      <c r="AF94" s="1673"/>
      <c r="AG94" s="1673"/>
    </row>
    <row r="95" spans="1:34" s="1721" customFormat="1" ht="14.85" customHeight="1" outlineLevel="1">
      <c r="A95" s="1714"/>
      <c r="B95" s="1695" t="s">
        <v>1633</v>
      </c>
      <c r="C95" s="1698" t="s">
        <v>1634</v>
      </c>
      <c r="D95" s="1697" t="s">
        <v>618</v>
      </c>
      <c r="E95" s="1698" t="s">
        <v>1635</v>
      </c>
      <c r="F95" s="1699">
        <v>42048</v>
      </c>
      <c r="G95" s="1726">
        <v>12</v>
      </c>
      <c r="H95" s="1715">
        <v>14</v>
      </c>
      <c r="I95" s="1715">
        <v>16</v>
      </c>
      <c r="J95" s="1726">
        <v>9.75</v>
      </c>
      <c r="K95" s="1727">
        <f t="shared" si="25"/>
        <v>7905.3259999999991</v>
      </c>
      <c r="L95" s="1694">
        <v>5000</v>
      </c>
      <c r="M95" s="1694">
        <v>12905.325999999999</v>
      </c>
      <c r="N95" s="1701">
        <f t="shared" si="26"/>
        <v>94863.911999999982</v>
      </c>
      <c r="O95" s="1703">
        <f t="shared" si="30"/>
        <v>60000</v>
      </c>
      <c r="P95" s="1701">
        <f t="shared" si="27"/>
        <v>154863.91199999998</v>
      </c>
      <c r="Q95" s="1701"/>
      <c r="R95" s="1700">
        <v>9.75</v>
      </c>
      <c r="S95" s="1704">
        <f t="shared" si="31"/>
        <v>125826.92849999999</v>
      </c>
      <c r="T95" s="1705">
        <f t="shared" si="32"/>
        <v>-0.18749999999999989</v>
      </c>
      <c r="U95" s="1707" t="s">
        <v>1636</v>
      </c>
      <c r="V95" s="1707" t="s">
        <v>1637</v>
      </c>
      <c r="W95" s="1708">
        <f t="shared" si="28"/>
        <v>154863.91199999998</v>
      </c>
      <c r="X95" s="1713">
        <f t="shared" si="29"/>
        <v>0</v>
      </c>
      <c r="Y95" s="1673"/>
      <c r="Z95" s="1673"/>
      <c r="AA95" s="1758"/>
      <c r="AB95" s="1703"/>
      <c r="AC95" s="1719"/>
      <c r="AD95" s="1718"/>
      <c r="AE95" s="1673"/>
      <c r="AF95" s="1673"/>
      <c r="AG95" s="1673"/>
    </row>
    <row r="96" spans="1:34" s="1721" customFormat="1" ht="14.85" customHeight="1" outlineLevel="1">
      <c r="A96" s="1714"/>
      <c r="B96" s="1695" t="s">
        <v>1165</v>
      </c>
      <c r="C96" s="1698" t="s">
        <v>1644</v>
      </c>
      <c r="D96" s="1697" t="s">
        <v>618</v>
      </c>
      <c r="E96" s="1698" t="s">
        <v>1645</v>
      </c>
      <c r="F96" s="1699">
        <v>42033</v>
      </c>
      <c r="G96" s="1726">
        <v>10</v>
      </c>
      <c r="H96" s="1715">
        <v>12</v>
      </c>
      <c r="I96" s="1715">
        <v>14</v>
      </c>
      <c r="J96" s="1726">
        <v>13.43</v>
      </c>
      <c r="K96" s="1727">
        <f t="shared" si="25"/>
        <v>8492.8060000000005</v>
      </c>
      <c r="L96" s="1694">
        <v>3600</v>
      </c>
      <c r="M96" s="1694">
        <v>12092.806</v>
      </c>
      <c r="N96" s="1701">
        <f t="shared" si="26"/>
        <v>84928.06</v>
      </c>
      <c r="O96" s="1703">
        <f t="shared" si="30"/>
        <v>36000</v>
      </c>
      <c r="P96" s="1701">
        <f t="shared" si="27"/>
        <v>120928.06</v>
      </c>
      <c r="Q96" s="1701"/>
      <c r="R96" s="1700">
        <v>13.43</v>
      </c>
      <c r="S96" s="1704">
        <f t="shared" si="31"/>
        <v>162406.38458000001</v>
      </c>
      <c r="T96" s="1705">
        <f t="shared" si="32"/>
        <v>0.34300000000000019</v>
      </c>
      <c r="U96" s="1707" t="s">
        <v>1646</v>
      </c>
      <c r="V96" s="1707" t="s">
        <v>1647</v>
      </c>
      <c r="W96" s="1708">
        <f t="shared" si="28"/>
        <v>120928.06</v>
      </c>
      <c r="X96" s="1713">
        <f t="shared" si="29"/>
        <v>0</v>
      </c>
      <c r="AA96" s="1759"/>
      <c r="AB96" s="1722"/>
      <c r="AC96" s="1719"/>
      <c r="AD96" s="1718"/>
    </row>
    <row r="97" spans="1:33" s="1721" customFormat="1" ht="14.85" customHeight="1" outlineLevel="1">
      <c r="A97" s="1714"/>
      <c r="B97" s="1695" t="s">
        <v>1652</v>
      </c>
      <c r="C97" s="1698" t="s">
        <v>1653</v>
      </c>
      <c r="D97" s="1697" t="s">
        <v>618</v>
      </c>
      <c r="E97" s="1698" t="s">
        <v>1654</v>
      </c>
      <c r="F97" s="1699">
        <v>42030</v>
      </c>
      <c r="G97" s="1726">
        <v>11</v>
      </c>
      <c r="H97" s="1715">
        <v>10</v>
      </c>
      <c r="I97" s="1715">
        <v>12</v>
      </c>
      <c r="J97" s="1726">
        <v>11.04</v>
      </c>
      <c r="K97" s="1727">
        <f t="shared" si="25"/>
        <v>7316.1119999999992</v>
      </c>
      <c r="L97" s="1694">
        <v>4500</v>
      </c>
      <c r="M97" s="1694">
        <v>11816.111999999999</v>
      </c>
      <c r="N97" s="1701">
        <f t="shared" si="26"/>
        <v>80477.231999999989</v>
      </c>
      <c r="O97" s="1703">
        <f t="shared" si="30"/>
        <v>49500</v>
      </c>
      <c r="P97" s="1701">
        <f t="shared" si="27"/>
        <v>129977.23199999999</v>
      </c>
      <c r="Q97" s="1701"/>
      <c r="R97" s="1700">
        <v>11.04</v>
      </c>
      <c r="S97" s="1704">
        <f t="shared" si="31"/>
        <v>130449.87647999998</v>
      </c>
      <c r="T97" s="1705">
        <f t="shared" si="32"/>
        <v>3.6363636363634377E-3</v>
      </c>
      <c r="U97" s="1707" t="s">
        <v>1655</v>
      </c>
      <c r="V97" s="1707" t="s">
        <v>1656</v>
      </c>
      <c r="W97" s="1708">
        <f t="shared" si="28"/>
        <v>129977.23199999999</v>
      </c>
      <c r="X97" s="1713">
        <f t="shared" si="29"/>
        <v>0</v>
      </c>
      <c r="Y97" s="1673"/>
      <c r="Z97" s="1673"/>
      <c r="AA97" s="1673"/>
      <c r="AB97" s="1703"/>
      <c r="AC97" s="1719"/>
      <c r="AD97" s="1718"/>
      <c r="AE97" s="1673"/>
      <c r="AF97" s="1673"/>
      <c r="AG97" s="1673"/>
    </row>
    <row r="98" spans="1:33" s="1721" customFormat="1" ht="14.85" customHeight="1" outlineLevel="1">
      <c r="A98" s="1756"/>
      <c r="B98" s="1695" t="s">
        <v>1657</v>
      </c>
      <c r="C98" s="1698" t="s">
        <v>1658</v>
      </c>
      <c r="D98" s="1697" t="s">
        <v>618</v>
      </c>
      <c r="E98" s="1698" t="s">
        <v>1659</v>
      </c>
      <c r="F98" s="1699">
        <v>41991</v>
      </c>
      <c r="G98" s="1726">
        <v>19</v>
      </c>
      <c r="H98" s="1715">
        <v>15</v>
      </c>
      <c r="I98" s="1715">
        <v>17</v>
      </c>
      <c r="J98" s="1726">
        <v>29.13</v>
      </c>
      <c r="K98" s="1727">
        <f t="shared" si="25"/>
        <v>18499.571</v>
      </c>
      <c r="L98" s="1694">
        <v>8452.5</v>
      </c>
      <c r="M98" s="1694">
        <v>26952.071</v>
      </c>
      <c r="N98" s="1701">
        <f t="shared" si="26"/>
        <v>351491.84899999999</v>
      </c>
      <c r="O98" s="1703">
        <f t="shared" si="30"/>
        <v>160597.5</v>
      </c>
      <c r="P98" s="1701">
        <f t="shared" si="27"/>
        <v>512089.34899999999</v>
      </c>
      <c r="Q98" s="1701"/>
      <c r="R98" s="1700">
        <v>29.13</v>
      </c>
      <c r="S98" s="1704">
        <f t="shared" si="31"/>
        <v>785113.82822999998</v>
      </c>
      <c r="T98" s="1705">
        <f t="shared" si="32"/>
        <v>0.53315789473684205</v>
      </c>
      <c r="U98" s="1707" t="s">
        <v>1660</v>
      </c>
      <c r="V98" s="1707" t="s">
        <v>1661</v>
      </c>
      <c r="W98" s="1708">
        <f t="shared" si="28"/>
        <v>512089.34899999999</v>
      </c>
      <c r="X98" s="1713">
        <f t="shared" si="29"/>
        <v>0</v>
      </c>
      <c r="Y98" s="1673"/>
      <c r="Z98" s="1673"/>
      <c r="AA98" s="1673"/>
      <c r="AB98" s="1703"/>
      <c r="AC98" s="1719"/>
      <c r="AD98" s="1718"/>
      <c r="AE98" s="1673"/>
      <c r="AF98" s="1673"/>
      <c r="AG98" s="1673"/>
    </row>
    <row r="99" spans="1:33" s="1721" customFormat="1" ht="14.85" customHeight="1" outlineLevel="1">
      <c r="A99" s="1756"/>
      <c r="B99" s="1695" t="s">
        <v>908</v>
      </c>
      <c r="C99" s="1698" t="s">
        <v>2026</v>
      </c>
      <c r="D99" s="1697" t="s">
        <v>2011</v>
      </c>
      <c r="E99" s="1698" t="s">
        <v>2027</v>
      </c>
      <c r="F99" s="1699">
        <v>41443</v>
      </c>
      <c r="G99" s="1726">
        <v>17</v>
      </c>
      <c r="H99" s="1715">
        <v>14</v>
      </c>
      <c r="I99" s="1715">
        <v>16</v>
      </c>
      <c r="J99" s="1726">
        <v>33.99</v>
      </c>
      <c r="K99" s="1727">
        <v>16869488</v>
      </c>
      <c r="L99" s="1694">
        <v>5000</v>
      </c>
      <c r="M99" s="1694">
        <v>21869.488000000001</v>
      </c>
      <c r="N99" s="1701">
        <v>286781.29599999997</v>
      </c>
      <c r="O99" s="1703">
        <f t="shared" si="30"/>
        <v>85000</v>
      </c>
      <c r="P99" s="1701">
        <f t="shared" si="27"/>
        <v>371781.29599999997</v>
      </c>
      <c r="Q99" s="1701"/>
      <c r="R99" s="1700">
        <v>33.99</v>
      </c>
      <c r="S99" s="1704">
        <f t="shared" si="31"/>
        <v>743343.8971200001</v>
      </c>
      <c r="T99" s="1705">
        <f t="shared" si="32"/>
        <v>0.99941176470588267</v>
      </c>
      <c r="U99" s="1707" t="s">
        <v>2028</v>
      </c>
      <c r="V99" s="1707" t="s">
        <v>2029</v>
      </c>
      <c r="W99" s="1708">
        <f t="shared" si="28"/>
        <v>371781.29599999997</v>
      </c>
      <c r="X99" s="1713">
        <f t="shared" si="29"/>
        <v>0</v>
      </c>
      <c r="Y99" s="1673"/>
      <c r="Z99" s="1673"/>
      <c r="AA99" s="1673"/>
      <c r="AB99" s="1703"/>
      <c r="AC99" s="1719"/>
      <c r="AD99" s="1718"/>
      <c r="AE99" s="1673"/>
      <c r="AF99" s="1673"/>
      <c r="AG99" s="1673"/>
    </row>
    <row r="100" spans="1:33" s="1755" customFormat="1" ht="14.85" customHeight="1" outlineLevel="1">
      <c r="A100" s="1714"/>
      <c r="B100" s="1695"/>
      <c r="C100" s="1698"/>
      <c r="D100" s="1697"/>
      <c r="E100" s="1698"/>
      <c r="F100" s="1699"/>
      <c r="G100" s="1726"/>
      <c r="H100" s="1715"/>
      <c r="I100" s="1715"/>
      <c r="J100" s="1726"/>
      <c r="K100" s="1727"/>
      <c r="L100" s="1703"/>
      <c r="M100" s="1703"/>
      <c r="N100" s="1701"/>
      <c r="O100" s="1703"/>
      <c r="P100" s="1701"/>
      <c r="Q100" s="1701"/>
      <c r="R100" s="1700"/>
      <c r="S100" s="1760"/>
      <c r="T100" s="1761"/>
      <c r="U100" s="1762"/>
      <c r="V100" s="1762"/>
      <c r="W100" s="1703"/>
      <c r="X100" s="1714"/>
      <c r="AB100" s="1703"/>
      <c r="AC100" s="1698"/>
      <c r="AD100" s="1714"/>
    </row>
    <row r="101" spans="1:33" s="1721" customFormat="1" ht="14.85" customHeight="1" outlineLevel="1">
      <c r="A101" s="1714"/>
      <c r="B101" s="1852" t="s">
        <v>111</v>
      </c>
      <c r="C101" s="1853"/>
      <c r="D101" s="1853"/>
      <c r="E101" s="1853"/>
      <c r="F101" s="1853"/>
      <c r="G101" s="1853"/>
      <c r="H101" s="1853"/>
      <c r="I101" s="1853"/>
      <c r="J101" s="1853"/>
      <c r="K101" s="1853"/>
      <c r="L101" s="1853"/>
      <c r="M101" s="1853"/>
      <c r="N101" s="1854">
        <f>MAX(N80:N99)</f>
        <v>1766090.8</v>
      </c>
      <c r="O101" s="1854"/>
      <c r="P101" s="1855">
        <f>MAX(P80:P99)</f>
        <v>1973290.8</v>
      </c>
      <c r="Q101" s="1701"/>
      <c r="R101" s="1856">
        <f>MAX(R81:R97)</f>
        <v>52.72</v>
      </c>
      <c r="S101" s="1704"/>
      <c r="T101" s="1705"/>
      <c r="U101" s="1720"/>
      <c r="V101" s="1707"/>
      <c r="W101" s="1708"/>
      <c r="X101" s="1713"/>
      <c r="AC101" s="1722"/>
      <c r="AD101" s="1719"/>
      <c r="AE101" s="1718"/>
    </row>
    <row r="102" spans="1:33" s="1721" customFormat="1" ht="14.85" customHeight="1" outlineLevel="1">
      <c r="A102" s="1714"/>
      <c r="B102" s="1733" t="s">
        <v>115</v>
      </c>
      <c r="C102" s="1734"/>
      <c r="D102" s="1734"/>
      <c r="E102" s="1734"/>
      <c r="F102" s="1734"/>
      <c r="G102" s="1734"/>
      <c r="H102" s="1734"/>
      <c r="I102" s="1734"/>
      <c r="J102" s="1734"/>
      <c r="K102" s="1734"/>
      <c r="L102" s="1734"/>
      <c r="M102" s="1734"/>
      <c r="N102" s="1649">
        <f>_xlfn.QUARTILE.INC(N80:N99,3)</f>
        <v>442987.85099999997</v>
      </c>
      <c r="O102" s="1649"/>
      <c r="P102" s="1735">
        <f>_xlfn.QUARTILE.INC(P80:P99,3)</f>
        <v>542875.27300000004</v>
      </c>
      <c r="Q102" s="1701"/>
      <c r="R102" s="1736">
        <f>_xlfn.QUARTILE.INC(R81:R97,3)</f>
        <v>19.510000000000002</v>
      </c>
      <c r="S102" s="1704"/>
      <c r="T102" s="1705"/>
      <c r="U102" s="1720"/>
      <c r="V102" s="1707"/>
      <c r="W102" s="1708"/>
      <c r="X102" s="1713"/>
      <c r="AC102" s="1722"/>
      <c r="AD102" s="1719"/>
      <c r="AE102" s="1718"/>
    </row>
    <row r="103" spans="1:33" s="1721" customFormat="1" ht="14.85" customHeight="1" outlineLevel="1">
      <c r="A103" s="1714"/>
      <c r="B103" s="1733" t="s">
        <v>43</v>
      </c>
      <c r="C103" s="1734"/>
      <c r="D103" s="1734"/>
      <c r="E103" s="1734"/>
      <c r="F103" s="1734"/>
      <c r="G103" s="1734"/>
      <c r="H103" s="1734"/>
      <c r="I103" s="1734"/>
      <c r="J103" s="1734"/>
      <c r="K103" s="1734"/>
      <c r="L103" s="1734"/>
      <c r="M103" s="1734"/>
      <c r="N103" s="1649">
        <f>AVERAGE(N80:N99)</f>
        <v>326924.67622499994</v>
      </c>
      <c r="O103" s="1649"/>
      <c r="P103" s="1735">
        <f>AVERAGE(P80:P99)</f>
        <v>407989.98372499994</v>
      </c>
      <c r="Q103" s="1701"/>
      <c r="R103" s="1736">
        <f>AVERAGE(R81:R97)</f>
        <v>17.134699999999999</v>
      </c>
      <c r="S103" s="1704"/>
      <c r="T103" s="1705"/>
      <c r="U103" s="1720"/>
      <c r="V103" s="1707"/>
      <c r="W103" s="1708"/>
      <c r="X103" s="1713"/>
      <c r="AC103" s="1722"/>
      <c r="AD103" s="1719"/>
      <c r="AE103" s="1718"/>
    </row>
    <row r="104" spans="1:33" s="1721" customFormat="1" ht="14.85" customHeight="1" outlineLevel="1">
      <c r="A104" s="1714"/>
      <c r="B104" s="1733" t="s">
        <v>44</v>
      </c>
      <c r="C104" s="1734"/>
      <c r="D104" s="1734"/>
      <c r="E104" s="1734"/>
      <c r="F104" s="1734"/>
      <c r="G104" s="1734"/>
      <c r="H104" s="1734"/>
      <c r="I104" s="1734"/>
      <c r="J104" s="1734"/>
      <c r="K104" s="1734"/>
      <c r="L104" s="1734"/>
      <c r="M104" s="1734"/>
      <c r="N104" s="1649">
        <f>MEDIAN(N80:N99)</f>
        <v>190238.1415</v>
      </c>
      <c r="O104" s="1649"/>
      <c r="P104" s="1735">
        <f>MEDIAN(P80:P99)</f>
        <v>257971.47199999998</v>
      </c>
      <c r="Q104" s="1701"/>
      <c r="R104" s="1736">
        <f>MEDIAN(R81:R97)</f>
        <v>13.23</v>
      </c>
      <c r="S104" s="1704"/>
      <c r="T104" s="1705"/>
      <c r="U104" s="1720"/>
      <c r="V104" s="1707"/>
      <c r="W104" s="1708"/>
      <c r="X104" s="1713"/>
      <c r="AC104" s="1722"/>
      <c r="AD104" s="1719"/>
      <c r="AE104" s="1718"/>
    </row>
    <row r="105" spans="1:33" s="1721" customFormat="1" ht="14.85" customHeight="1" outlineLevel="1">
      <c r="A105" s="1714"/>
      <c r="B105" s="1733" t="s">
        <v>114</v>
      </c>
      <c r="C105" s="1734"/>
      <c r="D105" s="1734"/>
      <c r="E105" s="1734"/>
      <c r="F105" s="1734"/>
      <c r="G105" s="1734"/>
      <c r="H105" s="1734"/>
      <c r="I105" s="1734"/>
      <c r="J105" s="1734"/>
      <c r="K105" s="1734"/>
      <c r="L105" s="1734"/>
      <c r="M105" s="1734"/>
      <c r="N105" s="1649">
        <f>_xlfn.QUARTILE.INC(N80:N99,1)</f>
        <v>78871.196999999986</v>
      </c>
      <c r="O105" s="1649"/>
      <c r="P105" s="1735">
        <f>_xlfn.QUARTILE.INC(P80:P99,1)</f>
        <v>114512.28</v>
      </c>
      <c r="Q105" s="1701"/>
      <c r="R105" s="1736">
        <f>_xlfn.QUARTILE.INC(R81:R97,1)</f>
        <v>10.06</v>
      </c>
      <c r="S105" s="1704"/>
      <c r="T105" s="1705"/>
      <c r="U105" s="1720"/>
      <c r="V105" s="1707"/>
      <c r="W105" s="1708"/>
      <c r="X105" s="1713"/>
      <c r="AC105" s="1722"/>
      <c r="AD105" s="1719"/>
      <c r="AE105" s="1718"/>
    </row>
    <row r="106" spans="1:33" s="1721" customFormat="1" ht="14.85" customHeight="1" outlineLevel="1">
      <c r="A106" s="1714"/>
      <c r="B106" s="1737" t="s">
        <v>112</v>
      </c>
      <c r="C106" s="1738"/>
      <c r="D106" s="1738"/>
      <c r="E106" s="1738"/>
      <c r="F106" s="1738"/>
      <c r="G106" s="1738"/>
      <c r="H106" s="1738"/>
      <c r="I106" s="1738"/>
      <c r="J106" s="1738"/>
      <c r="K106" s="1738"/>
      <c r="L106" s="1738"/>
      <c r="M106" s="1738"/>
      <c r="N106" s="1651">
        <f>MIN(N80:N99)</f>
        <v>18940.300000000003</v>
      </c>
      <c r="O106" s="1651"/>
      <c r="P106" s="1739">
        <f>MIN(P80:P99)</f>
        <v>38940.300000000003</v>
      </c>
      <c r="Q106" s="1701"/>
      <c r="R106" s="1740">
        <f>MIN(R81:R97)</f>
        <v>3.13</v>
      </c>
      <c r="S106" s="1704"/>
      <c r="T106" s="1705"/>
      <c r="U106" s="1720"/>
      <c r="V106" s="1707"/>
      <c r="W106" s="1708"/>
      <c r="X106" s="1713"/>
      <c r="AC106" s="1722"/>
      <c r="AD106" s="1719"/>
      <c r="AE106" s="1718"/>
    </row>
    <row r="107" spans="1:33" s="1721" customFormat="1" ht="14.85" customHeight="1" outlineLevel="1">
      <c r="A107" s="1714"/>
      <c r="B107" s="1695"/>
      <c r="C107" s="1698"/>
      <c r="D107" s="1697"/>
      <c r="E107" s="1698"/>
      <c r="F107" s="1699"/>
      <c r="G107" s="1726"/>
      <c r="H107" s="1715"/>
      <c r="I107" s="1715"/>
      <c r="J107" s="1726"/>
      <c r="K107" s="1727"/>
      <c r="L107" s="1703"/>
      <c r="M107" s="1703"/>
      <c r="N107" s="1701"/>
      <c r="O107" s="1703"/>
      <c r="P107" s="1701"/>
      <c r="Q107" s="1701"/>
      <c r="R107" s="1700"/>
      <c r="S107" s="1704"/>
      <c r="T107" s="1705"/>
      <c r="U107" s="1720"/>
      <c r="V107" s="1707"/>
      <c r="W107" s="1708"/>
      <c r="X107" s="1713"/>
      <c r="AC107" s="1722"/>
      <c r="AD107" s="1719"/>
      <c r="AE107" s="1718"/>
    </row>
    <row r="108" spans="1:33" s="1721" customFormat="1" ht="14.85" customHeight="1" outlineLevel="1">
      <c r="A108" s="1714"/>
      <c r="B108" s="1741" t="s">
        <v>2030</v>
      </c>
      <c r="C108" s="1698"/>
      <c r="D108" s="1697"/>
      <c r="E108" s="1698"/>
      <c r="F108" s="1699"/>
      <c r="G108" s="1726"/>
      <c r="H108" s="1715"/>
      <c r="I108" s="1715"/>
      <c r="J108" s="1726"/>
      <c r="K108" s="1727"/>
      <c r="L108" s="1703"/>
      <c r="M108" s="1703"/>
      <c r="N108" s="1701"/>
      <c r="O108" s="1703"/>
      <c r="P108" s="1701"/>
      <c r="Q108" s="1701"/>
      <c r="R108" s="1700"/>
      <c r="S108" s="1704"/>
      <c r="T108" s="1705"/>
      <c r="U108" s="1707"/>
      <c r="V108" s="1707"/>
      <c r="W108" s="1713"/>
      <c r="X108" s="1688"/>
      <c r="Y108" s="1673"/>
      <c r="Z108" s="1673"/>
      <c r="AA108" s="1673"/>
      <c r="AB108" s="1703"/>
      <c r="AC108" s="1719"/>
      <c r="AD108" s="1718"/>
      <c r="AE108" s="1673"/>
      <c r="AF108" s="1673"/>
      <c r="AG108" s="1673"/>
    </row>
    <row r="109" spans="1:33" s="1688" customFormat="1" ht="14.85" customHeight="1" outlineLevel="1">
      <c r="A109" s="1714"/>
      <c r="B109" s="1695" t="s">
        <v>2031</v>
      </c>
      <c r="C109" s="1696" t="s">
        <v>2032</v>
      </c>
      <c r="D109" s="1697" t="s">
        <v>642</v>
      </c>
      <c r="E109" s="1698" t="s">
        <v>2033</v>
      </c>
      <c r="F109" s="1699">
        <v>42802</v>
      </c>
      <c r="G109" s="1846">
        <v>20</v>
      </c>
      <c r="H109" s="1700">
        <v>20</v>
      </c>
      <c r="I109" s="1700">
        <v>22</v>
      </c>
      <c r="J109" s="1700" t="s">
        <v>13</v>
      </c>
      <c r="K109" s="1727">
        <f t="shared" ref="K109:K120" si="33">+M109-L109</f>
        <v>21381.206999999999</v>
      </c>
      <c r="L109" s="1694">
        <v>174.286</v>
      </c>
      <c r="M109" s="1694">
        <v>21555.492999999999</v>
      </c>
      <c r="N109" s="1701">
        <f t="shared" ref="N109:N120" si="34">+G109*K109</f>
        <v>427624.13999999996</v>
      </c>
      <c r="O109" s="1703">
        <f t="shared" ref="O109:O120" si="35">+G109*L109</f>
        <v>3485.7200000000003</v>
      </c>
      <c r="P109" s="1701">
        <f t="shared" ref="P109:P120" si="36">+N109+O109</f>
        <v>431109.85999999993</v>
      </c>
      <c r="Q109" s="1701"/>
      <c r="R109" s="1700" t="s">
        <v>13</v>
      </c>
      <c r="S109" s="1704" t="s">
        <v>13</v>
      </c>
      <c r="T109" s="1705" t="str">
        <f>IFERROR(S109/P109-1,"n/a")</f>
        <v>n/a</v>
      </c>
      <c r="U109" s="1706" t="s">
        <v>2034</v>
      </c>
      <c r="V109" s="1707" t="s">
        <v>2035</v>
      </c>
      <c r="W109" s="1708">
        <f>+N109+O109</f>
        <v>431109.85999999993</v>
      </c>
      <c r="X109" s="1713"/>
      <c r="Z109" s="1763" t="s">
        <v>2036</v>
      </c>
    </row>
    <row r="110" spans="1:33" s="1688" customFormat="1" ht="14.85" customHeight="1" outlineLevel="1">
      <c r="A110" s="1714"/>
      <c r="B110" s="1695" t="s">
        <v>1412</v>
      </c>
      <c r="C110" s="1696" t="s">
        <v>1413</v>
      </c>
      <c r="D110" s="1697" t="s">
        <v>642</v>
      </c>
      <c r="E110" s="1698" t="s">
        <v>1414</v>
      </c>
      <c r="F110" s="1699">
        <v>42633</v>
      </c>
      <c r="G110" s="1846">
        <v>11</v>
      </c>
      <c r="H110" s="1700">
        <v>11</v>
      </c>
      <c r="I110" s="1700">
        <v>13</v>
      </c>
      <c r="J110" s="1846">
        <v>20.59</v>
      </c>
      <c r="K110" s="1727">
        <f t="shared" si="33"/>
        <v>11223.659</v>
      </c>
      <c r="L110" s="1694">
        <v>4100</v>
      </c>
      <c r="M110" s="1694">
        <v>15323.659</v>
      </c>
      <c r="N110" s="1701">
        <f t="shared" si="34"/>
        <v>123460.249</v>
      </c>
      <c r="O110" s="1703">
        <f t="shared" si="35"/>
        <v>45100</v>
      </c>
      <c r="P110" s="1701">
        <f t="shared" si="36"/>
        <v>168560.24900000001</v>
      </c>
      <c r="Q110" s="1701"/>
      <c r="R110" s="1700">
        <v>20.59</v>
      </c>
      <c r="S110" s="1704">
        <f>R110*M110</f>
        <v>315514.13880999997</v>
      </c>
      <c r="T110" s="1705">
        <f>S110/P110-1</f>
        <v>0.8718181818181816</v>
      </c>
      <c r="U110" s="1706" t="s">
        <v>1415</v>
      </c>
      <c r="V110" s="1707" t="s">
        <v>1416</v>
      </c>
      <c r="W110" s="1708">
        <f>+N110+O110</f>
        <v>168560.24900000001</v>
      </c>
      <c r="X110" s="1713">
        <f>+P110-W110</f>
        <v>0</v>
      </c>
    </row>
    <row r="111" spans="1:33" s="1714" customFormat="1" ht="14.85" customHeight="1" outlineLevel="1">
      <c r="B111" s="1695" t="s">
        <v>2037</v>
      </c>
      <c r="C111" s="1698" t="s">
        <v>2038</v>
      </c>
      <c r="D111" s="1697" t="s">
        <v>642</v>
      </c>
      <c r="E111" s="1698" t="s">
        <v>2039</v>
      </c>
      <c r="F111" s="1699">
        <v>42522</v>
      </c>
      <c r="G111" s="1846">
        <v>7</v>
      </c>
      <c r="H111" s="1700">
        <v>14</v>
      </c>
      <c r="I111" s="1700">
        <v>16</v>
      </c>
      <c r="J111" s="1846">
        <v>6.78</v>
      </c>
      <c r="K111" s="1727">
        <f t="shared" si="33"/>
        <v>12251.079</v>
      </c>
      <c r="L111" s="1694">
        <f>4000000/1000</f>
        <v>4000</v>
      </c>
      <c r="M111" s="1694">
        <f>16251079/1000</f>
        <v>16251.079</v>
      </c>
      <c r="N111" s="1701">
        <f t="shared" si="34"/>
        <v>85757.553</v>
      </c>
      <c r="O111" s="1703">
        <f t="shared" si="35"/>
        <v>28000</v>
      </c>
      <c r="P111" s="1701">
        <f t="shared" si="36"/>
        <v>113757.553</v>
      </c>
      <c r="Q111" s="1701"/>
      <c r="R111" s="1700">
        <v>6.78</v>
      </c>
      <c r="S111" s="1760">
        <v>110182315.62</v>
      </c>
      <c r="T111" s="1761">
        <v>-3.1428571428571361E-2</v>
      </c>
      <c r="U111" s="1764" t="s">
        <v>2039</v>
      </c>
      <c r="V111" s="1762" t="s">
        <v>2040</v>
      </c>
      <c r="W111" s="1765">
        <f>+N111+O111</f>
        <v>113757.553</v>
      </c>
      <c r="X111" s="1703"/>
    </row>
    <row r="112" spans="1:33" s="1688" customFormat="1" ht="14.85" customHeight="1" outlineLevel="1">
      <c r="A112" s="1714"/>
      <c r="B112" s="1695" t="s">
        <v>1444</v>
      </c>
      <c r="C112" s="1696" t="s">
        <v>1445</v>
      </c>
      <c r="D112" s="1697" t="s">
        <v>642</v>
      </c>
      <c r="E112" s="1698" t="s">
        <v>1446</v>
      </c>
      <c r="F112" s="1699">
        <v>42515</v>
      </c>
      <c r="G112" s="1726">
        <v>11</v>
      </c>
      <c r="H112" s="1715">
        <v>14</v>
      </c>
      <c r="I112" s="1715">
        <v>16</v>
      </c>
      <c r="J112" s="1726">
        <v>20.14</v>
      </c>
      <c r="K112" s="1727">
        <f t="shared" si="33"/>
        <v>15998.106</v>
      </c>
      <c r="L112" s="1694">
        <v>5500</v>
      </c>
      <c r="M112" s="1694">
        <v>21498.106</v>
      </c>
      <c r="N112" s="1701">
        <f t="shared" si="34"/>
        <v>175979.166</v>
      </c>
      <c r="O112" s="1703">
        <f t="shared" si="35"/>
        <v>60500</v>
      </c>
      <c r="P112" s="1701">
        <f t="shared" si="36"/>
        <v>236479.166</v>
      </c>
      <c r="Q112" s="1701"/>
      <c r="R112" s="1700">
        <v>20.14</v>
      </c>
      <c r="S112" s="1704">
        <f t="shared" ref="S112:S120" si="37">R112*M112</f>
        <v>432971.85483999999</v>
      </c>
      <c r="T112" s="1705">
        <f t="shared" ref="T112:T120" si="38">S112/P112-1</f>
        <v>0.83090909090909082</v>
      </c>
      <c r="U112" s="1716" t="s">
        <v>1447</v>
      </c>
      <c r="V112" s="1707" t="s">
        <v>1448</v>
      </c>
      <c r="W112" s="1708">
        <f t="shared" ref="W112:W120" si="39">+N112+O112</f>
        <v>236479.166</v>
      </c>
      <c r="X112" s="1713">
        <f t="shared" ref="X112:X120" si="40">+P112-W112</f>
        <v>0</v>
      </c>
      <c r="Y112" s="1718"/>
    </row>
    <row r="113" spans="1:34" s="1673" customFormat="1" ht="14.85" customHeight="1" outlineLevel="1">
      <c r="A113" s="1714"/>
      <c r="B113" s="1695" t="s">
        <v>1490</v>
      </c>
      <c r="C113" s="1698" t="s">
        <v>1491</v>
      </c>
      <c r="D113" s="1697" t="s">
        <v>642</v>
      </c>
      <c r="E113" s="1698" t="s">
        <v>1492</v>
      </c>
      <c r="F113" s="1699">
        <v>42327</v>
      </c>
      <c r="G113" s="1726">
        <v>9</v>
      </c>
      <c r="H113" s="1715">
        <v>11</v>
      </c>
      <c r="I113" s="1715">
        <v>13</v>
      </c>
      <c r="J113" s="1726">
        <v>9.11</v>
      </c>
      <c r="K113" s="1727">
        <f t="shared" si="33"/>
        <v>13470.476999999999</v>
      </c>
      <c r="L113" s="1694">
        <v>5666.6670000000004</v>
      </c>
      <c r="M113" s="1694">
        <v>19137.144</v>
      </c>
      <c r="N113" s="1701">
        <f t="shared" si="34"/>
        <v>121234.29299999999</v>
      </c>
      <c r="O113" s="1703">
        <f t="shared" si="35"/>
        <v>51000.003000000004</v>
      </c>
      <c r="P113" s="1701">
        <f t="shared" si="36"/>
        <v>172234.296</v>
      </c>
      <c r="Q113" s="1701"/>
      <c r="R113" s="1700">
        <v>9.11</v>
      </c>
      <c r="S113" s="1704">
        <f t="shared" si="37"/>
        <v>174339.38183999999</v>
      </c>
      <c r="T113" s="1705">
        <f t="shared" si="38"/>
        <v>1.2222222222222134E-2</v>
      </c>
      <c r="U113" s="1720" t="s">
        <v>1493</v>
      </c>
      <c r="V113" s="1707" t="s">
        <v>1494</v>
      </c>
      <c r="W113" s="1708">
        <f t="shared" si="39"/>
        <v>172234.296</v>
      </c>
      <c r="X113" s="1713">
        <f t="shared" si="40"/>
        <v>0</v>
      </c>
      <c r="Y113" s="1721"/>
      <c r="Z113" s="1721"/>
      <c r="AA113" s="1721"/>
      <c r="AB113" s="1721"/>
      <c r="AC113" s="1722"/>
      <c r="AD113" s="1719"/>
      <c r="AE113" s="1718"/>
      <c r="AF113" s="1721"/>
      <c r="AG113" s="1721"/>
      <c r="AH113" s="1721"/>
    </row>
    <row r="114" spans="1:34" s="1673" customFormat="1" ht="14.85" customHeight="1" outlineLevel="1">
      <c r="A114" s="1714"/>
      <c r="B114" s="1695" t="s">
        <v>1551</v>
      </c>
      <c r="C114" s="1698" t="s">
        <v>1552</v>
      </c>
      <c r="D114" s="1697" t="s">
        <v>642</v>
      </c>
      <c r="E114" s="1698" t="s">
        <v>1553</v>
      </c>
      <c r="F114" s="1699">
        <v>42208</v>
      </c>
      <c r="G114" s="1726">
        <v>15</v>
      </c>
      <c r="H114" s="1715">
        <v>14</v>
      </c>
      <c r="I114" s="1715">
        <v>16</v>
      </c>
      <c r="J114" s="1726">
        <v>24.9</v>
      </c>
      <c r="K114" s="1727">
        <f t="shared" si="33"/>
        <v>9688.7160000000003</v>
      </c>
      <c r="L114" s="1694">
        <v>4800</v>
      </c>
      <c r="M114" s="1694">
        <v>14488.716</v>
      </c>
      <c r="N114" s="1701">
        <f t="shared" si="34"/>
        <v>145330.74</v>
      </c>
      <c r="O114" s="1703">
        <f t="shared" si="35"/>
        <v>72000</v>
      </c>
      <c r="P114" s="1701">
        <f t="shared" si="36"/>
        <v>217330.74</v>
      </c>
      <c r="Q114" s="1701"/>
      <c r="R114" s="1700">
        <v>24.9</v>
      </c>
      <c r="S114" s="1704">
        <f t="shared" si="37"/>
        <v>360769.02840000001</v>
      </c>
      <c r="T114" s="1705">
        <f t="shared" si="38"/>
        <v>0.66000000000000014</v>
      </c>
      <c r="U114" s="1706" t="s">
        <v>1554</v>
      </c>
      <c r="V114" s="1707" t="s">
        <v>1555</v>
      </c>
      <c r="W114" s="1708">
        <f t="shared" si="39"/>
        <v>217330.74</v>
      </c>
      <c r="X114" s="1713">
        <f t="shared" si="40"/>
        <v>0</v>
      </c>
      <c r="Y114" s="1688"/>
      <c r="AC114" s="1703"/>
      <c r="AD114" s="1719"/>
      <c r="AE114" s="1718"/>
    </row>
    <row r="115" spans="1:34" s="1721" customFormat="1" ht="14.85" customHeight="1" outlineLevel="1">
      <c r="A115" s="1714"/>
      <c r="B115" s="1695" t="s">
        <v>1591</v>
      </c>
      <c r="C115" s="1698" t="s">
        <v>1592</v>
      </c>
      <c r="D115" s="1697" t="s">
        <v>642</v>
      </c>
      <c r="E115" s="1698" t="s">
        <v>1593</v>
      </c>
      <c r="F115" s="1699">
        <v>42129</v>
      </c>
      <c r="G115" s="1726">
        <v>10</v>
      </c>
      <c r="H115" s="1715">
        <v>13</v>
      </c>
      <c r="I115" s="1715">
        <v>15</v>
      </c>
      <c r="J115" s="1726">
        <v>8.4499999999999993</v>
      </c>
      <c r="K115" s="1727">
        <f t="shared" si="33"/>
        <v>9638.9889999999996</v>
      </c>
      <c r="L115" s="1694">
        <v>5500</v>
      </c>
      <c r="M115" s="1694">
        <v>15138.989</v>
      </c>
      <c r="N115" s="1701">
        <f t="shared" si="34"/>
        <v>96389.89</v>
      </c>
      <c r="O115" s="1703">
        <f t="shared" si="35"/>
        <v>55000</v>
      </c>
      <c r="P115" s="1701">
        <f t="shared" si="36"/>
        <v>151389.89000000001</v>
      </c>
      <c r="Q115" s="1701"/>
      <c r="R115" s="1700">
        <v>8.4499999999999993</v>
      </c>
      <c r="S115" s="1704">
        <f t="shared" si="37"/>
        <v>127924.45704999998</v>
      </c>
      <c r="T115" s="1705">
        <f t="shared" si="38"/>
        <v>-0.15500000000000014</v>
      </c>
      <c r="U115" s="1720" t="s">
        <v>1594</v>
      </c>
      <c r="V115" s="1707" t="s">
        <v>1595</v>
      </c>
      <c r="W115" s="1708">
        <f t="shared" si="39"/>
        <v>151389.89000000001</v>
      </c>
      <c r="X115" s="1713">
        <f t="shared" si="40"/>
        <v>0</v>
      </c>
      <c r="AC115" s="1766"/>
      <c r="AD115" s="1719"/>
      <c r="AE115" s="1718"/>
    </row>
    <row r="116" spans="1:34" s="1721" customFormat="1" ht="14.85" customHeight="1" outlineLevel="1">
      <c r="A116" s="1714"/>
      <c r="B116" s="1695" t="s">
        <v>1623</v>
      </c>
      <c r="C116" s="1698" t="s">
        <v>1624</v>
      </c>
      <c r="D116" s="1697" t="s">
        <v>642</v>
      </c>
      <c r="E116" s="1698" t="s">
        <v>1625</v>
      </c>
      <c r="F116" s="1699">
        <v>42108</v>
      </c>
      <c r="G116" s="1726">
        <v>19</v>
      </c>
      <c r="H116" s="1715">
        <v>18</v>
      </c>
      <c r="I116" s="1715">
        <v>20</v>
      </c>
      <c r="J116" s="1726">
        <v>19.93</v>
      </c>
      <c r="K116" s="1727">
        <f t="shared" si="33"/>
        <v>27716.631000000001</v>
      </c>
      <c r="L116" s="1694">
        <v>4000</v>
      </c>
      <c r="M116" s="1694">
        <v>31716.631000000001</v>
      </c>
      <c r="N116" s="1701">
        <f t="shared" si="34"/>
        <v>526615.98900000006</v>
      </c>
      <c r="O116" s="1703">
        <f t="shared" si="35"/>
        <v>76000</v>
      </c>
      <c r="P116" s="1701">
        <f t="shared" si="36"/>
        <v>602615.98900000006</v>
      </c>
      <c r="Q116" s="1701"/>
      <c r="R116" s="1700">
        <v>19.93</v>
      </c>
      <c r="S116" s="1704">
        <f t="shared" si="37"/>
        <v>632112.45582999999</v>
      </c>
      <c r="T116" s="1705">
        <f t="shared" si="38"/>
        <v>4.8947368421052406E-2</v>
      </c>
      <c r="U116" s="1707" t="s">
        <v>1626</v>
      </c>
      <c r="V116" s="1707" t="s">
        <v>1627</v>
      </c>
      <c r="W116" s="1708">
        <f t="shared" si="39"/>
        <v>602615.98900000006</v>
      </c>
      <c r="X116" s="1713">
        <f t="shared" si="40"/>
        <v>0</v>
      </c>
      <c r="Y116" s="1673"/>
      <c r="Z116" s="1673"/>
      <c r="AA116" s="1758"/>
      <c r="AB116" s="1703"/>
      <c r="AC116" s="1719"/>
      <c r="AD116" s="1718"/>
      <c r="AE116" s="1673"/>
      <c r="AF116" s="1673"/>
      <c r="AG116" s="1673"/>
    </row>
    <row r="117" spans="1:34" s="1721" customFormat="1" ht="14.85" customHeight="1" outlineLevel="1">
      <c r="A117" s="1714"/>
      <c r="B117" s="1695" t="s">
        <v>1638</v>
      </c>
      <c r="C117" s="1698" t="s">
        <v>1639</v>
      </c>
      <c r="D117" s="1697" t="s">
        <v>642</v>
      </c>
      <c r="E117" s="1698" t="s">
        <v>1640</v>
      </c>
      <c r="F117" s="1699">
        <v>42047</v>
      </c>
      <c r="G117" s="1726">
        <v>6</v>
      </c>
      <c r="H117" s="1715">
        <v>12</v>
      </c>
      <c r="I117" s="1715">
        <v>14</v>
      </c>
      <c r="J117" s="1726">
        <v>3.1</v>
      </c>
      <c r="K117" s="1727">
        <f t="shared" si="33"/>
        <v>5645.3540000000003</v>
      </c>
      <c r="L117" s="1694">
        <v>683.25</v>
      </c>
      <c r="M117" s="1694">
        <v>6328.6040000000003</v>
      </c>
      <c r="N117" s="1701">
        <f t="shared" si="34"/>
        <v>33872.124000000003</v>
      </c>
      <c r="O117" s="1703">
        <f t="shared" si="35"/>
        <v>4099.5</v>
      </c>
      <c r="P117" s="1701">
        <f t="shared" si="36"/>
        <v>37971.624000000003</v>
      </c>
      <c r="Q117" s="1701"/>
      <c r="R117" s="1700">
        <v>3.1</v>
      </c>
      <c r="S117" s="1704">
        <f t="shared" si="37"/>
        <v>19618.672400000003</v>
      </c>
      <c r="T117" s="1705">
        <f t="shared" si="38"/>
        <v>-0.48333333333333328</v>
      </c>
      <c r="U117" s="1707" t="s">
        <v>1641</v>
      </c>
      <c r="V117" s="1707" t="s">
        <v>1642</v>
      </c>
      <c r="W117" s="1708">
        <f t="shared" si="39"/>
        <v>37971.624000000003</v>
      </c>
      <c r="X117" s="1713">
        <f t="shared" si="40"/>
        <v>0</v>
      </c>
      <c r="AB117" s="1722"/>
      <c r="AC117" s="1719"/>
      <c r="AD117" s="1718"/>
    </row>
    <row r="118" spans="1:34" s="1721" customFormat="1" ht="14.85" customHeight="1" outlineLevel="1">
      <c r="A118" s="1714"/>
      <c r="B118" s="1695" t="s">
        <v>1023</v>
      </c>
      <c r="C118" s="1698" t="s">
        <v>1021</v>
      </c>
      <c r="D118" s="1697" t="s">
        <v>642</v>
      </c>
      <c r="E118" s="1698" t="s">
        <v>1643</v>
      </c>
      <c r="F118" s="1699">
        <v>42033</v>
      </c>
      <c r="G118" s="1726">
        <v>23</v>
      </c>
      <c r="H118" s="1715">
        <v>15</v>
      </c>
      <c r="I118" s="1715">
        <v>17</v>
      </c>
      <c r="J118" s="1726">
        <v>57.59</v>
      </c>
      <c r="K118" s="1727">
        <f t="shared" si="33"/>
        <v>16490.366999999998</v>
      </c>
      <c r="L118" s="1694">
        <v>7000</v>
      </c>
      <c r="M118" s="1694">
        <v>23490.366999999998</v>
      </c>
      <c r="N118" s="1701">
        <f t="shared" si="34"/>
        <v>379278.44099999999</v>
      </c>
      <c r="O118" s="1703">
        <f t="shared" si="35"/>
        <v>161000</v>
      </c>
      <c r="P118" s="1701">
        <f t="shared" si="36"/>
        <v>540278.44099999999</v>
      </c>
      <c r="Q118" s="1701"/>
      <c r="R118" s="1700">
        <v>57.59</v>
      </c>
      <c r="S118" s="1704">
        <f t="shared" si="37"/>
        <v>1352810.2355299999</v>
      </c>
      <c r="T118" s="1705">
        <f t="shared" si="38"/>
        <v>1.5039130434782608</v>
      </c>
      <c r="U118" s="1707" t="s">
        <v>1022</v>
      </c>
      <c r="V118" s="1707" t="s">
        <v>1024</v>
      </c>
      <c r="W118" s="1708">
        <f t="shared" si="39"/>
        <v>540278.44099999999</v>
      </c>
      <c r="X118" s="1713">
        <f t="shared" si="40"/>
        <v>0</v>
      </c>
      <c r="Y118" s="1673"/>
      <c r="Z118" s="1673"/>
      <c r="AA118" s="1673"/>
      <c r="AB118" s="1703"/>
      <c r="AC118" s="1719"/>
      <c r="AD118" s="1718"/>
      <c r="AE118" s="1673"/>
      <c r="AF118" s="1673"/>
      <c r="AG118" s="1673"/>
    </row>
    <row r="119" spans="1:34" s="1673" customFormat="1" ht="14.85" customHeight="1" outlineLevel="1">
      <c r="A119" s="1714"/>
      <c r="B119" s="1695" t="s">
        <v>1556</v>
      </c>
      <c r="C119" s="1698" t="s">
        <v>1557</v>
      </c>
      <c r="D119" s="1697" t="s">
        <v>2041</v>
      </c>
      <c r="E119" s="1698" t="s">
        <v>1558</v>
      </c>
      <c r="F119" s="1699">
        <v>42200</v>
      </c>
      <c r="G119" s="1726">
        <v>16</v>
      </c>
      <c r="H119" s="1715">
        <v>13</v>
      </c>
      <c r="I119" s="1715">
        <v>15</v>
      </c>
      <c r="J119" s="1726">
        <v>28.27</v>
      </c>
      <c r="K119" s="1727">
        <f t="shared" si="33"/>
        <v>16609.642</v>
      </c>
      <c r="L119" s="1694">
        <v>6365</v>
      </c>
      <c r="M119" s="1694">
        <v>22974.642</v>
      </c>
      <c r="N119" s="1701">
        <f t="shared" si="34"/>
        <v>265754.272</v>
      </c>
      <c r="O119" s="1703">
        <f t="shared" si="35"/>
        <v>101840</v>
      </c>
      <c r="P119" s="1701">
        <f t="shared" si="36"/>
        <v>367594.272</v>
      </c>
      <c r="Q119" s="1701"/>
      <c r="R119" s="1700">
        <v>28.27</v>
      </c>
      <c r="S119" s="1704">
        <f t="shared" si="37"/>
        <v>649493.12933999998</v>
      </c>
      <c r="T119" s="1705">
        <f t="shared" si="38"/>
        <v>0.76687499999999997</v>
      </c>
      <c r="U119" s="1720" t="s">
        <v>1559</v>
      </c>
      <c r="V119" s="1707" t="s">
        <v>1560</v>
      </c>
      <c r="W119" s="1708">
        <f t="shared" si="39"/>
        <v>367594.272</v>
      </c>
      <c r="X119" s="1713">
        <f t="shared" si="40"/>
        <v>0</v>
      </c>
      <c r="Y119" s="1723"/>
      <c r="Z119" s="1722"/>
      <c r="AA119" s="1723"/>
      <c r="AB119" s="1724"/>
      <c r="AC119" s="1722"/>
      <c r="AD119" s="1719"/>
      <c r="AE119" s="1718"/>
      <c r="AF119" s="1720"/>
      <c r="AG119" s="1725"/>
      <c r="AH119" s="1725"/>
    </row>
    <row r="120" spans="1:34" s="1721" customFormat="1" ht="14.85" customHeight="1" outlineLevel="1">
      <c r="A120" s="1714"/>
      <c r="B120" s="1695" t="s">
        <v>1586</v>
      </c>
      <c r="C120" s="1698" t="s">
        <v>1587</v>
      </c>
      <c r="D120" s="1697" t="s">
        <v>2041</v>
      </c>
      <c r="E120" s="1698" t="s">
        <v>1588</v>
      </c>
      <c r="F120" s="1699">
        <v>42130</v>
      </c>
      <c r="G120" s="1726">
        <v>12</v>
      </c>
      <c r="H120" s="1715">
        <v>12</v>
      </c>
      <c r="I120" s="1715">
        <v>14</v>
      </c>
      <c r="J120" s="1726">
        <v>19.079999999999998</v>
      </c>
      <c r="K120" s="1727">
        <f t="shared" si="33"/>
        <v>13907.935000000001</v>
      </c>
      <c r="L120" s="1694">
        <v>5800</v>
      </c>
      <c r="M120" s="1694">
        <v>19707.935000000001</v>
      </c>
      <c r="N120" s="1701">
        <f t="shared" si="34"/>
        <v>166895.22000000003</v>
      </c>
      <c r="O120" s="1703">
        <f t="shared" si="35"/>
        <v>69600</v>
      </c>
      <c r="P120" s="1701">
        <f t="shared" si="36"/>
        <v>236495.22000000003</v>
      </c>
      <c r="Q120" s="1701"/>
      <c r="R120" s="1700">
        <v>19.079999999999998</v>
      </c>
      <c r="S120" s="1704">
        <f t="shared" si="37"/>
        <v>376027.39980000001</v>
      </c>
      <c r="T120" s="1705">
        <f t="shared" si="38"/>
        <v>0.58999999999999986</v>
      </c>
      <c r="U120" s="1706" t="s">
        <v>1589</v>
      </c>
      <c r="V120" s="1707" t="s">
        <v>1590</v>
      </c>
      <c r="W120" s="1708">
        <f t="shared" si="39"/>
        <v>236495.22000000003</v>
      </c>
      <c r="X120" s="1713">
        <f t="shared" si="40"/>
        <v>0</v>
      </c>
      <c r="Y120" s="1688"/>
      <c r="Z120" s="1673"/>
      <c r="AA120" s="1673"/>
      <c r="AB120" s="1673"/>
      <c r="AC120" s="1703"/>
      <c r="AD120" s="1719"/>
      <c r="AE120" s="1718"/>
      <c r="AF120" s="1673"/>
      <c r="AG120" s="1673"/>
      <c r="AH120" s="1673"/>
    </row>
    <row r="121" spans="1:34" s="1673" customFormat="1" ht="14.85" customHeight="1" outlineLevel="1">
      <c r="A121" s="1755"/>
      <c r="B121" s="1695"/>
      <c r="C121" s="1695"/>
      <c r="D121" s="1695"/>
      <c r="E121" s="1695"/>
      <c r="F121" s="1767"/>
      <c r="G121" s="1767"/>
      <c r="H121" s="1767"/>
      <c r="I121" s="1767"/>
      <c r="J121" s="1767"/>
      <c r="K121" s="1767"/>
      <c r="L121" s="1767"/>
      <c r="M121" s="1767"/>
      <c r="N121" s="1767"/>
      <c r="O121" s="1767"/>
      <c r="P121" s="1767"/>
      <c r="Q121" s="1701"/>
      <c r="R121" s="1768"/>
    </row>
    <row r="122" spans="1:34" s="1673" customFormat="1" ht="14.85" customHeight="1" outlineLevel="1">
      <c r="B122" s="1852" t="s">
        <v>111</v>
      </c>
      <c r="C122" s="1853"/>
      <c r="D122" s="1853"/>
      <c r="E122" s="1853"/>
      <c r="F122" s="1853"/>
      <c r="G122" s="1853"/>
      <c r="H122" s="1853"/>
      <c r="I122" s="1853"/>
      <c r="J122" s="1853"/>
      <c r="K122" s="1853"/>
      <c r="L122" s="1853"/>
      <c r="M122" s="1853"/>
      <c r="N122" s="1854">
        <f>MAX(N109:N120)</f>
        <v>526615.98900000006</v>
      </c>
      <c r="O122" s="1854"/>
      <c r="P122" s="1855">
        <f>MAX(P109:P120)</f>
        <v>602615.98900000006</v>
      </c>
      <c r="Q122" s="1677"/>
      <c r="R122" s="1857">
        <f>MAX(R110:R120)</f>
        <v>57.59</v>
      </c>
    </row>
    <row r="123" spans="1:34" s="1673" customFormat="1" ht="14.85" customHeight="1" outlineLevel="1">
      <c r="B123" s="1733" t="s">
        <v>115</v>
      </c>
      <c r="C123" s="1734"/>
      <c r="D123" s="1734"/>
      <c r="E123" s="1734"/>
      <c r="F123" s="1734"/>
      <c r="G123" s="1734"/>
      <c r="H123" s="1734"/>
      <c r="I123" s="1734"/>
      <c r="J123" s="1734"/>
      <c r="K123" s="1734"/>
      <c r="L123" s="1734"/>
      <c r="M123" s="1734"/>
      <c r="N123" s="1649">
        <f>QUARTILE(N109:N120,3)</f>
        <v>294135.31425</v>
      </c>
      <c r="O123" s="1649"/>
      <c r="P123" s="1735">
        <f>QUARTILE(P109:P120,3)</f>
        <v>383473.16899999999</v>
      </c>
      <c r="Q123" s="1677"/>
      <c r="R123" s="1770">
        <f>QUARTILE(R110:R120,3)</f>
        <v>22.744999999999997</v>
      </c>
    </row>
    <row r="124" spans="1:34" s="1673" customFormat="1" ht="14.85" customHeight="1" outlineLevel="1">
      <c r="B124" s="1733" t="s">
        <v>43</v>
      </c>
      <c r="C124" s="1734"/>
      <c r="D124" s="1734"/>
      <c r="E124" s="1734"/>
      <c r="F124" s="1734"/>
      <c r="G124" s="1734"/>
      <c r="H124" s="1734"/>
      <c r="I124" s="1734"/>
      <c r="J124" s="1734"/>
      <c r="K124" s="1734"/>
      <c r="L124" s="1734"/>
      <c r="M124" s="1734"/>
      <c r="N124" s="1649">
        <f>AVERAGE(N109:N120)</f>
        <v>212349.33975000001</v>
      </c>
      <c r="O124" s="1649"/>
      <c r="P124" s="1735">
        <f>AVERAGE(P109:P120)</f>
        <v>272984.77499999997</v>
      </c>
      <c r="Q124" s="1677"/>
      <c r="R124" s="1770">
        <f>AVERAGE(R110:R120)</f>
        <v>19.812727272727273</v>
      </c>
    </row>
    <row r="125" spans="1:34" s="1673" customFormat="1" ht="14.85" customHeight="1" outlineLevel="1">
      <c r="B125" s="1733" t="s">
        <v>44</v>
      </c>
      <c r="C125" s="1734"/>
      <c r="D125" s="1734"/>
      <c r="E125" s="1734"/>
      <c r="F125" s="1734"/>
      <c r="G125" s="1734"/>
      <c r="H125" s="1734"/>
      <c r="I125" s="1734"/>
      <c r="J125" s="1734"/>
      <c r="K125" s="1734"/>
      <c r="L125" s="1734"/>
      <c r="M125" s="1734"/>
      <c r="N125" s="1649">
        <f>MEDIAN(N109:N120)</f>
        <v>156112.98000000001</v>
      </c>
      <c r="O125" s="1649"/>
      <c r="P125" s="1735">
        <f>MEDIAN(P109:P120)</f>
        <v>226904.95299999998</v>
      </c>
      <c r="Q125" s="1677"/>
      <c r="R125" s="1770">
        <f>MEDIAN(R110:R120)</f>
        <v>19.93</v>
      </c>
    </row>
    <row r="126" spans="1:34" s="1673" customFormat="1" ht="14.85" customHeight="1" outlineLevel="1">
      <c r="B126" s="1733" t="s">
        <v>114</v>
      </c>
      <c r="C126" s="1734"/>
      <c r="D126" s="1734"/>
      <c r="E126" s="1734"/>
      <c r="F126" s="1734"/>
      <c r="G126" s="1734"/>
      <c r="H126" s="1734"/>
      <c r="I126" s="1734"/>
      <c r="J126" s="1734"/>
      <c r="K126" s="1734"/>
      <c r="L126" s="1734"/>
      <c r="M126" s="1734"/>
      <c r="N126" s="1649">
        <f>QUARTILE(N109:N120,1)</f>
        <v>115023.19224999999</v>
      </c>
      <c r="O126" s="1649"/>
      <c r="P126" s="1735">
        <f>QUARTILE(P109:P120,1)</f>
        <v>164267.65925000003</v>
      </c>
      <c r="Q126" s="1677"/>
      <c r="R126" s="1770">
        <f>QUARTILE(R110:R120,1)</f>
        <v>8.7799999999999994</v>
      </c>
    </row>
    <row r="127" spans="1:34" s="1673" customFormat="1" ht="14.85" customHeight="1" outlineLevel="1">
      <c r="B127" s="1737" t="s">
        <v>112</v>
      </c>
      <c r="C127" s="1738"/>
      <c r="D127" s="1738"/>
      <c r="E127" s="1738"/>
      <c r="F127" s="1738"/>
      <c r="G127" s="1738"/>
      <c r="H127" s="1738"/>
      <c r="I127" s="1738"/>
      <c r="J127" s="1738"/>
      <c r="K127" s="1738"/>
      <c r="L127" s="1738"/>
      <c r="M127" s="1738"/>
      <c r="N127" s="1651">
        <f>MIN(N109:N120)</f>
        <v>33872.124000000003</v>
      </c>
      <c r="O127" s="1651"/>
      <c r="P127" s="1739">
        <f>MIN(P109:P120)</f>
        <v>37971.624000000003</v>
      </c>
      <c r="Q127" s="1677"/>
      <c r="R127" s="1771">
        <f>MIN(R110:R120)</f>
        <v>3.1</v>
      </c>
    </row>
    <row r="128" spans="1:34" s="1673" customFormat="1" ht="14.85" customHeight="1" outlineLevel="1">
      <c r="B128" s="1758"/>
      <c r="C128" s="1758"/>
      <c r="D128" s="1758"/>
      <c r="E128" s="1758"/>
      <c r="F128" s="1768"/>
      <c r="G128" s="1768"/>
      <c r="H128" s="1768"/>
      <c r="I128" s="1768"/>
      <c r="J128" s="1768"/>
      <c r="K128" s="1768"/>
      <c r="L128" s="1768"/>
      <c r="M128" s="1768"/>
      <c r="N128" s="1768"/>
      <c r="O128" s="1768"/>
      <c r="P128" s="1768"/>
      <c r="Q128" s="1677"/>
      <c r="R128" s="1768"/>
    </row>
    <row r="129" spans="2:18" s="1673" customFormat="1" ht="14.85" customHeight="1" outlineLevel="1">
      <c r="B129" s="1772" t="s">
        <v>2042</v>
      </c>
      <c r="C129" s="1758"/>
      <c r="D129" s="1758"/>
      <c r="E129" s="1758"/>
      <c r="F129" s="1768"/>
      <c r="G129" s="1768"/>
      <c r="H129" s="1768"/>
      <c r="I129" s="1768"/>
      <c r="J129" s="1768"/>
      <c r="K129" s="1768"/>
      <c r="L129" s="1768"/>
      <c r="M129" s="1768"/>
      <c r="N129" s="1768"/>
      <c r="O129" s="1768"/>
      <c r="P129" s="1768"/>
      <c r="Q129" s="1677"/>
      <c r="R129" s="1768"/>
    </row>
    <row r="130" spans="2:18" s="1673" customFormat="1" ht="14.85" customHeight="1">
      <c r="B130" s="1852" t="s">
        <v>111</v>
      </c>
      <c r="C130" s="1853"/>
      <c r="D130" s="1853"/>
      <c r="E130" s="1853"/>
      <c r="F130" s="1853"/>
      <c r="G130" s="1853"/>
      <c r="H130" s="1853"/>
      <c r="I130" s="1853"/>
      <c r="J130" s="1853"/>
      <c r="K130" s="1853"/>
      <c r="L130" s="1853"/>
      <c r="M130" s="1853"/>
      <c r="N130" s="1858">
        <f>MAX(N11:N19)</f>
        <v>1558841.55</v>
      </c>
      <c r="O130" s="1858"/>
      <c r="P130" s="1859">
        <f>MAX(P11:P19)</f>
        <v>1649841.55</v>
      </c>
      <c r="Q130" s="1677"/>
      <c r="R130" s="1860">
        <f>MAX(R11:R19)</f>
        <v>2396147.65478</v>
      </c>
    </row>
    <row r="131" spans="2:18" s="1673" customFormat="1" ht="14.85" customHeight="1">
      <c r="B131" s="1733" t="s">
        <v>115</v>
      </c>
      <c r="C131" s="1734"/>
      <c r="D131" s="1734"/>
      <c r="E131" s="1734"/>
      <c r="F131" s="1734"/>
      <c r="G131" s="1734"/>
      <c r="H131" s="1734"/>
      <c r="I131" s="1734"/>
      <c r="J131" s="1734"/>
      <c r="K131" s="1734"/>
      <c r="L131" s="1734"/>
      <c r="M131" s="1734"/>
      <c r="N131" s="1861">
        <f>QUARTILE(N11:N19,3)</f>
        <v>383102.17200000002</v>
      </c>
      <c r="O131" s="1861"/>
      <c r="P131" s="1862">
        <f>QUARTILE(P11:P19,3)</f>
        <v>473102.17200000002</v>
      </c>
      <c r="Q131" s="1677"/>
      <c r="R131" s="1863">
        <f>QUARTILE(R11:R19,3)</f>
        <v>811370.22498000006</v>
      </c>
    </row>
    <row r="132" spans="2:18" s="1673" customFormat="1" ht="14.85" customHeight="1">
      <c r="B132" s="1733" t="s">
        <v>43</v>
      </c>
      <c r="C132" s="1734"/>
      <c r="D132" s="1734"/>
      <c r="E132" s="1734"/>
      <c r="F132" s="1734"/>
      <c r="G132" s="1734"/>
      <c r="H132" s="1734"/>
      <c r="I132" s="1734"/>
      <c r="J132" s="1734"/>
      <c r="K132" s="1734"/>
      <c r="L132" s="1734"/>
      <c r="M132" s="1734"/>
      <c r="N132" s="1861">
        <f>AVERAGE(N11:N19)</f>
        <v>437432.04233333335</v>
      </c>
      <c r="O132" s="1861"/>
      <c r="P132" s="1862">
        <f>AVERAGE(P11:P19)</f>
        <v>498380.74544444442</v>
      </c>
      <c r="Q132" s="1677"/>
      <c r="R132" s="1863">
        <f>AVERAGE(R11:R19)</f>
        <v>636479.52348444448</v>
      </c>
    </row>
    <row r="133" spans="2:18" s="1673" customFormat="1" ht="14.85" customHeight="1">
      <c r="B133" s="1733" t="s">
        <v>44</v>
      </c>
      <c r="C133" s="1734"/>
      <c r="D133" s="1734"/>
      <c r="E133" s="1734"/>
      <c r="F133" s="1734"/>
      <c r="G133" s="1734"/>
      <c r="H133" s="1734"/>
      <c r="I133" s="1734"/>
      <c r="J133" s="1734"/>
      <c r="K133" s="1734"/>
      <c r="L133" s="1734"/>
      <c r="M133" s="1734"/>
      <c r="N133" s="1861">
        <f>MEDIAN(N11:N19)</f>
        <v>154237.644</v>
      </c>
      <c r="O133" s="1861"/>
      <c r="P133" s="1862">
        <f>MEDIAN(P11:P19)</f>
        <v>198237.644</v>
      </c>
      <c r="Q133" s="1677"/>
      <c r="R133" s="1863">
        <f>MEDIAN(R11:R19)</f>
        <v>268554.77220000001</v>
      </c>
    </row>
    <row r="134" spans="2:18" s="1673" customFormat="1" ht="14.85" customHeight="1">
      <c r="B134" s="1733" t="s">
        <v>114</v>
      </c>
      <c r="C134" s="1734"/>
      <c r="D134" s="1734"/>
      <c r="E134" s="1734"/>
      <c r="F134" s="1734"/>
      <c r="G134" s="1734"/>
      <c r="H134" s="1734"/>
      <c r="I134" s="1734"/>
      <c r="J134" s="1734"/>
      <c r="K134" s="1734"/>
      <c r="L134" s="1734"/>
      <c r="M134" s="1734"/>
      <c r="N134" s="1861">
        <f>QUARTILE(N11:N19,1)</f>
        <v>73793.01999999999</v>
      </c>
      <c r="O134" s="1861"/>
      <c r="P134" s="1862">
        <f>QUARTILE(P11:P19,1)</f>
        <v>105043.01999999999</v>
      </c>
      <c r="Q134" s="1677"/>
      <c r="R134" s="1863">
        <f>QUARTILE(R11:R19,1)</f>
        <v>105253.10604</v>
      </c>
    </row>
    <row r="135" spans="2:18" s="1673" customFormat="1" ht="14.85" customHeight="1">
      <c r="B135" s="1737" t="s">
        <v>112</v>
      </c>
      <c r="C135" s="1738"/>
      <c r="D135" s="1738"/>
      <c r="E135" s="1738"/>
      <c r="F135" s="1738"/>
      <c r="G135" s="1738"/>
      <c r="H135" s="1738"/>
      <c r="I135" s="1738"/>
      <c r="J135" s="1738"/>
      <c r="K135" s="1738"/>
      <c r="L135" s="1738"/>
      <c r="M135" s="1738"/>
      <c r="N135" s="1864">
        <f>MIN(N11:N19)</f>
        <v>31347.355</v>
      </c>
      <c r="O135" s="1864"/>
      <c r="P135" s="1865">
        <f>MIN(P11:P19)</f>
        <v>41422.354999999996</v>
      </c>
      <c r="Q135" s="1677"/>
      <c r="R135" s="1866">
        <f>MIN(R11:R19)</f>
        <v>15931.674999999999</v>
      </c>
    </row>
    <row r="136" spans="2:18" ht="14.85" customHeight="1">
      <c r="B136" s="1867"/>
      <c r="C136" s="1867"/>
      <c r="D136" s="1867"/>
      <c r="E136" s="1867"/>
      <c r="F136" s="1868"/>
      <c r="G136" s="1868"/>
      <c r="H136" s="1868"/>
      <c r="I136" s="1868"/>
      <c r="J136" s="1868"/>
      <c r="K136" s="1868"/>
      <c r="L136" s="1868"/>
      <c r="M136" s="1868"/>
      <c r="N136" s="1868"/>
      <c r="O136" s="1868"/>
      <c r="P136" s="1868"/>
      <c r="Q136" s="1660"/>
      <c r="R136" s="1869"/>
    </row>
    <row r="137" spans="2:18" ht="14.85" customHeight="1">
      <c r="B137" s="356" t="s">
        <v>116</v>
      </c>
      <c r="R137" s="1868"/>
    </row>
    <row r="138" spans="2:18" ht="14.85" customHeight="1">
      <c r="C138" s="1653" t="s">
        <v>1668</v>
      </c>
    </row>
    <row r="139" spans="2:18" ht="14.85" customHeight="1">
      <c r="C139" s="1653" t="s">
        <v>1669</v>
      </c>
    </row>
    <row r="140" spans="2:18" ht="14.85" customHeight="1">
      <c r="C140" s="1653" t="s">
        <v>1670</v>
      </c>
    </row>
    <row r="141" spans="2:18" ht="14.85" customHeight="1">
      <c r="C141" s="1653" t="s">
        <v>1671</v>
      </c>
    </row>
    <row r="142" spans="2:18" ht="14.85" customHeight="1">
      <c r="C142" s="1653" t="s">
        <v>1672</v>
      </c>
    </row>
    <row r="143" spans="2:18" ht="14.85" customHeight="1">
      <c r="C143" s="1653" t="s">
        <v>1673</v>
      </c>
    </row>
    <row r="144" spans="2:18" ht="14.85" customHeight="1">
      <c r="C144" s="1653" t="s">
        <v>1726</v>
      </c>
    </row>
    <row r="145" spans="3:3" ht="14.85" customHeight="1">
      <c r="C145" s="1653" t="s">
        <v>1674</v>
      </c>
    </row>
    <row r="146" spans="3:3" ht="14.85" customHeight="1">
      <c r="C146" s="1653" t="s">
        <v>1675</v>
      </c>
    </row>
    <row r="147" spans="3:3" ht="14.85" customHeight="1">
      <c r="C147" s="1653" t="s">
        <v>1676</v>
      </c>
    </row>
    <row r="148" spans="3:3" ht="14.85" customHeight="1">
      <c r="C148" s="1653" t="s">
        <v>1677</v>
      </c>
    </row>
    <row r="149" spans="3:3" ht="14.85" customHeight="1">
      <c r="C149" s="1653" t="s">
        <v>1678</v>
      </c>
    </row>
    <row r="150" spans="3:3" ht="14.85" customHeight="1">
      <c r="C150" s="1653" t="s">
        <v>1679</v>
      </c>
    </row>
    <row r="151" spans="3:3" ht="14.85" customHeight="1">
      <c r="C151" s="1653" t="s">
        <v>1680</v>
      </c>
    </row>
    <row r="152" spans="3:3" ht="14.85" customHeight="1">
      <c r="C152" s="1653" t="s">
        <v>1681</v>
      </c>
    </row>
    <row r="153" spans="3:3" ht="14.85" customHeight="1">
      <c r="C153" s="1653" t="s">
        <v>1682</v>
      </c>
    </row>
    <row r="154" spans="3:3" ht="14.85" customHeight="1">
      <c r="C154" s="1653" t="s">
        <v>1727</v>
      </c>
    </row>
    <row r="155" spans="3:3" ht="14.85" customHeight="1">
      <c r="C155" s="1653" t="s">
        <v>1728</v>
      </c>
    </row>
    <row r="156" spans="3:3" ht="14.85" customHeight="1">
      <c r="C156" s="1653" t="s">
        <v>1683</v>
      </c>
    </row>
    <row r="157" spans="3:3" ht="14.85" customHeight="1">
      <c r="C157" s="1653" t="s">
        <v>1091</v>
      </c>
    </row>
    <row r="158" spans="3:3" ht="14.85" customHeight="1">
      <c r="C158" s="1653" t="s">
        <v>1684</v>
      </c>
    </row>
    <row r="159" spans="3:3" ht="14.85" customHeight="1">
      <c r="C159" s="1653" t="s">
        <v>1685</v>
      </c>
    </row>
    <row r="160" spans="3:3" ht="14.85" customHeight="1">
      <c r="C160" s="1653" t="s">
        <v>1687</v>
      </c>
    </row>
    <row r="161" spans="3:3" ht="14.85" customHeight="1">
      <c r="C161" s="1653" t="s">
        <v>1690</v>
      </c>
    </row>
    <row r="162" spans="3:3" ht="14.85" customHeight="1">
      <c r="C162" s="1653" t="s">
        <v>1692</v>
      </c>
    </row>
    <row r="163" spans="3:3" ht="14.85" customHeight="1">
      <c r="C163" s="1653" t="s">
        <v>1696</v>
      </c>
    </row>
    <row r="164" spans="3:3" ht="14.85" customHeight="1">
      <c r="C164" s="1653" t="s">
        <v>1700</v>
      </c>
    </row>
    <row r="165" spans="3:3" ht="14.85" customHeight="1">
      <c r="C165" s="1653" t="s">
        <v>1701</v>
      </c>
    </row>
    <row r="166" spans="3:3" ht="14.85" customHeight="1">
      <c r="C166" s="1653" t="s">
        <v>1702</v>
      </c>
    </row>
    <row r="167" spans="3:3" ht="14.85" customHeight="1">
      <c r="C167" s="1653" t="s">
        <v>1704</v>
      </c>
    </row>
    <row r="168" spans="3:3" ht="14.85" customHeight="1">
      <c r="C168" s="1653" t="s">
        <v>1708</v>
      </c>
    </row>
    <row r="169" spans="3:3" ht="14.85" customHeight="1">
      <c r="C169" s="1653" t="s">
        <v>1709</v>
      </c>
    </row>
    <row r="170" spans="3:3" ht="14.85" customHeight="1">
      <c r="C170" s="1653" t="s">
        <v>1710</v>
      </c>
    </row>
    <row r="171" spans="3:3" ht="14.85" customHeight="1">
      <c r="C171" s="1867" t="s">
        <v>1729</v>
      </c>
    </row>
    <row r="172" spans="3:3" ht="14.85" customHeight="1">
      <c r="C172" s="1653" t="s">
        <v>1711</v>
      </c>
    </row>
    <row r="173" spans="3:3" ht="14.85" customHeight="1">
      <c r="C173" s="1653" t="s">
        <v>1712</v>
      </c>
    </row>
    <row r="174" spans="3:3" ht="14.85" customHeight="1">
      <c r="C174" s="1653" t="s">
        <v>1713</v>
      </c>
    </row>
    <row r="175" spans="3:3" ht="14.85" customHeight="1">
      <c r="C175" s="1653" t="s">
        <v>1714</v>
      </c>
    </row>
    <row r="176" spans="3:3" ht="14.85" customHeight="1">
      <c r="C176" s="1653" t="s">
        <v>1715</v>
      </c>
    </row>
    <row r="177" spans="3:3" ht="14.85" customHeight="1">
      <c r="C177" s="1653" t="s">
        <v>1716</v>
      </c>
    </row>
    <row r="178" spans="3:3" ht="14.85" customHeight="1">
      <c r="C178" s="1653" t="s">
        <v>1717</v>
      </c>
    </row>
    <row r="179" spans="3:3" ht="14.85" customHeight="1">
      <c r="C179" s="1653" t="s">
        <v>1718</v>
      </c>
    </row>
    <row r="180" spans="3:3" ht="14.85" customHeight="1">
      <c r="C180" s="1653" t="s">
        <v>1719</v>
      </c>
    </row>
    <row r="181" spans="3:3" ht="14.85" customHeight="1">
      <c r="C181" s="1653" t="s">
        <v>1720</v>
      </c>
    </row>
    <row r="182" spans="3:3" ht="14.85" customHeight="1">
      <c r="C182" s="1653" t="s">
        <v>1721</v>
      </c>
    </row>
    <row r="183" spans="3:3" ht="14.85" customHeight="1">
      <c r="C183" s="1653" t="s">
        <v>1722</v>
      </c>
    </row>
    <row r="184" spans="3:3" ht="14.85" customHeight="1">
      <c r="C184" s="1653" t="s">
        <v>1723</v>
      </c>
    </row>
    <row r="185" spans="3:3" ht="14.85" customHeight="1">
      <c r="C185" s="1653" t="s">
        <v>1724</v>
      </c>
    </row>
    <row r="186" spans="3:3" ht="14.85" customHeight="1">
      <c r="C186" s="1653" t="s">
        <v>1725</v>
      </c>
    </row>
    <row r="187" spans="3:3" ht="14.85" customHeight="1"/>
    <row r="188" spans="3:3" ht="14.85" customHeight="1"/>
    <row r="189" spans="3:3" ht="14.85" customHeight="1"/>
    <row r="190" spans="3:3" ht="14.85" customHeight="1"/>
    <row r="191" spans="3:3" ht="14.85" customHeight="1"/>
    <row r="192" spans="3:3" ht="14.85" customHeight="1">
      <c r="C192" s="1867"/>
    </row>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20">
    <mergeCell ref="AD8:AD9"/>
    <mergeCell ref="X8:X9"/>
    <mergeCell ref="Z8:Z9"/>
    <mergeCell ref="AA8:AA9"/>
    <mergeCell ref="AB8:AB9"/>
    <mergeCell ref="AC8:AC9"/>
    <mergeCell ref="S8:S9"/>
    <mergeCell ref="T8:T9"/>
    <mergeCell ref="U8:U9"/>
    <mergeCell ref="G8:G9"/>
    <mergeCell ref="H8:I8"/>
    <mergeCell ref="J8:J9"/>
    <mergeCell ref="L8:L9"/>
    <mergeCell ref="M8:M9"/>
    <mergeCell ref="N8:N9"/>
    <mergeCell ref="F8:F9"/>
    <mergeCell ref="K8:K9"/>
    <mergeCell ref="O8:O9"/>
    <mergeCell ref="P8:P9"/>
    <mergeCell ref="R8:R9"/>
  </mergeCells>
  <conditionalFormatting sqref="C4:E4">
    <cfRule type="cellIs" dxfId="103" priority="8" stopIfTrue="1" operator="equal">
      <formula>"input"</formula>
    </cfRule>
  </conditionalFormatting>
  <conditionalFormatting sqref="F4:G4">
    <cfRule type="cellIs" dxfId="102" priority="7" stopIfTrue="1" operator="equal">
      <formula>"input"</formula>
    </cfRule>
  </conditionalFormatting>
  <conditionalFormatting sqref="H4:I4">
    <cfRule type="cellIs" dxfId="101" priority="6" stopIfTrue="1" operator="equal">
      <formula>"input"</formula>
    </cfRule>
  </conditionalFormatting>
  <conditionalFormatting sqref="J4:K4">
    <cfRule type="cellIs" dxfId="100" priority="5" stopIfTrue="1" operator="equal">
      <formula>"input"</formula>
    </cfRule>
  </conditionalFormatting>
  <conditionalFormatting sqref="L4:M4">
    <cfRule type="cellIs" dxfId="99" priority="4" stopIfTrue="1" operator="equal">
      <formula>"input"</formula>
    </cfRule>
  </conditionalFormatting>
  <conditionalFormatting sqref="N4:O4">
    <cfRule type="cellIs" dxfId="98" priority="3" stopIfTrue="1" operator="equal">
      <formula>"input"</formula>
    </cfRule>
  </conditionalFormatting>
  <conditionalFormatting sqref="P4">
    <cfRule type="cellIs" dxfId="97" priority="2" stopIfTrue="1" operator="equal">
      <formula>"input"</formula>
    </cfRule>
  </conditionalFormatting>
  <conditionalFormatting sqref="B4">
    <cfRule type="cellIs" dxfId="96" priority="1" stopIfTrue="1" operator="equal">
      <formula>"input"</formula>
    </cfRule>
  </conditionalFormatting>
  <pageMargins left="0.5" right="0.5" top="0.5" bottom="0.5" header="0.5" footer="0.5"/>
  <pageSetup scale="78" fitToWidth="0" fitToHeight="0" orientation="landscape" r:id="rId1"/>
  <rowBreaks count="3" manualBreakCount="3">
    <brk id="46" max="16" man="1"/>
    <brk id="77" max="16" man="1"/>
    <brk id="107" max="16" man="1"/>
  </rowBreaks>
  <legacyDrawing r:id="rId2"/>
  <legacyDrawingHF r:id="rId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7"/>
  <dimension ref="B1:K764"/>
  <sheetViews>
    <sheetView showGridLines="0" view="pageBreakPreview" zoomScale="80" zoomScaleNormal="100" zoomScaleSheetLayoutView="80" workbookViewId="0"/>
  </sheetViews>
  <sheetFormatPr defaultRowHeight="12.75" outlineLevelRow="1"/>
  <cols>
    <col min="1" max="1" width="2.83203125" style="250" customWidth="1"/>
    <col min="2" max="2" width="47.5" style="250" customWidth="1"/>
    <col min="3" max="3" width="18.6640625" style="250" customWidth="1"/>
    <col min="4" max="4" width="2.83203125" style="250" customWidth="1"/>
    <col min="5" max="5" width="33.83203125" style="250" customWidth="1"/>
    <col min="6" max="6" width="2.83203125" style="250" customWidth="1"/>
    <col min="7" max="8" width="26" style="250" customWidth="1"/>
    <col min="9" max="9" width="2.83203125" style="250" customWidth="1"/>
    <col min="10" max="10" width="1.83203125" style="250" customWidth="1"/>
    <col min="11" max="16384" width="9.33203125" style="250"/>
  </cols>
  <sheetData>
    <row r="1" spans="2:11" ht="10.7" customHeight="1" thickBot="1"/>
    <row r="2" spans="2:11" ht="16.5" customHeight="1" thickTop="1">
      <c r="B2" s="258" t="str">
        <f>'MASTER PubCo Inputs'!$C$5</f>
        <v>ABC, Inc.</v>
      </c>
      <c r="C2" s="258"/>
      <c r="D2" s="258"/>
      <c r="E2" s="258"/>
      <c r="F2" s="258"/>
      <c r="G2" s="258"/>
      <c r="H2" s="258"/>
    </row>
    <row r="3" spans="2:11" ht="15.75" customHeight="1">
      <c r="B3" s="259" t="str">
        <f>VLOOKUP(B4,Outline!$E$8:$G$79,COLUMNS(Outline!$E$8:$G$8),FALSE)</f>
        <v>Exhibit H.12</v>
      </c>
      <c r="C3" s="259"/>
      <c r="D3" s="259"/>
      <c r="E3" s="259"/>
      <c r="F3" s="259"/>
      <c r="G3" s="259"/>
      <c r="H3" s="259"/>
    </row>
    <row r="4" spans="2:11" ht="16.5" customHeight="1" thickBot="1">
      <c r="B4" s="924" t="s">
        <v>666</v>
      </c>
      <c r="C4" s="924"/>
      <c r="D4" s="924"/>
      <c r="E4" s="924"/>
      <c r="F4" s="924"/>
      <c r="G4" s="924"/>
      <c r="H4" s="924"/>
    </row>
    <row r="5" spans="2:11" ht="14.85" customHeight="1" thickTop="1"/>
    <row r="6" spans="2:11" ht="14.85" customHeight="1">
      <c r="B6" s="439" t="s">
        <v>812</v>
      </c>
      <c r="C6" s="439"/>
      <c r="G6" s="439" t="s">
        <v>812</v>
      </c>
    </row>
    <row r="7" spans="2:11" ht="14.85" customHeight="1">
      <c r="B7" s="1870" t="s">
        <v>3515</v>
      </c>
      <c r="C7" s="1870"/>
      <c r="D7" s="1574"/>
      <c r="E7" s="1574"/>
      <c r="F7" s="1871"/>
      <c r="G7" s="1872" t="s">
        <v>3516</v>
      </c>
      <c r="H7" s="1872"/>
    </row>
    <row r="8" spans="2:11" s="272" customFormat="1" ht="14.85" customHeight="1">
      <c r="B8" s="1873" t="s">
        <v>813</v>
      </c>
      <c r="C8" s="1424"/>
      <c r="E8" s="1874" t="s">
        <v>796</v>
      </c>
      <c r="F8" s="1875"/>
      <c r="G8" s="1876" t="s">
        <v>796</v>
      </c>
      <c r="H8" s="1877"/>
      <c r="K8" s="1878"/>
    </row>
    <row r="9" spans="2:11" ht="14.85" customHeight="1">
      <c r="F9" s="414"/>
      <c r="G9" s="512"/>
      <c r="H9" s="512"/>
      <c r="K9" s="1878"/>
    </row>
    <row r="10" spans="2:11" ht="14.85" customHeight="1" thickBot="1">
      <c r="B10" s="1879" t="s">
        <v>797</v>
      </c>
      <c r="C10" s="1879"/>
      <c r="D10" s="1879"/>
      <c r="E10" s="1880"/>
      <c r="F10" s="1881"/>
      <c r="G10" s="1882" t="s">
        <v>377</v>
      </c>
      <c r="H10" s="1882" t="s">
        <v>378</v>
      </c>
      <c r="K10" s="1878"/>
    </row>
    <row r="11" spans="2:11" ht="14.85" customHeight="1">
      <c r="B11" s="250" t="s">
        <v>798</v>
      </c>
      <c r="E11" s="332">
        <v>0.41499999999999998</v>
      </c>
      <c r="F11" s="1883"/>
      <c r="G11" s="1884">
        <f>Trans.1!AI45</f>
        <v>0.11615813333333333</v>
      </c>
      <c r="H11" s="1884">
        <f>Trans.1!AJ45</f>
        <v>0.12751399999999999</v>
      </c>
      <c r="K11" s="1878"/>
    </row>
    <row r="12" spans="2:11" ht="14.85" customHeight="1">
      <c r="B12" s="250" t="s">
        <v>44</v>
      </c>
      <c r="E12" s="332">
        <v>0.28100000000000003</v>
      </c>
      <c r="F12" s="1883"/>
      <c r="G12" s="1884">
        <f>Trans.1!AI46</f>
        <v>0</v>
      </c>
      <c r="H12" s="1884">
        <f>Trans.1!AJ46</f>
        <v>0</v>
      </c>
      <c r="K12" s="1878"/>
    </row>
    <row r="13" spans="2:11" ht="14.85" customHeight="1">
      <c r="E13" s="435"/>
      <c r="F13" s="1881"/>
      <c r="G13" s="1885"/>
      <c r="H13" s="1885"/>
      <c r="K13" s="1878"/>
    </row>
    <row r="14" spans="2:11" ht="14.85" customHeight="1" thickBot="1">
      <c r="B14" s="1886" t="s">
        <v>799</v>
      </c>
      <c r="C14" s="1886"/>
      <c r="D14" s="1879"/>
      <c r="E14" s="1880"/>
      <c r="F14" s="1881"/>
      <c r="G14" s="1885"/>
      <c r="H14" s="1885"/>
      <c r="K14" s="1878"/>
    </row>
    <row r="15" spans="2:11" ht="14.85" customHeight="1">
      <c r="B15" s="250" t="s">
        <v>798</v>
      </c>
      <c r="E15" s="332">
        <v>0.43099999999999999</v>
      </c>
      <c r="F15" s="1883"/>
      <c r="G15" s="1887"/>
      <c r="H15" s="1887"/>
      <c r="K15" s="1878"/>
    </row>
    <row r="16" spans="2:11" ht="14.85" customHeight="1">
      <c r="B16" s="250" t="s">
        <v>44</v>
      </c>
      <c r="E16" s="332">
        <v>0.28899999999999998</v>
      </c>
      <c r="F16" s="1883"/>
      <c r="G16" s="1887"/>
      <c r="H16" s="1887"/>
      <c r="K16" s="1878"/>
    </row>
    <row r="17" spans="2:11" ht="14.85" customHeight="1">
      <c r="E17" s="435"/>
      <c r="F17" s="1881"/>
      <c r="G17" s="1885"/>
      <c r="H17" s="1885"/>
      <c r="K17" s="1878"/>
    </row>
    <row r="18" spans="2:11" ht="14.85" customHeight="1">
      <c r="B18" s="1873" t="s">
        <v>800</v>
      </c>
      <c r="C18" s="1424"/>
      <c r="D18" s="272"/>
      <c r="E18" s="1874" t="s">
        <v>796</v>
      </c>
      <c r="F18" s="1875"/>
      <c r="G18" s="1875"/>
      <c r="H18" s="1875"/>
      <c r="K18" s="1878"/>
    </row>
    <row r="19" spans="2:11" ht="14.85" customHeight="1">
      <c r="F19" s="414"/>
      <c r="K19" s="1878"/>
    </row>
    <row r="20" spans="2:11" ht="14.85" customHeight="1" thickBot="1">
      <c r="B20" s="1879" t="s">
        <v>797</v>
      </c>
      <c r="C20" s="1879"/>
      <c r="D20" s="1879"/>
      <c r="E20" s="1880"/>
      <c r="F20" s="1881"/>
      <c r="G20" s="435"/>
      <c r="H20" s="435"/>
      <c r="K20" s="1878"/>
    </row>
    <row r="21" spans="2:11" ht="14.85" customHeight="1">
      <c r="B21" s="250" t="s">
        <v>798</v>
      </c>
      <c r="E21" s="1888">
        <v>0.40600000000000003</v>
      </c>
      <c r="F21" s="1889"/>
      <c r="G21" s="1888"/>
      <c r="H21" s="1888"/>
      <c r="K21" s="1878"/>
    </row>
    <row r="22" spans="2:11" ht="14.85" customHeight="1">
      <c r="B22" s="250" t="s">
        <v>44</v>
      </c>
      <c r="E22" s="1888">
        <v>0.27800000000000002</v>
      </c>
      <c r="F22" s="1889"/>
      <c r="G22" s="1888"/>
      <c r="H22" s="1888"/>
      <c r="K22" s="467"/>
    </row>
    <row r="23" spans="2:11" ht="14.85" customHeight="1">
      <c r="E23" s="1890"/>
      <c r="F23" s="1891"/>
      <c r="G23" s="1890"/>
      <c r="H23" s="1890"/>
      <c r="K23" s="467"/>
    </row>
    <row r="24" spans="2:11" ht="14.85" customHeight="1" thickBot="1">
      <c r="B24" s="1886" t="s">
        <v>799</v>
      </c>
      <c r="C24" s="1886"/>
      <c r="D24" s="1879"/>
      <c r="E24" s="1892"/>
      <c r="F24" s="1891"/>
      <c r="G24" s="1890"/>
      <c r="H24" s="1890"/>
    </row>
    <row r="25" spans="2:11" ht="14.85" customHeight="1">
      <c r="B25" s="250" t="s">
        <v>798</v>
      </c>
      <c r="E25" s="1888">
        <v>0.31644285714285714</v>
      </c>
      <c r="F25" s="1889"/>
      <c r="G25" s="1888"/>
      <c r="H25" s="1888"/>
    </row>
    <row r="26" spans="2:11" ht="14.85" customHeight="1">
      <c r="B26" s="250" t="s">
        <v>44</v>
      </c>
      <c r="E26" s="1888">
        <v>0.26500000000000001</v>
      </c>
      <c r="F26" s="1889"/>
      <c r="G26" s="1888"/>
      <c r="H26" s="1888"/>
    </row>
    <row r="27" spans="2:11" ht="14.85" customHeight="1">
      <c r="E27" s="1888"/>
      <c r="F27" s="1889"/>
      <c r="G27" s="1888"/>
      <c r="H27" s="1888"/>
    </row>
    <row r="28" spans="2:11" ht="14.85" customHeight="1">
      <c r="B28" s="1893" t="s">
        <v>801</v>
      </c>
      <c r="C28" s="1894"/>
      <c r="G28" s="1895" t="str">
        <f>'MASTER PubCo Inputs'!C5</f>
        <v>ABC, Inc.</v>
      </c>
      <c r="H28" s="499" t="s">
        <v>796</v>
      </c>
    </row>
    <row r="29" spans="2:11" ht="14.85" customHeight="1">
      <c r="B29" s="1875"/>
      <c r="C29" s="1875"/>
      <c r="H29" s="1888"/>
    </row>
    <row r="30" spans="2:11" ht="14.85" customHeight="1">
      <c r="B30" s="250" t="s">
        <v>1767</v>
      </c>
      <c r="G30" s="359" t="s">
        <v>802</v>
      </c>
      <c r="H30" s="1888" t="s">
        <v>803</v>
      </c>
    </row>
    <row r="31" spans="2:11" ht="14.85" customHeight="1">
      <c r="B31" s="250" t="s">
        <v>1768</v>
      </c>
      <c r="G31" s="359" t="s">
        <v>111</v>
      </c>
      <c r="H31" s="1888" t="s">
        <v>804</v>
      </c>
    </row>
    <row r="32" spans="2:11" ht="14.85" customHeight="1">
      <c r="B32" s="250" t="s">
        <v>1769</v>
      </c>
      <c r="G32" s="359" t="s">
        <v>111</v>
      </c>
      <c r="H32" s="1888" t="s">
        <v>804</v>
      </c>
    </row>
    <row r="33" spans="2:8" ht="14.85" customHeight="1">
      <c r="B33" s="250" t="s">
        <v>1770</v>
      </c>
      <c r="G33" s="359" t="s">
        <v>802</v>
      </c>
      <c r="H33" s="1888" t="s">
        <v>803</v>
      </c>
    </row>
    <row r="34" spans="2:8" ht="14.85" customHeight="1">
      <c r="B34" s="250" t="s">
        <v>805</v>
      </c>
      <c r="G34" s="359" t="s">
        <v>802</v>
      </c>
      <c r="H34" s="1888" t="s">
        <v>803</v>
      </c>
    </row>
    <row r="35" spans="2:8" ht="14.85" customHeight="1">
      <c r="B35" s="250" t="s">
        <v>1771</v>
      </c>
      <c r="G35" s="359" t="s">
        <v>806</v>
      </c>
      <c r="H35" s="1888" t="s">
        <v>807</v>
      </c>
    </row>
    <row r="36" spans="2:8" ht="14.85" customHeight="1">
      <c r="B36" s="250" t="s">
        <v>1772</v>
      </c>
      <c r="G36" s="359" t="s">
        <v>112</v>
      </c>
      <c r="H36" s="1888" t="s">
        <v>807</v>
      </c>
    </row>
    <row r="37" spans="2:8" ht="14.85" customHeight="1">
      <c r="E37" s="1888"/>
      <c r="F37" s="1889"/>
      <c r="G37" s="1888"/>
      <c r="H37" s="1888"/>
    </row>
    <row r="38" spans="2:8" ht="14.85" hidden="1" customHeight="1" outlineLevel="1">
      <c r="B38" s="1896" t="s">
        <v>808</v>
      </c>
      <c r="C38" s="1897"/>
      <c r="D38" s="1898"/>
      <c r="E38" s="1899"/>
      <c r="F38" s="1900" t="s">
        <v>308</v>
      </c>
      <c r="G38" s="1899"/>
      <c r="H38" s="1901">
        <v>0.18</v>
      </c>
    </row>
    <row r="39" spans="2:8" ht="14.85" customHeight="1" collapsed="1">
      <c r="B39" s="1896" t="s">
        <v>809</v>
      </c>
      <c r="C39" s="1897"/>
      <c r="D39" s="1898"/>
      <c r="E39" s="1898"/>
      <c r="F39" s="1902" t="s">
        <v>308</v>
      </c>
      <c r="G39" s="1898"/>
      <c r="H39" s="1901">
        <v>0.25</v>
      </c>
    </row>
    <row r="40" spans="2:8" ht="14.85" hidden="1" customHeight="1" outlineLevel="1">
      <c r="B40" s="1187" t="s">
        <v>810</v>
      </c>
      <c r="C40" s="1188"/>
      <c r="D40" s="1188"/>
      <c r="E40" s="1188"/>
      <c r="F40" s="1188"/>
      <c r="G40" s="1186"/>
      <c r="H40" s="1329">
        <v>0.15</v>
      </c>
    </row>
    <row r="41" spans="2:8" ht="14.85" customHeight="1" collapsed="1">
      <c r="B41" s="1192" t="s">
        <v>1773</v>
      </c>
      <c r="C41" s="858"/>
      <c r="D41" s="858"/>
      <c r="E41" s="858"/>
      <c r="F41" s="858"/>
      <c r="G41" s="1903"/>
      <c r="H41" s="1331">
        <v>0.2</v>
      </c>
    </row>
    <row r="42" spans="2:8" ht="14.85" customHeight="1">
      <c r="B42" s="516"/>
      <c r="C42" s="516"/>
      <c r="F42" s="414"/>
    </row>
    <row r="43" spans="2:8" ht="14.85" customHeight="1">
      <c r="B43" s="356" t="s">
        <v>86</v>
      </c>
      <c r="C43" s="356"/>
      <c r="F43" s="414"/>
    </row>
    <row r="44" spans="2:8" ht="14.85" customHeight="1">
      <c r="B44" s="250" t="s">
        <v>811</v>
      </c>
      <c r="F44" s="414"/>
    </row>
    <row r="45" spans="2:8" ht="14.85" customHeight="1">
      <c r="B45" s="788" t="str">
        <f>"(2) Source: Capital IQ, refer to "&amp;Trans.1!B3&amp;"."</f>
        <v>(2) Source: Capital IQ, refer to Exhibit F.2.</v>
      </c>
      <c r="C45" s="788"/>
      <c r="F45" s="414"/>
    </row>
    <row r="46" spans="2:8" ht="14.85" customHeight="1">
      <c r="B46" s="2112" t="s">
        <v>999</v>
      </c>
      <c r="C46" s="2112"/>
      <c r="D46" s="2112"/>
      <c r="E46" s="2112"/>
      <c r="F46" s="2112"/>
      <c r="G46" s="2112"/>
      <c r="H46" s="2112"/>
    </row>
    <row r="47" spans="2:8" ht="14.85" customHeight="1">
      <c r="B47" s="2112"/>
      <c r="C47" s="2112"/>
      <c r="D47" s="2112"/>
      <c r="E47" s="2112"/>
      <c r="F47" s="2112"/>
      <c r="G47" s="2112"/>
      <c r="H47" s="2112"/>
    </row>
    <row r="48" spans="2:8" ht="14.85" customHeight="1">
      <c r="B48" s="788"/>
      <c r="C48" s="788"/>
      <c r="F48" s="414"/>
    </row>
    <row r="49" spans="2:6" ht="14.85" customHeight="1">
      <c r="B49" s="788"/>
      <c r="C49" s="788"/>
      <c r="F49" s="414"/>
    </row>
    <row r="50" spans="2:6" ht="14.85" customHeight="1">
      <c r="F50" s="414"/>
    </row>
    <row r="51" spans="2:6" ht="14.85" customHeight="1">
      <c r="F51" s="414"/>
    </row>
    <row r="52" spans="2:6" ht="14.85" customHeight="1">
      <c r="F52" s="414"/>
    </row>
    <row r="53" spans="2:6" ht="14.85" customHeight="1">
      <c r="F53" s="414"/>
    </row>
    <row r="54" spans="2:6" ht="14.85" customHeight="1">
      <c r="F54" s="414"/>
    </row>
    <row r="55" spans="2:6" ht="14.85" customHeight="1">
      <c r="F55" s="414"/>
    </row>
    <row r="56" spans="2:6" ht="14.85" customHeight="1">
      <c r="F56" s="414"/>
    </row>
    <row r="57" spans="2:6" ht="14.85" customHeight="1">
      <c r="F57" s="414"/>
    </row>
    <row r="58" spans="2:6" ht="14.85" customHeight="1">
      <c r="F58" s="414"/>
    </row>
    <row r="59" spans="2:6" ht="14.85" customHeight="1">
      <c r="F59" s="414"/>
    </row>
    <row r="60" spans="2:6" ht="14.85" customHeight="1"/>
    <row r="61" spans="2:6" ht="14.85" customHeight="1"/>
    <row r="62" spans="2:6" ht="14.85" customHeight="1"/>
    <row r="63" spans="2:6" ht="14.85" customHeight="1"/>
    <row r="64" spans="2:6"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B46:H47"/>
  </mergeCells>
  <conditionalFormatting sqref="D4:H4">
    <cfRule type="cellIs" dxfId="95" priority="3" stopIfTrue="1" operator="equal">
      <formula>"input"</formula>
    </cfRule>
  </conditionalFormatting>
  <conditionalFormatting sqref="B4:C4">
    <cfRule type="cellIs" dxfId="94" priority="1" stopIfTrue="1" operator="equal">
      <formula>"input"</formula>
    </cfRule>
  </conditionalFormatting>
  <pageMargins left="0.7" right="0.7" top="0.75" bottom="0.75" header="0.3" footer="0.3"/>
  <pageSetup scale="78" orientation="landscape"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5">
    <tabColor theme="1"/>
    <pageSetUpPr fitToPage="1"/>
  </sheetPr>
  <dimension ref="B1:J28"/>
  <sheetViews>
    <sheetView showGridLines="0" view="pageBreakPreview" zoomScale="80" zoomScaleNormal="100" zoomScaleSheetLayoutView="80" workbookViewId="0">
      <selection activeCell="J15" sqref="J15"/>
    </sheetView>
  </sheetViews>
  <sheetFormatPr defaultColWidth="9.33203125" defaultRowHeight="14.25"/>
  <cols>
    <col min="1" max="1" width="4.5" style="303" customWidth="1"/>
    <col min="2" max="2" width="3.83203125" style="227" customWidth="1"/>
    <col min="3" max="3" width="15.83203125" style="227" customWidth="1"/>
    <col min="4" max="4" width="115.83203125" style="244" customWidth="1"/>
    <col min="5" max="5" width="8.33203125" style="227" customWidth="1"/>
    <col min="6" max="6" width="3.83203125" style="227" customWidth="1"/>
    <col min="7" max="7" width="4.5" style="303" customWidth="1"/>
    <col min="8" max="8" width="9.33203125" style="303"/>
    <col min="9" max="9" width="21.33203125" style="303" customWidth="1"/>
    <col min="10" max="10" width="19" style="303" bestFit="1" customWidth="1"/>
    <col min="11" max="16384" width="9.33203125" style="303"/>
  </cols>
  <sheetData>
    <row r="1" spans="2:8" ht="12.75">
      <c r="B1" s="303"/>
      <c r="C1" s="303"/>
      <c r="D1" s="363"/>
      <c r="E1" s="303"/>
      <c r="F1" s="303"/>
    </row>
    <row r="2" spans="2:8" ht="12.75">
      <c r="B2" s="303"/>
      <c r="C2" s="303"/>
      <c r="D2" s="363"/>
      <c r="E2" s="303"/>
      <c r="F2" s="303"/>
    </row>
    <row r="3" spans="2:8" ht="12.75">
      <c r="B3" s="303"/>
      <c r="C3" s="303"/>
      <c r="D3" s="363"/>
      <c r="E3" s="303"/>
      <c r="F3" s="303"/>
    </row>
    <row r="4" spans="2:8" ht="12.75">
      <c r="B4" s="303"/>
      <c r="C4" s="303"/>
      <c r="D4" s="363"/>
      <c r="E4" s="303"/>
      <c r="F4" s="303"/>
      <c r="H4" s="2072" t="s">
        <v>2265</v>
      </c>
    </row>
    <row r="5" spans="2:8" ht="12.75">
      <c r="B5" s="303"/>
      <c r="C5" s="303"/>
      <c r="D5" s="363"/>
      <c r="E5" s="303"/>
      <c r="F5" s="303"/>
    </row>
    <row r="6" spans="2:8" ht="12.75">
      <c r="B6" s="364"/>
      <c r="C6" s="365"/>
      <c r="D6" s="366"/>
      <c r="E6" s="365"/>
      <c r="F6" s="365"/>
    </row>
    <row r="7" spans="2:8" ht="13.5" thickBot="1">
      <c r="B7" s="364"/>
      <c r="C7" s="365"/>
      <c r="D7" s="366"/>
      <c r="E7" s="365"/>
      <c r="F7" s="365"/>
    </row>
    <row r="8" spans="2:8" ht="13.5" thickTop="1">
      <c r="B8" s="2073"/>
      <c r="C8" s="1234"/>
      <c r="D8" s="2074"/>
      <c r="E8" s="1234"/>
      <c r="F8" s="1234"/>
    </row>
    <row r="9" spans="2:8" ht="39.75">
      <c r="B9" s="231"/>
      <c r="C9" s="237"/>
      <c r="D9" s="232" t="str">
        <f>+'MASTER PubCo Inputs'!C8</f>
        <v>IRC 409A Common Stock Independent Appraisal</v>
      </c>
      <c r="E9" s="233"/>
      <c r="F9" s="233"/>
    </row>
    <row r="10" spans="2:8">
      <c r="B10" s="2075"/>
      <c r="C10" s="1236"/>
      <c r="D10" s="2077"/>
      <c r="E10" s="237"/>
      <c r="F10" s="237"/>
    </row>
    <row r="11" spans="2:8" ht="23.25">
      <c r="B11" s="2075"/>
      <c r="C11" s="1236"/>
      <c r="D11" s="239" t="s">
        <v>723</v>
      </c>
      <c r="E11" s="237"/>
      <c r="F11" s="237"/>
    </row>
    <row r="12" spans="2:8" ht="19.5">
      <c r="B12" s="2075"/>
      <c r="C12" s="1236"/>
      <c r="D12" s="240" t="s">
        <v>483</v>
      </c>
      <c r="E12" s="237"/>
      <c r="F12" s="237"/>
    </row>
    <row r="13" spans="2:8" ht="23.25">
      <c r="B13" s="2075"/>
      <c r="C13" s="1236"/>
      <c r="D13" s="239" t="str">
        <f>IF('MASTER PubCo Inputs'!C5="","",'MASTER PubCo Inputs'!C5)</f>
        <v>ABC, Inc.</v>
      </c>
      <c r="E13" s="237"/>
      <c r="F13" s="237"/>
    </row>
    <row r="14" spans="2:8">
      <c r="B14" s="2075"/>
      <c r="C14" s="1236"/>
      <c r="D14" s="2077"/>
      <c r="E14" s="237"/>
      <c r="F14" s="237"/>
    </row>
    <row r="15" spans="2:8" ht="23.25">
      <c r="B15" s="2075"/>
      <c r="C15" s="1236"/>
      <c r="D15" s="239" t="str">
        <f>"Valuation Date as of "&amp;TEXT('MASTER PubCo Inputs'!$C$6,"mmmm d, yyyy")&amp;""</f>
        <v>Valuation Date as of December 31, 2016</v>
      </c>
      <c r="E15" s="237"/>
      <c r="F15" s="237"/>
    </row>
    <row r="16" spans="2:8" ht="15" thickBot="1">
      <c r="B16" s="2076"/>
      <c r="C16" s="1238"/>
      <c r="D16" s="2078"/>
      <c r="E16" s="242"/>
      <c r="F16" s="242"/>
    </row>
    <row r="17" spans="2:10" ht="13.5" thickTop="1">
      <c r="B17" s="303"/>
      <c r="C17" s="303"/>
      <c r="D17" s="363"/>
      <c r="E17" s="303"/>
      <c r="F17" s="303"/>
    </row>
    <row r="18" spans="2:10" ht="12.75">
      <c r="B18" s="303"/>
      <c r="C18" s="303"/>
      <c r="D18" s="363"/>
      <c r="E18" s="303"/>
      <c r="F18" s="303"/>
    </row>
    <row r="19" spans="2:10" ht="18">
      <c r="B19" s="303"/>
      <c r="C19" s="303"/>
      <c r="D19" s="245" t="s">
        <v>484</v>
      </c>
      <c r="E19" s="303"/>
      <c r="F19" s="303"/>
    </row>
    <row r="20" spans="2:10" ht="18">
      <c r="B20" s="303"/>
      <c r="C20" s="303"/>
      <c r="D20" s="246" t="str">
        <f ca="1">TEXT(J20,"mmmm d, yyyy")</f>
        <v>December 5, 2018</v>
      </c>
      <c r="E20" s="303"/>
      <c r="F20" s="303"/>
      <c r="I20" s="303" t="s">
        <v>486</v>
      </c>
      <c r="J20" s="304">
        <f ca="1">Title!J20</f>
        <v>43439</v>
      </c>
    </row>
    <row r="21" spans="2:10" ht="12.75">
      <c r="B21" s="303"/>
      <c r="C21" s="303"/>
      <c r="D21" s="363"/>
      <c r="E21" s="303"/>
      <c r="F21" s="303"/>
    </row>
    <row r="22" spans="2:10" ht="12.75">
      <c r="B22" s="303"/>
      <c r="C22" s="303"/>
      <c r="D22" s="363"/>
      <c r="E22" s="303"/>
      <c r="F22" s="303"/>
    </row>
    <row r="23" spans="2:10" ht="12.75">
      <c r="B23" s="303"/>
      <c r="C23" s="303"/>
      <c r="D23" s="363"/>
      <c r="E23" s="303"/>
      <c r="F23" s="303"/>
    </row>
    <row r="24" spans="2:10" ht="12.75">
      <c r="B24" s="303"/>
      <c r="C24" s="303"/>
      <c r="D24" s="363"/>
      <c r="E24" s="303"/>
      <c r="F24" s="303"/>
    </row>
    <row r="25" spans="2:10" ht="23.25">
      <c r="B25" s="303"/>
      <c r="C25" s="303"/>
      <c r="D25" s="247"/>
      <c r="E25" s="303"/>
      <c r="F25" s="303"/>
    </row>
    <row r="26" spans="2:10" ht="12.75">
      <c r="B26" s="303"/>
      <c r="C26" s="303"/>
      <c r="D26" s="363"/>
      <c r="E26" s="303"/>
      <c r="F26" s="303"/>
    </row>
    <row r="27" spans="2:10" ht="18">
      <c r="B27" s="303"/>
      <c r="C27" s="303"/>
      <c r="D27" s="248"/>
      <c r="E27" s="303"/>
      <c r="F27" s="303"/>
    </row>
    <row r="28" spans="2:10" ht="36">
      <c r="B28" s="303"/>
      <c r="C28" s="303"/>
      <c r="D28" s="249" t="s">
        <v>485</v>
      </c>
      <c r="E28" s="303"/>
      <c r="F28" s="303"/>
    </row>
  </sheetData>
  <pageMargins left="0.5" right="0.5" top="0.5" bottom="0.5" header="0.5" footer="0.5"/>
  <pageSetup scale="98" orientation="landscape" r:id="rId1"/>
  <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28">
    <pageSetUpPr fitToPage="1"/>
  </sheetPr>
  <dimension ref="B1:F764"/>
  <sheetViews>
    <sheetView showGridLines="0" view="pageBreakPreview" zoomScale="80" zoomScaleNormal="145" zoomScaleSheetLayoutView="80" workbookViewId="0">
      <selection activeCell="B7" sqref="B7"/>
    </sheetView>
  </sheetViews>
  <sheetFormatPr defaultRowHeight="12.75"/>
  <cols>
    <col min="1" max="1" width="4.5" style="250" customWidth="1"/>
    <col min="2" max="2" width="20.83203125" style="250" customWidth="1"/>
    <col min="3" max="4" width="14.83203125" style="250" customWidth="1"/>
    <col min="5" max="5" width="64.1640625" style="251" customWidth="1"/>
    <col min="6" max="6" width="30.83203125" style="250" customWidth="1"/>
    <col min="7" max="7" width="4.5" style="250" customWidth="1"/>
    <col min="8" max="8" width="2.83203125" style="250" customWidth="1"/>
    <col min="9" max="16384" width="9.33203125" style="250"/>
  </cols>
  <sheetData>
    <row r="1" spans="2:6" ht="10.7" customHeight="1" thickBot="1"/>
    <row r="2" spans="2:6" ht="16.5" customHeight="1" thickTop="1">
      <c r="B2" s="258" t="str">
        <f>'MASTER PubCo Inputs'!$C$5</f>
        <v>ABC, Inc.</v>
      </c>
      <c r="C2" s="258"/>
      <c r="D2" s="258"/>
      <c r="E2" s="262"/>
      <c r="F2" s="258"/>
    </row>
    <row r="3" spans="2:6" ht="16.5" customHeight="1" thickBot="1">
      <c r="B3" s="924" t="s">
        <v>1972</v>
      </c>
      <c r="C3" s="924"/>
      <c r="D3" s="924"/>
      <c r="E3" s="263"/>
      <c r="F3" s="924"/>
    </row>
    <row r="4" spans="2:6" ht="12.75" customHeight="1" thickTop="1"/>
    <row r="5" spans="2:6" ht="14.85" customHeight="1"/>
    <row r="6" spans="2:6" ht="14.85" customHeight="1">
      <c r="B6" s="252" t="s">
        <v>1973</v>
      </c>
      <c r="C6" s="253"/>
      <c r="D6" s="253"/>
      <c r="E6" s="1904" t="s">
        <v>1974</v>
      </c>
      <c r="F6" s="253"/>
    </row>
    <row r="7" spans="2:6" ht="14.85" customHeight="1">
      <c r="B7" s="254"/>
      <c r="C7" s="253"/>
      <c r="D7" s="253"/>
      <c r="E7" s="252"/>
      <c r="F7" s="253"/>
    </row>
    <row r="8" spans="2:6" ht="14.85" customHeight="1">
      <c r="B8" s="255" t="str">
        <f>Outline!B59</f>
        <v>#1</v>
      </c>
      <c r="E8" s="251" t="str">
        <f>Outline!E59</f>
        <v>Hybrid OPM</v>
      </c>
    </row>
    <row r="9" spans="2:6" ht="14.85" customHeight="1">
      <c r="B9" s="255" t="str">
        <f>Outline!B60</f>
        <v>#2</v>
      </c>
      <c r="E9" s="251" t="str">
        <f>Outline!E60</f>
        <v>Option Pricing Method - Breakpoints &amp; Allocation (Hybrid OPM)</v>
      </c>
    </row>
    <row r="10" spans="2:6" ht="14.85" customHeight="1">
      <c r="B10" s="255" t="str">
        <f>Outline!B61</f>
        <v>#3</v>
      </c>
      <c r="E10" s="251" t="str">
        <f>Outline!E61</f>
        <v>Option Pricing Method - Implied Value Per Share (Hybrid OPM)</v>
      </c>
    </row>
    <row r="11" spans="2:6" ht="14.85" customHeight="1">
      <c r="B11" s="255" t="str">
        <f>Outline!B62</f>
        <v>#4</v>
      </c>
      <c r="E11" s="251" t="str">
        <f>Outline!E62</f>
        <v>Discount for Lack of Marketability - Option Models (Hybrid OPM)</v>
      </c>
    </row>
    <row r="12" spans="2:6" ht="14.85" customHeight="1">
      <c r="B12" s="255" t="str">
        <f>Outline!B63</f>
        <v>#5</v>
      </c>
      <c r="E12" s="251" t="str">
        <f>Outline!E63</f>
        <v>Asset Volatility (Hybrid OPM)</v>
      </c>
    </row>
    <row r="13" spans="2:6" ht="14.85" customHeight="1">
      <c r="B13" s="255" t="str">
        <f>Outline!B64</f>
        <v>#6</v>
      </c>
      <c r="E13" s="251" t="str">
        <f>Outline!E64</f>
        <v>Class Volatility (Hybrid OPM)</v>
      </c>
    </row>
    <row r="14" spans="2:6" ht="14.85" customHeight="1">
      <c r="B14" s="255" t="str">
        <f>Outline!B65</f>
        <v>#7</v>
      </c>
      <c r="E14" s="251" t="str">
        <f>Outline!E65</f>
        <v>Market Trends Since Previous Valuation</v>
      </c>
    </row>
    <row r="15" spans="2:6" ht="14.85" customHeight="1">
      <c r="B15" s="255" t="str">
        <f>Outline!B66</f>
        <v>#8</v>
      </c>
      <c r="E15" s="251" t="str">
        <f>Outline!E66</f>
        <v>Control Premium Summary</v>
      </c>
    </row>
    <row r="16" spans="2:6" ht="14.85" customHeight="1">
      <c r="B16" s="255" t="str">
        <f>Outline!B67</f>
        <v>#9</v>
      </c>
      <c r="E16" s="251" t="str">
        <f>Outline!E67</f>
        <v>Comparative Sheet</v>
      </c>
    </row>
    <row r="17" spans="2:5" ht="14.85" customHeight="1">
      <c r="B17" s="255" t="str">
        <f>Outline!B68</f>
        <v>#10</v>
      </c>
      <c r="E17" s="251" t="str">
        <f>Outline!E68</f>
        <v>Guideline Public Companies' Price Multiples</v>
      </c>
    </row>
    <row r="18" spans="2:5" ht="14.85" customHeight="1">
      <c r="B18" s="255" t="str">
        <f>Outline!B69</f>
        <v>#11</v>
      </c>
      <c r="E18" s="251" t="str">
        <f>Outline!E69</f>
        <v>Summary Of Restricted Stock Studies</v>
      </c>
    </row>
    <row r="19" spans="2:5" ht="14.85" customHeight="1">
      <c r="B19" s="255" t="str">
        <f>Outline!B70</f>
        <v>#12</v>
      </c>
      <c r="E19" s="251" t="str">
        <f>Outline!E70</f>
        <v>Price Differentials Between Voting &amp; Nonvoting Stock</v>
      </c>
    </row>
    <row r="20" spans="2:5" ht="14.85" customHeight="1">
      <c r="B20" s="255" t="str">
        <f>Outline!B71</f>
        <v>#13</v>
      </c>
      <c r="E20" s="256" t="str">
        <f>Outline!E72</f>
        <v/>
      </c>
    </row>
    <row r="21" spans="2:5" ht="14.85" customHeight="1">
      <c r="B21" s="255" t="str">
        <f>Outline!B72</f>
        <v>#14</v>
      </c>
      <c r="E21" s="256" t="str">
        <f>Outline!E73</f>
        <v/>
      </c>
    </row>
    <row r="22" spans="2:5" ht="14.85" customHeight="1"/>
    <row r="23" spans="2:5" ht="14.85" customHeight="1">
      <c r="E23" s="250"/>
    </row>
    <row r="24" spans="2:5" ht="14.85" customHeight="1">
      <c r="E24" s="250"/>
    </row>
    <row r="25" spans="2:5" ht="14.85" customHeight="1">
      <c r="E25" s="250"/>
    </row>
    <row r="26" spans="2:5" ht="14.85" customHeight="1">
      <c r="E26" s="250"/>
    </row>
    <row r="27" spans="2:5" ht="14.85" customHeight="1"/>
    <row r="28" spans="2:5" ht="14.85" customHeight="1"/>
    <row r="29" spans="2:5" ht="14.85" customHeight="1"/>
    <row r="30" spans="2:5" ht="14.85" customHeight="1"/>
    <row r="31" spans="2:5" ht="14.85" customHeight="1"/>
    <row r="32" spans="2:5"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3:F3">
    <cfRule type="cellIs" dxfId="93" priority="15" stopIfTrue="1" operator="equal">
      <formula>"input"</formula>
    </cfRule>
  </conditionalFormatting>
  <conditionalFormatting sqref="B7">
    <cfRule type="expression" dxfId="92" priority="14">
      <formula>OR($B7="Exhibits",$B7="Workpapers")</formula>
    </cfRule>
  </conditionalFormatting>
  <conditionalFormatting sqref="E7">
    <cfRule type="expression" dxfId="91" priority="13">
      <formula>$B7=""</formula>
    </cfRule>
  </conditionalFormatting>
  <conditionalFormatting sqref="B8:B12 B14:B21">
    <cfRule type="expression" dxfId="90" priority="7">
      <formula>OR($B8="Exhibits",$B8="Workpapers")</formula>
    </cfRule>
  </conditionalFormatting>
  <conditionalFormatting sqref="E20:E21">
    <cfRule type="expression" dxfId="89" priority="8">
      <formula>$B18=""</formula>
    </cfRule>
  </conditionalFormatting>
  <conditionalFormatting sqref="B8:B10">
    <cfRule type="expression" dxfId="88" priority="3">
      <formula>OR($B8="Exhibits",$B8="Workpapers")</formula>
    </cfRule>
  </conditionalFormatting>
  <conditionalFormatting sqref="B11:B12">
    <cfRule type="expression" dxfId="87" priority="2">
      <formula>$B9=""</formula>
    </cfRule>
  </conditionalFormatting>
  <conditionalFormatting sqref="B13">
    <cfRule type="expression" dxfId="86" priority="1">
      <formula>OR($B13="Exhibits",$B13="Workpapers")</formula>
    </cfRule>
  </conditionalFormatting>
  <pageMargins left="0.5" right="0.5" top="0.5" bottom="0.5" header="0.5" footer="0.5"/>
  <pageSetup scale="99" orientation="landscape" r:id="rId1"/>
  <legacy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65"/>
  <dimension ref="A1:J764"/>
  <sheetViews>
    <sheetView showGridLines="0" view="pageBreakPreview" zoomScale="80" zoomScaleNormal="100" zoomScaleSheetLayoutView="80" workbookViewId="0"/>
  </sheetViews>
  <sheetFormatPr defaultRowHeight="12.75"/>
  <cols>
    <col min="1" max="1" width="4.5" style="250" customWidth="1"/>
    <col min="2" max="2" width="57.1640625" style="250" customWidth="1"/>
    <col min="3" max="5" width="20.83203125" style="250" customWidth="1"/>
    <col min="6" max="6" width="24.6640625" style="250" customWidth="1"/>
    <col min="7" max="7" width="4.5" style="250" customWidth="1"/>
    <col min="8" max="8" width="18.6640625" style="250" customWidth="1"/>
    <col min="9" max="10" width="15.6640625" style="250" customWidth="1"/>
    <col min="11" max="16384" width="9.33203125" style="250"/>
  </cols>
  <sheetData>
    <row r="1" spans="2:7" ht="10.7" customHeight="1" thickBot="1"/>
    <row r="2" spans="2:7" ht="16.5" customHeight="1" thickTop="1">
      <c r="B2" s="258" t="str">
        <f>'MASTER PubCo Inputs'!$C$5</f>
        <v>ABC, Inc.</v>
      </c>
      <c r="C2" s="258"/>
      <c r="D2" s="258"/>
      <c r="E2" s="258"/>
      <c r="F2" s="258"/>
    </row>
    <row r="3" spans="2:7" ht="15.75" customHeight="1">
      <c r="B3" s="259" t="str">
        <f>VLOOKUP(B4,Outline!$E$8:$G$79,COLUMNS(Outline!$E$8:$G$8),FALSE)</f>
        <v>Workpaper #1</v>
      </c>
      <c r="C3" s="259"/>
      <c r="D3" s="259"/>
      <c r="E3" s="259"/>
      <c r="F3" s="259"/>
    </row>
    <row r="4" spans="2:7" ht="16.5" customHeight="1" thickBot="1">
      <c r="B4" s="924" t="s">
        <v>2188</v>
      </c>
      <c r="C4" s="924"/>
      <c r="D4" s="924"/>
      <c r="E4" s="924"/>
      <c r="F4" s="925" t="str">
        <f>+'MASTER PubCo Inputs'!$C$21</f>
        <v>(in thousands of USD)</v>
      </c>
    </row>
    <row r="5" spans="2:7" ht="14.85" customHeight="1" thickTop="1">
      <c r="B5" s="1905"/>
      <c r="C5" s="492"/>
      <c r="D5" s="492"/>
      <c r="E5" s="492"/>
      <c r="F5" s="492"/>
    </row>
    <row r="6" spans="2:7" s="467" customFormat="1" ht="14.85" customHeight="1">
      <c r="B6" s="250"/>
      <c r="C6" s="250"/>
      <c r="D6" s="357" t="s">
        <v>270</v>
      </c>
      <c r="E6" s="357" t="s">
        <v>269</v>
      </c>
      <c r="F6" s="357" t="s">
        <v>269</v>
      </c>
      <c r="G6" s="250"/>
    </row>
    <row r="7" spans="2:7" s="272" customFormat="1" ht="14.85" customHeight="1">
      <c r="B7" s="1906" t="s">
        <v>2189</v>
      </c>
      <c r="C7" s="1907"/>
      <c r="D7" s="1446" t="s">
        <v>602</v>
      </c>
      <c r="E7" s="1446" t="s">
        <v>2263</v>
      </c>
      <c r="F7" s="1447" t="s">
        <v>2264</v>
      </c>
    </row>
    <row r="8" spans="2:7" ht="14.85" customHeight="1"/>
    <row r="9" spans="2:7" ht="14.85" customHeight="1">
      <c r="B9" s="250" t="s">
        <v>2190</v>
      </c>
      <c r="C9" s="1066">
        <f>SUM(D9:F9)</f>
        <v>1</v>
      </c>
      <c r="D9" s="1908">
        <f>1-E9-F9</f>
        <v>1</v>
      </c>
      <c r="E9" s="1909"/>
      <c r="F9" s="1909"/>
    </row>
    <row r="10" spans="2:7" ht="14.85" customHeight="1">
      <c r="C10" s="275"/>
      <c r="D10" s="275"/>
      <c r="E10" s="1910"/>
      <c r="F10" s="1066"/>
    </row>
    <row r="11" spans="2:7" ht="14.85" customHeight="1">
      <c r="B11" s="250" t="s">
        <v>2191</v>
      </c>
      <c r="C11" s="275"/>
      <c r="D11" s="1417" t="e">
        <f ca="1">'OPM 2 Hybrid'!L24</f>
        <v>#DIV/0!</v>
      </c>
      <c r="E11" s="1911"/>
      <c r="F11" s="1911"/>
    </row>
    <row r="12" spans="2:7" ht="14.85" customHeight="1">
      <c r="C12" s="275"/>
      <c r="D12" s="251"/>
      <c r="E12" s="1912"/>
      <c r="F12" s="333"/>
    </row>
    <row r="13" spans="2:7" ht="14.85" customHeight="1">
      <c r="B13" s="359" t="s">
        <v>2192</v>
      </c>
      <c r="C13" s="275"/>
      <c r="D13" s="251"/>
      <c r="E13" s="1912"/>
      <c r="F13" s="333"/>
    </row>
    <row r="14" spans="2:7" ht="14.85" customHeight="1">
      <c r="B14" s="328" t="s">
        <v>460</v>
      </c>
      <c r="C14" s="275"/>
      <c r="D14" s="1913"/>
      <c r="E14" s="1914"/>
      <c r="F14" s="1914"/>
    </row>
    <row r="15" spans="2:7" ht="14.85" customHeight="1">
      <c r="B15" s="328" t="s">
        <v>463</v>
      </c>
      <c r="C15" s="275"/>
      <c r="D15" s="295"/>
      <c r="E15" s="1915"/>
      <c r="F15" s="1915"/>
    </row>
    <row r="16" spans="2:7" ht="14.85" customHeight="1">
      <c r="B16" s="328" t="s">
        <v>2193</v>
      </c>
      <c r="C16" s="275"/>
      <c r="D16" s="1916"/>
      <c r="E16" s="1917">
        <f>SUM(E14:E15)</f>
        <v>0</v>
      </c>
      <c r="F16" s="1917">
        <f>SUM(F14:F15)</f>
        <v>0</v>
      </c>
    </row>
    <row r="17" spans="2:10" ht="14.85" customHeight="1">
      <c r="B17" s="1441" t="s">
        <v>2194</v>
      </c>
      <c r="C17" s="1918" t="str">
        <f>+'Cap Table'!B3</f>
        <v>Exhibit G.1</v>
      </c>
      <c r="D17" s="295"/>
      <c r="E17" s="1915"/>
      <c r="F17" s="853">
        <f>E17</f>
        <v>0</v>
      </c>
      <c r="I17" s="1919" t="s">
        <v>2195</v>
      </c>
    </row>
    <row r="18" spans="2:10" ht="14.85" customHeight="1">
      <c r="I18" s="424"/>
    </row>
    <row r="19" spans="2:10" ht="14.85" customHeight="1">
      <c r="B19" s="359" t="s">
        <v>2196</v>
      </c>
      <c r="C19" s="251"/>
      <c r="D19" s="1911"/>
      <c r="E19" s="786" t="e">
        <f>+E16/E17</f>
        <v>#DIV/0!</v>
      </c>
      <c r="F19" s="786" t="e">
        <f>+F16/F17</f>
        <v>#DIV/0!</v>
      </c>
      <c r="H19" s="250" t="s">
        <v>255</v>
      </c>
      <c r="I19" s="748"/>
    </row>
    <row r="20" spans="2:10" ht="14.85" customHeight="1">
      <c r="C20" s="251"/>
      <c r="D20" s="251"/>
      <c r="E20" s="1912"/>
      <c r="F20" s="333"/>
      <c r="H20" s="250" t="s">
        <v>155</v>
      </c>
      <c r="I20" s="1920"/>
    </row>
    <row r="21" spans="2:10" ht="14.85" customHeight="1">
      <c r="B21" s="250" t="s">
        <v>2197</v>
      </c>
      <c r="C21" s="251"/>
      <c r="D21" s="337">
        <f>'OPM 1 Hybrid'!D9</f>
        <v>156356.60854208868</v>
      </c>
      <c r="E21" s="1914"/>
      <c r="F21" s="1914"/>
      <c r="I21" s="1921"/>
    </row>
    <row r="22" spans="2:10" ht="14.85" customHeight="1">
      <c r="C22" s="251"/>
      <c r="D22" s="251"/>
      <c r="E22" s="1912"/>
      <c r="F22" s="333"/>
      <c r="I22" s="795"/>
    </row>
    <row r="23" spans="2:10" ht="14.85" customHeight="1">
      <c r="B23" s="1922" t="s">
        <v>2198</v>
      </c>
      <c r="C23" s="1923"/>
      <c r="D23" s="1923"/>
      <c r="E23" s="1923"/>
      <c r="F23" s="1924"/>
    </row>
    <row r="24" spans="2:10" ht="14.85" customHeight="1">
      <c r="C24" s="251"/>
      <c r="D24" s="251"/>
      <c r="E24" s="1912"/>
      <c r="F24" s="1066"/>
      <c r="J24" s="467"/>
    </row>
    <row r="25" spans="2:10" ht="14.85" customHeight="1">
      <c r="B25" s="1925" t="s">
        <v>157</v>
      </c>
      <c r="C25" s="429" t="e">
        <f ca="1">SUMPRODUCT(D9:F9,D11:F11)</f>
        <v>#DIV/0!</v>
      </c>
      <c r="E25" s="1912"/>
      <c r="F25" s="333"/>
      <c r="J25" s="467"/>
    </row>
    <row r="26" spans="2:10" ht="14.85" customHeight="1">
      <c r="B26" s="253"/>
      <c r="E26" s="1912"/>
      <c r="F26" s="333"/>
      <c r="I26" s="1926" t="s">
        <v>2199</v>
      </c>
      <c r="J26" s="467"/>
    </row>
    <row r="27" spans="2:10" ht="14.85" customHeight="1">
      <c r="B27" s="1927" t="s">
        <v>530</v>
      </c>
      <c r="C27" s="429" t="e">
        <f>SUMPRODUCT(D9:F9,D19:F19)</f>
        <v>#DIV/0!</v>
      </c>
      <c r="E27" s="1912"/>
      <c r="F27" s="333"/>
      <c r="I27" s="1928">
        <v>1.8250999999999999</v>
      </c>
      <c r="J27" s="250" t="s">
        <v>2202</v>
      </c>
    </row>
    <row r="28" spans="2:10" ht="14.85" customHeight="1">
      <c r="B28" s="253"/>
      <c r="E28" s="1912"/>
      <c r="F28" s="333"/>
      <c r="I28" s="480" t="s">
        <v>2200</v>
      </c>
      <c r="J28" s="1929">
        <v>156356.60854208868</v>
      </c>
    </row>
    <row r="29" spans="2:10" ht="14.85" customHeight="1">
      <c r="B29" s="1925" t="s">
        <v>155</v>
      </c>
      <c r="C29" s="412">
        <f>ROUND(SUMPRODUCT(D9:F9,D21:F21),-3)</f>
        <v>156000</v>
      </c>
      <c r="E29" s="1912"/>
      <c r="F29" s="333"/>
      <c r="I29" s="1921" t="s">
        <v>686</v>
      </c>
      <c r="J29" s="480" t="e">
        <f>C27-I27</f>
        <v>#DIV/0!</v>
      </c>
    </row>
    <row r="30" spans="2:10" ht="14.85" customHeight="1">
      <c r="E30" s="1912"/>
      <c r="F30" s="333"/>
      <c r="H30" s="467"/>
      <c r="I30" s="1930"/>
      <c r="J30" s="355" t="e">
        <f>IF(OR(J29&lt;-0.01,J29&gt;0.01),"Check","")</f>
        <v>#DIV/0!</v>
      </c>
    </row>
    <row r="31" spans="2:10" ht="14.85" customHeight="1">
      <c r="B31" s="1931"/>
      <c r="H31" s="467"/>
      <c r="I31" s="467"/>
      <c r="J31" s="467"/>
    </row>
    <row r="32" spans="2:10" ht="14.85" customHeight="1">
      <c r="B32" s="1932" t="s">
        <v>86</v>
      </c>
    </row>
    <row r="33" spans="1:6" ht="14.85" customHeight="1">
      <c r="A33" s="788" t="str">
        <f>+D6</f>
        <v>(1)</v>
      </c>
      <c r="B33" s="1933" t="str">
        <f>"Refer to "&amp;'OPM 1 Hybrid'!B3&amp;"."</f>
        <v>Refer to Workpaper #2.</v>
      </c>
    </row>
    <row r="34" spans="1:6" ht="14.85" customHeight="1">
      <c r="A34" s="250" t="str">
        <f>+E6</f>
        <v>(2)</v>
      </c>
      <c r="B34" s="1933" t="str">
        <f>"Refer to "&amp;PWERM!B3&amp;"."</f>
        <v>Refer to Exhibit B.1.</v>
      </c>
      <c r="C34" s="433"/>
    </row>
    <row r="35" spans="1:6" s="1504" customFormat="1" ht="14.85" customHeight="1">
      <c r="A35" s="1504" t="s">
        <v>308</v>
      </c>
      <c r="B35" s="2113" t="s">
        <v>2201</v>
      </c>
      <c r="C35" s="2113"/>
      <c r="D35" s="2113"/>
      <c r="E35" s="2113"/>
      <c r="F35" s="2113"/>
    </row>
    <row r="36" spans="1:6" ht="14.85" customHeight="1">
      <c r="B36" s="1934"/>
    </row>
    <row r="37" spans="1:6" ht="14.85" customHeight="1"/>
    <row r="38" spans="1:6" ht="14.85" customHeight="1"/>
    <row r="39" spans="1:6" ht="14.85" customHeight="1"/>
    <row r="40" spans="1:6" ht="14.85" customHeight="1"/>
    <row r="41" spans="1:6" ht="14.85" customHeight="1"/>
    <row r="42" spans="1:6" ht="14.85" customHeight="1"/>
    <row r="43" spans="1:6" ht="14.85" customHeight="1"/>
    <row r="44" spans="1:6" ht="14.85" customHeight="1"/>
    <row r="45" spans="1:6" ht="14.85" customHeight="1"/>
    <row r="46" spans="1:6" ht="14.85" customHeight="1"/>
    <row r="47" spans="1:6" ht="14.85" customHeight="1"/>
    <row r="48" spans="1:6"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B35:F35"/>
  </mergeCells>
  <conditionalFormatting sqref="B5:F5 B4:E4">
    <cfRule type="cellIs" dxfId="85" priority="3" stopIfTrue="1" operator="equal">
      <formula>"input"</formula>
    </cfRule>
  </conditionalFormatting>
  <conditionalFormatting sqref="F4">
    <cfRule type="cellIs" dxfId="84" priority="1" stopIfTrue="1" operator="equal">
      <formula>"input"</formula>
    </cfRule>
  </conditionalFormatting>
  <conditionalFormatting sqref="F4">
    <cfRule type="cellIs" dxfId="83" priority="2" stopIfTrue="1" operator="equal">
      <formula>"input"</formula>
    </cfRule>
  </conditionalFormatting>
  <pageMargins left="0.5" right="0.5" top="0.5" bottom="0.5" header="0.5" footer="0.5"/>
  <pageSetup fitToWidth="0" fitToHeight="0" orientation="landscape" r:id="rId1"/>
  <legacyDrawingHF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48"/>
  <dimension ref="A1:Y764"/>
  <sheetViews>
    <sheetView showGridLines="0" view="pageBreakPreview" zoomScale="80" zoomScaleNormal="85" zoomScaleSheetLayoutView="80" workbookViewId="0"/>
  </sheetViews>
  <sheetFormatPr defaultRowHeight="12.75" outlineLevelRow="1" outlineLevelCol="1"/>
  <cols>
    <col min="1" max="1" width="4.5" style="250" customWidth="1"/>
    <col min="2" max="2" width="52.1640625" style="250" customWidth="1"/>
    <col min="3" max="3" width="2.83203125" style="250" customWidth="1"/>
    <col min="4" max="9" width="18.1640625" style="250" customWidth="1"/>
    <col min="10" max="18" width="18.1640625" style="250" hidden="1" customWidth="1" outlineLevel="1"/>
    <col min="19" max="19" width="18.1640625" style="250" customWidth="1" collapsed="1"/>
    <col min="20" max="20" width="4.5" style="250" customWidth="1"/>
    <col min="21" max="21" width="11.83203125" style="250" customWidth="1"/>
    <col min="22" max="22" width="1.83203125" style="250" customWidth="1"/>
    <col min="23" max="23" width="21.6640625" style="275" bestFit="1" customWidth="1"/>
    <col min="24" max="16384" width="9.33203125" style="250"/>
  </cols>
  <sheetData>
    <row r="1" spans="2:23" ht="10.7" customHeight="1" thickBot="1"/>
    <row r="2" spans="2:23" ht="16.5" customHeight="1" thickTop="1">
      <c r="B2" s="258" t="str">
        <f>'MASTER PubCo Inputs'!$C$5</f>
        <v>ABC, Inc.</v>
      </c>
      <c r="C2" s="258"/>
      <c r="D2" s="258"/>
      <c r="E2" s="258"/>
      <c r="F2" s="258"/>
      <c r="G2" s="258"/>
      <c r="H2" s="258"/>
      <c r="I2" s="258"/>
      <c r="J2" s="258"/>
      <c r="K2" s="258"/>
      <c r="L2" s="258"/>
      <c r="M2" s="258"/>
      <c r="N2" s="258"/>
      <c r="O2" s="258"/>
      <c r="P2" s="258"/>
      <c r="Q2" s="258"/>
      <c r="R2" s="258"/>
      <c r="S2" s="258"/>
    </row>
    <row r="3" spans="2:23" ht="15.75" customHeight="1">
      <c r="B3" s="259" t="str">
        <f>VLOOKUP(B4,Outline!$E$8:$G$79,COLUMNS(Outline!$E$8:$G$8),FALSE)</f>
        <v>Workpaper #2</v>
      </c>
      <c r="C3" s="259"/>
      <c r="D3" s="259"/>
      <c r="E3" s="259"/>
      <c r="F3" s="259"/>
      <c r="G3" s="259"/>
      <c r="H3" s="259"/>
      <c r="I3" s="259"/>
      <c r="J3" s="259"/>
      <c r="K3" s="259"/>
      <c r="L3" s="259"/>
      <c r="M3" s="259"/>
      <c r="N3" s="259"/>
      <c r="O3" s="259"/>
      <c r="P3" s="259"/>
      <c r="Q3" s="259"/>
      <c r="R3" s="259"/>
      <c r="S3" s="259"/>
    </row>
    <row r="4" spans="2:23" ht="16.5" customHeight="1" thickBot="1">
      <c r="B4" s="924" t="s">
        <v>2203</v>
      </c>
      <c r="C4" s="924"/>
      <c r="D4" s="924"/>
      <c r="E4" s="924"/>
      <c r="F4" s="924"/>
      <c r="G4" s="924"/>
      <c r="H4" s="924"/>
      <c r="I4" s="924"/>
      <c r="J4" s="925"/>
      <c r="K4" s="925"/>
      <c r="L4" s="925"/>
      <c r="M4" s="925"/>
      <c r="N4" s="925"/>
      <c r="O4" s="925"/>
      <c r="P4" s="925"/>
      <c r="Q4" s="925"/>
      <c r="R4" s="925"/>
      <c r="S4" s="925" t="str">
        <f>+'MASTER PubCo Inputs'!$C$20</f>
        <v>(in thousands of USD and shares, except price per share)</v>
      </c>
    </row>
    <row r="5" spans="2:23" s="467" customFormat="1" ht="14.85" customHeight="1" thickTop="1">
      <c r="B5" s="250"/>
      <c r="C5" s="250"/>
      <c r="D5" s="250"/>
      <c r="E5" s="250"/>
      <c r="F5" s="250"/>
      <c r="G5" s="250"/>
      <c r="H5" s="250"/>
      <c r="I5" s="250"/>
      <c r="J5" s="250"/>
      <c r="K5" s="250"/>
      <c r="L5" s="250"/>
      <c r="M5" s="250"/>
      <c r="N5" s="250"/>
      <c r="O5" s="250"/>
      <c r="P5" s="250"/>
      <c r="Q5" s="250"/>
      <c r="R5" s="250"/>
      <c r="S5" s="250"/>
      <c r="T5" s="250"/>
      <c r="U5" s="250"/>
      <c r="W5" s="718"/>
    </row>
    <row r="6" spans="2:23" s="467" customFormat="1" ht="14.85" customHeight="1">
      <c r="B6" s="250"/>
      <c r="C6" s="250"/>
      <c r="D6" s="250"/>
      <c r="E6" s="250"/>
      <c r="F6" s="250"/>
      <c r="G6" s="250"/>
      <c r="H6" s="250"/>
      <c r="I6" s="250"/>
      <c r="J6" s="250"/>
      <c r="K6" s="250"/>
      <c r="L6" s="250"/>
      <c r="M6" s="250"/>
      <c r="N6" s="250"/>
      <c r="O6" s="250"/>
      <c r="P6" s="250"/>
      <c r="Q6" s="250"/>
      <c r="R6" s="250"/>
      <c r="S6" s="250"/>
      <c r="T6" s="250"/>
      <c r="W6" s="718"/>
    </row>
    <row r="7" spans="2:23" ht="14.85" customHeight="1">
      <c r="B7" s="719" t="s">
        <v>401</v>
      </c>
      <c r="C7" s="720"/>
      <c r="D7" s="720"/>
      <c r="E7" s="1935" t="s">
        <v>70</v>
      </c>
      <c r="F7" s="720"/>
      <c r="G7" s="720"/>
      <c r="H7" s="720"/>
      <c r="I7" s="720"/>
      <c r="J7" s="720"/>
      <c r="K7" s="720"/>
      <c r="L7" s="720"/>
      <c r="M7" s="720"/>
      <c r="N7" s="720"/>
      <c r="O7" s="720"/>
      <c r="P7" s="720"/>
      <c r="Q7" s="720"/>
      <c r="R7" s="720"/>
      <c r="S7" s="722"/>
    </row>
    <row r="8" spans="2:23" s="724" customFormat="1" ht="14.85" customHeight="1">
      <c r="B8" s="723"/>
      <c r="C8" s="723"/>
      <c r="D8" s="723"/>
      <c r="E8" s="723"/>
      <c r="F8" s="723"/>
      <c r="G8" s="723"/>
      <c r="H8" s="723"/>
      <c r="I8" s="723"/>
      <c r="J8" s="723"/>
      <c r="K8" s="723"/>
      <c r="L8" s="723"/>
      <c r="M8" s="723"/>
      <c r="N8" s="723"/>
      <c r="O8" s="723"/>
      <c r="P8" s="723"/>
      <c r="Q8" s="723"/>
      <c r="R8" s="723"/>
      <c r="S8" s="723"/>
      <c r="W8" s="725"/>
    </row>
    <row r="9" spans="2:23" ht="14.85" customHeight="1">
      <c r="B9" s="250" t="s">
        <v>399</v>
      </c>
      <c r="C9" s="726"/>
      <c r="D9" s="727">
        <f>'Hybrid OPM'!J28</f>
        <v>156356.60854208868</v>
      </c>
      <c r="E9" s="360" t="s">
        <v>2573</v>
      </c>
    </row>
    <row r="10" spans="2:23" ht="14.85" customHeight="1">
      <c r="B10" s="250" t="s">
        <v>400</v>
      </c>
      <c r="D10" s="728">
        <v>2.5</v>
      </c>
      <c r="E10" s="360" t="s">
        <v>2572</v>
      </c>
    </row>
    <row r="11" spans="2:23" ht="14.85" customHeight="1">
      <c r="B11" s="724" t="s">
        <v>74</v>
      </c>
      <c r="C11" s="729"/>
      <c r="D11" s="730">
        <f>'Asset Vol Hybrid'!$Q$48</f>
        <v>0.31</v>
      </c>
      <c r="E11" s="360" t="str">
        <f>'Asset Vol Hybrid'!$B$3</f>
        <v>Workpaper #5</v>
      </c>
      <c r="G11" s="731"/>
    </row>
    <row r="12" spans="2:23" ht="14.85" customHeight="1">
      <c r="B12" s="250" t="s">
        <v>72</v>
      </c>
      <c r="C12" s="729"/>
      <c r="D12" s="732">
        <f>'Asset Vol Hybrid'!$O$48</f>
        <v>1.2549999999999999E-2</v>
      </c>
      <c r="E12" s="360" t="str">
        <f>'Risk-Free Rates'!B3</f>
        <v>Exhibit H.9</v>
      </c>
      <c r="G12" s="731"/>
    </row>
    <row r="13" spans="2:23" ht="14.85" customHeight="1">
      <c r="B13" s="250" t="s">
        <v>73</v>
      </c>
      <c r="D13" s="733">
        <v>0</v>
      </c>
      <c r="E13" s="360" t="s">
        <v>2572</v>
      </c>
      <c r="G13" s="731"/>
    </row>
    <row r="14" spans="2:23" ht="14.85" customHeight="1">
      <c r="D14" s="439" t="s">
        <v>784</v>
      </c>
      <c r="E14" s="359"/>
      <c r="F14" s="359"/>
      <c r="G14" s="731"/>
    </row>
    <row r="15" spans="2:23" ht="14.85" customHeight="1">
      <c r="D15" s="734">
        <v>1</v>
      </c>
      <c r="E15" s="735">
        <f>D15+1</f>
        <v>2</v>
      </c>
      <c r="F15" s="735">
        <f t="shared" ref="F15:S15" si="0">E15+1</f>
        <v>3</v>
      </c>
      <c r="G15" s="735">
        <f t="shared" si="0"/>
        <v>4</v>
      </c>
      <c r="H15" s="735">
        <f t="shared" si="0"/>
        <v>5</v>
      </c>
      <c r="I15" s="735">
        <f t="shared" si="0"/>
        <v>6</v>
      </c>
      <c r="J15" s="735">
        <f t="shared" si="0"/>
        <v>7</v>
      </c>
      <c r="K15" s="735">
        <f t="shared" si="0"/>
        <v>8</v>
      </c>
      <c r="L15" s="735">
        <f t="shared" si="0"/>
        <v>9</v>
      </c>
      <c r="M15" s="735">
        <f t="shared" si="0"/>
        <v>10</v>
      </c>
      <c r="N15" s="735">
        <f t="shared" si="0"/>
        <v>11</v>
      </c>
      <c r="O15" s="735">
        <f t="shared" si="0"/>
        <v>12</v>
      </c>
      <c r="P15" s="735">
        <f t="shared" si="0"/>
        <v>13</v>
      </c>
      <c r="Q15" s="735">
        <f t="shared" si="0"/>
        <v>14</v>
      </c>
      <c r="R15" s="735">
        <f t="shared" si="0"/>
        <v>15</v>
      </c>
      <c r="S15" s="736">
        <f t="shared" si="0"/>
        <v>16</v>
      </c>
    </row>
    <row r="16" spans="2:23" s="272" customFormat="1" ht="51">
      <c r="B16" s="737" t="s">
        <v>402</v>
      </c>
      <c r="D16" s="738" t="s">
        <v>403</v>
      </c>
      <c r="E16" s="498" t="s">
        <v>405</v>
      </c>
      <c r="F16" s="498" t="s">
        <v>406</v>
      </c>
      <c r="G16" s="498" t="s">
        <v>407</v>
      </c>
      <c r="H16" s="498" t="s">
        <v>408</v>
      </c>
      <c r="I16" s="498" t="s">
        <v>409</v>
      </c>
      <c r="J16" s="498" t="s">
        <v>409</v>
      </c>
      <c r="K16" s="498" t="s">
        <v>409</v>
      </c>
      <c r="L16" s="498" t="s">
        <v>409</v>
      </c>
      <c r="M16" s="498" t="s">
        <v>409</v>
      </c>
      <c r="N16" s="498" t="s">
        <v>409</v>
      </c>
      <c r="O16" s="498" t="s">
        <v>409</v>
      </c>
      <c r="P16" s="498" t="s">
        <v>409</v>
      </c>
      <c r="Q16" s="498" t="s">
        <v>409</v>
      </c>
      <c r="R16" s="498" t="s">
        <v>409</v>
      </c>
      <c r="S16" s="739" t="s">
        <v>409</v>
      </c>
      <c r="U16" s="740"/>
      <c r="W16" s="347"/>
    </row>
    <row r="17" spans="2:23" ht="14.85" customHeight="1"/>
    <row r="18" spans="2:23" ht="14.85" customHeight="1">
      <c r="B18" s="253" t="s">
        <v>411</v>
      </c>
      <c r="W18" s="382" t="str">
        <f>B18</f>
        <v>Liquidation Preference</v>
      </c>
    </row>
    <row r="19" spans="2:23" ht="14.85" customHeight="1">
      <c r="B19" s="328" t="str">
        <f>'Cap Table'!$D$7</f>
        <v>Series A</v>
      </c>
      <c r="D19" s="381">
        <v>0</v>
      </c>
      <c r="E19" s="381">
        <v>0</v>
      </c>
      <c r="F19" s="381">
        <v>0</v>
      </c>
      <c r="G19" s="381">
        <v>0</v>
      </c>
      <c r="H19" s="381">
        <f>W19</f>
        <v>250</v>
      </c>
      <c r="I19" s="381"/>
      <c r="J19" s="381"/>
      <c r="K19" s="381"/>
      <c r="L19" s="381"/>
      <c r="M19" s="381"/>
      <c r="N19" s="381"/>
      <c r="O19" s="381"/>
      <c r="P19" s="381"/>
      <c r="Q19" s="381"/>
      <c r="R19" s="381"/>
      <c r="S19" s="381"/>
      <c r="U19" s="331"/>
      <c r="W19" s="741">
        <f>'Econ Rights'!$D$16</f>
        <v>250</v>
      </c>
    </row>
    <row r="20" spans="2:23" ht="14.85" customHeight="1">
      <c r="B20" s="328" t="str">
        <f>'Cap Table'!$E$7</f>
        <v>Series B</v>
      </c>
      <c r="D20" s="381">
        <v>0</v>
      </c>
      <c r="E20" s="381">
        <v>0</v>
      </c>
      <c r="F20" s="381">
        <v>0</v>
      </c>
      <c r="G20" s="381">
        <f>W20</f>
        <v>243</v>
      </c>
      <c r="H20" s="381">
        <f t="shared" ref="F20:H23" si="1">G20</f>
        <v>243</v>
      </c>
      <c r="I20" s="381"/>
      <c r="J20" s="381"/>
      <c r="K20" s="381"/>
      <c r="L20" s="381"/>
      <c r="M20" s="381"/>
      <c r="N20" s="381"/>
      <c r="O20" s="381"/>
      <c r="P20" s="381"/>
      <c r="Q20" s="381"/>
      <c r="R20" s="381"/>
      <c r="S20" s="381"/>
      <c r="W20" s="741">
        <f>'Econ Rights'!$E$16</f>
        <v>243</v>
      </c>
    </row>
    <row r="21" spans="2:23" ht="14.85" customHeight="1">
      <c r="B21" s="328" t="str">
        <f>'Cap Table'!$F$7</f>
        <v>Series C</v>
      </c>
      <c r="D21" s="381">
        <v>0</v>
      </c>
      <c r="E21" s="381">
        <v>0</v>
      </c>
      <c r="F21" s="381">
        <f>W21</f>
        <v>261</v>
      </c>
      <c r="G21" s="381">
        <f t="shared" si="1"/>
        <v>261</v>
      </c>
      <c r="H21" s="381">
        <f t="shared" si="1"/>
        <v>261</v>
      </c>
      <c r="I21" s="381"/>
      <c r="J21" s="381"/>
      <c r="K21" s="381"/>
      <c r="L21" s="381"/>
      <c r="M21" s="381"/>
      <c r="N21" s="381"/>
      <c r="O21" s="381"/>
      <c r="P21" s="381"/>
      <c r="Q21" s="381"/>
      <c r="R21" s="381"/>
      <c r="S21" s="381"/>
      <c r="W21" s="741">
        <f>'Econ Rights'!$F$16</f>
        <v>261</v>
      </c>
    </row>
    <row r="22" spans="2:23" ht="14.85" customHeight="1">
      <c r="B22" s="328" t="str">
        <f>'Cap Table'!$G$7</f>
        <v>Series D</v>
      </c>
      <c r="D22" s="381">
        <v>0</v>
      </c>
      <c r="E22" s="381">
        <f>W22</f>
        <v>264</v>
      </c>
      <c r="F22" s="381">
        <f t="shared" si="1"/>
        <v>264</v>
      </c>
      <c r="G22" s="381">
        <f t="shared" si="1"/>
        <v>264</v>
      </c>
      <c r="H22" s="381">
        <f t="shared" si="1"/>
        <v>264</v>
      </c>
      <c r="I22" s="381"/>
      <c r="J22" s="381"/>
      <c r="K22" s="381"/>
      <c r="L22" s="381"/>
      <c r="M22" s="381"/>
      <c r="N22" s="381"/>
      <c r="O22" s="381"/>
      <c r="P22" s="381"/>
      <c r="Q22" s="381"/>
      <c r="R22" s="381"/>
      <c r="S22" s="381"/>
      <c r="W22" s="741">
        <f>'Econ Rights'!$G$16</f>
        <v>264</v>
      </c>
    </row>
    <row r="23" spans="2:23" ht="14.85" customHeight="1">
      <c r="B23" s="328" t="str">
        <f>'Cap Table'!$H$7</f>
        <v>Series E</v>
      </c>
      <c r="D23" s="381">
        <f>W23</f>
        <v>216</v>
      </c>
      <c r="E23" s="381">
        <f>D23</f>
        <v>216</v>
      </c>
      <c r="F23" s="381">
        <f t="shared" si="1"/>
        <v>216</v>
      </c>
      <c r="G23" s="381">
        <f t="shared" si="1"/>
        <v>216</v>
      </c>
      <c r="H23" s="381">
        <f t="shared" si="1"/>
        <v>216</v>
      </c>
      <c r="I23" s="381"/>
      <c r="J23" s="381"/>
      <c r="K23" s="381"/>
      <c r="L23" s="381"/>
      <c r="M23" s="381"/>
      <c r="N23" s="381"/>
      <c r="O23" s="381"/>
      <c r="P23" s="381"/>
      <c r="Q23" s="381"/>
      <c r="R23" s="381"/>
      <c r="S23" s="381"/>
      <c r="W23" s="741">
        <f>'Econ Rights'!$H$16</f>
        <v>216</v>
      </c>
    </row>
    <row r="24" spans="2:23" ht="14.85" customHeight="1">
      <c r="B24" s="328" t="str">
        <f>'Cap Table'!$I$7</f>
        <v>Series F</v>
      </c>
      <c r="D24" s="381">
        <v>0</v>
      </c>
      <c r="E24" s="381">
        <v>0</v>
      </c>
      <c r="F24" s="381">
        <v>0</v>
      </c>
      <c r="G24" s="381">
        <v>0</v>
      </c>
      <c r="H24" s="381">
        <v>0</v>
      </c>
      <c r="I24" s="381"/>
      <c r="J24" s="381"/>
      <c r="K24" s="381"/>
      <c r="L24" s="381"/>
      <c r="M24" s="381"/>
      <c r="N24" s="381"/>
      <c r="O24" s="381"/>
      <c r="P24" s="381"/>
      <c r="Q24" s="381"/>
      <c r="R24" s="381"/>
      <c r="S24" s="381"/>
      <c r="W24" s="741">
        <f>'Econ Rights'!$I$16</f>
        <v>200</v>
      </c>
    </row>
    <row r="25" spans="2:23" ht="14.85" customHeight="1">
      <c r="B25" s="328" t="str">
        <f>'Cap Table'!$J$7</f>
        <v>Series G</v>
      </c>
      <c r="D25" s="381">
        <v>0</v>
      </c>
      <c r="E25" s="381">
        <v>0</v>
      </c>
      <c r="F25" s="381">
        <v>0</v>
      </c>
      <c r="G25" s="381">
        <v>0</v>
      </c>
      <c r="H25" s="381">
        <v>0</v>
      </c>
      <c r="I25" s="381"/>
      <c r="J25" s="381"/>
      <c r="K25" s="381"/>
      <c r="L25" s="381"/>
      <c r="M25" s="381"/>
      <c r="N25" s="381"/>
      <c r="O25" s="381"/>
      <c r="P25" s="381"/>
      <c r="Q25" s="381"/>
      <c r="R25" s="381"/>
      <c r="S25" s="381"/>
      <c r="W25" s="741">
        <f>'Econ Rights'!$J$16</f>
        <v>259</v>
      </c>
    </row>
    <row r="26" spans="2:23" ht="14.85" customHeight="1">
      <c r="B26" s="413" t="str">
        <f t="shared" ref="B26:B32" si="2">+$B19&amp;" Warrants"</f>
        <v>Series A Warrants</v>
      </c>
      <c r="D26" s="381"/>
      <c r="E26" s="381"/>
      <c r="F26" s="381"/>
      <c r="G26" s="381"/>
      <c r="H26" s="381"/>
      <c r="I26" s="381"/>
      <c r="J26" s="381"/>
      <c r="K26" s="381"/>
      <c r="L26" s="381"/>
      <c r="M26" s="381"/>
      <c r="N26" s="381"/>
      <c r="O26" s="381"/>
      <c r="P26" s="381"/>
      <c r="Q26" s="381"/>
      <c r="R26" s="381"/>
      <c r="S26" s="381"/>
      <c r="U26" s="742" t="s">
        <v>651</v>
      </c>
      <c r="W26" s="250"/>
    </row>
    <row r="27" spans="2:23" ht="14.85" customHeight="1">
      <c r="B27" s="413" t="str">
        <f t="shared" si="2"/>
        <v>Series B Warrants</v>
      </c>
      <c r="D27" s="381"/>
      <c r="E27" s="381"/>
      <c r="F27" s="381"/>
      <c r="G27" s="381"/>
      <c r="H27" s="381"/>
      <c r="I27" s="381"/>
      <c r="J27" s="381"/>
      <c r="K27" s="381"/>
      <c r="L27" s="381"/>
      <c r="M27" s="381"/>
      <c r="N27" s="381"/>
      <c r="O27" s="381"/>
      <c r="P27" s="381"/>
      <c r="Q27" s="381"/>
      <c r="R27" s="381"/>
      <c r="S27" s="381"/>
      <c r="U27" s="742" t="s">
        <v>651</v>
      </c>
      <c r="W27" s="743"/>
    </row>
    <row r="28" spans="2:23" ht="14.85" customHeight="1">
      <c r="B28" s="413" t="str">
        <f t="shared" si="2"/>
        <v>Series C Warrants</v>
      </c>
      <c r="D28" s="381"/>
      <c r="E28" s="381"/>
      <c r="F28" s="381"/>
      <c r="G28" s="381"/>
      <c r="H28" s="381"/>
      <c r="I28" s="381"/>
      <c r="J28" s="381"/>
      <c r="K28" s="381"/>
      <c r="L28" s="381"/>
      <c r="M28" s="381"/>
      <c r="N28" s="381"/>
      <c r="O28" s="381"/>
      <c r="P28" s="381"/>
      <c r="Q28" s="381"/>
      <c r="R28" s="381"/>
      <c r="S28" s="381"/>
      <c r="U28" s="742" t="s">
        <v>651</v>
      </c>
      <c r="W28" s="744"/>
    </row>
    <row r="29" spans="2:23" ht="14.85" customHeight="1">
      <c r="B29" s="413" t="str">
        <f t="shared" si="2"/>
        <v>Series D Warrants</v>
      </c>
      <c r="D29" s="381"/>
      <c r="E29" s="381"/>
      <c r="F29" s="381"/>
      <c r="G29" s="381"/>
      <c r="H29" s="381"/>
      <c r="I29" s="381"/>
      <c r="J29" s="381"/>
      <c r="K29" s="381"/>
      <c r="L29" s="381"/>
      <c r="M29" s="381"/>
      <c r="N29" s="381"/>
      <c r="O29" s="381"/>
      <c r="P29" s="381"/>
      <c r="Q29" s="381"/>
      <c r="R29" s="381"/>
      <c r="S29" s="381"/>
      <c r="U29" s="742" t="s">
        <v>651</v>
      </c>
      <c r="W29" s="744"/>
    </row>
    <row r="30" spans="2:23" ht="14.85" customHeight="1">
      <c r="B30" s="413" t="str">
        <f t="shared" si="2"/>
        <v>Series E Warrants</v>
      </c>
      <c r="D30" s="381"/>
      <c r="E30" s="381"/>
      <c r="F30" s="381"/>
      <c r="G30" s="381"/>
      <c r="H30" s="381"/>
      <c r="I30" s="381"/>
      <c r="J30" s="381"/>
      <c r="K30" s="381"/>
      <c r="L30" s="381"/>
      <c r="M30" s="381"/>
      <c r="N30" s="381"/>
      <c r="O30" s="381"/>
      <c r="P30" s="381"/>
      <c r="Q30" s="381"/>
      <c r="R30" s="381"/>
      <c r="S30" s="381"/>
      <c r="U30" s="742" t="s">
        <v>651</v>
      </c>
      <c r="W30" s="744"/>
    </row>
    <row r="31" spans="2:23" ht="14.85" customHeight="1">
      <c r="B31" s="413" t="str">
        <f t="shared" si="2"/>
        <v>Series F Warrants</v>
      </c>
      <c r="D31" s="381"/>
      <c r="E31" s="381"/>
      <c r="F31" s="381"/>
      <c r="G31" s="381"/>
      <c r="H31" s="381"/>
      <c r="I31" s="381"/>
      <c r="J31" s="381"/>
      <c r="K31" s="381"/>
      <c r="L31" s="381"/>
      <c r="M31" s="381"/>
      <c r="N31" s="381"/>
      <c r="O31" s="381"/>
      <c r="P31" s="381"/>
      <c r="Q31" s="381"/>
      <c r="R31" s="381"/>
      <c r="S31" s="381"/>
      <c r="U31" s="742" t="s">
        <v>651</v>
      </c>
      <c r="W31" s="744"/>
    </row>
    <row r="32" spans="2:23" ht="14.85" customHeight="1">
      <c r="B32" s="413" t="str">
        <f t="shared" si="2"/>
        <v>Series G Warrants</v>
      </c>
      <c r="D32" s="381"/>
      <c r="E32" s="381"/>
      <c r="F32" s="381"/>
      <c r="G32" s="381"/>
      <c r="H32" s="381"/>
      <c r="I32" s="381"/>
      <c r="J32" s="381"/>
      <c r="K32" s="381"/>
      <c r="L32" s="381"/>
      <c r="M32" s="381"/>
      <c r="N32" s="381"/>
      <c r="O32" s="381"/>
      <c r="P32" s="381"/>
      <c r="Q32" s="381"/>
      <c r="R32" s="381"/>
      <c r="S32" s="381"/>
      <c r="U32" s="742" t="s">
        <v>651</v>
      </c>
      <c r="W32" s="745"/>
    </row>
    <row r="33" spans="2:23" ht="14.85" customHeight="1">
      <c r="B33" s="346"/>
      <c r="C33" s="346"/>
      <c r="D33" s="346"/>
      <c r="E33" s="346"/>
      <c r="F33" s="346"/>
      <c r="G33" s="346"/>
      <c r="H33" s="346"/>
      <c r="I33" s="346"/>
      <c r="J33" s="346"/>
      <c r="K33" s="346"/>
      <c r="L33" s="346"/>
      <c r="M33" s="346"/>
      <c r="N33" s="346"/>
      <c r="O33" s="346"/>
      <c r="P33" s="346"/>
      <c r="Q33" s="346"/>
      <c r="R33" s="346"/>
      <c r="S33" s="346"/>
      <c r="W33" s="746"/>
    </row>
    <row r="34" spans="2:23" ht="14.85" customHeight="1">
      <c r="B34" s="382" t="s">
        <v>574</v>
      </c>
      <c r="D34" s="412">
        <f t="shared" ref="D34:S34" si="3">SUM(D19:D25)</f>
        <v>216</v>
      </c>
      <c r="E34" s="412">
        <f t="shared" si="3"/>
        <v>480</v>
      </c>
      <c r="F34" s="412">
        <f t="shared" si="3"/>
        <v>741</v>
      </c>
      <c r="G34" s="412">
        <f t="shared" si="3"/>
        <v>984</v>
      </c>
      <c r="H34" s="412">
        <f t="shared" si="3"/>
        <v>1234</v>
      </c>
      <c r="I34" s="412">
        <f t="shared" si="3"/>
        <v>0</v>
      </c>
      <c r="J34" s="412">
        <f t="shared" si="3"/>
        <v>0</v>
      </c>
      <c r="K34" s="412">
        <f t="shared" si="3"/>
        <v>0</v>
      </c>
      <c r="L34" s="412">
        <f t="shared" si="3"/>
        <v>0</v>
      </c>
      <c r="M34" s="412">
        <f t="shared" si="3"/>
        <v>0</v>
      </c>
      <c r="N34" s="412">
        <f t="shared" si="3"/>
        <v>0</v>
      </c>
      <c r="O34" s="412">
        <f t="shared" si="3"/>
        <v>0</v>
      </c>
      <c r="P34" s="412">
        <f t="shared" si="3"/>
        <v>0</v>
      </c>
      <c r="Q34" s="412">
        <f t="shared" si="3"/>
        <v>0</v>
      </c>
      <c r="R34" s="412">
        <f t="shared" si="3"/>
        <v>0</v>
      </c>
      <c r="S34" s="412">
        <f t="shared" si="3"/>
        <v>0</v>
      </c>
    </row>
    <row r="35" spans="2:23" ht="14.85" customHeight="1" outlineLevel="1"/>
    <row r="36" spans="2:23" ht="14.85" customHeight="1" outlineLevel="1">
      <c r="B36" s="253" t="s">
        <v>650</v>
      </c>
      <c r="W36" s="382" t="str">
        <f>B36</f>
        <v>Capped Value</v>
      </c>
    </row>
    <row r="37" spans="2:23" ht="14.85" customHeight="1" outlineLevel="1">
      <c r="B37" s="328" t="str">
        <f>'Cap Table'!$D$7</f>
        <v>Series A</v>
      </c>
      <c r="D37" s="345"/>
      <c r="E37" s="345"/>
      <c r="F37" s="345"/>
      <c r="G37" s="345"/>
      <c r="H37" s="345"/>
      <c r="I37" s="345"/>
      <c r="J37" s="345"/>
      <c r="K37" s="345"/>
      <c r="L37" s="345"/>
      <c r="M37" s="345"/>
      <c r="N37" s="345"/>
      <c r="O37" s="345"/>
      <c r="P37" s="345"/>
      <c r="Q37" s="345"/>
      <c r="R37" s="345"/>
      <c r="S37" s="345"/>
      <c r="U37" s="742" t="s">
        <v>651</v>
      </c>
      <c r="W37" s="743"/>
    </row>
    <row r="38" spans="2:23" ht="14.85" customHeight="1" outlineLevel="1">
      <c r="B38" s="328" t="str">
        <f>'Cap Table'!$E$7</f>
        <v>Series B</v>
      </c>
      <c r="D38" s="345"/>
      <c r="E38" s="345"/>
      <c r="F38" s="345"/>
      <c r="G38" s="345"/>
      <c r="H38" s="345"/>
      <c r="I38" s="345"/>
      <c r="J38" s="345"/>
      <c r="K38" s="345"/>
      <c r="L38" s="345"/>
      <c r="M38" s="345"/>
      <c r="N38" s="345"/>
      <c r="O38" s="345"/>
      <c r="P38" s="345"/>
      <c r="Q38" s="345"/>
      <c r="R38" s="345"/>
      <c r="S38" s="345"/>
      <c r="U38" s="742" t="s">
        <v>651</v>
      </c>
      <c r="W38" s="744"/>
    </row>
    <row r="39" spans="2:23" ht="14.85" customHeight="1" outlineLevel="1">
      <c r="B39" s="328" t="str">
        <f>'Cap Table'!$F$7</f>
        <v>Series C</v>
      </c>
      <c r="D39" s="345"/>
      <c r="E39" s="345"/>
      <c r="F39" s="345"/>
      <c r="G39" s="345"/>
      <c r="H39" s="345"/>
      <c r="I39" s="345"/>
      <c r="J39" s="345"/>
      <c r="K39" s="345"/>
      <c r="L39" s="345"/>
      <c r="M39" s="345"/>
      <c r="N39" s="345"/>
      <c r="O39" s="345"/>
      <c r="P39" s="345"/>
      <c r="Q39" s="345"/>
      <c r="R39" s="345"/>
      <c r="S39" s="345"/>
      <c r="U39" s="742" t="s">
        <v>651</v>
      </c>
      <c r="W39" s="744"/>
    </row>
    <row r="40" spans="2:23" ht="14.85" customHeight="1" outlineLevel="1">
      <c r="B40" s="328" t="str">
        <f>'Cap Table'!$G$7</f>
        <v>Series D</v>
      </c>
      <c r="D40" s="345"/>
      <c r="E40" s="345"/>
      <c r="F40" s="345"/>
      <c r="G40" s="345"/>
      <c r="H40" s="345"/>
      <c r="I40" s="345"/>
      <c r="J40" s="345"/>
      <c r="K40" s="345"/>
      <c r="L40" s="345"/>
      <c r="M40" s="345"/>
      <c r="N40" s="345"/>
      <c r="O40" s="345"/>
      <c r="P40" s="345"/>
      <c r="Q40" s="345"/>
      <c r="R40" s="345"/>
      <c r="S40" s="345"/>
      <c r="U40" s="742" t="s">
        <v>651</v>
      </c>
      <c r="W40" s="744"/>
    </row>
    <row r="41" spans="2:23" ht="14.85" customHeight="1" outlineLevel="1">
      <c r="B41" s="328" t="str">
        <f>'Cap Table'!$H$7</f>
        <v>Series E</v>
      </c>
      <c r="D41" s="345"/>
      <c r="E41" s="345"/>
      <c r="F41" s="345"/>
      <c r="G41" s="345"/>
      <c r="H41" s="345"/>
      <c r="I41" s="345"/>
      <c r="J41" s="345"/>
      <c r="K41" s="345"/>
      <c r="L41" s="345"/>
      <c r="M41" s="345"/>
      <c r="N41" s="345"/>
      <c r="O41" s="345"/>
      <c r="P41" s="345"/>
      <c r="Q41" s="345"/>
      <c r="R41" s="345"/>
      <c r="S41" s="345"/>
      <c r="U41" s="742" t="s">
        <v>651</v>
      </c>
      <c r="W41" s="744"/>
    </row>
    <row r="42" spans="2:23" ht="14.85" customHeight="1" outlineLevel="1">
      <c r="B42" s="328" t="str">
        <f>'Cap Table'!$I$7</f>
        <v>Series F</v>
      </c>
      <c r="D42" s="345"/>
      <c r="E42" s="345"/>
      <c r="F42" s="345"/>
      <c r="G42" s="345"/>
      <c r="H42" s="345"/>
      <c r="I42" s="345"/>
      <c r="J42" s="345"/>
      <c r="K42" s="345"/>
      <c r="L42" s="345"/>
      <c r="M42" s="345"/>
      <c r="N42" s="345"/>
      <c r="O42" s="345"/>
      <c r="P42" s="345"/>
      <c r="Q42" s="345"/>
      <c r="R42" s="345"/>
      <c r="S42" s="345"/>
      <c r="U42" s="742" t="s">
        <v>651</v>
      </c>
      <c r="W42" s="744"/>
    </row>
    <row r="43" spans="2:23" ht="14.85" customHeight="1" outlineLevel="1">
      <c r="B43" s="328" t="str">
        <f>'Cap Table'!$J$7</f>
        <v>Series G</v>
      </c>
      <c r="D43" s="345"/>
      <c r="E43" s="345"/>
      <c r="F43" s="345"/>
      <c r="G43" s="345"/>
      <c r="H43" s="345"/>
      <c r="I43" s="345"/>
      <c r="J43" s="345"/>
      <c r="K43" s="345"/>
      <c r="L43" s="345"/>
      <c r="M43" s="345"/>
      <c r="N43" s="345"/>
      <c r="O43" s="345"/>
      <c r="P43" s="345"/>
      <c r="Q43" s="345"/>
      <c r="R43" s="345"/>
      <c r="S43" s="345"/>
      <c r="U43" s="742" t="s">
        <v>651</v>
      </c>
      <c r="W43" s="744"/>
    </row>
    <row r="44" spans="2:23" ht="14.85" customHeight="1" outlineLevel="1">
      <c r="B44" s="413" t="str">
        <f t="shared" ref="B44:B50" si="4">+$B37&amp;" Warrants"</f>
        <v>Series A Warrants</v>
      </c>
      <c r="D44" s="345"/>
      <c r="E44" s="345"/>
      <c r="F44" s="345"/>
      <c r="G44" s="345"/>
      <c r="H44" s="345"/>
      <c r="I44" s="345"/>
      <c r="J44" s="345"/>
      <c r="K44" s="345"/>
      <c r="L44" s="345"/>
      <c r="M44" s="345"/>
      <c r="N44" s="345"/>
      <c r="O44" s="345"/>
      <c r="P44" s="345"/>
      <c r="Q44" s="345"/>
      <c r="R44" s="345"/>
      <c r="S44" s="345"/>
      <c r="U44" s="742" t="s">
        <v>651</v>
      </c>
      <c r="W44" s="744"/>
    </row>
    <row r="45" spans="2:23" ht="14.85" customHeight="1" outlineLevel="1">
      <c r="B45" s="413" t="str">
        <f t="shared" si="4"/>
        <v>Series B Warrants</v>
      </c>
      <c r="D45" s="345"/>
      <c r="E45" s="345"/>
      <c r="F45" s="345"/>
      <c r="G45" s="345"/>
      <c r="H45" s="345"/>
      <c r="I45" s="345"/>
      <c r="J45" s="345"/>
      <c r="K45" s="345"/>
      <c r="L45" s="345"/>
      <c r="M45" s="345"/>
      <c r="N45" s="345"/>
      <c r="O45" s="345"/>
      <c r="P45" s="345"/>
      <c r="Q45" s="345"/>
      <c r="R45" s="345"/>
      <c r="S45" s="345"/>
      <c r="U45" s="742" t="s">
        <v>651</v>
      </c>
      <c r="W45" s="744"/>
    </row>
    <row r="46" spans="2:23" ht="14.85" customHeight="1" outlineLevel="1">
      <c r="B46" s="413" t="str">
        <f t="shared" si="4"/>
        <v>Series C Warrants</v>
      </c>
      <c r="D46" s="345"/>
      <c r="E46" s="345"/>
      <c r="F46" s="345"/>
      <c r="G46" s="345"/>
      <c r="H46" s="345"/>
      <c r="I46" s="345"/>
      <c r="J46" s="345"/>
      <c r="K46" s="345"/>
      <c r="L46" s="345"/>
      <c r="M46" s="345"/>
      <c r="N46" s="345"/>
      <c r="O46" s="345"/>
      <c r="P46" s="345"/>
      <c r="Q46" s="345"/>
      <c r="R46" s="345"/>
      <c r="S46" s="345"/>
      <c r="U46" s="742" t="s">
        <v>651</v>
      </c>
      <c r="W46" s="744"/>
    </row>
    <row r="47" spans="2:23" ht="14.85" customHeight="1" outlineLevel="1">
      <c r="B47" s="413" t="str">
        <f t="shared" si="4"/>
        <v>Series D Warrants</v>
      </c>
      <c r="D47" s="345"/>
      <c r="E47" s="345"/>
      <c r="F47" s="345"/>
      <c r="G47" s="345"/>
      <c r="H47" s="345"/>
      <c r="I47" s="345"/>
      <c r="J47" s="345"/>
      <c r="K47" s="345"/>
      <c r="L47" s="345"/>
      <c r="M47" s="345"/>
      <c r="N47" s="345"/>
      <c r="O47" s="345"/>
      <c r="P47" s="345"/>
      <c r="Q47" s="345"/>
      <c r="R47" s="345"/>
      <c r="S47" s="345"/>
      <c r="U47" s="742" t="s">
        <v>651</v>
      </c>
      <c r="W47" s="744"/>
    </row>
    <row r="48" spans="2:23" ht="14.85" customHeight="1" outlineLevel="1">
      <c r="B48" s="413" t="str">
        <f t="shared" si="4"/>
        <v>Series E Warrants</v>
      </c>
      <c r="D48" s="345"/>
      <c r="E48" s="345"/>
      <c r="F48" s="345"/>
      <c r="G48" s="345"/>
      <c r="H48" s="345"/>
      <c r="I48" s="345"/>
      <c r="J48" s="345"/>
      <c r="K48" s="345"/>
      <c r="L48" s="345"/>
      <c r="M48" s="345"/>
      <c r="N48" s="345"/>
      <c r="O48" s="345"/>
      <c r="P48" s="345"/>
      <c r="Q48" s="345"/>
      <c r="R48" s="345"/>
      <c r="S48" s="345"/>
      <c r="U48" s="742" t="s">
        <v>651</v>
      </c>
      <c r="W48" s="744"/>
    </row>
    <row r="49" spans="2:25" ht="14.85" customHeight="1" outlineLevel="1">
      <c r="B49" s="413" t="str">
        <f t="shared" si="4"/>
        <v>Series F Warrants</v>
      </c>
      <c r="D49" s="345"/>
      <c r="E49" s="345"/>
      <c r="F49" s="345"/>
      <c r="G49" s="345"/>
      <c r="H49" s="345"/>
      <c r="I49" s="345"/>
      <c r="J49" s="345"/>
      <c r="K49" s="345"/>
      <c r="L49" s="345"/>
      <c r="M49" s="345"/>
      <c r="N49" s="345"/>
      <c r="O49" s="345"/>
      <c r="P49" s="345"/>
      <c r="Q49" s="345"/>
      <c r="R49" s="345"/>
      <c r="S49" s="345"/>
      <c r="U49" s="742" t="s">
        <v>651</v>
      </c>
      <c r="W49" s="744"/>
    </row>
    <row r="50" spans="2:25" ht="14.85" customHeight="1" outlineLevel="1">
      <c r="B50" s="413" t="str">
        <f t="shared" si="4"/>
        <v>Series G Warrants</v>
      </c>
      <c r="D50" s="345"/>
      <c r="E50" s="345"/>
      <c r="F50" s="345"/>
      <c r="G50" s="345"/>
      <c r="H50" s="345"/>
      <c r="I50" s="345"/>
      <c r="J50" s="345"/>
      <c r="K50" s="345"/>
      <c r="L50" s="345"/>
      <c r="M50" s="345"/>
      <c r="N50" s="345"/>
      <c r="O50" s="345"/>
      <c r="P50" s="345"/>
      <c r="Q50" s="345"/>
      <c r="R50" s="345"/>
      <c r="S50" s="345"/>
      <c r="U50" s="742" t="s">
        <v>651</v>
      </c>
      <c r="W50" s="745"/>
    </row>
    <row r="51" spans="2:25" ht="14.85" customHeight="1" outlineLevel="1">
      <c r="B51" s="346"/>
      <c r="C51" s="346"/>
      <c r="D51" s="346"/>
      <c r="E51" s="346"/>
      <c r="F51" s="346"/>
      <c r="G51" s="346"/>
      <c r="H51" s="346"/>
      <c r="I51" s="346"/>
      <c r="J51" s="346"/>
      <c r="K51" s="346"/>
      <c r="L51" s="346"/>
      <c r="M51" s="346"/>
      <c r="N51" s="346"/>
      <c r="O51" s="346"/>
      <c r="P51" s="346"/>
      <c r="Q51" s="346"/>
      <c r="R51" s="346"/>
      <c r="S51" s="346"/>
      <c r="W51" s="746"/>
    </row>
    <row r="52" spans="2:25" ht="14.85" customHeight="1" outlineLevel="1">
      <c r="B52" s="382" t="s">
        <v>169</v>
      </c>
      <c r="D52" s="412">
        <f t="shared" ref="D52:S52" si="5">SUM(D37:D43)</f>
        <v>0</v>
      </c>
      <c r="E52" s="412">
        <f t="shared" si="5"/>
        <v>0</v>
      </c>
      <c r="F52" s="412">
        <f t="shared" si="5"/>
        <v>0</v>
      </c>
      <c r="G52" s="412">
        <f t="shared" si="5"/>
        <v>0</v>
      </c>
      <c r="H52" s="412">
        <f t="shared" si="5"/>
        <v>0</v>
      </c>
      <c r="I52" s="412">
        <f t="shared" si="5"/>
        <v>0</v>
      </c>
      <c r="J52" s="412">
        <f t="shared" si="5"/>
        <v>0</v>
      </c>
      <c r="K52" s="412">
        <f t="shared" si="5"/>
        <v>0</v>
      </c>
      <c r="L52" s="412">
        <f t="shared" si="5"/>
        <v>0</v>
      </c>
      <c r="M52" s="412">
        <f t="shared" si="5"/>
        <v>0</v>
      </c>
      <c r="N52" s="412">
        <f t="shared" si="5"/>
        <v>0</v>
      </c>
      <c r="O52" s="412">
        <f t="shared" si="5"/>
        <v>0</v>
      </c>
      <c r="P52" s="412">
        <f t="shared" si="5"/>
        <v>0</v>
      </c>
      <c r="Q52" s="412">
        <f t="shared" si="5"/>
        <v>0</v>
      </c>
      <c r="R52" s="412">
        <f t="shared" si="5"/>
        <v>0</v>
      </c>
      <c r="S52" s="412">
        <f t="shared" si="5"/>
        <v>0</v>
      </c>
    </row>
    <row r="53" spans="2:25" ht="14.85" customHeight="1"/>
    <row r="54" spans="2:25" ht="14.85" customHeight="1">
      <c r="B54" s="434" t="s">
        <v>577</v>
      </c>
      <c r="W54" s="382" t="str">
        <f>+B54</f>
        <v>Shares Outstanding / Converted to Common Stock</v>
      </c>
    </row>
    <row r="55" spans="2:25" ht="14.85" customHeight="1">
      <c r="B55" s="413" t="str">
        <f t="shared" ref="B55:B61" si="6">+$B19</f>
        <v>Series A</v>
      </c>
      <c r="D55" s="381"/>
      <c r="E55" s="381"/>
      <c r="F55" s="381"/>
      <c r="G55" s="381"/>
      <c r="H55" s="381"/>
      <c r="I55" s="381"/>
      <c r="J55" s="381"/>
      <c r="K55" s="381"/>
      <c r="L55" s="381"/>
      <c r="M55" s="381"/>
      <c r="N55" s="381"/>
      <c r="O55" s="381"/>
      <c r="P55" s="381"/>
      <c r="Q55" s="381"/>
      <c r="R55" s="381"/>
      <c r="S55" s="381"/>
      <c r="W55" s="741">
        <f>+'Cap Table'!$D$13*'Cap Table'!$D$21</f>
        <v>10</v>
      </c>
    </row>
    <row r="56" spans="2:25" ht="14.85" customHeight="1">
      <c r="B56" s="413" t="str">
        <f t="shared" si="6"/>
        <v>Series B</v>
      </c>
      <c r="D56" s="381"/>
      <c r="E56" s="381"/>
      <c r="F56" s="381"/>
      <c r="G56" s="381"/>
      <c r="H56" s="381"/>
      <c r="I56" s="381"/>
      <c r="J56" s="381"/>
      <c r="K56" s="381"/>
      <c r="L56" s="381"/>
      <c r="M56" s="381"/>
      <c r="N56" s="381"/>
      <c r="O56" s="381"/>
      <c r="P56" s="381"/>
      <c r="Q56" s="381"/>
      <c r="R56" s="381"/>
      <c r="S56" s="381"/>
      <c r="W56" s="741">
        <f ca="1">+'Cap Table'!$E$13*'Cap Table'!$E$21</f>
        <v>99</v>
      </c>
    </row>
    <row r="57" spans="2:25" ht="14.85" customHeight="1">
      <c r="B57" s="413" t="str">
        <f t="shared" si="6"/>
        <v>Series C</v>
      </c>
      <c r="D57" s="381"/>
      <c r="E57" s="381"/>
      <c r="F57" s="381"/>
      <c r="G57" s="381"/>
      <c r="H57" s="381"/>
      <c r="I57" s="381"/>
      <c r="J57" s="381"/>
      <c r="K57" s="381"/>
      <c r="L57" s="381"/>
      <c r="M57" s="381"/>
      <c r="N57" s="381"/>
      <c r="O57" s="381"/>
      <c r="P57" s="381"/>
      <c r="Q57" s="381"/>
      <c r="R57" s="381"/>
      <c r="S57" s="381"/>
      <c r="W57" s="741">
        <f ca="1">+'Cap Table'!$F$13*'Cap Table'!$F$21</f>
        <v>88</v>
      </c>
    </row>
    <row r="58" spans="2:25" ht="14.85" customHeight="1">
      <c r="B58" s="413" t="str">
        <f t="shared" si="6"/>
        <v>Series D</v>
      </c>
      <c r="D58" s="381"/>
      <c r="E58" s="381"/>
      <c r="F58" s="381"/>
      <c r="G58" s="381"/>
      <c r="H58" s="381"/>
      <c r="I58" s="381"/>
      <c r="J58" s="381"/>
      <c r="K58" s="381"/>
      <c r="L58" s="381"/>
      <c r="M58" s="381"/>
      <c r="N58" s="381"/>
      <c r="O58" s="381"/>
      <c r="P58" s="381"/>
      <c r="Q58" s="381"/>
      <c r="R58" s="381"/>
      <c r="S58" s="381"/>
      <c r="W58" s="741">
        <f ca="1">+'Cap Table'!$G$13*'Cap Table'!$G$21</f>
        <v>54</v>
      </c>
    </row>
    <row r="59" spans="2:25" ht="14.85" customHeight="1">
      <c r="B59" s="413" t="str">
        <f t="shared" si="6"/>
        <v>Series E</v>
      </c>
      <c r="D59" s="381"/>
      <c r="E59" s="381"/>
      <c r="F59" s="381"/>
      <c r="G59" s="381"/>
      <c r="H59" s="381"/>
      <c r="I59" s="381"/>
      <c r="J59" s="381"/>
      <c r="K59" s="381"/>
      <c r="L59" s="381"/>
      <c r="M59" s="381"/>
      <c r="N59" s="381"/>
      <c r="O59" s="381"/>
      <c r="P59" s="381"/>
      <c r="Q59" s="381"/>
      <c r="R59" s="381"/>
      <c r="S59" s="381"/>
      <c r="W59" s="741">
        <f ca="1">+'Cap Table'!$H$13*'Cap Table'!$H$21</f>
        <v>100</v>
      </c>
    </row>
    <row r="60" spans="2:25" ht="14.85" customHeight="1">
      <c r="B60" s="413" t="str">
        <f t="shared" si="6"/>
        <v>Series F</v>
      </c>
      <c r="D60" s="381"/>
      <c r="E60" s="381"/>
      <c r="F60" s="381"/>
      <c r="G60" s="381"/>
      <c r="H60" s="381"/>
      <c r="I60" s="381"/>
      <c r="J60" s="381"/>
      <c r="K60" s="381"/>
      <c r="L60" s="381"/>
      <c r="M60" s="381"/>
      <c r="N60" s="381"/>
      <c r="O60" s="381"/>
      <c r="P60" s="381"/>
      <c r="Q60" s="381"/>
      <c r="R60" s="381"/>
      <c r="S60" s="381"/>
      <c r="W60" s="741">
        <f ca="1">+'Cap Table'!$I$13*'Cap Table'!$I$21</f>
        <v>66</v>
      </c>
    </row>
    <row r="61" spans="2:25" ht="14.85" customHeight="1">
      <c r="B61" s="413" t="str">
        <f t="shared" si="6"/>
        <v>Series G</v>
      </c>
      <c r="D61" s="381"/>
      <c r="E61" s="381"/>
      <c r="F61" s="381"/>
      <c r="G61" s="381"/>
      <c r="H61" s="381"/>
      <c r="I61" s="381"/>
      <c r="J61" s="381"/>
      <c r="K61" s="381"/>
      <c r="L61" s="381"/>
      <c r="M61" s="381"/>
      <c r="N61" s="381"/>
      <c r="O61" s="381"/>
      <c r="P61" s="381"/>
      <c r="Q61" s="381"/>
      <c r="R61" s="381"/>
      <c r="S61" s="381"/>
      <c r="W61" s="741">
        <f ca="1">+'Cap Table'!$J$13*'Cap Table'!$J$21</f>
        <v>98</v>
      </c>
      <c r="Y61" s="253" t="s">
        <v>770</v>
      </c>
    </row>
    <row r="62" spans="2:25" ht="14.85" customHeight="1">
      <c r="B62" s="413" t="str">
        <f t="shared" ref="B62:B68" si="7">+$B55&amp;" Warrants"</f>
        <v>Series A Warrants</v>
      </c>
      <c r="D62" s="381"/>
      <c r="E62" s="381"/>
      <c r="F62" s="381"/>
      <c r="G62" s="381"/>
      <c r="H62" s="381"/>
      <c r="I62" s="381"/>
      <c r="J62" s="381"/>
      <c r="K62" s="381"/>
      <c r="L62" s="381"/>
      <c r="M62" s="381"/>
      <c r="N62" s="381"/>
      <c r="O62" s="381"/>
      <c r="P62" s="381"/>
      <c r="Q62" s="381"/>
      <c r="R62" s="381"/>
      <c r="S62" s="381"/>
      <c r="W62" s="741">
        <f ca="1">+'Cap Table'!$D$15*'Cap Table'!$D$21</f>
        <v>12</v>
      </c>
      <c r="Y62" s="747">
        <f>'Cap Table'!E42</f>
        <v>0</v>
      </c>
    </row>
    <row r="63" spans="2:25" ht="14.85" customHeight="1">
      <c r="B63" s="413" t="str">
        <f t="shared" si="7"/>
        <v>Series B Warrants</v>
      </c>
      <c r="D63" s="381"/>
      <c r="E63" s="381"/>
      <c r="F63" s="381"/>
      <c r="G63" s="381"/>
      <c r="H63" s="381"/>
      <c r="I63" s="381"/>
      <c r="J63" s="381"/>
      <c r="K63" s="381"/>
      <c r="L63" s="381"/>
      <c r="M63" s="381"/>
      <c r="N63" s="381"/>
      <c r="O63" s="381"/>
      <c r="P63" s="381"/>
      <c r="Q63" s="381"/>
      <c r="R63" s="381"/>
      <c r="S63" s="381"/>
      <c r="W63" s="741">
        <f ca="1">+'Cap Table'!$E$15*'Cap Table'!$E$21</f>
        <v>10</v>
      </c>
      <c r="Y63" s="748">
        <f>'Cap Table'!E43</f>
        <v>0</v>
      </c>
    </row>
    <row r="64" spans="2:25" ht="14.85" customHeight="1">
      <c r="B64" s="413" t="str">
        <f t="shared" si="7"/>
        <v>Series C Warrants</v>
      </c>
      <c r="D64" s="381"/>
      <c r="E64" s="381"/>
      <c r="F64" s="381"/>
      <c r="G64" s="381"/>
      <c r="H64" s="381"/>
      <c r="I64" s="381"/>
      <c r="J64" s="381"/>
      <c r="K64" s="381"/>
      <c r="L64" s="381"/>
      <c r="M64" s="381"/>
      <c r="N64" s="381"/>
      <c r="O64" s="381"/>
      <c r="P64" s="381"/>
      <c r="Q64" s="381"/>
      <c r="R64" s="381"/>
      <c r="S64" s="381"/>
      <c r="W64" s="741">
        <f ca="1">+'Cap Table'!$F$15*'Cap Table'!$F$21</f>
        <v>17</v>
      </c>
      <c r="Y64" s="748">
        <f>'Cap Table'!E44</f>
        <v>0</v>
      </c>
    </row>
    <row r="65" spans="2:25" ht="14.85" customHeight="1">
      <c r="B65" s="413" t="str">
        <f t="shared" si="7"/>
        <v>Series D Warrants</v>
      </c>
      <c r="D65" s="381"/>
      <c r="E65" s="381"/>
      <c r="F65" s="381"/>
      <c r="G65" s="381"/>
      <c r="H65" s="381"/>
      <c r="I65" s="381"/>
      <c r="J65" s="381"/>
      <c r="K65" s="381"/>
      <c r="L65" s="381"/>
      <c r="M65" s="381"/>
      <c r="N65" s="381"/>
      <c r="O65" s="381"/>
      <c r="P65" s="381"/>
      <c r="Q65" s="381"/>
      <c r="R65" s="381"/>
      <c r="S65" s="381"/>
      <c r="W65" s="741">
        <f ca="1">+'Cap Table'!$G$15*'Cap Table'!$G$21</f>
        <v>14</v>
      </c>
      <c r="Y65" s="748">
        <f>'Cap Table'!E45</f>
        <v>0</v>
      </c>
    </row>
    <row r="66" spans="2:25" ht="14.85" customHeight="1">
      <c r="B66" s="413" t="str">
        <f t="shared" si="7"/>
        <v>Series E Warrants</v>
      </c>
      <c r="D66" s="381"/>
      <c r="E66" s="381"/>
      <c r="F66" s="381"/>
      <c r="G66" s="381"/>
      <c r="H66" s="381"/>
      <c r="I66" s="381"/>
      <c r="J66" s="381"/>
      <c r="K66" s="381"/>
      <c r="L66" s="381"/>
      <c r="M66" s="381"/>
      <c r="N66" s="381"/>
      <c r="O66" s="381"/>
      <c r="P66" s="381"/>
      <c r="Q66" s="381"/>
      <c r="R66" s="381"/>
      <c r="S66" s="381"/>
      <c r="W66" s="741">
        <f ca="1">+'Cap Table'!$H$15*'Cap Table'!$H$21</f>
        <v>19</v>
      </c>
      <c r="Y66" s="748">
        <f>'Cap Table'!E46</f>
        <v>0</v>
      </c>
    </row>
    <row r="67" spans="2:25" ht="14.85" customHeight="1">
      <c r="B67" s="413" t="str">
        <f t="shared" si="7"/>
        <v>Series F Warrants</v>
      </c>
      <c r="D67" s="381"/>
      <c r="E67" s="381"/>
      <c r="F67" s="381"/>
      <c r="G67" s="381"/>
      <c r="H67" s="381"/>
      <c r="I67" s="381"/>
      <c r="J67" s="381"/>
      <c r="K67" s="381"/>
      <c r="L67" s="381"/>
      <c r="M67" s="381"/>
      <c r="N67" s="381"/>
      <c r="O67" s="381"/>
      <c r="P67" s="381"/>
      <c r="Q67" s="381"/>
      <c r="R67" s="381"/>
      <c r="S67" s="381"/>
      <c r="W67" s="741">
        <f ca="1">+'Cap Table'!$I$15*'Cap Table'!$I$21</f>
        <v>15</v>
      </c>
      <c r="Y67" s="748">
        <f>'Cap Table'!E47</f>
        <v>0</v>
      </c>
    </row>
    <row r="68" spans="2:25" ht="14.85" customHeight="1">
      <c r="B68" s="413" t="str">
        <f t="shared" si="7"/>
        <v>Series G Warrants</v>
      </c>
      <c r="D68" s="381"/>
      <c r="E68" s="381"/>
      <c r="F68" s="381"/>
      <c r="G68" s="381"/>
      <c r="H68" s="381"/>
      <c r="I68" s="381"/>
      <c r="J68" s="381"/>
      <c r="K68" s="381"/>
      <c r="L68" s="381"/>
      <c r="M68" s="381"/>
      <c r="N68" s="381"/>
      <c r="O68" s="381"/>
      <c r="P68" s="381"/>
      <c r="Q68" s="381"/>
      <c r="R68" s="381"/>
      <c r="S68" s="381"/>
      <c r="W68" s="741">
        <f ca="1">+'Cap Table'!$J$15*'Cap Table'!$J$21</f>
        <v>11</v>
      </c>
      <c r="Y68" s="748">
        <f>'Cap Table'!E48</f>
        <v>0</v>
      </c>
    </row>
    <row r="69" spans="2:25" ht="14.85" customHeight="1">
      <c r="B69" s="419" t="str">
        <f>'Cap Table'!$B27</f>
        <v>Options/Warrants at $2.00 Strike Price</v>
      </c>
      <c r="D69" s="381"/>
      <c r="E69" s="381"/>
      <c r="F69" s="381"/>
      <c r="G69" s="381"/>
      <c r="H69" s="381"/>
      <c r="I69" s="381"/>
      <c r="J69" s="381"/>
      <c r="K69" s="381"/>
      <c r="L69" s="381"/>
      <c r="M69" s="381"/>
      <c r="N69" s="381"/>
      <c r="O69" s="381"/>
      <c r="P69" s="381"/>
      <c r="Q69" s="381"/>
      <c r="R69" s="381"/>
      <c r="S69" s="381"/>
      <c r="W69" s="741">
        <f>+'Cap Table'!$D27</f>
        <v>79</v>
      </c>
      <c r="Y69" s="748">
        <f>'Cap Table'!E27</f>
        <v>2</v>
      </c>
    </row>
    <row r="70" spans="2:25" ht="14.85" customHeight="1">
      <c r="B70" s="419" t="str">
        <f>'Cap Table'!$B28</f>
        <v>Options/Warrants at $0.00 Strike Price</v>
      </c>
      <c r="D70" s="381"/>
      <c r="E70" s="381"/>
      <c r="F70" s="381"/>
      <c r="G70" s="381"/>
      <c r="H70" s="381"/>
      <c r="I70" s="381"/>
      <c r="J70" s="381"/>
      <c r="K70" s="381"/>
      <c r="L70" s="381"/>
      <c r="M70" s="381"/>
      <c r="N70" s="381"/>
      <c r="O70" s="381"/>
      <c r="P70" s="381"/>
      <c r="Q70" s="381"/>
      <c r="R70" s="381"/>
      <c r="S70" s="381"/>
      <c r="W70" s="741">
        <f>+'Cap Table'!$D28</f>
        <v>0</v>
      </c>
      <c r="Y70" s="748">
        <f>'Cap Table'!E28</f>
        <v>0</v>
      </c>
    </row>
    <row r="71" spans="2:25" ht="14.85" customHeight="1">
      <c r="B71" s="419" t="str">
        <f>'Cap Table'!$B29</f>
        <v>Options/Warrants at $0.00 Strike Price</v>
      </c>
      <c r="D71" s="381"/>
      <c r="E71" s="381"/>
      <c r="F71" s="381"/>
      <c r="G71" s="381"/>
      <c r="H71" s="381"/>
      <c r="I71" s="381"/>
      <c r="J71" s="381"/>
      <c r="K71" s="381"/>
      <c r="L71" s="381"/>
      <c r="M71" s="381"/>
      <c r="N71" s="381"/>
      <c r="O71" s="381"/>
      <c r="P71" s="381"/>
      <c r="Q71" s="381"/>
      <c r="R71" s="381"/>
      <c r="S71" s="381"/>
      <c r="W71" s="741">
        <f>+'Cap Table'!$D29</f>
        <v>0</v>
      </c>
      <c r="Y71" s="748">
        <f>'Cap Table'!E29</f>
        <v>0</v>
      </c>
    </row>
    <row r="72" spans="2:25" ht="14.85" customHeight="1">
      <c r="B72" s="419" t="str">
        <f>'Cap Table'!$B30</f>
        <v>Options/Warrants at $0.00 Strike Price</v>
      </c>
      <c r="D72" s="381"/>
      <c r="E72" s="381"/>
      <c r="F72" s="381"/>
      <c r="G72" s="381"/>
      <c r="H72" s="381"/>
      <c r="I72" s="381"/>
      <c r="J72" s="381"/>
      <c r="K72" s="381"/>
      <c r="L72" s="381"/>
      <c r="M72" s="381"/>
      <c r="N72" s="381"/>
      <c r="O72" s="381"/>
      <c r="P72" s="381"/>
      <c r="Q72" s="381"/>
      <c r="R72" s="381"/>
      <c r="S72" s="381"/>
      <c r="W72" s="741">
        <f>+'Cap Table'!$D30</f>
        <v>0</v>
      </c>
      <c r="Y72" s="748">
        <f>'Cap Table'!E30</f>
        <v>0</v>
      </c>
    </row>
    <row r="73" spans="2:25" ht="14.85" customHeight="1">
      <c r="B73" s="419" t="str">
        <f>'Cap Table'!$B31</f>
        <v>Options/Warrants at $0.00 Strike Price</v>
      </c>
      <c r="D73" s="381"/>
      <c r="E73" s="381"/>
      <c r="F73" s="381"/>
      <c r="G73" s="381"/>
      <c r="H73" s="381"/>
      <c r="I73" s="381"/>
      <c r="J73" s="381"/>
      <c r="K73" s="381"/>
      <c r="L73" s="381"/>
      <c r="M73" s="381"/>
      <c r="N73" s="381"/>
      <c r="O73" s="381"/>
      <c r="P73" s="381"/>
      <c r="Q73" s="381"/>
      <c r="R73" s="381"/>
      <c r="S73" s="381"/>
      <c r="W73" s="741">
        <f>+'Cap Table'!$D31</f>
        <v>0</v>
      </c>
      <c r="Y73" s="748">
        <f>'Cap Table'!E31</f>
        <v>0</v>
      </c>
    </row>
    <row r="74" spans="2:25" ht="14.85" customHeight="1">
      <c r="B74" s="419" t="str">
        <f>'Cap Table'!$B32</f>
        <v>Options/Warrants at $0.00 Strike Price</v>
      </c>
      <c r="D74" s="381"/>
      <c r="E74" s="381"/>
      <c r="F74" s="381"/>
      <c r="G74" s="381"/>
      <c r="H74" s="381"/>
      <c r="I74" s="381"/>
      <c r="J74" s="381"/>
      <c r="K74" s="381"/>
      <c r="L74" s="381"/>
      <c r="M74" s="381"/>
      <c r="N74" s="381"/>
      <c r="O74" s="381"/>
      <c r="P74" s="381"/>
      <c r="Q74" s="381"/>
      <c r="R74" s="381"/>
      <c r="S74" s="381"/>
      <c r="W74" s="741">
        <f>+'Cap Table'!$D32</f>
        <v>0</v>
      </c>
      <c r="Y74" s="748">
        <f>'Cap Table'!E32</f>
        <v>0</v>
      </c>
    </row>
    <row r="75" spans="2:25" ht="14.85" customHeight="1">
      <c r="B75" s="419" t="str">
        <f>'Cap Table'!$B33</f>
        <v>Options/Warrants at $0.00 Strike Price</v>
      </c>
      <c r="D75" s="381"/>
      <c r="E75" s="381"/>
      <c r="F75" s="381"/>
      <c r="G75" s="381"/>
      <c r="H75" s="381"/>
      <c r="I75" s="381"/>
      <c r="J75" s="381"/>
      <c r="K75" s="381"/>
      <c r="L75" s="381"/>
      <c r="M75" s="381"/>
      <c r="N75" s="381"/>
      <c r="O75" s="381"/>
      <c r="P75" s="381"/>
      <c r="Q75" s="381"/>
      <c r="R75" s="381"/>
      <c r="S75" s="381"/>
      <c r="W75" s="741">
        <f>+'Cap Table'!$D33</f>
        <v>0</v>
      </c>
      <c r="Y75" s="748">
        <f>'Cap Table'!E33</f>
        <v>0</v>
      </c>
    </row>
    <row r="76" spans="2:25" ht="14.85" customHeight="1">
      <c r="B76" s="419" t="str">
        <f>'Cap Table'!$B34</f>
        <v>Options/Warrants at $0.00 Strike Price</v>
      </c>
      <c r="D76" s="381"/>
      <c r="E76" s="381"/>
      <c r="F76" s="381"/>
      <c r="G76" s="381"/>
      <c r="H76" s="381"/>
      <c r="I76" s="381"/>
      <c r="J76" s="381"/>
      <c r="K76" s="381"/>
      <c r="L76" s="381"/>
      <c r="M76" s="381"/>
      <c r="N76" s="381"/>
      <c r="O76" s="381"/>
      <c r="P76" s="381"/>
      <c r="Q76" s="381"/>
      <c r="R76" s="381"/>
      <c r="S76" s="381"/>
      <c r="W76" s="741">
        <f>+'Cap Table'!$D34</f>
        <v>0</v>
      </c>
      <c r="Y76" s="748">
        <f>'Cap Table'!E34</f>
        <v>0</v>
      </c>
    </row>
    <row r="77" spans="2:25" ht="14.85" customHeight="1">
      <c r="B77" s="419" t="str">
        <f>'Cap Table'!$B35</f>
        <v>Options/Warrants at $0.00 Strike Price</v>
      </c>
      <c r="D77" s="381"/>
      <c r="E77" s="381"/>
      <c r="F77" s="381"/>
      <c r="G77" s="381"/>
      <c r="H77" s="381"/>
      <c r="I77" s="381"/>
      <c r="J77" s="381"/>
      <c r="K77" s="381"/>
      <c r="L77" s="381"/>
      <c r="M77" s="381"/>
      <c r="N77" s="381"/>
      <c r="O77" s="381"/>
      <c r="P77" s="381"/>
      <c r="Q77" s="381"/>
      <c r="R77" s="381"/>
      <c r="S77" s="381"/>
      <c r="W77" s="741">
        <f>+'Cap Table'!$D35</f>
        <v>0</v>
      </c>
      <c r="Y77" s="748">
        <f>'Cap Table'!E35</f>
        <v>0</v>
      </c>
    </row>
    <row r="78" spans="2:25" ht="14.85" customHeight="1">
      <c r="B78" s="419" t="str">
        <f>'Cap Table'!$B36</f>
        <v>Expected Options Grant</v>
      </c>
      <c r="D78" s="381"/>
      <c r="E78" s="381"/>
      <c r="F78" s="381"/>
      <c r="G78" s="381"/>
      <c r="H78" s="381"/>
      <c r="I78" s="381"/>
      <c r="J78" s="381"/>
      <c r="K78" s="381"/>
      <c r="L78" s="381"/>
      <c r="M78" s="381"/>
      <c r="N78" s="381"/>
      <c r="O78" s="381"/>
      <c r="P78" s="381"/>
      <c r="Q78" s="381"/>
      <c r="R78" s="381"/>
      <c r="S78" s="381"/>
      <c r="W78" s="741">
        <f>+'Cap Table'!$D36</f>
        <v>14</v>
      </c>
      <c r="Y78" s="748">
        <f>'Cap Table'!E36</f>
        <v>0</v>
      </c>
    </row>
    <row r="79" spans="2:25" ht="14.85" customHeight="1">
      <c r="B79" s="420" t="str">
        <f>'Cap Table'!$K7 &amp;" Stock"</f>
        <v>Common Stock</v>
      </c>
      <c r="D79" s="381"/>
      <c r="E79" s="381"/>
      <c r="F79" s="381"/>
      <c r="G79" s="381"/>
      <c r="H79" s="381"/>
      <c r="I79" s="381"/>
      <c r="J79" s="381"/>
      <c r="K79" s="381"/>
      <c r="L79" s="381"/>
      <c r="M79" s="381"/>
      <c r="N79" s="381"/>
      <c r="O79" s="381"/>
      <c r="P79" s="381"/>
      <c r="Q79" s="381"/>
      <c r="R79" s="381"/>
      <c r="S79" s="381"/>
      <c r="W79" s="741">
        <f ca="1">+'Cap Table'!K13</f>
        <v>64</v>
      </c>
      <c r="Y79" s="478"/>
    </row>
    <row r="80" spans="2:25" ht="14.85" customHeight="1" thickBot="1">
      <c r="B80" s="346"/>
      <c r="C80" s="346"/>
      <c r="D80" s="346"/>
      <c r="E80" s="346"/>
      <c r="F80" s="346"/>
      <c r="G80" s="346"/>
      <c r="H80" s="346"/>
      <c r="I80" s="346"/>
      <c r="J80" s="346"/>
      <c r="K80" s="346"/>
      <c r="L80" s="346"/>
      <c r="M80" s="346"/>
      <c r="N80" s="346"/>
      <c r="O80" s="346"/>
      <c r="P80" s="346"/>
      <c r="Q80" s="346"/>
      <c r="R80" s="346"/>
      <c r="S80" s="346"/>
      <c r="W80" s="749"/>
    </row>
    <row r="81" spans="1:23" ht="14.85" customHeight="1" thickBot="1">
      <c r="B81" s="382" t="s">
        <v>169</v>
      </c>
      <c r="D81" s="412">
        <f t="shared" ref="D81:S81" si="8">SUM(D55:D79)</f>
        <v>0</v>
      </c>
      <c r="E81" s="412">
        <f t="shared" si="8"/>
        <v>0</v>
      </c>
      <c r="F81" s="412">
        <f t="shared" si="8"/>
        <v>0</v>
      </c>
      <c r="G81" s="412">
        <f t="shared" si="8"/>
        <v>0</v>
      </c>
      <c r="H81" s="412">
        <f t="shared" si="8"/>
        <v>0</v>
      </c>
      <c r="I81" s="412">
        <f t="shared" si="8"/>
        <v>0</v>
      </c>
      <c r="J81" s="412">
        <f t="shared" si="8"/>
        <v>0</v>
      </c>
      <c r="K81" s="412">
        <f t="shared" si="8"/>
        <v>0</v>
      </c>
      <c r="L81" s="412">
        <f t="shared" si="8"/>
        <v>0</v>
      </c>
      <c r="M81" s="412">
        <f t="shared" si="8"/>
        <v>0</v>
      </c>
      <c r="N81" s="412">
        <f t="shared" si="8"/>
        <v>0</v>
      </c>
      <c r="O81" s="412">
        <f t="shared" si="8"/>
        <v>0</v>
      </c>
      <c r="P81" s="412">
        <f t="shared" si="8"/>
        <v>0</v>
      </c>
      <c r="Q81" s="412">
        <f t="shared" si="8"/>
        <v>0</v>
      </c>
      <c r="R81" s="412">
        <f t="shared" si="8"/>
        <v>0</v>
      </c>
      <c r="S81" s="412">
        <f t="shared" si="8"/>
        <v>0</v>
      </c>
      <c r="U81" s="750" t="str">
        <f ca="1">IF(W81&lt;&gt;('Cap Table'!M23-'Cap Table'!M17+W78),"ERROR","")</f>
        <v/>
      </c>
      <c r="W81" s="412">
        <f ca="1">SUM(W55:W79)</f>
        <v>770</v>
      </c>
    </row>
    <row r="82" spans="1:23" ht="14.85" customHeight="1"/>
    <row r="83" spans="1:23" ht="14.85" customHeight="1">
      <c r="B83" s="328" t="s">
        <v>413</v>
      </c>
      <c r="D83" s="751"/>
      <c r="E83" s="751"/>
      <c r="F83" s="751"/>
      <c r="G83" s="751"/>
      <c r="H83" s="751"/>
      <c r="I83" s="751"/>
      <c r="J83" s="751"/>
      <c r="K83" s="751"/>
      <c r="L83" s="751"/>
      <c r="M83" s="751"/>
      <c r="N83" s="751"/>
      <c r="O83" s="751"/>
      <c r="P83" s="751"/>
      <c r="Q83" s="751"/>
      <c r="R83" s="751"/>
      <c r="S83" s="751"/>
    </row>
    <row r="84" spans="1:23" ht="14.85" customHeight="1">
      <c r="D84" s="346"/>
      <c r="E84" s="346"/>
      <c r="F84" s="346"/>
      <c r="G84" s="346"/>
      <c r="H84" s="346"/>
      <c r="I84" s="346"/>
      <c r="J84" s="346"/>
      <c r="K84" s="346"/>
      <c r="L84" s="346"/>
      <c r="M84" s="346"/>
      <c r="N84" s="346"/>
      <c r="O84" s="346"/>
      <c r="P84" s="346"/>
      <c r="Q84" s="346"/>
      <c r="R84" s="346"/>
      <c r="S84" s="346"/>
    </row>
    <row r="85" spans="1:23" ht="14.85" customHeight="1">
      <c r="B85" s="1091" t="s">
        <v>2545</v>
      </c>
      <c r="C85" s="1936"/>
      <c r="D85" s="752">
        <f>D81*D83</f>
        <v>0</v>
      </c>
      <c r="E85" s="752">
        <f t="shared" ref="E85:S85" si="9">E81*E83</f>
        <v>0</v>
      </c>
      <c r="F85" s="752">
        <f t="shared" si="9"/>
        <v>0</v>
      </c>
      <c r="G85" s="752">
        <f t="shared" si="9"/>
        <v>0</v>
      </c>
      <c r="H85" s="752">
        <f t="shared" si="9"/>
        <v>0</v>
      </c>
      <c r="I85" s="752">
        <f t="shared" si="9"/>
        <v>0</v>
      </c>
      <c r="J85" s="752">
        <f t="shared" si="9"/>
        <v>0</v>
      </c>
      <c r="K85" s="752">
        <f t="shared" si="9"/>
        <v>0</v>
      </c>
      <c r="L85" s="752">
        <f t="shared" si="9"/>
        <v>0</v>
      </c>
      <c r="M85" s="752">
        <f t="shared" si="9"/>
        <v>0</v>
      </c>
      <c r="N85" s="752">
        <f t="shared" si="9"/>
        <v>0</v>
      </c>
      <c r="O85" s="752">
        <f t="shared" si="9"/>
        <v>0</v>
      </c>
      <c r="P85" s="752">
        <f t="shared" si="9"/>
        <v>0</v>
      </c>
      <c r="Q85" s="752">
        <f t="shared" si="9"/>
        <v>0</v>
      </c>
      <c r="R85" s="752">
        <f t="shared" si="9"/>
        <v>0</v>
      </c>
      <c r="S85" s="752">
        <f t="shared" si="9"/>
        <v>0</v>
      </c>
    </row>
    <row r="86" spans="1:23" ht="14.85" customHeight="1"/>
    <row r="87" spans="1:23" ht="14.85" customHeight="1">
      <c r="B87" s="328" t="s">
        <v>414</v>
      </c>
      <c r="D87" s="753">
        <f>-SUMPRODUCT(D62:D78,$Y$62:$Y$78)</f>
        <v>0</v>
      </c>
      <c r="E87" s="753">
        <f t="shared" ref="E87:S87" si="10">-SUMPRODUCT(E62:E78,$Y$62:$Y$78)</f>
        <v>0</v>
      </c>
      <c r="F87" s="753">
        <f t="shared" si="10"/>
        <v>0</v>
      </c>
      <c r="G87" s="753">
        <f t="shared" si="10"/>
        <v>0</v>
      </c>
      <c r="H87" s="753">
        <f t="shared" si="10"/>
        <v>0</v>
      </c>
      <c r="I87" s="753">
        <f t="shared" si="10"/>
        <v>0</v>
      </c>
      <c r="J87" s="753">
        <f t="shared" si="10"/>
        <v>0</v>
      </c>
      <c r="K87" s="753">
        <f t="shared" si="10"/>
        <v>0</v>
      </c>
      <c r="L87" s="753">
        <f t="shared" si="10"/>
        <v>0</v>
      </c>
      <c r="M87" s="753">
        <f t="shared" si="10"/>
        <v>0</v>
      </c>
      <c r="N87" s="753">
        <f t="shared" si="10"/>
        <v>0</v>
      </c>
      <c r="O87" s="753">
        <f t="shared" si="10"/>
        <v>0</v>
      </c>
      <c r="P87" s="753">
        <f t="shared" si="10"/>
        <v>0</v>
      </c>
      <c r="Q87" s="753">
        <f t="shared" si="10"/>
        <v>0</v>
      </c>
      <c r="R87" s="753">
        <f t="shared" si="10"/>
        <v>0</v>
      </c>
      <c r="S87" s="753">
        <f t="shared" si="10"/>
        <v>0</v>
      </c>
    </row>
    <row r="88" spans="1:23" ht="14.85" customHeight="1">
      <c r="B88" s="346"/>
      <c r="C88" s="346"/>
      <c r="D88" s="346"/>
      <c r="E88" s="346"/>
      <c r="F88" s="346"/>
      <c r="G88" s="346"/>
      <c r="H88" s="346"/>
      <c r="I88" s="346"/>
      <c r="J88" s="346"/>
      <c r="K88" s="346"/>
      <c r="L88" s="346"/>
      <c r="M88" s="346"/>
      <c r="N88" s="346"/>
      <c r="O88" s="346"/>
      <c r="P88" s="346"/>
      <c r="Q88" s="346"/>
      <c r="R88" s="346"/>
      <c r="S88" s="346"/>
    </row>
    <row r="89" spans="1:23" ht="14.85" customHeight="1">
      <c r="B89" s="382" t="s">
        <v>415</v>
      </c>
      <c r="D89" s="752">
        <f>SUM(D85:D87)+D34</f>
        <v>216</v>
      </c>
      <c r="E89" s="752">
        <f t="shared" ref="E89:S89" si="11">SUM(E85:E87)+E34</f>
        <v>480</v>
      </c>
      <c r="F89" s="752">
        <f t="shared" si="11"/>
        <v>741</v>
      </c>
      <c r="G89" s="752">
        <f t="shared" si="11"/>
        <v>984</v>
      </c>
      <c r="H89" s="752">
        <f t="shared" si="11"/>
        <v>1234</v>
      </c>
      <c r="I89" s="752">
        <f t="shared" si="11"/>
        <v>0</v>
      </c>
      <c r="J89" s="752">
        <f t="shared" si="11"/>
        <v>0</v>
      </c>
      <c r="K89" s="752">
        <f t="shared" si="11"/>
        <v>0</v>
      </c>
      <c r="L89" s="752">
        <f t="shared" si="11"/>
        <v>0</v>
      </c>
      <c r="M89" s="752">
        <f t="shared" si="11"/>
        <v>0</v>
      </c>
      <c r="N89" s="752">
        <f t="shared" si="11"/>
        <v>0</v>
      </c>
      <c r="O89" s="752">
        <f t="shared" si="11"/>
        <v>0</v>
      </c>
      <c r="P89" s="752">
        <f t="shared" si="11"/>
        <v>0</v>
      </c>
      <c r="Q89" s="752">
        <f t="shared" si="11"/>
        <v>0</v>
      </c>
      <c r="R89" s="752">
        <f t="shared" si="11"/>
        <v>0</v>
      </c>
      <c r="S89" s="752">
        <f t="shared" si="11"/>
        <v>0</v>
      </c>
    </row>
    <row r="90" spans="1:23" ht="14.85" customHeight="1">
      <c r="B90" s="382"/>
      <c r="D90" s="412"/>
      <c r="E90" s="412"/>
      <c r="F90" s="412"/>
      <c r="G90" s="412"/>
      <c r="H90" s="412"/>
      <c r="I90" s="412"/>
      <c r="J90" s="412"/>
      <c r="K90" s="412"/>
      <c r="L90" s="412"/>
      <c r="M90" s="412"/>
      <c r="N90" s="412"/>
      <c r="O90" s="412"/>
      <c r="P90" s="412"/>
      <c r="Q90" s="412"/>
      <c r="R90" s="412"/>
      <c r="S90" s="412"/>
    </row>
    <row r="91" spans="1:23" ht="14.85" customHeight="1"/>
    <row r="92" spans="1:23" s="272" customFormat="1" ht="14.85" customHeight="1">
      <c r="A92" s="754"/>
      <c r="B92" s="755" t="s">
        <v>417</v>
      </c>
      <c r="D92" s="756">
        <f>D$15</f>
        <v>1</v>
      </c>
      <c r="E92" s="757">
        <f t="shared" ref="E92:S92" si="12">E$15</f>
        <v>2</v>
      </c>
      <c r="F92" s="757">
        <f t="shared" si="12"/>
        <v>3</v>
      </c>
      <c r="G92" s="757">
        <f t="shared" si="12"/>
        <v>4</v>
      </c>
      <c r="H92" s="757">
        <f t="shared" si="12"/>
        <v>5</v>
      </c>
      <c r="I92" s="757">
        <f t="shared" si="12"/>
        <v>6</v>
      </c>
      <c r="J92" s="757">
        <f t="shared" si="12"/>
        <v>7</v>
      </c>
      <c r="K92" s="757">
        <f t="shared" si="12"/>
        <v>8</v>
      </c>
      <c r="L92" s="757">
        <f t="shared" si="12"/>
        <v>9</v>
      </c>
      <c r="M92" s="757">
        <f t="shared" si="12"/>
        <v>10</v>
      </c>
      <c r="N92" s="757">
        <f t="shared" si="12"/>
        <v>11</v>
      </c>
      <c r="O92" s="757">
        <f t="shared" si="12"/>
        <v>12</v>
      </c>
      <c r="P92" s="757">
        <f t="shared" si="12"/>
        <v>13</v>
      </c>
      <c r="Q92" s="757">
        <f t="shared" si="12"/>
        <v>14</v>
      </c>
      <c r="R92" s="757">
        <f t="shared" si="12"/>
        <v>15</v>
      </c>
      <c r="S92" s="758">
        <f t="shared" si="12"/>
        <v>16</v>
      </c>
      <c r="W92" s="347"/>
    </row>
    <row r="93" spans="1:23" ht="14.85" customHeight="1"/>
    <row r="94" spans="1:23" ht="14.85" customHeight="1">
      <c r="B94" s="250" t="s">
        <v>418</v>
      </c>
      <c r="D94" s="759">
        <v>1E-10</v>
      </c>
      <c r="E94" s="759">
        <f>D95</f>
        <v>216</v>
      </c>
      <c r="F94" s="759">
        <f t="shared" ref="F94:S94" si="13">E95</f>
        <v>480</v>
      </c>
      <c r="G94" s="759">
        <f t="shared" si="13"/>
        <v>741</v>
      </c>
      <c r="H94" s="759">
        <f t="shared" si="13"/>
        <v>984</v>
      </c>
      <c r="I94" s="759" t="str">
        <f t="shared" si="13"/>
        <v>n/a</v>
      </c>
      <c r="J94" s="759" t="str">
        <f t="shared" si="13"/>
        <v>n/a</v>
      </c>
      <c r="K94" s="759" t="str">
        <f t="shared" si="13"/>
        <v>n/a</v>
      </c>
      <c r="L94" s="759" t="str">
        <f t="shared" si="13"/>
        <v>n/a</v>
      </c>
      <c r="M94" s="759" t="str">
        <f t="shared" si="13"/>
        <v>n/a</v>
      </c>
      <c r="N94" s="759" t="str">
        <f t="shared" si="13"/>
        <v>n/a</v>
      </c>
      <c r="O94" s="759" t="str">
        <f t="shared" si="13"/>
        <v>n/a</v>
      </c>
      <c r="P94" s="759" t="str">
        <f t="shared" si="13"/>
        <v>n/a</v>
      </c>
      <c r="Q94" s="759" t="str">
        <f t="shared" si="13"/>
        <v>n/a</v>
      </c>
      <c r="R94" s="759" t="str">
        <f t="shared" si="13"/>
        <v>n/a</v>
      </c>
      <c r="S94" s="759" t="str">
        <f t="shared" si="13"/>
        <v>n/a</v>
      </c>
    </row>
    <row r="95" spans="1:23" ht="14.85" customHeight="1">
      <c r="B95" s="250" t="s">
        <v>419</v>
      </c>
      <c r="D95" s="759">
        <f>D89</f>
        <v>216</v>
      </c>
      <c r="E95" s="759">
        <f>IF(F89=0,"n/a",IF(D95=E89,F89,E89))</f>
        <v>480</v>
      </c>
      <c r="F95" s="759">
        <f t="shared" ref="F95:S95" si="14">IF(G89=0,"n/a",IF(E95=F89,G89,F89))</f>
        <v>741</v>
      </c>
      <c r="G95" s="759">
        <f t="shared" si="14"/>
        <v>984</v>
      </c>
      <c r="H95" s="759" t="str">
        <f t="shared" si="14"/>
        <v>n/a</v>
      </c>
      <c r="I95" s="759" t="str">
        <f t="shared" si="14"/>
        <v>n/a</v>
      </c>
      <c r="J95" s="759" t="str">
        <f t="shared" si="14"/>
        <v>n/a</v>
      </c>
      <c r="K95" s="759" t="str">
        <f t="shared" si="14"/>
        <v>n/a</v>
      </c>
      <c r="L95" s="759" t="str">
        <f t="shared" si="14"/>
        <v>n/a</v>
      </c>
      <c r="M95" s="759" t="str">
        <f t="shared" si="14"/>
        <v>n/a</v>
      </c>
      <c r="N95" s="759" t="str">
        <f t="shared" si="14"/>
        <v>n/a</v>
      </c>
      <c r="O95" s="759" t="str">
        <f t="shared" si="14"/>
        <v>n/a</v>
      </c>
      <c r="P95" s="759" t="str">
        <f t="shared" si="14"/>
        <v>n/a</v>
      </c>
      <c r="Q95" s="759" t="str">
        <f t="shared" si="14"/>
        <v>n/a</v>
      </c>
      <c r="R95" s="759" t="str">
        <f t="shared" si="14"/>
        <v>n/a</v>
      </c>
      <c r="S95" s="759" t="str">
        <f t="shared" si="14"/>
        <v>n/a</v>
      </c>
    </row>
    <row r="96" spans="1:23" ht="14.85" customHeight="1"/>
    <row r="97" spans="2:23" ht="14.85" customHeight="1" outlineLevel="1">
      <c r="B97" s="250" t="s">
        <v>423</v>
      </c>
      <c r="D97" s="331">
        <f>(LN($D$9/D94)+($D$12+$D$11^2/2)*$D$10)/($D$11*SQRT($D$10))</f>
        <v>71.68627527278683</v>
      </c>
      <c r="E97" s="331">
        <f>(LN($D$9/E94)+($D$12+$D$11^2/2)*$D$10)/($D$11*SQRT($D$10))</f>
        <v>13.742883770900976</v>
      </c>
      <c r="F97" s="331">
        <f t="shared" ref="F97:S97" si="15">(LN($D$9/F94)+($D$12+$D$11^2/2)*$D$10)/($D$11*SQRT($D$10))</f>
        <v>12.113785029467442</v>
      </c>
      <c r="G97" s="331">
        <f t="shared" si="15"/>
        <v>11.227909622547813</v>
      </c>
      <c r="H97" s="331">
        <f t="shared" si="15"/>
        <v>10.649263260784128</v>
      </c>
      <c r="I97" s="331" t="e">
        <f t="shared" si="15"/>
        <v>#VALUE!</v>
      </c>
      <c r="J97" s="331" t="e">
        <f t="shared" si="15"/>
        <v>#VALUE!</v>
      </c>
      <c r="K97" s="331" t="e">
        <f t="shared" si="15"/>
        <v>#VALUE!</v>
      </c>
      <c r="L97" s="331" t="e">
        <f t="shared" si="15"/>
        <v>#VALUE!</v>
      </c>
      <c r="M97" s="331" t="e">
        <f t="shared" si="15"/>
        <v>#VALUE!</v>
      </c>
      <c r="N97" s="331" t="e">
        <f t="shared" si="15"/>
        <v>#VALUE!</v>
      </c>
      <c r="O97" s="331" t="e">
        <f t="shared" si="15"/>
        <v>#VALUE!</v>
      </c>
      <c r="P97" s="331" t="e">
        <f t="shared" si="15"/>
        <v>#VALUE!</v>
      </c>
      <c r="Q97" s="331" t="e">
        <f t="shared" si="15"/>
        <v>#VALUE!</v>
      </c>
      <c r="R97" s="331" t="e">
        <f t="shared" si="15"/>
        <v>#VALUE!</v>
      </c>
      <c r="S97" s="331" t="e">
        <f t="shared" si="15"/>
        <v>#VALUE!</v>
      </c>
    </row>
    <row r="98" spans="2:23" ht="14.85" customHeight="1" outlineLevel="1">
      <c r="B98" s="250" t="s">
        <v>425</v>
      </c>
      <c r="D98" s="331">
        <f>D97-$D$11*SQRT($D$10)</f>
        <v>71.196122235460734</v>
      </c>
      <c r="E98" s="331">
        <f t="shared" ref="E98:S98" si="16">E97-$D$11*SQRT($D$10)</f>
        <v>13.252730733574877</v>
      </c>
      <c r="F98" s="331">
        <f t="shared" si="16"/>
        <v>11.623631992141343</v>
      </c>
      <c r="G98" s="331">
        <f t="shared" si="16"/>
        <v>10.737756585221714</v>
      </c>
      <c r="H98" s="331">
        <f t="shared" si="16"/>
        <v>10.159110223458029</v>
      </c>
      <c r="I98" s="331" t="e">
        <f t="shared" si="16"/>
        <v>#VALUE!</v>
      </c>
      <c r="J98" s="331" t="e">
        <f t="shared" si="16"/>
        <v>#VALUE!</v>
      </c>
      <c r="K98" s="331" t="e">
        <f t="shared" si="16"/>
        <v>#VALUE!</v>
      </c>
      <c r="L98" s="331" t="e">
        <f t="shared" si="16"/>
        <v>#VALUE!</v>
      </c>
      <c r="M98" s="331" t="e">
        <f t="shared" si="16"/>
        <v>#VALUE!</v>
      </c>
      <c r="N98" s="331" t="e">
        <f t="shared" si="16"/>
        <v>#VALUE!</v>
      </c>
      <c r="O98" s="331" t="e">
        <f t="shared" si="16"/>
        <v>#VALUE!</v>
      </c>
      <c r="P98" s="331" t="e">
        <f t="shared" si="16"/>
        <v>#VALUE!</v>
      </c>
      <c r="Q98" s="331" t="e">
        <f t="shared" si="16"/>
        <v>#VALUE!</v>
      </c>
      <c r="R98" s="331" t="e">
        <f t="shared" si="16"/>
        <v>#VALUE!</v>
      </c>
      <c r="S98" s="331" t="e">
        <f t="shared" si="16"/>
        <v>#VALUE!</v>
      </c>
    </row>
    <row r="99" spans="2:23" ht="14.85" customHeight="1" outlineLevel="1">
      <c r="D99" s="331"/>
      <c r="E99" s="331"/>
      <c r="F99" s="331"/>
      <c r="G99" s="331"/>
      <c r="H99" s="331"/>
      <c r="I99" s="331"/>
      <c r="J99" s="331"/>
      <c r="K99" s="331"/>
      <c r="L99" s="331"/>
      <c r="M99" s="331"/>
      <c r="N99" s="331"/>
      <c r="O99" s="331"/>
      <c r="P99" s="331"/>
      <c r="Q99" s="331"/>
      <c r="R99" s="331"/>
      <c r="S99" s="331"/>
    </row>
    <row r="100" spans="2:23" ht="14.85" customHeight="1" outlineLevel="1">
      <c r="B100" s="250" t="s">
        <v>424</v>
      </c>
      <c r="D100" s="331">
        <f>(LN($D$9/D95)+($D$12+$D$11^2/2)*$D$10)/($D$11*SQRT($D$10))</f>
        <v>13.742883770900976</v>
      </c>
      <c r="E100" s="759">
        <f>IF(E95="n/a","n/a",(LN($D$9/E95)+($D$12+$D$11^2/2)*$D$10)/($D$11*SQRT($D$10)))</f>
        <v>12.113785029467442</v>
      </c>
      <c r="F100" s="759">
        <f t="shared" ref="F100:S100" si="17">IF(F95="n/a","n/a",(LN($D$9/F95)+($D$12+$D$11^2/2)*$D$10)/($D$11*SQRT($D$10)))</f>
        <v>11.227909622547813</v>
      </c>
      <c r="G100" s="759">
        <f t="shared" si="17"/>
        <v>10.649263260784128</v>
      </c>
      <c r="H100" s="759" t="str">
        <f t="shared" si="17"/>
        <v>n/a</v>
      </c>
      <c r="I100" s="759" t="str">
        <f t="shared" si="17"/>
        <v>n/a</v>
      </c>
      <c r="J100" s="759" t="str">
        <f t="shared" si="17"/>
        <v>n/a</v>
      </c>
      <c r="K100" s="759" t="str">
        <f t="shared" si="17"/>
        <v>n/a</v>
      </c>
      <c r="L100" s="759" t="str">
        <f t="shared" si="17"/>
        <v>n/a</v>
      </c>
      <c r="M100" s="759" t="str">
        <f t="shared" si="17"/>
        <v>n/a</v>
      </c>
      <c r="N100" s="759" t="str">
        <f t="shared" si="17"/>
        <v>n/a</v>
      </c>
      <c r="O100" s="759" t="str">
        <f t="shared" si="17"/>
        <v>n/a</v>
      </c>
      <c r="P100" s="759" t="str">
        <f t="shared" si="17"/>
        <v>n/a</v>
      </c>
      <c r="Q100" s="759" t="str">
        <f t="shared" si="17"/>
        <v>n/a</v>
      </c>
      <c r="R100" s="759" t="str">
        <f t="shared" si="17"/>
        <v>n/a</v>
      </c>
      <c r="S100" s="759" t="str">
        <f t="shared" si="17"/>
        <v>n/a</v>
      </c>
    </row>
    <row r="101" spans="2:23" ht="14.85" customHeight="1" outlineLevel="1">
      <c r="B101" s="250" t="s">
        <v>426</v>
      </c>
      <c r="D101" s="331">
        <f>D100-$D$11*SQRT($D$10)</f>
        <v>13.252730733574877</v>
      </c>
      <c r="E101" s="759">
        <f>IF(E95="n/a","n/a",E100-$D$11*SQRT($D$10))</f>
        <v>11.623631992141343</v>
      </c>
      <c r="F101" s="759">
        <f t="shared" ref="F101:S101" si="18">IF(F95="n/a","n/a",F100-$D$11*SQRT($D$10))</f>
        <v>10.737756585221714</v>
      </c>
      <c r="G101" s="759">
        <f t="shared" si="18"/>
        <v>10.159110223458029</v>
      </c>
      <c r="H101" s="759" t="str">
        <f t="shared" si="18"/>
        <v>n/a</v>
      </c>
      <c r="I101" s="759" t="str">
        <f t="shared" si="18"/>
        <v>n/a</v>
      </c>
      <c r="J101" s="759" t="str">
        <f t="shared" si="18"/>
        <v>n/a</v>
      </c>
      <c r="K101" s="759" t="str">
        <f t="shared" si="18"/>
        <v>n/a</v>
      </c>
      <c r="L101" s="759" t="str">
        <f t="shared" si="18"/>
        <v>n/a</v>
      </c>
      <c r="M101" s="759" t="str">
        <f t="shared" si="18"/>
        <v>n/a</v>
      </c>
      <c r="N101" s="759" t="str">
        <f t="shared" si="18"/>
        <v>n/a</v>
      </c>
      <c r="O101" s="759" t="str">
        <f t="shared" si="18"/>
        <v>n/a</v>
      </c>
      <c r="P101" s="759" t="str">
        <f t="shared" si="18"/>
        <v>n/a</v>
      </c>
      <c r="Q101" s="759" t="str">
        <f t="shared" si="18"/>
        <v>n/a</v>
      </c>
      <c r="R101" s="759" t="str">
        <f t="shared" si="18"/>
        <v>n/a</v>
      </c>
      <c r="S101" s="759" t="str">
        <f t="shared" si="18"/>
        <v>n/a</v>
      </c>
    </row>
    <row r="102" spans="2:23" ht="14.85" customHeight="1" outlineLevel="1">
      <c r="D102" s="331"/>
      <c r="E102" s="331"/>
      <c r="F102" s="331"/>
      <c r="G102" s="331"/>
      <c r="H102" s="331"/>
      <c r="I102" s="331"/>
      <c r="J102" s="331"/>
      <c r="K102" s="331"/>
      <c r="L102" s="331"/>
      <c r="M102" s="331"/>
      <c r="N102" s="331"/>
      <c r="O102" s="331"/>
      <c r="P102" s="331"/>
      <c r="Q102" s="331"/>
      <c r="R102" s="331"/>
      <c r="S102" s="331"/>
    </row>
    <row r="103" spans="2:23" ht="14.85" customHeight="1">
      <c r="B103" s="250" t="s">
        <v>420</v>
      </c>
      <c r="D103" s="331">
        <f>$D$9*NORMSDIST(D97)-D94*EXP(-$D$12*$D$10)*NORMSDIST(D98)</f>
        <v>156356.60854208859</v>
      </c>
      <c r="E103" s="331">
        <f t="shared" ref="E103:S103" si="19">$D$9*NORMSDIST(E97)-E94*EXP(-$D$12*$D$10)*NORMSDIST(E98)</f>
        <v>156147.2803311036</v>
      </c>
      <c r="F103" s="331">
        <f t="shared" si="19"/>
        <v>155891.43473989962</v>
      </c>
      <c r="G103" s="331">
        <f t="shared" si="19"/>
        <v>155638.49648495932</v>
      </c>
      <c r="H103" s="331">
        <f t="shared" si="19"/>
        <v>155403.00224760114</v>
      </c>
      <c r="I103" s="331" t="e">
        <f t="shared" si="19"/>
        <v>#VALUE!</v>
      </c>
      <c r="J103" s="331" t="e">
        <f t="shared" si="19"/>
        <v>#VALUE!</v>
      </c>
      <c r="K103" s="331" t="e">
        <f t="shared" si="19"/>
        <v>#VALUE!</v>
      </c>
      <c r="L103" s="331" t="e">
        <f t="shared" si="19"/>
        <v>#VALUE!</v>
      </c>
      <c r="M103" s="331" t="e">
        <f t="shared" si="19"/>
        <v>#VALUE!</v>
      </c>
      <c r="N103" s="331" t="e">
        <f t="shared" si="19"/>
        <v>#VALUE!</v>
      </c>
      <c r="O103" s="331" t="e">
        <f t="shared" si="19"/>
        <v>#VALUE!</v>
      </c>
      <c r="P103" s="331" t="e">
        <f t="shared" si="19"/>
        <v>#VALUE!</v>
      </c>
      <c r="Q103" s="331" t="e">
        <f t="shared" si="19"/>
        <v>#VALUE!</v>
      </c>
      <c r="R103" s="331" t="e">
        <f t="shared" si="19"/>
        <v>#VALUE!</v>
      </c>
      <c r="S103" s="331" t="e">
        <f t="shared" si="19"/>
        <v>#VALUE!</v>
      </c>
    </row>
    <row r="104" spans="2:23" ht="14.85" customHeight="1">
      <c r="B104" s="250" t="s">
        <v>421</v>
      </c>
      <c r="D104" s="331">
        <f>$D$9*NORMSDIST(D100)-D95*EXP(-$D$12*$D$10)*NORMSDIST(D101)</f>
        <v>156147.2803311036</v>
      </c>
      <c r="E104" s="759">
        <f>IF(E95="n/a","n/a",$D$9*NORMSDIST(E100)-E95*EXP(-$D$12*$D$10)*NORMSDIST(E101))</f>
        <v>155891.43473989962</v>
      </c>
      <c r="F104" s="759">
        <f t="shared" ref="F104:S104" si="20">IF(F95="n/a","n/a",$D$9*NORMSDIST(F100)-F95*EXP(-$D$12*$D$10)*NORMSDIST(F101))</f>
        <v>155638.49648495932</v>
      </c>
      <c r="G104" s="759">
        <f t="shared" si="20"/>
        <v>155403.00224760114</v>
      </c>
      <c r="H104" s="759" t="str">
        <f t="shared" si="20"/>
        <v>n/a</v>
      </c>
      <c r="I104" s="759" t="str">
        <f t="shared" si="20"/>
        <v>n/a</v>
      </c>
      <c r="J104" s="759" t="str">
        <f t="shared" si="20"/>
        <v>n/a</v>
      </c>
      <c r="K104" s="759" t="str">
        <f t="shared" si="20"/>
        <v>n/a</v>
      </c>
      <c r="L104" s="759" t="str">
        <f t="shared" si="20"/>
        <v>n/a</v>
      </c>
      <c r="M104" s="759" t="str">
        <f t="shared" si="20"/>
        <v>n/a</v>
      </c>
      <c r="N104" s="759" t="str">
        <f t="shared" si="20"/>
        <v>n/a</v>
      </c>
      <c r="O104" s="759" t="str">
        <f t="shared" si="20"/>
        <v>n/a</v>
      </c>
      <c r="P104" s="759" t="str">
        <f t="shared" si="20"/>
        <v>n/a</v>
      </c>
      <c r="Q104" s="759" t="str">
        <f t="shared" si="20"/>
        <v>n/a</v>
      </c>
      <c r="R104" s="759" t="str">
        <f t="shared" si="20"/>
        <v>n/a</v>
      </c>
      <c r="S104" s="759" t="str">
        <f t="shared" si="20"/>
        <v>n/a</v>
      </c>
    </row>
    <row r="105" spans="2:23" ht="14.85" customHeight="1"/>
    <row r="106" spans="2:23" ht="14.85" customHeight="1">
      <c r="B106" s="253" t="s">
        <v>422</v>
      </c>
      <c r="C106" s="253"/>
      <c r="D106" s="412">
        <f>D103-D104</f>
        <v>209.32821098499699</v>
      </c>
      <c r="E106" s="412">
        <f>IF(E95="n/a",E103,E103-E104)</f>
        <v>255.84559120397898</v>
      </c>
      <c r="F106" s="412">
        <f t="shared" ref="F106:S106" si="21">IF(F95="n/a",F103,F103-F104)</f>
        <v>252.93825494029443</v>
      </c>
      <c r="G106" s="412">
        <f t="shared" si="21"/>
        <v>235.49423735818709</v>
      </c>
      <c r="H106" s="412">
        <f t="shared" si="21"/>
        <v>155403.00224760114</v>
      </c>
      <c r="I106" s="412" t="e">
        <f t="shared" si="21"/>
        <v>#VALUE!</v>
      </c>
      <c r="J106" s="412" t="e">
        <f t="shared" si="21"/>
        <v>#VALUE!</v>
      </c>
      <c r="K106" s="412" t="e">
        <f t="shared" si="21"/>
        <v>#VALUE!</v>
      </c>
      <c r="L106" s="412" t="e">
        <f t="shared" si="21"/>
        <v>#VALUE!</v>
      </c>
      <c r="M106" s="412" t="e">
        <f t="shared" si="21"/>
        <v>#VALUE!</v>
      </c>
      <c r="N106" s="412" t="e">
        <f t="shared" si="21"/>
        <v>#VALUE!</v>
      </c>
      <c r="O106" s="412" t="e">
        <f t="shared" si="21"/>
        <v>#VALUE!</v>
      </c>
      <c r="P106" s="412" t="e">
        <f t="shared" si="21"/>
        <v>#VALUE!</v>
      </c>
      <c r="Q106" s="412" t="e">
        <f t="shared" si="21"/>
        <v>#VALUE!</v>
      </c>
      <c r="R106" s="412" t="e">
        <f t="shared" si="21"/>
        <v>#VALUE!</v>
      </c>
      <c r="S106" s="412" t="e">
        <f t="shared" si="21"/>
        <v>#VALUE!</v>
      </c>
    </row>
    <row r="107" spans="2:23" ht="14.85" customHeight="1"/>
    <row r="108" spans="2:23" s="272" customFormat="1" ht="14.85" customHeight="1">
      <c r="B108" s="755" t="s">
        <v>416</v>
      </c>
      <c r="D108" s="756">
        <f>D$15</f>
        <v>1</v>
      </c>
      <c r="E108" s="757">
        <f t="shared" ref="E108:S108" si="22">E$15</f>
        <v>2</v>
      </c>
      <c r="F108" s="757">
        <f t="shared" si="22"/>
        <v>3</v>
      </c>
      <c r="G108" s="757">
        <f t="shared" si="22"/>
        <v>4</v>
      </c>
      <c r="H108" s="757">
        <f t="shared" si="22"/>
        <v>5</v>
      </c>
      <c r="I108" s="757">
        <f t="shared" si="22"/>
        <v>6</v>
      </c>
      <c r="J108" s="757">
        <f t="shared" si="22"/>
        <v>7</v>
      </c>
      <c r="K108" s="757">
        <f t="shared" si="22"/>
        <v>8</v>
      </c>
      <c r="L108" s="757">
        <f t="shared" si="22"/>
        <v>9</v>
      </c>
      <c r="M108" s="757">
        <f t="shared" si="22"/>
        <v>10</v>
      </c>
      <c r="N108" s="757">
        <f t="shared" si="22"/>
        <v>11</v>
      </c>
      <c r="O108" s="757">
        <f t="shared" si="22"/>
        <v>12</v>
      </c>
      <c r="P108" s="757">
        <f t="shared" si="22"/>
        <v>13</v>
      </c>
      <c r="Q108" s="757">
        <f t="shared" si="22"/>
        <v>14</v>
      </c>
      <c r="R108" s="757">
        <f t="shared" si="22"/>
        <v>15</v>
      </c>
      <c r="S108" s="758">
        <f t="shared" si="22"/>
        <v>16</v>
      </c>
      <c r="W108" s="347"/>
    </row>
    <row r="109" spans="2:23" ht="14.85" customHeight="1"/>
    <row r="110" spans="2:23" ht="14.85" customHeight="1">
      <c r="D110" s="1937" t="s">
        <v>410</v>
      </c>
      <c r="E110" s="1937" t="s">
        <v>410</v>
      </c>
      <c r="F110" s="1937" t="s">
        <v>410</v>
      </c>
      <c r="G110" s="1937" t="s">
        <v>410</v>
      </c>
      <c r="H110" s="1937" t="s">
        <v>410</v>
      </c>
      <c r="I110" s="1937" t="s">
        <v>324</v>
      </c>
      <c r="J110" s="1937" t="s">
        <v>324</v>
      </c>
      <c r="K110" s="1937" t="s">
        <v>324</v>
      </c>
      <c r="L110" s="1937" t="s">
        <v>324</v>
      </c>
      <c r="M110" s="1937" t="s">
        <v>324</v>
      </c>
      <c r="N110" s="1937" t="s">
        <v>324</v>
      </c>
      <c r="O110" s="1937" t="s">
        <v>324</v>
      </c>
      <c r="P110" s="1937" t="s">
        <v>324</v>
      </c>
      <c r="Q110" s="1937" t="s">
        <v>324</v>
      </c>
      <c r="R110" s="1937" t="s">
        <v>324</v>
      </c>
      <c r="S110" s="1937" t="s">
        <v>324</v>
      </c>
    </row>
    <row r="111" spans="2:23" ht="14.85" customHeight="1"/>
    <row r="112" spans="2:23" ht="14.85" customHeight="1">
      <c r="B112" s="413" t="str">
        <f t="shared" ref="B112:B118" si="23">B55</f>
        <v>Series A</v>
      </c>
      <c r="D112" s="381"/>
      <c r="E112" s="381"/>
      <c r="F112" s="381"/>
      <c r="G112" s="381"/>
      <c r="H112" s="381"/>
      <c r="I112" s="381"/>
      <c r="J112" s="381"/>
      <c r="K112" s="381"/>
      <c r="L112" s="381"/>
      <c r="M112" s="381"/>
      <c r="N112" s="381"/>
      <c r="O112" s="381"/>
      <c r="P112" s="381"/>
      <c r="Q112" s="381"/>
      <c r="R112" s="381"/>
      <c r="S112" s="381"/>
    </row>
    <row r="113" spans="2:19" ht="14.85" customHeight="1">
      <c r="B113" s="413" t="str">
        <f t="shared" si="23"/>
        <v>Series B</v>
      </c>
      <c r="D113" s="381"/>
      <c r="E113" s="381"/>
      <c r="F113" s="381"/>
      <c r="G113" s="381"/>
      <c r="H113" s="381"/>
      <c r="I113" s="381"/>
      <c r="J113" s="381"/>
      <c r="K113" s="381"/>
      <c r="L113" s="381"/>
      <c r="M113" s="381"/>
      <c r="N113" s="381"/>
      <c r="O113" s="381"/>
      <c r="P113" s="381"/>
      <c r="Q113" s="381"/>
      <c r="R113" s="381"/>
      <c r="S113" s="381"/>
    </row>
    <row r="114" spans="2:19" ht="14.85" customHeight="1">
      <c r="B114" s="413" t="str">
        <f t="shared" si="23"/>
        <v>Series C</v>
      </c>
      <c r="D114" s="381"/>
      <c r="E114" s="381"/>
      <c r="F114" s="381"/>
      <c r="G114" s="381"/>
      <c r="H114" s="381"/>
      <c r="I114" s="381"/>
      <c r="J114" s="381"/>
      <c r="K114" s="381"/>
      <c r="L114" s="381"/>
      <c r="M114" s="381"/>
      <c r="N114" s="381"/>
      <c r="O114" s="381"/>
      <c r="P114" s="381"/>
      <c r="Q114" s="381"/>
      <c r="R114" s="381"/>
      <c r="S114" s="381"/>
    </row>
    <row r="115" spans="2:19" ht="14.85" customHeight="1">
      <c r="B115" s="413" t="str">
        <f t="shared" si="23"/>
        <v>Series D</v>
      </c>
      <c r="D115" s="381"/>
      <c r="E115" s="381"/>
      <c r="F115" s="381"/>
      <c r="G115" s="381"/>
      <c r="H115" s="381"/>
      <c r="I115" s="381"/>
      <c r="J115" s="381"/>
      <c r="K115" s="381"/>
      <c r="L115" s="381"/>
      <c r="M115" s="381"/>
      <c r="N115" s="381"/>
      <c r="O115" s="381"/>
      <c r="P115" s="381"/>
      <c r="Q115" s="381"/>
      <c r="R115" s="381"/>
      <c r="S115" s="381"/>
    </row>
    <row r="116" spans="2:19" ht="14.85" customHeight="1">
      <c r="B116" s="413" t="str">
        <f t="shared" si="23"/>
        <v>Series E</v>
      </c>
      <c r="D116" s="381"/>
      <c r="E116" s="381"/>
      <c r="F116" s="381"/>
      <c r="G116" s="381"/>
      <c r="H116" s="381"/>
      <c r="I116" s="381"/>
      <c r="J116" s="381"/>
      <c r="K116" s="381"/>
      <c r="L116" s="381"/>
      <c r="M116" s="381"/>
      <c r="N116" s="381"/>
      <c r="O116" s="381"/>
      <c r="P116" s="381"/>
      <c r="Q116" s="381"/>
      <c r="R116" s="381"/>
      <c r="S116" s="381"/>
    </row>
    <row r="117" spans="2:19" ht="14.85" customHeight="1">
      <c r="B117" s="413" t="str">
        <f t="shared" si="23"/>
        <v>Series F</v>
      </c>
      <c r="D117" s="381"/>
      <c r="E117" s="381"/>
      <c r="F117" s="381"/>
      <c r="G117" s="381"/>
      <c r="H117" s="381"/>
      <c r="I117" s="381"/>
      <c r="J117" s="381"/>
      <c r="K117" s="381"/>
      <c r="L117" s="381"/>
      <c r="M117" s="381"/>
      <c r="N117" s="381"/>
      <c r="O117" s="381"/>
      <c r="P117" s="381"/>
      <c r="Q117" s="381"/>
      <c r="R117" s="381"/>
      <c r="S117" s="381"/>
    </row>
    <row r="118" spans="2:19" ht="14.85" customHeight="1">
      <c r="B118" s="413" t="str">
        <f t="shared" si="23"/>
        <v>Series G</v>
      </c>
      <c r="D118" s="381"/>
      <c r="E118" s="381"/>
      <c r="F118" s="381"/>
      <c r="G118" s="381"/>
      <c r="H118" s="381"/>
      <c r="I118" s="381"/>
      <c r="J118" s="381"/>
      <c r="K118" s="381"/>
      <c r="L118" s="381"/>
      <c r="M118" s="381"/>
      <c r="N118" s="381"/>
      <c r="O118" s="381"/>
      <c r="P118" s="381"/>
      <c r="Q118" s="381"/>
      <c r="R118" s="381"/>
      <c r="S118" s="381"/>
    </row>
    <row r="119" spans="2:19" ht="14.85" customHeight="1">
      <c r="B119" s="413" t="str">
        <f t="shared" ref="B119:B125" si="24">+$B112&amp;" Warrants"</f>
        <v>Series A Warrants</v>
      </c>
      <c r="D119" s="381"/>
      <c r="E119" s="381"/>
      <c r="F119" s="381"/>
      <c r="G119" s="381"/>
      <c r="H119" s="381"/>
      <c r="I119" s="381"/>
      <c r="J119" s="381"/>
      <c r="K119" s="381"/>
      <c r="L119" s="381"/>
      <c r="M119" s="381"/>
      <c r="N119" s="381"/>
      <c r="O119" s="381"/>
      <c r="P119" s="381"/>
      <c r="Q119" s="381"/>
      <c r="R119" s="381"/>
      <c r="S119" s="381"/>
    </row>
    <row r="120" spans="2:19" ht="14.85" customHeight="1">
      <c r="B120" s="413" t="str">
        <f t="shared" si="24"/>
        <v>Series B Warrants</v>
      </c>
      <c r="D120" s="381"/>
      <c r="E120" s="381"/>
      <c r="F120" s="381"/>
      <c r="G120" s="381"/>
      <c r="H120" s="381"/>
      <c r="I120" s="381"/>
      <c r="J120" s="381"/>
      <c r="K120" s="381"/>
      <c r="L120" s="381"/>
      <c r="M120" s="381"/>
      <c r="N120" s="381"/>
      <c r="O120" s="381"/>
      <c r="P120" s="381"/>
      <c r="Q120" s="381"/>
      <c r="R120" s="381"/>
      <c r="S120" s="381"/>
    </row>
    <row r="121" spans="2:19" ht="14.85" customHeight="1">
      <c r="B121" s="413" t="str">
        <f t="shared" si="24"/>
        <v>Series C Warrants</v>
      </c>
      <c r="D121" s="381"/>
      <c r="E121" s="381"/>
      <c r="F121" s="381"/>
      <c r="G121" s="381"/>
      <c r="H121" s="381"/>
      <c r="I121" s="381"/>
      <c r="J121" s="381"/>
      <c r="K121" s="381"/>
      <c r="L121" s="381"/>
      <c r="M121" s="381"/>
      <c r="N121" s="381"/>
      <c r="O121" s="381"/>
      <c r="P121" s="381"/>
      <c r="Q121" s="381"/>
      <c r="R121" s="381"/>
      <c r="S121" s="381"/>
    </row>
    <row r="122" spans="2:19" ht="14.85" customHeight="1">
      <c r="B122" s="413" t="str">
        <f t="shared" si="24"/>
        <v>Series D Warrants</v>
      </c>
      <c r="D122" s="381"/>
      <c r="E122" s="381"/>
      <c r="F122" s="381"/>
      <c r="G122" s="381"/>
      <c r="H122" s="381"/>
      <c r="I122" s="381"/>
      <c r="J122" s="381"/>
      <c r="K122" s="381"/>
      <c r="L122" s="381"/>
      <c r="M122" s="381"/>
      <c r="N122" s="381"/>
      <c r="O122" s="381"/>
      <c r="P122" s="381"/>
      <c r="Q122" s="381"/>
      <c r="R122" s="381"/>
      <c r="S122" s="381"/>
    </row>
    <row r="123" spans="2:19" ht="14.85" customHeight="1">
      <c r="B123" s="413" t="str">
        <f t="shared" si="24"/>
        <v>Series E Warrants</v>
      </c>
      <c r="D123" s="381"/>
      <c r="E123" s="381"/>
      <c r="F123" s="381"/>
      <c r="G123" s="381"/>
      <c r="H123" s="381"/>
      <c r="I123" s="381"/>
      <c r="J123" s="381"/>
      <c r="K123" s="381"/>
      <c r="L123" s="381"/>
      <c r="M123" s="381"/>
      <c r="N123" s="381"/>
      <c r="O123" s="381"/>
      <c r="P123" s="381"/>
      <c r="Q123" s="381"/>
      <c r="R123" s="381"/>
      <c r="S123" s="381"/>
    </row>
    <row r="124" spans="2:19" ht="14.85" customHeight="1">
      <c r="B124" s="413" t="str">
        <f t="shared" si="24"/>
        <v>Series F Warrants</v>
      </c>
      <c r="D124" s="381"/>
      <c r="E124" s="381"/>
      <c r="F124" s="381"/>
      <c r="G124" s="381"/>
      <c r="H124" s="381"/>
      <c r="I124" s="381"/>
      <c r="J124" s="381"/>
      <c r="K124" s="381"/>
      <c r="L124" s="381"/>
      <c r="M124" s="381"/>
      <c r="N124" s="381"/>
      <c r="O124" s="381"/>
      <c r="P124" s="381"/>
      <c r="Q124" s="381"/>
      <c r="R124" s="381"/>
      <c r="S124" s="381"/>
    </row>
    <row r="125" spans="2:19" ht="14.85" customHeight="1">
      <c r="B125" s="413" t="str">
        <f t="shared" si="24"/>
        <v>Series G Warrants</v>
      </c>
      <c r="D125" s="381"/>
      <c r="E125" s="381"/>
      <c r="F125" s="381"/>
      <c r="G125" s="381"/>
      <c r="H125" s="381"/>
      <c r="I125" s="381"/>
      <c r="J125" s="381"/>
      <c r="K125" s="381"/>
      <c r="L125" s="381"/>
      <c r="M125" s="381"/>
      <c r="N125" s="381"/>
      <c r="O125" s="381"/>
      <c r="P125" s="381"/>
      <c r="Q125" s="381"/>
      <c r="R125" s="381"/>
      <c r="S125" s="381"/>
    </row>
    <row r="126" spans="2:19" ht="14.85" customHeight="1">
      <c r="B126" s="413" t="str">
        <f t="shared" ref="B126:B136" si="25">B69</f>
        <v>Options/Warrants at $2.00 Strike Price</v>
      </c>
      <c r="D126" s="381"/>
      <c r="E126" s="381"/>
      <c r="F126" s="381"/>
      <c r="G126" s="381"/>
      <c r="H126" s="381"/>
      <c r="I126" s="381"/>
      <c r="J126" s="381"/>
      <c r="K126" s="381"/>
      <c r="L126" s="381"/>
      <c r="M126" s="381"/>
      <c r="N126" s="381"/>
      <c r="O126" s="381"/>
      <c r="P126" s="381"/>
      <c r="Q126" s="381"/>
      <c r="R126" s="381"/>
      <c r="S126" s="381"/>
    </row>
    <row r="127" spans="2:19" ht="14.85" customHeight="1">
      <c r="B127" s="413" t="str">
        <f t="shared" si="25"/>
        <v>Options/Warrants at $0.00 Strike Price</v>
      </c>
      <c r="D127" s="381"/>
      <c r="E127" s="381"/>
      <c r="F127" s="381"/>
      <c r="G127" s="381"/>
      <c r="H127" s="381"/>
      <c r="I127" s="381"/>
      <c r="J127" s="381"/>
      <c r="K127" s="381"/>
      <c r="L127" s="381"/>
      <c r="M127" s="381"/>
      <c r="N127" s="381"/>
      <c r="O127" s="381"/>
      <c r="P127" s="381"/>
      <c r="Q127" s="381"/>
      <c r="R127" s="381"/>
      <c r="S127" s="381"/>
    </row>
    <row r="128" spans="2:19" ht="14.85" customHeight="1">
      <c r="B128" s="413" t="str">
        <f t="shared" si="25"/>
        <v>Options/Warrants at $0.00 Strike Price</v>
      </c>
      <c r="D128" s="381"/>
      <c r="E128" s="381"/>
      <c r="F128" s="381"/>
      <c r="G128" s="381"/>
      <c r="H128" s="381"/>
      <c r="I128" s="381"/>
      <c r="J128" s="381"/>
      <c r="K128" s="381"/>
      <c r="L128" s="381"/>
      <c r="M128" s="381"/>
      <c r="N128" s="381"/>
      <c r="O128" s="381"/>
      <c r="P128" s="381"/>
      <c r="Q128" s="381"/>
      <c r="R128" s="381"/>
      <c r="S128" s="381"/>
    </row>
    <row r="129" spans="2:19" ht="14.85" customHeight="1">
      <c r="B129" s="413" t="str">
        <f t="shared" si="25"/>
        <v>Options/Warrants at $0.00 Strike Price</v>
      </c>
      <c r="D129" s="381"/>
      <c r="E129" s="381"/>
      <c r="F129" s="381"/>
      <c r="G129" s="381"/>
      <c r="H129" s="381"/>
      <c r="I129" s="381"/>
      <c r="J129" s="381"/>
      <c r="K129" s="381"/>
      <c r="L129" s="381"/>
      <c r="M129" s="381"/>
      <c r="N129" s="381"/>
      <c r="O129" s="381"/>
      <c r="P129" s="381"/>
      <c r="Q129" s="381"/>
      <c r="R129" s="381"/>
      <c r="S129" s="381"/>
    </row>
    <row r="130" spans="2:19" ht="14.85" customHeight="1">
      <c r="B130" s="413" t="str">
        <f t="shared" si="25"/>
        <v>Options/Warrants at $0.00 Strike Price</v>
      </c>
      <c r="D130" s="381"/>
      <c r="E130" s="381"/>
      <c r="F130" s="381"/>
      <c r="G130" s="381"/>
      <c r="H130" s="381"/>
      <c r="I130" s="381"/>
      <c r="J130" s="381"/>
      <c r="K130" s="381"/>
      <c r="L130" s="381"/>
      <c r="M130" s="381"/>
      <c r="N130" s="381"/>
      <c r="O130" s="381"/>
      <c r="P130" s="381"/>
      <c r="Q130" s="381"/>
      <c r="R130" s="381"/>
      <c r="S130" s="381"/>
    </row>
    <row r="131" spans="2:19" ht="14.85" customHeight="1">
      <c r="B131" s="413" t="str">
        <f t="shared" si="25"/>
        <v>Options/Warrants at $0.00 Strike Price</v>
      </c>
      <c r="D131" s="381"/>
      <c r="E131" s="381"/>
      <c r="F131" s="381"/>
      <c r="G131" s="381"/>
      <c r="H131" s="381"/>
      <c r="I131" s="381"/>
      <c r="J131" s="381"/>
      <c r="K131" s="381"/>
      <c r="L131" s="381"/>
      <c r="M131" s="381"/>
      <c r="N131" s="381"/>
      <c r="O131" s="381"/>
      <c r="P131" s="381"/>
      <c r="Q131" s="381"/>
      <c r="R131" s="381"/>
      <c r="S131" s="381"/>
    </row>
    <row r="132" spans="2:19" ht="14.85" customHeight="1">
      <c r="B132" s="413" t="str">
        <f t="shared" si="25"/>
        <v>Options/Warrants at $0.00 Strike Price</v>
      </c>
      <c r="D132" s="381"/>
      <c r="E132" s="381"/>
      <c r="F132" s="381"/>
      <c r="G132" s="381"/>
      <c r="H132" s="381"/>
      <c r="I132" s="381"/>
      <c r="J132" s="381"/>
      <c r="K132" s="381"/>
      <c r="L132" s="381"/>
      <c r="M132" s="381"/>
      <c r="N132" s="381"/>
      <c r="O132" s="381"/>
      <c r="P132" s="381"/>
      <c r="Q132" s="381"/>
      <c r="R132" s="381"/>
      <c r="S132" s="381"/>
    </row>
    <row r="133" spans="2:19" ht="14.85" customHeight="1">
      <c r="B133" s="413" t="str">
        <f t="shared" si="25"/>
        <v>Options/Warrants at $0.00 Strike Price</v>
      </c>
      <c r="D133" s="381"/>
      <c r="E133" s="381"/>
      <c r="F133" s="381"/>
      <c r="G133" s="381"/>
      <c r="H133" s="381"/>
      <c r="I133" s="381"/>
      <c r="J133" s="381"/>
      <c r="K133" s="381"/>
      <c r="L133" s="381"/>
      <c r="M133" s="381"/>
      <c r="N133" s="381"/>
      <c r="O133" s="381"/>
      <c r="P133" s="381"/>
      <c r="Q133" s="381"/>
      <c r="R133" s="381"/>
      <c r="S133" s="381"/>
    </row>
    <row r="134" spans="2:19" ht="14.85" customHeight="1">
      <c r="B134" s="413" t="str">
        <f t="shared" si="25"/>
        <v>Options/Warrants at $0.00 Strike Price</v>
      </c>
      <c r="D134" s="381"/>
      <c r="E134" s="381"/>
      <c r="F134" s="381"/>
      <c r="G134" s="381"/>
      <c r="H134" s="381"/>
      <c r="I134" s="381"/>
      <c r="J134" s="381"/>
      <c r="K134" s="381"/>
      <c r="L134" s="381"/>
      <c r="M134" s="381"/>
      <c r="N134" s="381"/>
      <c r="O134" s="381"/>
      <c r="P134" s="381"/>
      <c r="Q134" s="381"/>
      <c r="R134" s="381"/>
      <c r="S134" s="381"/>
    </row>
    <row r="135" spans="2:19" ht="14.85" customHeight="1">
      <c r="B135" s="419" t="str">
        <f>B78</f>
        <v>Expected Options Grant</v>
      </c>
      <c r="D135" s="381"/>
      <c r="E135" s="381"/>
      <c r="F135" s="381"/>
      <c r="G135" s="381"/>
      <c r="H135" s="381"/>
      <c r="I135" s="381"/>
      <c r="J135" s="381"/>
      <c r="K135" s="381"/>
      <c r="L135" s="381"/>
      <c r="M135" s="381"/>
      <c r="N135" s="381"/>
      <c r="O135" s="381"/>
      <c r="P135" s="381"/>
      <c r="Q135" s="381"/>
      <c r="R135" s="381"/>
      <c r="S135" s="381"/>
    </row>
    <row r="136" spans="2:19" ht="14.85" customHeight="1">
      <c r="B136" s="413" t="str">
        <f t="shared" si="25"/>
        <v>Common Stock</v>
      </c>
      <c r="D136" s="381"/>
      <c r="E136" s="381"/>
      <c r="F136" s="381"/>
      <c r="G136" s="381"/>
      <c r="H136" s="381"/>
      <c r="I136" s="381"/>
      <c r="J136" s="381"/>
      <c r="K136" s="381"/>
      <c r="L136" s="381"/>
      <c r="M136" s="381"/>
      <c r="N136" s="381"/>
      <c r="O136" s="381"/>
      <c r="P136" s="381"/>
      <c r="Q136" s="381"/>
      <c r="R136" s="381"/>
      <c r="S136" s="381"/>
    </row>
    <row r="137" spans="2:19" ht="14.85" customHeight="1">
      <c r="B137" s="346"/>
      <c r="C137" s="346"/>
      <c r="D137" s="346"/>
      <c r="E137" s="346"/>
      <c r="F137" s="346"/>
      <c r="G137" s="346"/>
      <c r="H137" s="346"/>
      <c r="I137" s="346"/>
      <c r="J137" s="346"/>
      <c r="K137" s="346"/>
      <c r="L137" s="346"/>
      <c r="M137" s="346"/>
      <c r="N137" s="346"/>
      <c r="O137" s="346"/>
      <c r="P137" s="346"/>
      <c r="Q137" s="346"/>
      <c r="R137" s="346"/>
      <c r="S137" s="346"/>
    </row>
    <row r="138" spans="2:19" ht="14.85" customHeight="1">
      <c r="B138" s="382" t="s">
        <v>2546</v>
      </c>
      <c r="D138" s="412">
        <f t="shared" ref="D138:S138" si="26">SUM(D112:D136)</f>
        <v>0</v>
      </c>
      <c r="E138" s="412">
        <f t="shared" si="26"/>
        <v>0</v>
      </c>
      <c r="F138" s="412">
        <f t="shared" si="26"/>
        <v>0</v>
      </c>
      <c r="G138" s="412">
        <f t="shared" si="26"/>
        <v>0</v>
      </c>
      <c r="H138" s="412">
        <f t="shared" si="26"/>
        <v>0</v>
      </c>
      <c r="I138" s="412">
        <f t="shared" si="26"/>
        <v>0</v>
      </c>
      <c r="J138" s="412">
        <f t="shared" si="26"/>
        <v>0</v>
      </c>
      <c r="K138" s="412">
        <f t="shared" si="26"/>
        <v>0</v>
      </c>
      <c r="L138" s="412">
        <f t="shared" si="26"/>
        <v>0</v>
      </c>
      <c r="M138" s="412">
        <f t="shared" si="26"/>
        <v>0</v>
      </c>
      <c r="N138" s="412">
        <f t="shared" si="26"/>
        <v>0</v>
      </c>
      <c r="O138" s="412">
        <f t="shared" si="26"/>
        <v>0</v>
      </c>
      <c r="P138" s="412">
        <f t="shared" si="26"/>
        <v>0</v>
      </c>
      <c r="Q138" s="412">
        <f t="shared" si="26"/>
        <v>0</v>
      </c>
      <c r="R138" s="412">
        <f t="shared" si="26"/>
        <v>0</v>
      </c>
      <c r="S138" s="412">
        <f t="shared" si="26"/>
        <v>0</v>
      </c>
    </row>
    <row r="139" spans="2:19" ht="14.85" customHeight="1"/>
    <row r="140" spans="2:19" ht="14.85" customHeight="1">
      <c r="B140" s="755" t="s">
        <v>2576</v>
      </c>
      <c r="C140" s="272"/>
      <c r="D140" s="756">
        <f>D$15</f>
        <v>1</v>
      </c>
      <c r="E140" s="757">
        <f t="shared" ref="E140:S140" si="27">E$15</f>
        <v>2</v>
      </c>
      <c r="F140" s="757">
        <f t="shared" si="27"/>
        <v>3</v>
      </c>
      <c r="G140" s="757">
        <f t="shared" si="27"/>
        <v>4</v>
      </c>
      <c r="H140" s="757">
        <f t="shared" si="27"/>
        <v>5</v>
      </c>
      <c r="I140" s="757">
        <f t="shared" si="27"/>
        <v>6</v>
      </c>
      <c r="J140" s="757">
        <f t="shared" si="27"/>
        <v>7</v>
      </c>
      <c r="K140" s="757">
        <f t="shared" si="27"/>
        <v>8</v>
      </c>
      <c r="L140" s="757">
        <f t="shared" si="27"/>
        <v>9</v>
      </c>
      <c r="M140" s="757">
        <f t="shared" si="27"/>
        <v>10</v>
      </c>
      <c r="N140" s="757">
        <f t="shared" si="27"/>
        <v>11</v>
      </c>
      <c r="O140" s="757">
        <f t="shared" si="27"/>
        <v>12</v>
      </c>
      <c r="P140" s="757">
        <f t="shared" si="27"/>
        <v>13</v>
      </c>
      <c r="Q140" s="757">
        <f t="shared" si="27"/>
        <v>14</v>
      </c>
      <c r="R140" s="757">
        <f t="shared" si="27"/>
        <v>15</v>
      </c>
      <c r="S140" s="758">
        <f t="shared" si="27"/>
        <v>16</v>
      </c>
    </row>
    <row r="141" spans="2:19" ht="14.85" customHeight="1"/>
    <row r="142" spans="2:19" ht="14.85" customHeight="1">
      <c r="B142" s="328" t="str">
        <f>B112</f>
        <v>Series A</v>
      </c>
      <c r="D142" s="333" t="e">
        <f>D112/D$138</f>
        <v>#DIV/0!</v>
      </c>
      <c r="E142" s="333" t="e">
        <f t="shared" ref="E142:S142" si="28">E112/E$138</f>
        <v>#DIV/0!</v>
      </c>
      <c r="F142" s="333" t="e">
        <f t="shared" si="28"/>
        <v>#DIV/0!</v>
      </c>
      <c r="G142" s="333" t="e">
        <f t="shared" si="28"/>
        <v>#DIV/0!</v>
      </c>
      <c r="H142" s="333" t="e">
        <f t="shared" si="28"/>
        <v>#DIV/0!</v>
      </c>
      <c r="I142" s="333" t="e">
        <f t="shared" si="28"/>
        <v>#DIV/0!</v>
      </c>
      <c r="J142" s="333" t="e">
        <f t="shared" si="28"/>
        <v>#DIV/0!</v>
      </c>
      <c r="K142" s="333" t="e">
        <f t="shared" si="28"/>
        <v>#DIV/0!</v>
      </c>
      <c r="L142" s="333" t="e">
        <f t="shared" si="28"/>
        <v>#DIV/0!</v>
      </c>
      <c r="M142" s="333" t="e">
        <f t="shared" si="28"/>
        <v>#DIV/0!</v>
      </c>
      <c r="N142" s="333" t="e">
        <f t="shared" si="28"/>
        <v>#DIV/0!</v>
      </c>
      <c r="O142" s="333" t="e">
        <f t="shared" si="28"/>
        <v>#DIV/0!</v>
      </c>
      <c r="P142" s="333" t="e">
        <f t="shared" si="28"/>
        <v>#DIV/0!</v>
      </c>
      <c r="Q142" s="333" t="e">
        <f t="shared" si="28"/>
        <v>#DIV/0!</v>
      </c>
      <c r="R142" s="333" t="e">
        <f t="shared" si="28"/>
        <v>#DIV/0!</v>
      </c>
      <c r="S142" s="333" t="e">
        <f t="shared" si="28"/>
        <v>#DIV/0!</v>
      </c>
    </row>
    <row r="143" spans="2:19" ht="14.85" customHeight="1">
      <c r="B143" s="328" t="str">
        <f t="shared" ref="B143:B166" si="29">B113</f>
        <v>Series B</v>
      </c>
      <c r="D143" s="333" t="e">
        <f t="shared" ref="D143:S143" si="30">D113/D$138</f>
        <v>#DIV/0!</v>
      </c>
      <c r="E143" s="333" t="e">
        <f t="shared" si="30"/>
        <v>#DIV/0!</v>
      </c>
      <c r="F143" s="333" t="e">
        <f t="shared" si="30"/>
        <v>#DIV/0!</v>
      </c>
      <c r="G143" s="333" t="e">
        <f t="shared" si="30"/>
        <v>#DIV/0!</v>
      </c>
      <c r="H143" s="333" t="e">
        <f t="shared" si="30"/>
        <v>#DIV/0!</v>
      </c>
      <c r="I143" s="333" t="e">
        <f t="shared" si="30"/>
        <v>#DIV/0!</v>
      </c>
      <c r="J143" s="333" t="e">
        <f t="shared" si="30"/>
        <v>#DIV/0!</v>
      </c>
      <c r="K143" s="333" t="e">
        <f t="shared" si="30"/>
        <v>#DIV/0!</v>
      </c>
      <c r="L143" s="333" t="e">
        <f t="shared" si="30"/>
        <v>#DIV/0!</v>
      </c>
      <c r="M143" s="333" t="e">
        <f t="shared" si="30"/>
        <v>#DIV/0!</v>
      </c>
      <c r="N143" s="333" t="e">
        <f t="shared" si="30"/>
        <v>#DIV/0!</v>
      </c>
      <c r="O143" s="333" t="e">
        <f t="shared" si="30"/>
        <v>#DIV/0!</v>
      </c>
      <c r="P143" s="333" t="e">
        <f t="shared" si="30"/>
        <v>#DIV/0!</v>
      </c>
      <c r="Q143" s="333" t="e">
        <f t="shared" si="30"/>
        <v>#DIV/0!</v>
      </c>
      <c r="R143" s="333" t="e">
        <f t="shared" si="30"/>
        <v>#DIV/0!</v>
      </c>
      <c r="S143" s="333" t="e">
        <f t="shared" si="30"/>
        <v>#DIV/0!</v>
      </c>
    </row>
    <row r="144" spans="2:19" ht="14.85" customHeight="1">
      <c r="B144" s="328" t="str">
        <f t="shared" si="29"/>
        <v>Series C</v>
      </c>
      <c r="D144" s="333" t="e">
        <f t="shared" ref="D144:S144" si="31">D114/D$138</f>
        <v>#DIV/0!</v>
      </c>
      <c r="E144" s="333" t="e">
        <f t="shared" si="31"/>
        <v>#DIV/0!</v>
      </c>
      <c r="F144" s="333" t="e">
        <f t="shared" si="31"/>
        <v>#DIV/0!</v>
      </c>
      <c r="G144" s="333" t="e">
        <f t="shared" si="31"/>
        <v>#DIV/0!</v>
      </c>
      <c r="H144" s="333" t="e">
        <f t="shared" si="31"/>
        <v>#DIV/0!</v>
      </c>
      <c r="I144" s="333" t="e">
        <f t="shared" si="31"/>
        <v>#DIV/0!</v>
      </c>
      <c r="J144" s="333" t="e">
        <f t="shared" si="31"/>
        <v>#DIV/0!</v>
      </c>
      <c r="K144" s="333" t="e">
        <f t="shared" si="31"/>
        <v>#DIV/0!</v>
      </c>
      <c r="L144" s="333" t="e">
        <f t="shared" si="31"/>
        <v>#DIV/0!</v>
      </c>
      <c r="M144" s="333" t="e">
        <f t="shared" si="31"/>
        <v>#DIV/0!</v>
      </c>
      <c r="N144" s="333" t="e">
        <f t="shared" si="31"/>
        <v>#DIV/0!</v>
      </c>
      <c r="O144" s="333" t="e">
        <f t="shared" si="31"/>
        <v>#DIV/0!</v>
      </c>
      <c r="P144" s="333" t="e">
        <f t="shared" si="31"/>
        <v>#DIV/0!</v>
      </c>
      <c r="Q144" s="333" t="e">
        <f t="shared" si="31"/>
        <v>#DIV/0!</v>
      </c>
      <c r="R144" s="333" t="e">
        <f t="shared" si="31"/>
        <v>#DIV/0!</v>
      </c>
      <c r="S144" s="333" t="e">
        <f t="shared" si="31"/>
        <v>#DIV/0!</v>
      </c>
    </row>
    <row r="145" spans="2:19" ht="14.85" customHeight="1">
      <c r="B145" s="328" t="str">
        <f t="shared" si="29"/>
        <v>Series D</v>
      </c>
      <c r="D145" s="333" t="e">
        <f t="shared" ref="D145:S145" si="32">D115/D$138</f>
        <v>#DIV/0!</v>
      </c>
      <c r="E145" s="333" t="e">
        <f t="shared" si="32"/>
        <v>#DIV/0!</v>
      </c>
      <c r="F145" s="333" t="e">
        <f t="shared" si="32"/>
        <v>#DIV/0!</v>
      </c>
      <c r="G145" s="333" t="e">
        <f t="shared" si="32"/>
        <v>#DIV/0!</v>
      </c>
      <c r="H145" s="333" t="e">
        <f t="shared" si="32"/>
        <v>#DIV/0!</v>
      </c>
      <c r="I145" s="333" t="e">
        <f t="shared" si="32"/>
        <v>#DIV/0!</v>
      </c>
      <c r="J145" s="333" t="e">
        <f t="shared" si="32"/>
        <v>#DIV/0!</v>
      </c>
      <c r="K145" s="333" t="e">
        <f t="shared" si="32"/>
        <v>#DIV/0!</v>
      </c>
      <c r="L145" s="333" t="e">
        <f t="shared" si="32"/>
        <v>#DIV/0!</v>
      </c>
      <c r="M145" s="333" t="e">
        <f t="shared" si="32"/>
        <v>#DIV/0!</v>
      </c>
      <c r="N145" s="333" t="e">
        <f t="shared" si="32"/>
        <v>#DIV/0!</v>
      </c>
      <c r="O145" s="333" t="e">
        <f t="shared" si="32"/>
        <v>#DIV/0!</v>
      </c>
      <c r="P145" s="333" t="e">
        <f t="shared" si="32"/>
        <v>#DIV/0!</v>
      </c>
      <c r="Q145" s="333" t="e">
        <f t="shared" si="32"/>
        <v>#DIV/0!</v>
      </c>
      <c r="R145" s="333" t="e">
        <f t="shared" si="32"/>
        <v>#DIV/0!</v>
      </c>
      <c r="S145" s="333" t="e">
        <f t="shared" si="32"/>
        <v>#DIV/0!</v>
      </c>
    </row>
    <row r="146" spans="2:19" ht="14.85" customHeight="1">
      <c r="B146" s="328" t="str">
        <f t="shared" si="29"/>
        <v>Series E</v>
      </c>
      <c r="D146" s="333" t="e">
        <f t="shared" ref="D146:S146" si="33">D116/D$138</f>
        <v>#DIV/0!</v>
      </c>
      <c r="E146" s="333" t="e">
        <f t="shared" si="33"/>
        <v>#DIV/0!</v>
      </c>
      <c r="F146" s="333" t="e">
        <f t="shared" si="33"/>
        <v>#DIV/0!</v>
      </c>
      <c r="G146" s="333" t="e">
        <f t="shared" si="33"/>
        <v>#DIV/0!</v>
      </c>
      <c r="H146" s="333" t="e">
        <f t="shared" si="33"/>
        <v>#DIV/0!</v>
      </c>
      <c r="I146" s="333" t="e">
        <f t="shared" si="33"/>
        <v>#DIV/0!</v>
      </c>
      <c r="J146" s="333" t="e">
        <f t="shared" si="33"/>
        <v>#DIV/0!</v>
      </c>
      <c r="K146" s="333" t="e">
        <f t="shared" si="33"/>
        <v>#DIV/0!</v>
      </c>
      <c r="L146" s="333" t="e">
        <f t="shared" si="33"/>
        <v>#DIV/0!</v>
      </c>
      <c r="M146" s="333" t="e">
        <f t="shared" si="33"/>
        <v>#DIV/0!</v>
      </c>
      <c r="N146" s="333" t="e">
        <f t="shared" si="33"/>
        <v>#DIV/0!</v>
      </c>
      <c r="O146" s="333" t="e">
        <f t="shared" si="33"/>
        <v>#DIV/0!</v>
      </c>
      <c r="P146" s="333" t="e">
        <f t="shared" si="33"/>
        <v>#DIV/0!</v>
      </c>
      <c r="Q146" s="333" t="e">
        <f t="shared" si="33"/>
        <v>#DIV/0!</v>
      </c>
      <c r="R146" s="333" t="e">
        <f t="shared" si="33"/>
        <v>#DIV/0!</v>
      </c>
      <c r="S146" s="333" t="e">
        <f t="shared" si="33"/>
        <v>#DIV/0!</v>
      </c>
    </row>
    <row r="147" spans="2:19" ht="14.85" customHeight="1">
      <c r="B147" s="328" t="str">
        <f t="shared" si="29"/>
        <v>Series F</v>
      </c>
      <c r="D147" s="333" t="e">
        <f t="shared" ref="D147:S147" si="34">D117/D$138</f>
        <v>#DIV/0!</v>
      </c>
      <c r="E147" s="333" t="e">
        <f t="shared" si="34"/>
        <v>#DIV/0!</v>
      </c>
      <c r="F147" s="333" t="e">
        <f t="shared" si="34"/>
        <v>#DIV/0!</v>
      </c>
      <c r="G147" s="333" t="e">
        <f t="shared" si="34"/>
        <v>#DIV/0!</v>
      </c>
      <c r="H147" s="333" t="e">
        <f t="shared" si="34"/>
        <v>#DIV/0!</v>
      </c>
      <c r="I147" s="333" t="e">
        <f t="shared" si="34"/>
        <v>#DIV/0!</v>
      </c>
      <c r="J147" s="333" t="e">
        <f t="shared" si="34"/>
        <v>#DIV/0!</v>
      </c>
      <c r="K147" s="333" t="e">
        <f t="shared" si="34"/>
        <v>#DIV/0!</v>
      </c>
      <c r="L147" s="333" t="e">
        <f t="shared" si="34"/>
        <v>#DIV/0!</v>
      </c>
      <c r="M147" s="333" t="e">
        <f t="shared" si="34"/>
        <v>#DIV/0!</v>
      </c>
      <c r="N147" s="333" t="e">
        <f t="shared" si="34"/>
        <v>#DIV/0!</v>
      </c>
      <c r="O147" s="333" t="e">
        <f t="shared" si="34"/>
        <v>#DIV/0!</v>
      </c>
      <c r="P147" s="333" t="e">
        <f t="shared" si="34"/>
        <v>#DIV/0!</v>
      </c>
      <c r="Q147" s="333" t="e">
        <f t="shared" si="34"/>
        <v>#DIV/0!</v>
      </c>
      <c r="R147" s="333" t="e">
        <f t="shared" si="34"/>
        <v>#DIV/0!</v>
      </c>
      <c r="S147" s="333" t="e">
        <f t="shared" si="34"/>
        <v>#DIV/0!</v>
      </c>
    </row>
    <row r="148" spans="2:19" ht="14.85" customHeight="1">
      <c r="B148" s="328" t="str">
        <f t="shared" si="29"/>
        <v>Series G</v>
      </c>
      <c r="D148" s="333" t="e">
        <f t="shared" ref="D148:S148" si="35">D118/D$138</f>
        <v>#DIV/0!</v>
      </c>
      <c r="E148" s="333" t="e">
        <f t="shared" si="35"/>
        <v>#DIV/0!</v>
      </c>
      <c r="F148" s="333" t="e">
        <f t="shared" si="35"/>
        <v>#DIV/0!</v>
      </c>
      <c r="G148" s="333" t="e">
        <f t="shared" si="35"/>
        <v>#DIV/0!</v>
      </c>
      <c r="H148" s="333" t="e">
        <f t="shared" si="35"/>
        <v>#DIV/0!</v>
      </c>
      <c r="I148" s="333" t="e">
        <f t="shared" si="35"/>
        <v>#DIV/0!</v>
      </c>
      <c r="J148" s="333" t="e">
        <f t="shared" si="35"/>
        <v>#DIV/0!</v>
      </c>
      <c r="K148" s="333" t="e">
        <f t="shared" si="35"/>
        <v>#DIV/0!</v>
      </c>
      <c r="L148" s="333" t="e">
        <f t="shared" si="35"/>
        <v>#DIV/0!</v>
      </c>
      <c r="M148" s="333" t="e">
        <f t="shared" si="35"/>
        <v>#DIV/0!</v>
      </c>
      <c r="N148" s="333" t="e">
        <f t="shared" si="35"/>
        <v>#DIV/0!</v>
      </c>
      <c r="O148" s="333" t="e">
        <f t="shared" si="35"/>
        <v>#DIV/0!</v>
      </c>
      <c r="P148" s="333" t="e">
        <f t="shared" si="35"/>
        <v>#DIV/0!</v>
      </c>
      <c r="Q148" s="333" t="e">
        <f t="shared" si="35"/>
        <v>#DIV/0!</v>
      </c>
      <c r="R148" s="333" t="e">
        <f t="shared" si="35"/>
        <v>#DIV/0!</v>
      </c>
      <c r="S148" s="333" t="e">
        <f t="shared" si="35"/>
        <v>#DIV/0!</v>
      </c>
    </row>
    <row r="149" spans="2:19" ht="14.85" customHeight="1">
      <c r="B149" s="328" t="str">
        <f t="shared" si="29"/>
        <v>Series A Warrants</v>
      </c>
      <c r="D149" s="333" t="e">
        <f t="shared" ref="D149:S149" si="36">D119/D$138</f>
        <v>#DIV/0!</v>
      </c>
      <c r="E149" s="333" t="e">
        <f t="shared" si="36"/>
        <v>#DIV/0!</v>
      </c>
      <c r="F149" s="333" t="e">
        <f t="shared" si="36"/>
        <v>#DIV/0!</v>
      </c>
      <c r="G149" s="333" t="e">
        <f t="shared" si="36"/>
        <v>#DIV/0!</v>
      </c>
      <c r="H149" s="333" t="e">
        <f t="shared" si="36"/>
        <v>#DIV/0!</v>
      </c>
      <c r="I149" s="333" t="e">
        <f t="shared" si="36"/>
        <v>#DIV/0!</v>
      </c>
      <c r="J149" s="333" t="e">
        <f t="shared" si="36"/>
        <v>#DIV/0!</v>
      </c>
      <c r="K149" s="333" t="e">
        <f t="shared" si="36"/>
        <v>#DIV/0!</v>
      </c>
      <c r="L149" s="333" t="e">
        <f t="shared" si="36"/>
        <v>#DIV/0!</v>
      </c>
      <c r="M149" s="333" t="e">
        <f t="shared" si="36"/>
        <v>#DIV/0!</v>
      </c>
      <c r="N149" s="333" t="e">
        <f t="shared" si="36"/>
        <v>#DIV/0!</v>
      </c>
      <c r="O149" s="333" t="e">
        <f t="shared" si="36"/>
        <v>#DIV/0!</v>
      </c>
      <c r="P149" s="333" t="e">
        <f t="shared" si="36"/>
        <v>#DIV/0!</v>
      </c>
      <c r="Q149" s="333" t="e">
        <f t="shared" si="36"/>
        <v>#DIV/0!</v>
      </c>
      <c r="R149" s="333" t="e">
        <f t="shared" si="36"/>
        <v>#DIV/0!</v>
      </c>
      <c r="S149" s="333" t="e">
        <f t="shared" si="36"/>
        <v>#DIV/0!</v>
      </c>
    </row>
    <row r="150" spans="2:19" ht="14.85" customHeight="1">
      <c r="B150" s="328" t="str">
        <f t="shared" si="29"/>
        <v>Series B Warrants</v>
      </c>
      <c r="D150" s="333" t="e">
        <f t="shared" ref="D150:S150" si="37">D120/D$138</f>
        <v>#DIV/0!</v>
      </c>
      <c r="E150" s="333" t="e">
        <f t="shared" si="37"/>
        <v>#DIV/0!</v>
      </c>
      <c r="F150" s="333" t="e">
        <f t="shared" si="37"/>
        <v>#DIV/0!</v>
      </c>
      <c r="G150" s="333" t="e">
        <f t="shared" si="37"/>
        <v>#DIV/0!</v>
      </c>
      <c r="H150" s="333" t="e">
        <f t="shared" si="37"/>
        <v>#DIV/0!</v>
      </c>
      <c r="I150" s="333" t="e">
        <f t="shared" si="37"/>
        <v>#DIV/0!</v>
      </c>
      <c r="J150" s="333" t="e">
        <f t="shared" si="37"/>
        <v>#DIV/0!</v>
      </c>
      <c r="K150" s="333" t="e">
        <f t="shared" si="37"/>
        <v>#DIV/0!</v>
      </c>
      <c r="L150" s="333" t="e">
        <f t="shared" si="37"/>
        <v>#DIV/0!</v>
      </c>
      <c r="M150" s="333" t="e">
        <f t="shared" si="37"/>
        <v>#DIV/0!</v>
      </c>
      <c r="N150" s="333" t="e">
        <f t="shared" si="37"/>
        <v>#DIV/0!</v>
      </c>
      <c r="O150" s="333" t="e">
        <f t="shared" si="37"/>
        <v>#DIV/0!</v>
      </c>
      <c r="P150" s="333" t="e">
        <f t="shared" si="37"/>
        <v>#DIV/0!</v>
      </c>
      <c r="Q150" s="333" t="e">
        <f t="shared" si="37"/>
        <v>#DIV/0!</v>
      </c>
      <c r="R150" s="333" t="e">
        <f t="shared" si="37"/>
        <v>#DIV/0!</v>
      </c>
      <c r="S150" s="333" t="e">
        <f t="shared" si="37"/>
        <v>#DIV/0!</v>
      </c>
    </row>
    <row r="151" spans="2:19" ht="14.85" customHeight="1">
      <c r="B151" s="328" t="str">
        <f t="shared" si="29"/>
        <v>Series C Warrants</v>
      </c>
      <c r="D151" s="333" t="e">
        <f t="shared" ref="D151:S151" si="38">D121/D$138</f>
        <v>#DIV/0!</v>
      </c>
      <c r="E151" s="333" t="e">
        <f t="shared" si="38"/>
        <v>#DIV/0!</v>
      </c>
      <c r="F151" s="333" t="e">
        <f t="shared" si="38"/>
        <v>#DIV/0!</v>
      </c>
      <c r="G151" s="333" t="e">
        <f t="shared" si="38"/>
        <v>#DIV/0!</v>
      </c>
      <c r="H151" s="333" t="e">
        <f t="shared" si="38"/>
        <v>#DIV/0!</v>
      </c>
      <c r="I151" s="333" t="e">
        <f t="shared" si="38"/>
        <v>#DIV/0!</v>
      </c>
      <c r="J151" s="333" t="e">
        <f t="shared" si="38"/>
        <v>#DIV/0!</v>
      </c>
      <c r="K151" s="333" t="e">
        <f t="shared" si="38"/>
        <v>#DIV/0!</v>
      </c>
      <c r="L151" s="333" t="e">
        <f t="shared" si="38"/>
        <v>#DIV/0!</v>
      </c>
      <c r="M151" s="333" t="e">
        <f t="shared" si="38"/>
        <v>#DIV/0!</v>
      </c>
      <c r="N151" s="333" t="e">
        <f t="shared" si="38"/>
        <v>#DIV/0!</v>
      </c>
      <c r="O151" s="333" t="e">
        <f t="shared" si="38"/>
        <v>#DIV/0!</v>
      </c>
      <c r="P151" s="333" t="e">
        <f t="shared" si="38"/>
        <v>#DIV/0!</v>
      </c>
      <c r="Q151" s="333" t="e">
        <f t="shared" si="38"/>
        <v>#DIV/0!</v>
      </c>
      <c r="R151" s="333" t="e">
        <f t="shared" si="38"/>
        <v>#DIV/0!</v>
      </c>
      <c r="S151" s="333" t="e">
        <f t="shared" si="38"/>
        <v>#DIV/0!</v>
      </c>
    </row>
    <row r="152" spans="2:19" ht="14.85" customHeight="1">
      <c r="B152" s="328" t="str">
        <f t="shared" si="29"/>
        <v>Series D Warrants</v>
      </c>
      <c r="D152" s="333" t="e">
        <f t="shared" ref="D152:S152" si="39">D122/D$138</f>
        <v>#DIV/0!</v>
      </c>
      <c r="E152" s="333" t="e">
        <f t="shared" si="39"/>
        <v>#DIV/0!</v>
      </c>
      <c r="F152" s="333" t="e">
        <f t="shared" si="39"/>
        <v>#DIV/0!</v>
      </c>
      <c r="G152" s="333" t="e">
        <f t="shared" si="39"/>
        <v>#DIV/0!</v>
      </c>
      <c r="H152" s="333" t="e">
        <f t="shared" si="39"/>
        <v>#DIV/0!</v>
      </c>
      <c r="I152" s="333" t="e">
        <f t="shared" si="39"/>
        <v>#DIV/0!</v>
      </c>
      <c r="J152" s="333" t="e">
        <f t="shared" si="39"/>
        <v>#DIV/0!</v>
      </c>
      <c r="K152" s="333" t="e">
        <f t="shared" si="39"/>
        <v>#DIV/0!</v>
      </c>
      <c r="L152" s="333" t="e">
        <f t="shared" si="39"/>
        <v>#DIV/0!</v>
      </c>
      <c r="M152" s="333" t="e">
        <f t="shared" si="39"/>
        <v>#DIV/0!</v>
      </c>
      <c r="N152" s="333" t="e">
        <f t="shared" si="39"/>
        <v>#DIV/0!</v>
      </c>
      <c r="O152" s="333" t="e">
        <f t="shared" si="39"/>
        <v>#DIV/0!</v>
      </c>
      <c r="P152" s="333" t="e">
        <f t="shared" si="39"/>
        <v>#DIV/0!</v>
      </c>
      <c r="Q152" s="333" t="e">
        <f t="shared" si="39"/>
        <v>#DIV/0!</v>
      </c>
      <c r="R152" s="333" t="e">
        <f t="shared" si="39"/>
        <v>#DIV/0!</v>
      </c>
      <c r="S152" s="333" t="e">
        <f t="shared" si="39"/>
        <v>#DIV/0!</v>
      </c>
    </row>
    <row r="153" spans="2:19" ht="14.85" customHeight="1">
      <c r="B153" s="328" t="str">
        <f t="shared" si="29"/>
        <v>Series E Warrants</v>
      </c>
      <c r="D153" s="333" t="e">
        <f t="shared" ref="D153:S153" si="40">D123/D$138</f>
        <v>#DIV/0!</v>
      </c>
      <c r="E153" s="333" t="e">
        <f t="shared" si="40"/>
        <v>#DIV/0!</v>
      </c>
      <c r="F153" s="333" t="e">
        <f t="shared" si="40"/>
        <v>#DIV/0!</v>
      </c>
      <c r="G153" s="333" t="e">
        <f t="shared" si="40"/>
        <v>#DIV/0!</v>
      </c>
      <c r="H153" s="333" t="e">
        <f t="shared" si="40"/>
        <v>#DIV/0!</v>
      </c>
      <c r="I153" s="333" t="e">
        <f t="shared" si="40"/>
        <v>#DIV/0!</v>
      </c>
      <c r="J153" s="333" t="e">
        <f t="shared" si="40"/>
        <v>#DIV/0!</v>
      </c>
      <c r="K153" s="333" t="e">
        <f t="shared" si="40"/>
        <v>#DIV/0!</v>
      </c>
      <c r="L153" s="333" t="e">
        <f t="shared" si="40"/>
        <v>#DIV/0!</v>
      </c>
      <c r="M153" s="333" t="e">
        <f t="shared" si="40"/>
        <v>#DIV/0!</v>
      </c>
      <c r="N153" s="333" t="e">
        <f t="shared" si="40"/>
        <v>#DIV/0!</v>
      </c>
      <c r="O153" s="333" t="e">
        <f t="shared" si="40"/>
        <v>#DIV/0!</v>
      </c>
      <c r="P153" s="333" t="e">
        <f t="shared" si="40"/>
        <v>#DIV/0!</v>
      </c>
      <c r="Q153" s="333" t="e">
        <f t="shared" si="40"/>
        <v>#DIV/0!</v>
      </c>
      <c r="R153" s="333" t="e">
        <f t="shared" si="40"/>
        <v>#DIV/0!</v>
      </c>
      <c r="S153" s="333" t="e">
        <f t="shared" si="40"/>
        <v>#DIV/0!</v>
      </c>
    </row>
    <row r="154" spans="2:19" ht="14.85" customHeight="1">
      <c r="B154" s="328" t="str">
        <f t="shared" si="29"/>
        <v>Series F Warrants</v>
      </c>
      <c r="D154" s="333" t="e">
        <f t="shared" ref="D154:S154" si="41">D124/D$138</f>
        <v>#DIV/0!</v>
      </c>
      <c r="E154" s="333" t="e">
        <f t="shared" si="41"/>
        <v>#DIV/0!</v>
      </c>
      <c r="F154" s="333" t="e">
        <f t="shared" si="41"/>
        <v>#DIV/0!</v>
      </c>
      <c r="G154" s="333" t="e">
        <f t="shared" si="41"/>
        <v>#DIV/0!</v>
      </c>
      <c r="H154" s="333" t="e">
        <f t="shared" si="41"/>
        <v>#DIV/0!</v>
      </c>
      <c r="I154" s="333" t="e">
        <f t="shared" si="41"/>
        <v>#DIV/0!</v>
      </c>
      <c r="J154" s="333" t="e">
        <f t="shared" si="41"/>
        <v>#DIV/0!</v>
      </c>
      <c r="K154" s="333" t="e">
        <f t="shared" si="41"/>
        <v>#DIV/0!</v>
      </c>
      <c r="L154" s="333" t="e">
        <f t="shared" si="41"/>
        <v>#DIV/0!</v>
      </c>
      <c r="M154" s="333" t="e">
        <f t="shared" si="41"/>
        <v>#DIV/0!</v>
      </c>
      <c r="N154" s="333" t="e">
        <f t="shared" si="41"/>
        <v>#DIV/0!</v>
      </c>
      <c r="O154" s="333" t="e">
        <f t="shared" si="41"/>
        <v>#DIV/0!</v>
      </c>
      <c r="P154" s="333" t="e">
        <f t="shared" si="41"/>
        <v>#DIV/0!</v>
      </c>
      <c r="Q154" s="333" t="e">
        <f t="shared" si="41"/>
        <v>#DIV/0!</v>
      </c>
      <c r="R154" s="333" t="e">
        <f t="shared" si="41"/>
        <v>#DIV/0!</v>
      </c>
      <c r="S154" s="333" t="e">
        <f t="shared" si="41"/>
        <v>#DIV/0!</v>
      </c>
    </row>
    <row r="155" spans="2:19" ht="14.85" customHeight="1">
      <c r="B155" s="328" t="str">
        <f t="shared" si="29"/>
        <v>Series G Warrants</v>
      </c>
      <c r="D155" s="333" t="e">
        <f t="shared" ref="D155:S155" si="42">D125/D$138</f>
        <v>#DIV/0!</v>
      </c>
      <c r="E155" s="333" t="e">
        <f t="shared" si="42"/>
        <v>#DIV/0!</v>
      </c>
      <c r="F155" s="333" t="e">
        <f t="shared" si="42"/>
        <v>#DIV/0!</v>
      </c>
      <c r="G155" s="333" t="e">
        <f t="shared" si="42"/>
        <v>#DIV/0!</v>
      </c>
      <c r="H155" s="333" t="e">
        <f t="shared" si="42"/>
        <v>#DIV/0!</v>
      </c>
      <c r="I155" s="333" t="e">
        <f t="shared" si="42"/>
        <v>#DIV/0!</v>
      </c>
      <c r="J155" s="333" t="e">
        <f t="shared" si="42"/>
        <v>#DIV/0!</v>
      </c>
      <c r="K155" s="333" t="e">
        <f t="shared" si="42"/>
        <v>#DIV/0!</v>
      </c>
      <c r="L155" s="333" t="e">
        <f t="shared" si="42"/>
        <v>#DIV/0!</v>
      </c>
      <c r="M155" s="333" t="e">
        <f t="shared" si="42"/>
        <v>#DIV/0!</v>
      </c>
      <c r="N155" s="333" t="e">
        <f t="shared" si="42"/>
        <v>#DIV/0!</v>
      </c>
      <c r="O155" s="333" t="e">
        <f t="shared" si="42"/>
        <v>#DIV/0!</v>
      </c>
      <c r="P155" s="333" t="e">
        <f t="shared" si="42"/>
        <v>#DIV/0!</v>
      </c>
      <c r="Q155" s="333" t="e">
        <f t="shared" si="42"/>
        <v>#DIV/0!</v>
      </c>
      <c r="R155" s="333" t="e">
        <f t="shared" si="42"/>
        <v>#DIV/0!</v>
      </c>
      <c r="S155" s="333" t="e">
        <f t="shared" si="42"/>
        <v>#DIV/0!</v>
      </c>
    </row>
    <row r="156" spans="2:19" ht="14.85" customHeight="1">
      <c r="B156" s="328" t="str">
        <f t="shared" si="29"/>
        <v>Options/Warrants at $2.00 Strike Price</v>
      </c>
      <c r="D156" s="333" t="e">
        <f t="shared" ref="D156:S156" si="43">D126/D$138</f>
        <v>#DIV/0!</v>
      </c>
      <c r="E156" s="333" t="e">
        <f t="shared" si="43"/>
        <v>#DIV/0!</v>
      </c>
      <c r="F156" s="333" t="e">
        <f t="shared" si="43"/>
        <v>#DIV/0!</v>
      </c>
      <c r="G156" s="333" t="e">
        <f t="shared" si="43"/>
        <v>#DIV/0!</v>
      </c>
      <c r="H156" s="333" t="e">
        <f t="shared" si="43"/>
        <v>#DIV/0!</v>
      </c>
      <c r="I156" s="333" t="e">
        <f t="shared" si="43"/>
        <v>#DIV/0!</v>
      </c>
      <c r="J156" s="333" t="e">
        <f t="shared" si="43"/>
        <v>#DIV/0!</v>
      </c>
      <c r="K156" s="333" t="e">
        <f t="shared" si="43"/>
        <v>#DIV/0!</v>
      </c>
      <c r="L156" s="333" t="e">
        <f t="shared" si="43"/>
        <v>#DIV/0!</v>
      </c>
      <c r="M156" s="333" t="e">
        <f t="shared" si="43"/>
        <v>#DIV/0!</v>
      </c>
      <c r="N156" s="333" t="e">
        <f t="shared" si="43"/>
        <v>#DIV/0!</v>
      </c>
      <c r="O156" s="333" t="e">
        <f t="shared" si="43"/>
        <v>#DIV/0!</v>
      </c>
      <c r="P156" s="333" t="e">
        <f t="shared" si="43"/>
        <v>#DIV/0!</v>
      </c>
      <c r="Q156" s="333" t="e">
        <f t="shared" si="43"/>
        <v>#DIV/0!</v>
      </c>
      <c r="R156" s="333" t="e">
        <f t="shared" si="43"/>
        <v>#DIV/0!</v>
      </c>
      <c r="S156" s="333" t="e">
        <f t="shared" si="43"/>
        <v>#DIV/0!</v>
      </c>
    </row>
    <row r="157" spans="2:19" ht="14.85" customHeight="1">
      <c r="B157" s="328" t="str">
        <f t="shared" si="29"/>
        <v>Options/Warrants at $0.00 Strike Price</v>
      </c>
      <c r="D157" s="333" t="e">
        <f t="shared" ref="D157:S157" si="44">D127/D$138</f>
        <v>#DIV/0!</v>
      </c>
      <c r="E157" s="333" t="e">
        <f t="shared" si="44"/>
        <v>#DIV/0!</v>
      </c>
      <c r="F157" s="333" t="e">
        <f t="shared" si="44"/>
        <v>#DIV/0!</v>
      </c>
      <c r="G157" s="333" t="e">
        <f t="shared" si="44"/>
        <v>#DIV/0!</v>
      </c>
      <c r="H157" s="333" t="e">
        <f t="shared" si="44"/>
        <v>#DIV/0!</v>
      </c>
      <c r="I157" s="333" t="e">
        <f t="shared" si="44"/>
        <v>#DIV/0!</v>
      </c>
      <c r="J157" s="333" t="e">
        <f t="shared" si="44"/>
        <v>#DIV/0!</v>
      </c>
      <c r="K157" s="333" t="e">
        <f t="shared" si="44"/>
        <v>#DIV/0!</v>
      </c>
      <c r="L157" s="333" t="e">
        <f t="shared" si="44"/>
        <v>#DIV/0!</v>
      </c>
      <c r="M157" s="333" t="e">
        <f t="shared" si="44"/>
        <v>#DIV/0!</v>
      </c>
      <c r="N157" s="333" t="e">
        <f t="shared" si="44"/>
        <v>#DIV/0!</v>
      </c>
      <c r="O157" s="333" t="e">
        <f t="shared" si="44"/>
        <v>#DIV/0!</v>
      </c>
      <c r="P157" s="333" t="e">
        <f t="shared" si="44"/>
        <v>#DIV/0!</v>
      </c>
      <c r="Q157" s="333" t="e">
        <f t="shared" si="44"/>
        <v>#DIV/0!</v>
      </c>
      <c r="R157" s="333" t="e">
        <f t="shared" si="44"/>
        <v>#DIV/0!</v>
      </c>
      <c r="S157" s="333" t="e">
        <f t="shared" si="44"/>
        <v>#DIV/0!</v>
      </c>
    </row>
    <row r="158" spans="2:19" ht="14.85" customHeight="1">
      <c r="B158" s="328" t="str">
        <f t="shared" si="29"/>
        <v>Options/Warrants at $0.00 Strike Price</v>
      </c>
      <c r="D158" s="333" t="e">
        <f t="shared" ref="D158:S158" si="45">D128/D$138</f>
        <v>#DIV/0!</v>
      </c>
      <c r="E158" s="333" t="e">
        <f t="shared" si="45"/>
        <v>#DIV/0!</v>
      </c>
      <c r="F158" s="333" t="e">
        <f t="shared" si="45"/>
        <v>#DIV/0!</v>
      </c>
      <c r="G158" s="333" t="e">
        <f t="shared" si="45"/>
        <v>#DIV/0!</v>
      </c>
      <c r="H158" s="333" t="e">
        <f t="shared" si="45"/>
        <v>#DIV/0!</v>
      </c>
      <c r="I158" s="333" t="e">
        <f t="shared" si="45"/>
        <v>#DIV/0!</v>
      </c>
      <c r="J158" s="333" t="e">
        <f t="shared" si="45"/>
        <v>#DIV/0!</v>
      </c>
      <c r="K158" s="333" t="e">
        <f t="shared" si="45"/>
        <v>#DIV/0!</v>
      </c>
      <c r="L158" s="333" t="e">
        <f t="shared" si="45"/>
        <v>#DIV/0!</v>
      </c>
      <c r="M158" s="333" t="e">
        <f t="shared" si="45"/>
        <v>#DIV/0!</v>
      </c>
      <c r="N158" s="333" t="e">
        <f t="shared" si="45"/>
        <v>#DIV/0!</v>
      </c>
      <c r="O158" s="333" t="e">
        <f t="shared" si="45"/>
        <v>#DIV/0!</v>
      </c>
      <c r="P158" s="333" t="e">
        <f t="shared" si="45"/>
        <v>#DIV/0!</v>
      </c>
      <c r="Q158" s="333" t="e">
        <f t="shared" si="45"/>
        <v>#DIV/0!</v>
      </c>
      <c r="R158" s="333" t="e">
        <f t="shared" si="45"/>
        <v>#DIV/0!</v>
      </c>
      <c r="S158" s="333" t="e">
        <f t="shared" si="45"/>
        <v>#DIV/0!</v>
      </c>
    </row>
    <row r="159" spans="2:19" ht="14.85" customHeight="1">
      <c r="B159" s="328" t="str">
        <f t="shared" si="29"/>
        <v>Options/Warrants at $0.00 Strike Price</v>
      </c>
      <c r="D159" s="333" t="e">
        <f t="shared" ref="D159:S159" si="46">D129/D$138</f>
        <v>#DIV/0!</v>
      </c>
      <c r="E159" s="333" t="e">
        <f t="shared" si="46"/>
        <v>#DIV/0!</v>
      </c>
      <c r="F159" s="333" t="e">
        <f t="shared" si="46"/>
        <v>#DIV/0!</v>
      </c>
      <c r="G159" s="333" t="e">
        <f t="shared" si="46"/>
        <v>#DIV/0!</v>
      </c>
      <c r="H159" s="333" t="e">
        <f t="shared" si="46"/>
        <v>#DIV/0!</v>
      </c>
      <c r="I159" s="333" t="e">
        <f t="shared" si="46"/>
        <v>#DIV/0!</v>
      </c>
      <c r="J159" s="333" t="e">
        <f t="shared" si="46"/>
        <v>#DIV/0!</v>
      </c>
      <c r="K159" s="333" t="e">
        <f t="shared" si="46"/>
        <v>#DIV/0!</v>
      </c>
      <c r="L159" s="333" t="e">
        <f t="shared" si="46"/>
        <v>#DIV/0!</v>
      </c>
      <c r="M159" s="333" t="e">
        <f t="shared" si="46"/>
        <v>#DIV/0!</v>
      </c>
      <c r="N159" s="333" t="e">
        <f t="shared" si="46"/>
        <v>#DIV/0!</v>
      </c>
      <c r="O159" s="333" t="e">
        <f t="shared" si="46"/>
        <v>#DIV/0!</v>
      </c>
      <c r="P159" s="333" t="e">
        <f t="shared" si="46"/>
        <v>#DIV/0!</v>
      </c>
      <c r="Q159" s="333" t="e">
        <f t="shared" si="46"/>
        <v>#DIV/0!</v>
      </c>
      <c r="R159" s="333" t="e">
        <f t="shared" si="46"/>
        <v>#DIV/0!</v>
      </c>
      <c r="S159" s="333" t="e">
        <f t="shared" si="46"/>
        <v>#DIV/0!</v>
      </c>
    </row>
    <row r="160" spans="2:19" ht="14.85" customHeight="1">
      <c r="B160" s="328" t="str">
        <f t="shared" si="29"/>
        <v>Options/Warrants at $0.00 Strike Price</v>
      </c>
      <c r="D160" s="333" t="e">
        <f t="shared" ref="D160:S160" si="47">D130/D$138</f>
        <v>#DIV/0!</v>
      </c>
      <c r="E160" s="333" t="e">
        <f t="shared" si="47"/>
        <v>#DIV/0!</v>
      </c>
      <c r="F160" s="333" t="e">
        <f t="shared" si="47"/>
        <v>#DIV/0!</v>
      </c>
      <c r="G160" s="333" t="e">
        <f t="shared" si="47"/>
        <v>#DIV/0!</v>
      </c>
      <c r="H160" s="333" t="e">
        <f t="shared" si="47"/>
        <v>#DIV/0!</v>
      </c>
      <c r="I160" s="333" t="e">
        <f t="shared" si="47"/>
        <v>#DIV/0!</v>
      </c>
      <c r="J160" s="333" t="e">
        <f t="shared" si="47"/>
        <v>#DIV/0!</v>
      </c>
      <c r="K160" s="333" t="e">
        <f t="shared" si="47"/>
        <v>#DIV/0!</v>
      </c>
      <c r="L160" s="333" t="e">
        <f t="shared" si="47"/>
        <v>#DIV/0!</v>
      </c>
      <c r="M160" s="333" t="e">
        <f t="shared" si="47"/>
        <v>#DIV/0!</v>
      </c>
      <c r="N160" s="333" t="e">
        <f t="shared" si="47"/>
        <v>#DIV/0!</v>
      </c>
      <c r="O160" s="333" t="e">
        <f t="shared" si="47"/>
        <v>#DIV/0!</v>
      </c>
      <c r="P160" s="333" t="e">
        <f t="shared" si="47"/>
        <v>#DIV/0!</v>
      </c>
      <c r="Q160" s="333" t="e">
        <f t="shared" si="47"/>
        <v>#DIV/0!</v>
      </c>
      <c r="R160" s="333" t="e">
        <f t="shared" si="47"/>
        <v>#DIV/0!</v>
      </c>
      <c r="S160" s="333" t="e">
        <f t="shared" si="47"/>
        <v>#DIV/0!</v>
      </c>
    </row>
    <row r="161" spans="2:23" ht="14.85" customHeight="1">
      <c r="B161" s="328" t="str">
        <f t="shared" si="29"/>
        <v>Options/Warrants at $0.00 Strike Price</v>
      </c>
      <c r="D161" s="333" t="e">
        <f t="shared" ref="D161:S161" si="48">D131/D$138</f>
        <v>#DIV/0!</v>
      </c>
      <c r="E161" s="333" t="e">
        <f t="shared" si="48"/>
        <v>#DIV/0!</v>
      </c>
      <c r="F161" s="333" t="e">
        <f t="shared" si="48"/>
        <v>#DIV/0!</v>
      </c>
      <c r="G161" s="333" t="e">
        <f t="shared" si="48"/>
        <v>#DIV/0!</v>
      </c>
      <c r="H161" s="333" t="e">
        <f t="shared" si="48"/>
        <v>#DIV/0!</v>
      </c>
      <c r="I161" s="333" t="e">
        <f t="shared" si="48"/>
        <v>#DIV/0!</v>
      </c>
      <c r="J161" s="333" t="e">
        <f t="shared" si="48"/>
        <v>#DIV/0!</v>
      </c>
      <c r="K161" s="333" t="e">
        <f t="shared" si="48"/>
        <v>#DIV/0!</v>
      </c>
      <c r="L161" s="333" t="e">
        <f t="shared" si="48"/>
        <v>#DIV/0!</v>
      </c>
      <c r="M161" s="333" t="e">
        <f t="shared" si="48"/>
        <v>#DIV/0!</v>
      </c>
      <c r="N161" s="333" t="e">
        <f t="shared" si="48"/>
        <v>#DIV/0!</v>
      </c>
      <c r="O161" s="333" t="e">
        <f t="shared" si="48"/>
        <v>#DIV/0!</v>
      </c>
      <c r="P161" s="333" t="e">
        <f t="shared" si="48"/>
        <v>#DIV/0!</v>
      </c>
      <c r="Q161" s="333" t="e">
        <f t="shared" si="48"/>
        <v>#DIV/0!</v>
      </c>
      <c r="R161" s="333" t="e">
        <f t="shared" si="48"/>
        <v>#DIV/0!</v>
      </c>
      <c r="S161" s="333" t="e">
        <f t="shared" si="48"/>
        <v>#DIV/0!</v>
      </c>
    </row>
    <row r="162" spans="2:23" ht="14.85" customHeight="1">
      <c r="B162" s="328" t="str">
        <f t="shared" si="29"/>
        <v>Options/Warrants at $0.00 Strike Price</v>
      </c>
      <c r="D162" s="333" t="e">
        <f t="shared" ref="D162:S162" si="49">D132/D$138</f>
        <v>#DIV/0!</v>
      </c>
      <c r="E162" s="333" t="e">
        <f t="shared" si="49"/>
        <v>#DIV/0!</v>
      </c>
      <c r="F162" s="333" t="e">
        <f t="shared" si="49"/>
        <v>#DIV/0!</v>
      </c>
      <c r="G162" s="333" t="e">
        <f t="shared" si="49"/>
        <v>#DIV/0!</v>
      </c>
      <c r="H162" s="333" t="e">
        <f t="shared" si="49"/>
        <v>#DIV/0!</v>
      </c>
      <c r="I162" s="333" t="e">
        <f t="shared" si="49"/>
        <v>#DIV/0!</v>
      </c>
      <c r="J162" s="333" t="e">
        <f t="shared" si="49"/>
        <v>#DIV/0!</v>
      </c>
      <c r="K162" s="333" t="e">
        <f t="shared" si="49"/>
        <v>#DIV/0!</v>
      </c>
      <c r="L162" s="333" t="e">
        <f t="shared" si="49"/>
        <v>#DIV/0!</v>
      </c>
      <c r="M162" s="333" t="e">
        <f t="shared" si="49"/>
        <v>#DIV/0!</v>
      </c>
      <c r="N162" s="333" t="e">
        <f t="shared" si="49"/>
        <v>#DIV/0!</v>
      </c>
      <c r="O162" s="333" t="e">
        <f t="shared" si="49"/>
        <v>#DIV/0!</v>
      </c>
      <c r="P162" s="333" t="e">
        <f t="shared" si="49"/>
        <v>#DIV/0!</v>
      </c>
      <c r="Q162" s="333" t="e">
        <f t="shared" si="49"/>
        <v>#DIV/0!</v>
      </c>
      <c r="R162" s="333" t="e">
        <f t="shared" si="49"/>
        <v>#DIV/0!</v>
      </c>
      <c r="S162" s="333" t="e">
        <f t="shared" si="49"/>
        <v>#DIV/0!</v>
      </c>
    </row>
    <row r="163" spans="2:23" ht="14.85" customHeight="1">
      <c r="B163" s="328" t="str">
        <f t="shared" si="29"/>
        <v>Options/Warrants at $0.00 Strike Price</v>
      </c>
      <c r="D163" s="333" t="e">
        <f t="shared" ref="D163:S163" si="50">D133/D$138</f>
        <v>#DIV/0!</v>
      </c>
      <c r="E163" s="333" t="e">
        <f t="shared" si="50"/>
        <v>#DIV/0!</v>
      </c>
      <c r="F163" s="333" t="e">
        <f t="shared" si="50"/>
        <v>#DIV/0!</v>
      </c>
      <c r="G163" s="333" t="e">
        <f t="shared" si="50"/>
        <v>#DIV/0!</v>
      </c>
      <c r="H163" s="333" t="e">
        <f t="shared" si="50"/>
        <v>#DIV/0!</v>
      </c>
      <c r="I163" s="333" t="e">
        <f t="shared" si="50"/>
        <v>#DIV/0!</v>
      </c>
      <c r="J163" s="333" t="e">
        <f t="shared" si="50"/>
        <v>#DIV/0!</v>
      </c>
      <c r="K163" s="333" t="e">
        <f t="shared" si="50"/>
        <v>#DIV/0!</v>
      </c>
      <c r="L163" s="333" t="e">
        <f t="shared" si="50"/>
        <v>#DIV/0!</v>
      </c>
      <c r="M163" s="333" t="e">
        <f t="shared" si="50"/>
        <v>#DIV/0!</v>
      </c>
      <c r="N163" s="333" t="e">
        <f t="shared" si="50"/>
        <v>#DIV/0!</v>
      </c>
      <c r="O163" s="333" t="e">
        <f t="shared" si="50"/>
        <v>#DIV/0!</v>
      </c>
      <c r="P163" s="333" t="e">
        <f t="shared" si="50"/>
        <v>#DIV/0!</v>
      </c>
      <c r="Q163" s="333" t="e">
        <f t="shared" si="50"/>
        <v>#DIV/0!</v>
      </c>
      <c r="R163" s="333" t="e">
        <f t="shared" si="50"/>
        <v>#DIV/0!</v>
      </c>
      <c r="S163" s="333" t="e">
        <f t="shared" si="50"/>
        <v>#DIV/0!</v>
      </c>
    </row>
    <row r="164" spans="2:23" ht="14.85" customHeight="1">
      <c r="B164" s="328" t="str">
        <f t="shared" si="29"/>
        <v>Options/Warrants at $0.00 Strike Price</v>
      </c>
      <c r="D164" s="333" t="e">
        <f t="shared" ref="D164:S164" si="51">D134/D$138</f>
        <v>#DIV/0!</v>
      </c>
      <c r="E164" s="333" t="e">
        <f t="shared" si="51"/>
        <v>#DIV/0!</v>
      </c>
      <c r="F164" s="333" t="e">
        <f t="shared" si="51"/>
        <v>#DIV/0!</v>
      </c>
      <c r="G164" s="333" t="e">
        <f t="shared" si="51"/>
        <v>#DIV/0!</v>
      </c>
      <c r="H164" s="333" t="e">
        <f t="shared" si="51"/>
        <v>#DIV/0!</v>
      </c>
      <c r="I164" s="333" t="e">
        <f t="shared" si="51"/>
        <v>#DIV/0!</v>
      </c>
      <c r="J164" s="333" t="e">
        <f t="shared" si="51"/>
        <v>#DIV/0!</v>
      </c>
      <c r="K164" s="333" t="e">
        <f t="shared" si="51"/>
        <v>#DIV/0!</v>
      </c>
      <c r="L164" s="333" t="e">
        <f t="shared" si="51"/>
        <v>#DIV/0!</v>
      </c>
      <c r="M164" s="333" t="e">
        <f t="shared" si="51"/>
        <v>#DIV/0!</v>
      </c>
      <c r="N164" s="333" t="e">
        <f t="shared" si="51"/>
        <v>#DIV/0!</v>
      </c>
      <c r="O164" s="333" t="e">
        <f t="shared" si="51"/>
        <v>#DIV/0!</v>
      </c>
      <c r="P164" s="333" t="e">
        <f t="shared" si="51"/>
        <v>#DIV/0!</v>
      </c>
      <c r="Q164" s="333" t="e">
        <f t="shared" si="51"/>
        <v>#DIV/0!</v>
      </c>
      <c r="R164" s="333" t="e">
        <f t="shared" si="51"/>
        <v>#DIV/0!</v>
      </c>
      <c r="S164" s="333" t="e">
        <f t="shared" si="51"/>
        <v>#DIV/0!</v>
      </c>
    </row>
    <row r="165" spans="2:23" ht="14.85" customHeight="1">
      <c r="B165" s="328" t="str">
        <f t="shared" si="29"/>
        <v>Expected Options Grant</v>
      </c>
      <c r="D165" s="333" t="e">
        <f t="shared" ref="D165:S165" si="52">D135/D$138</f>
        <v>#DIV/0!</v>
      </c>
      <c r="E165" s="333" t="e">
        <f t="shared" si="52"/>
        <v>#DIV/0!</v>
      </c>
      <c r="F165" s="333" t="e">
        <f t="shared" si="52"/>
        <v>#DIV/0!</v>
      </c>
      <c r="G165" s="333" t="e">
        <f t="shared" si="52"/>
        <v>#DIV/0!</v>
      </c>
      <c r="H165" s="333" t="e">
        <f t="shared" si="52"/>
        <v>#DIV/0!</v>
      </c>
      <c r="I165" s="333" t="e">
        <f t="shared" si="52"/>
        <v>#DIV/0!</v>
      </c>
      <c r="J165" s="333" t="e">
        <f t="shared" si="52"/>
        <v>#DIV/0!</v>
      </c>
      <c r="K165" s="333" t="e">
        <f t="shared" si="52"/>
        <v>#DIV/0!</v>
      </c>
      <c r="L165" s="333" t="e">
        <f t="shared" si="52"/>
        <v>#DIV/0!</v>
      </c>
      <c r="M165" s="333" t="e">
        <f t="shared" si="52"/>
        <v>#DIV/0!</v>
      </c>
      <c r="N165" s="333" t="e">
        <f t="shared" si="52"/>
        <v>#DIV/0!</v>
      </c>
      <c r="O165" s="333" t="e">
        <f t="shared" si="52"/>
        <v>#DIV/0!</v>
      </c>
      <c r="P165" s="333" t="e">
        <f t="shared" si="52"/>
        <v>#DIV/0!</v>
      </c>
      <c r="Q165" s="333" t="e">
        <f t="shared" si="52"/>
        <v>#DIV/0!</v>
      </c>
      <c r="R165" s="333" t="e">
        <f t="shared" si="52"/>
        <v>#DIV/0!</v>
      </c>
      <c r="S165" s="333" t="e">
        <f t="shared" si="52"/>
        <v>#DIV/0!</v>
      </c>
    </row>
    <row r="166" spans="2:23" ht="14.85" customHeight="1">
      <c r="B166" s="328" t="str">
        <f t="shared" si="29"/>
        <v>Common Stock</v>
      </c>
      <c r="D166" s="333" t="e">
        <f t="shared" ref="D166:S166" si="53">D136/D$138</f>
        <v>#DIV/0!</v>
      </c>
      <c r="E166" s="333" t="e">
        <f t="shared" si="53"/>
        <v>#DIV/0!</v>
      </c>
      <c r="F166" s="333" t="e">
        <f t="shared" si="53"/>
        <v>#DIV/0!</v>
      </c>
      <c r="G166" s="333" t="e">
        <f t="shared" si="53"/>
        <v>#DIV/0!</v>
      </c>
      <c r="H166" s="333" t="e">
        <f t="shared" si="53"/>
        <v>#DIV/0!</v>
      </c>
      <c r="I166" s="333" t="e">
        <f t="shared" si="53"/>
        <v>#DIV/0!</v>
      </c>
      <c r="J166" s="333" t="e">
        <f t="shared" si="53"/>
        <v>#DIV/0!</v>
      </c>
      <c r="K166" s="333" t="e">
        <f t="shared" si="53"/>
        <v>#DIV/0!</v>
      </c>
      <c r="L166" s="333" t="e">
        <f t="shared" si="53"/>
        <v>#DIV/0!</v>
      </c>
      <c r="M166" s="333" t="e">
        <f t="shared" si="53"/>
        <v>#DIV/0!</v>
      </c>
      <c r="N166" s="333" t="e">
        <f t="shared" si="53"/>
        <v>#DIV/0!</v>
      </c>
      <c r="O166" s="333" t="e">
        <f t="shared" si="53"/>
        <v>#DIV/0!</v>
      </c>
      <c r="P166" s="333" t="e">
        <f t="shared" si="53"/>
        <v>#DIV/0!</v>
      </c>
      <c r="Q166" s="333" t="e">
        <f t="shared" si="53"/>
        <v>#DIV/0!</v>
      </c>
      <c r="R166" s="333" t="e">
        <f t="shared" si="53"/>
        <v>#DIV/0!</v>
      </c>
      <c r="S166" s="333" t="e">
        <f t="shared" si="53"/>
        <v>#DIV/0!</v>
      </c>
    </row>
    <row r="167" spans="2:23" ht="14.85" customHeight="1">
      <c r="B167" s="1086"/>
      <c r="C167" s="346"/>
      <c r="D167" s="1938"/>
      <c r="E167" s="1938"/>
      <c r="F167" s="1938"/>
      <c r="G167" s="1938"/>
      <c r="H167" s="1938"/>
      <c r="I167" s="1938"/>
      <c r="J167" s="1938"/>
      <c r="K167" s="1938"/>
      <c r="L167" s="1938"/>
      <c r="M167" s="1938"/>
      <c r="N167" s="1938"/>
      <c r="O167" s="1938"/>
      <c r="P167" s="1938"/>
      <c r="Q167" s="1938"/>
      <c r="R167" s="1938"/>
      <c r="S167" s="1938"/>
    </row>
    <row r="168" spans="2:23" ht="14.85" customHeight="1">
      <c r="B168" s="472" t="s">
        <v>2577</v>
      </c>
      <c r="D168" s="1939" t="e">
        <f>SUM(D142:D166)</f>
        <v>#DIV/0!</v>
      </c>
      <c r="E168" s="1939" t="e">
        <f t="shared" ref="E168:S168" si="54">SUM(E142:E166)</f>
        <v>#DIV/0!</v>
      </c>
      <c r="F168" s="1939" t="e">
        <f t="shared" si="54"/>
        <v>#DIV/0!</v>
      </c>
      <c r="G168" s="1939" t="e">
        <f t="shared" si="54"/>
        <v>#DIV/0!</v>
      </c>
      <c r="H168" s="1939" t="e">
        <f t="shared" si="54"/>
        <v>#DIV/0!</v>
      </c>
      <c r="I168" s="1939" t="e">
        <f t="shared" si="54"/>
        <v>#DIV/0!</v>
      </c>
      <c r="J168" s="1939" t="e">
        <f t="shared" si="54"/>
        <v>#DIV/0!</v>
      </c>
      <c r="K168" s="1939" t="e">
        <f t="shared" si="54"/>
        <v>#DIV/0!</v>
      </c>
      <c r="L168" s="1939" t="e">
        <f t="shared" si="54"/>
        <v>#DIV/0!</v>
      </c>
      <c r="M168" s="1939" t="e">
        <f t="shared" si="54"/>
        <v>#DIV/0!</v>
      </c>
      <c r="N168" s="1939" t="e">
        <f t="shared" si="54"/>
        <v>#DIV/0!</v>
      </c>
      <c r="O168" s="1939" t="e">
        <f t="shared" si="54"/>
        <v>#DIV/0!</v>
      </c>
      <c r="P168" s="1939" t="e">
        <f t="shared" si="54"/>
        <v>#DIV/0!</v>
      </c>
      <c r="Q168" s="1939" t="e">
        <f t="shared" si="54"/>
        <v>#DIV/0!</v>
      </c>
      <c r="R168" s="1939" t="e">
        <f t="shared" si="54"/>
        <v>#DIV/0!</v>
      </c>
      <c r="S168" s="1939" t="e">
        <f t="shared" si="54"/>
        <v>#DIV/0!</v>
      </c>
    </row>
    <row r="169" spans="2:23" ht="14.85" customHeight="1"/>
    <row r="170" spans="2:23" s="272" customFormat="1" ht="14.85" customHeight="1">
      <c r="B170" s="755" t="s">
        <v>427</v>
      </c>
      <c r="D170" s="756">
        <f>D$15</f>
        <v>1</v>
      </c>
      <c r="E170" s="757">
        <f t="shared" ref="E170:S170" si="55">E$15</f>
        <v>2</v>
      </c>
      <c r="F170" s="757">
        <f t="shared" si="55"/>
        <v>3</v>
      </c>
      <c r="G170" s="757">
        <f t="shared" si="55"/>
        <v>4</v>
      </c>
      <c r="H170" s="757">
        <f t="shared" si="55"/>
        <v>5</v>
      </c>
      <c r="I170" s="757">
        <f t="shared" si="55"/>
        <v>6</v>
      </c>
      <c r="J170" s="757">
        <f t="shared" si="55"/>
        <v>7</v>
      </c>
      <c r="K170" s="757">
        <f t="shared" si="55"/>
        <v>8</v>
      </c>
      <c r="L170" s="757">
        <f t="shared" si="55"/>
        <v>9</v>
      </c>
      <c r="M170" s="757">
        <f t="shared" si="55"/>
        <v>10</v>
      </c>
      <c r="N170" s="757">
        <f t="shared" si="55"/>
        <v>11</v>
      </c>
      <c r="O170" s="757">
        <f t="shared" si="55"/>
        <v>12</v>
      </c>
      <c r="P170" s="757">
        <f t="shared" si="55"/>
        <v>13</v>
      </c>
      <c r="Q170" s="757">
        <f t="shared" si="55"/>
        <v>14</v>
      </c>
      <c r="R170" s="757">
        <f t="shared" si="55"/>
        <v>15</v>
      </c>
      <c r="S170" s="758">
        <f t="shared" si="55"/>
        <v>16</v>
      </c>
      <c r="U170" s="762" t="s">
        <v>169</v>
      </c>
      <c r="W170" s="347"/>
    </row>
    <row r="171" spans="2:23" ht="14.85" customHeight="1"/>
    <row r="172" spans="2:23" ht="14.85" customHeight="1">
      <c r="B172" s="328" t="str">
        <f t="shared" ref="B172:B178" si="56">B112</f>
        <v>Series A</v>
      </c>
      <c r="D172" s="458" t="e">
        <f t="shared" ref="D172:S172" si="57">D$106*D112/D$138</f>
        <v>#DIV/0!</v>
      </c>
      <c r="E172" s="331" t="e">
        <f t="shared" si="57"/>
        <v>#DIV/0!</v>
      </c>
      <c r="F172" s="331" t="e">
        <f t="shared" si="57"/>
        <v>#DIV/0!</v>
      </c>
      <c r="G172" s="331" t="e">
        <f t="shared" si="57"/>
        <v>#DIV/0!</v>
      </c>
      <c r="H172" s="331" t="e">
        <f t="shared" si="57"/>
        <v>#DIV/0!</v>
      </c>
      <c r="I172" s="331" t="e">
        <f t="shared" si="57"/>
        <v>#VALUE!</v>
      </c>
      <c r="J172" s="331" t="e">
        <f t="shared" si="57"/>
        <v>#VALUE!</v>
      </c>
      <c r="K172" s="331" t="e">
        <f t="shared" si="57"/>
        <v>#VALUE!</v>
      </c>
      <c r="L172" s="331" t="e">
        <f t="shared" si="57"/>
        <v>#VALUE!</v>
      </c>
      <c r="M172" s="331" t="e">
        <f t="shared" si="57"/>
        <v>#VALUE!</v>
      </c>
      <c r="N172" s="331" t="e">
        <f t="shared" si="57"/>
        <v>#VALUE!</v>
      </c>
      <c r="O172" s="331" t="e">
        <f t="shared" si="57"/>
        <v>#VALUE!</v>
      </c>
      <c r="P172" s="331" t="e">
        <f t="shared" si="57"/>
        <v>#VALUE!</v>
      </c>
      <c r="Q172" s="331" t="e">
        <f t="shared" si="57"/>
        <v>#VALUE!</v>
      </c>
      <c r="R172" s="331" t="e">
        <f t="shared" si="57"/>
        <v>#VALUE!</v>
      </c>
      <c r="S172" s="331" t="e">
        <f t="shared" si="57"/>
        <v>#VALUE!</v>
      </c>
      <c r="U172" s="331" t="e">
        <f>SUM(D172:S172)</f>
        <v>#DIV/0!</v>
      </c>
    </row>
    <row r="173" spans="2:23" ht="14.85" customHeight="1">
      <c r="B173" s="328" t="str">
        <f t="shared" si="56"/>
        <v>Series B</v>
      </c>
      <c r="D173" s="331" t="e">
        <f t="shared" ref="D173:S173" si="58">D$106*D113/D$138</f>
        <v>#DIV/0!</v>
      </c>
      <c r="E173" s="331" t="e">
        <f t="shared" si="58"/>
        <v>#DIV/0!</v>
      </c>
      <c r="F173" s="331" t="e">
        <f t="shared" si="58"/>
        <v>#DIV/0!</v>
      </c>
      <c r="G173" s="331" t="e">
        <f t="shared" si="58"/>
        <v>#DIV/0!</v>
      </c>
      <c r="H173" s="331" t="e">
        <f t="shared" si="58"/>
        <v>#DIV/0!</v>
      </c>
      <c r="I173" s="331" t="e">
        <f t="shared" si="58"/>
        <v>#VALUE!</v>
      </c>
      <c r="J173" s="331" t="e">
        <f t="shared" si="58"/>
        <v>#VALUE!</v>
      </c>
      <c r="K173" s="331" t="e">
        <f t="shared" si="58"/>
        <v>#VALUE!</v>
      </c>
      <c r="L173" s="331" t="e">
        <f t="shared" si="58"/>
        <v>#VALUE!</v>
      </c>
      <c r="M173" s="331" t="e">
        <f t="shared" si="58"/>
        <v>#VALUE!</v>
      </c>
      <c r="N173" s="331" t="e">
        <f t="shared" si="58"/>
        <v>#VALUE!</v>
      </c>
      <c r="O173" s="331" t="e">
        <f t="shared" si="58"/>
        <v>#VALUE!</v>
      </c>
      <c r="P173" s="331" t="e">
        <f t="shared" si="58"/>
        <v>#VALUE!</v>
      </c>
      <c r="Q173" s="331" t="e">
        <f t="shared" si="58"/>
        <v>#VALUE!</v>
      </c>
      <c r="R173" s="331" t="e">
        <f t="shared" si="58"/>
        <v>#VALUE!</v>
      </c>
      <c r="S173" s="331" t="e">
        <f t="shared" si="58"/>
        <v>#VALUE!</v>
      </c>
      <c r="U173" s="331" t="e">
        <f t="shared" ref="U173:U192" si="59">SUM(D173:S173)</f>
        <v>#DIV/0!</v>
      </c>
    </row>
    <row r="174" spans="2:23" ht="14.85" customHeight="1">
      <c r="B174" s="328" t="str">
        <f t="shared" si="56"/>
        <v>Series C</v>
      </c>
      <c r="D174" s="331" t="e">
        <f t="shared" ref="D174:S174" si="60">D$106*D114/D$138</f>
        <v>#DIV/0!</v>
      </c>
      <c r="E174" s="331" t="e">
        <f t="shared" si="60"/>
        <v>#DIV/0!</v>
      </c>
      <c r="F174" s="331" t="e">
        <f t="shared" si="60"/>
        <v>#DIV/0!</v>
      </c>
      <c r="G174" s="331" t="e">
        <f t="shared" si="60"/>
        <v>#DIV/0!</v>
      </c>
      <c r="H174" s="331" t="e">
        <f t="shared" si="60"/>
        <v>#DIV/0!</v>
      </c>
      <c r="I174" s="331" t="e">
        <f t="shared" si="60"/>
        <v>#VALUE!</v>
      </c>
      <c r="J174" s="331" t="e">
        <f t="shared" si="60"/>
        <v>#VALUE!</v>
      </c>
      <c r="K174" s="331" t="e">
        <f t="shared" si="60"/>
        <v>#VALUE!</v>
      </c>
      <c r="L174" s="331" t="e">
        <f t="shared" si="60"/>
        <v>#VALUE!</v>
      </c>
      <c r="M174" s="331" t="e">
        <f t="shared" si="60"/>
        <v>#VALUE!</v>
      </c>
      <c r="N174" s="331" t="e">
        <f t="shared" si="60"/>
        <v>#VALUE!</v>
      </c>
      <c r="O174" s="331" t="e">
        <f t="shared" si="60"/>
        <v>#VALUE!</v>
      </c>
      <c r="P174" s="331" t="e">
        <f t="shared" si="60"/>
        <v>#VALUE!</v>
      </c>
      <c r="Q174" s="331" t="e">
        <f t="shared" si="60"/>
        <v>#VALUE!</v>
      </c>
      <c r="R174" s="331" t="e">
        <f t="shared" si="60"/>
        <v>#VALUE!</v>
      </c>
      <c r="S174" s="331" t="e">
        <f t="shared" si="60"/>
        <v>#VALUE!</v>
      </c>
      <c r="U174" s="331" t="e">
        <f t="shared" si="59"/>
        <v>#DIV/0!</v>
      </c>
    </row>
    <row r="175" spans="2:23" ht="14.85" customHeight="1">
      <c r="B175" s="328" t="str">
        <f t="shared" si="56"/>
        <v>Series D</v>
      </c>
      <c r="D175" s="331" t="e">
        <f t="shared" ref="D175:S175" si="61">D$106*D115/D$138</f>
        <v>#DIV/0!</v>
      </c>
      <c r="E175" s="331" t="e">
        <f t="shared" si="61"/>
        <v>#DIV/0!</v>
      </c>
      <c r="F175" s="331" t="e">
        <f t="shared" si="61"/>
        <v>#DIV/0!</v>
      </c>
      <c r="G175" s="331" t="e">
        <f t="shared" si="61"/>
        <v>#DIV/0!</v>
      </c>
      <c r="H175" s="331" t="e">
        <f t="shared" si="61"/>
        <v>#DIV/0!</v>
      </c>
      <c r="I175" s="331" t="e">
        <f t="shared" si="61"/>
        <v>#VALUE!</v>
      </c>
      <c r="J175" s="331" t="e">
        <f t="shared" si="61"/>
        <v>#VALUE!</v>
      </c>
      <c r="K175" s="331" t="e">
        <f t="shared" si="61"/>
        <v>#VALUE!</v>
      </c>
      <c r="L175" s="331" t="e">
        <f t="shared" si="61"/>
        <v>#VALUE!</v>
      </c>
      <c r="M175" s="331" t="e">
        <f t="shared" si="61"/>
        <v>#VALUE!</v>
      </c>
      <c r="N175" s="331" t="e">
        <f t="shared" si="61"/>
        <v>#VALUE!</v>
      </c>
      <c r="O175" s="331" t="e">
        <f t="shared" si="61"/>
        <v>#VALUE!</v>
      </c>
      <c r="P175" s="331" t="e">
        <f t="shared" si="61"/>
        <v>#VALUE!</v>
      </c>
      <c r="Q175" s="331" t="e">
        <f t="shared" si="61"/>
        <v>#VALUE!</v>
      </c>
      <c r="R175" s="331" t="e">
        <f t="shared" si="61"/>
        <v>#VALUE!</v>
      </c>
      <c r="S175" s="331" t="e">
        <f t="shared" si="61"/>
        <v>#VALUE!</v>
      </c>
      <c r="U175" s="331" t="e">
        <f t="shared" si="59"/>
        <v>#DIV/0!</v>
      </c>
    </row>
    <row r="176" spans="2:23" ht="14.85" customHeight="1">
      <c r="B176" s="328" t="str">
        <f t="shared" si="56"/>
        <v>Series E</v>
      </c>
      <c r="D176" s="331" t="e">
        <f t="shared" ref="D176:S176" si="62">D$106*D116/D$138</f>
        <v>#DIV/0!</v>
      </c>
      <c r="E176" s="331" t="e">
        <f t="shared" si="62"/>
        <v>#DIV/0!</v>
      </c>
      <c r="F176" s="331" t="e">
        <f t="shared" si="62"/>
        <v>#DIV/0!</v>
      </c>
      <c r="G176" s="331" t="e">
        <f t="shared" si="62"/>
        <v>#DIV/0!</v>
      </c>
      <c r="H176" s="331" t="e">
        <f t="shared" si="62"/>
        <v>#DIV/0!</v>
      </c>
      <c r="I176" s="331" t="e">
        <f t="shared" si="62"/>
        <v>#VALUE!</v>
      </c>
      <c r="J176" s="331" t="e">
        <f t="shared" si="62"/>
        <v>#VALUE!</v>
      </c>
      <c r="K176" s="331" t="e">
        <f t="shared" si="62"/>
        <v>#VALUE!</v>
      </c>
      <c r="L176" s="331" t="e">
        <f t="shared" si="62"/>
        <v>#VALUE!</v>
      </c>
      <c r="M176" s="331" t="e">
        <f t="shared" si="62"/>
        <v>#VALUE!</v>
      </c>
      <c r="N176" s="331" t="e">
        <f t="shared" si="62"/>
        <v>#VALUE!</v>
      </c>
      <c r="O176" s="331" t="e">
        <f t="shared" si="62"/>
        <v>#VALUE!</v>
      </c>
      <c r="P176" s="331" t="e">
        <f t="shared" si="62"/>
        <v>#VALUE!</v>
      </c>
      <c r="Q176" s="331" t="e">
        <f t="shared" si="62"/>
        <v>#VALUE!</v>
      </c>
      <c r="R176" s="331" t="e">
        <f t="shared" si="62"/>
        <v>#VALUE!</v>
      </c>
      <c r="S176" s="331" t="e">
        <f t="shared" si="62"/>
        <v>#VALUE!</v>
      </c>
      <c r="U176" s="331" t="e">
        <f t="shared" si="59"/>
        <v>#DIV/0!</v>
      </c>
    </row>
    <row r="177" spans="2:21" ht="14.85" customHeight="1">
      <c r="B177" s="328" t="str">
        <f t="shared" si="56"/>
        <v>Series F</v>
      </c>
      <c r="D177" s="331" t="e">
        <f t="shared" ref="D177:S177" si="63">D$106*D117/D$138</f>
        <v>#DIV/0!</v>
      </c>
      <c r="E177" s="331" t="e">
        <f t="shared" si="63"/>
        <v>#DIV/0!</v>
      </c>
      <c r="F177" s="331" t="e">
        <f t="shared" si="63"/>
        <v>#DIV/0!</v>
      </c>
      <c r="G177" s="331" t="e">
        <f t="shared" si="63"/>
        <v>#DIV/0!</v>
      </c>
      <c r="H177" s="331" t="e">
        <f t="shared" si="63"/>
        <v>#DIV/0!</v>
      </c>
      <c r="I177" s="331" t="e">
        <f t="shared" si="63"/>
        <v>#VALUE!</v>
      </c>
      <c r="J177" s="331" t="e">
        <f t="shared" si="63"/>
        <v>#VALUE!</v>
      </c>
      <c r="K177" s="331" t="e">
        <f t="shared" si="63"/>
        <v>#VALUE!</v>
      </c>
      <c r="L177" s="331" t="e">
        <f t="shared" si="63"/>
        <v>#VALUE!</v>
      </c>
      <c r="M177" s="331" t="e">
        <f t="shared" si="63"/>
        <v>#VALUE!</v>
      </c>
      <c r="N177" s="331" t="e">
        <f t="shared" si="63"/>
        <v>#VALUE!</v>
      </c>
      <c r="O177" s="331" t="e">
        <f t="shared" si="63"/>
        <v>#VALUE!</v>
      </c>
      <c r="P177" s="331" t="e">
        <f t="shared" si="63"/>
        <v>#VALUE!</v>
      </c>
      <c r="Q177" s="331" t="e">
        <f t="shared" si="63"/>
        <v>#VALUE!</v>
      </c>
      <c r="R177" s="331" t="e">
        <f t="shared" si="63"/>
        <v>#VALUE!</v>
      </c>
      <c r="S177" s="331" t="e">
        <f t="shared" si="63"/>
        <v>#VALUE!</v>
      </c>
      <c r="U177" s="331" t="e">
        <f t="shared" si="59"/>
        <v>#DIV/0!</v>
      </c>
    </row>
    <row r="178" spans="2:21" ht="14.85" customHeight="1">
      <c r="B178" s="328" t="str">
        <f t="shared" si="56"/>
        <v>Series G</v>
      </c>
      <c r="D178" s="331" t="e">
        <f t="shared" ref="D178:S178" si="64">D$106*D118/D$138</f>
        <v>#DIV/0!</v>
      </c>
      <c r="E178" s="331" t="e">
        <f t="shared" si="64"/>
        <v>#DIV/0!</v>
      </c>
      <c r="F178" s="331" t="e">
        <f t="shared" si="64"/>
        <v>#DIV/0!</v>
      </c>
      <c r="G178" s="331" t="e">
        <f t="shared" si="64"/>
        <v>#DIV/0!</v>
      </c>
      <c r="H178" s="331" t="e">
        <f t="shared" si="64"/>
        <v>#DIV/0!</v>
      </c>
      <c r="I178" s="331" t="e">
        <f t="shared" si="64"/>
        <v>#VALUE!</v>
      </c>
      <c r="J178" s="331" t="e">
        <f t="shared" si="64"/>
        <v>#VALUE!</v>
      </c>
      <c r="K178" s="331" t="e">
        <f t="shared" si="64"/>
        <v>#VALUE!</v>
      </c>
      <c r="L178" s="331" t="e">
        <f t="shared" si="64"/>
        <v>#VALUE!</v>
      </c>
      <c r="M178" s="331" t="e">
        <f t="shared" si="64"/>
        <v>#VALUE!</v>
      </c>
      <c r="N178" s="331" t="e">
        <f t="shared" si="64"/>
        <v>#VALUE!</v>
      </c>
      <c r="O178" s="331" t="e">
        <f t="shared" si="64"/>
        <v>#VALUE!</v>
      </c>
      <c r="P178" s="331" t="e">
        <f t="shared" si="64"/>
        <v>#VALUE!</v>
      </c>
      <c r="Q178" s="331" t="e">
        <f t="shared" si="64"/>
        <v>#VALUE!</v>
      </c>
      <c r="R178" s="331" t="e">
        <f t="shared" si="64"/>
        <v>#VALUE!</v>
      </c>
      <c r="S178" s="331" t="e">
        <f t="shared" si="64"/>
        <v>#VALUE!</v>
      </c>
      <c r="U178" s="331" t="e">
        <f t="shared" si="59"/>
        <v>#DIV/0!</v>
      </c>
    </row>
    <row r="179" spans="2:21" ht="14.85" customHeight="1">
      <c r="B179" s="413" t="str">
        <f t="shared" ref="B179:B185" si="65">+$B172&amp;" Warrants"</f>
        <v>Series A Warrants</v>
      </c>
      <c r="D179" s="331" t="e">
        <f t="shared" ref="D179:S179" si="66">D$106*D119/D$138</f>
        <v>#DIV/0!</v>
      </c>
      <c r="E179" s="331" t="e">
        <f t="shared" si="66"/>
        <v>#DIV/0!</v>
      </c>
      <c r="F179" s="331" t="e">
        <f t="shared" si="66"/>
        <v>#DIV/0!</v>
      </c>
      <c r="G179" s="331" t="e">
        <f t="shared" si="66"/>
        <v>#DIV/0!</v>
      </c>
      <c r="H179" s="331" t="e">
        <f t="shared" si="66"/>
        <v>#DIV/0!</v>
      </c>
      <c r="I179" s="331" t="e">
        <f t="shared" si="66"/>
        <v>#VALUE!</v>
      </c>
      <c r="J179" s="331" t="e">
        <f t="shared" si="66"/>
        <v>#VALUE!</v>
      </c>
      <c r="K179" s="331" t="e">
        <f t="shared" si="66"/>
        <v>#VALUE!</v>
      </c>
      <c r="L179" s="331" t="e">
        <f t="shared" si="66"/>
        <v>#VALUE!</v>
      </c>
      <c r="M179" s="331" t="e">
        <f t="shared" si="66"/>
        <v>#VALUE!</v>
      </c>
      <c r="N179" s="331" t="e">
        <f t="shared" si="66"/>
        <v>#VALUE!</v>
      </c>
      <c r="O179" s="331" t="e">
        <f t="shared" si="66"/>
        <v>#VALUE!</v>
      </c>
      <c r="P179" s="331" t="e">
        <f t="shared" si="66"/>
        <v>#VALUE!</v>
      </c>
      <c r="Q179" s="331" t="e">
        <f t="shared" si="66"/>
        <v>#VALUE!</v>
      </c>
      <c r="R179" s="331" t="e">
        <f t="shared" si="66"/>
        <v>#VALUE!</v>
      </c>
      <c r="S179" s="331" t="e">
        <f t="shared" si="66"/>
        <v>#VALUE!</v>
      </c>
      <c r="U179" s="331" t="e">
        <f t="shared" si="59"/>
        <v>#DIV/0!</v>
      </c>
    </row>
    <row r="180" spans="2:21" ht="14.85" customHeight="1">
      <c r="B180" s="413" t="str">
        <f t="shared" si="65"/>
        <v>Series B Warrants</v>
      </c>
      <c r="D180" s="331" t="e">
        <f t="shared" ref="D180:S180" si="67">D$106*D120/D$138</f>
        <v>#DIV/0!</v>
      </c>
      <c r="E180" s="331" t="e">
        <f t="shared" si="67"/>
        <v>#DIV/0!</v>
      </c>
      <c r="F180" s="331" t="e">
        <f t="shared" si="67"/>
        <v>#DIV/0!</v>
      </c>
      <c r="G180" s="331" t="e">
        <f t="shared" si="67"/>
        <v>#DIV/0!</v>
      </c>
      <c r="H180" s="331" t="e">
        <f t="shared" si="67"/>
        <v>#DIV/0!</v>
      </c>
      <c r="I180" s="331" t="e">
        <f t="shared" si="67"/>
        <v>#VALUE!</v>
      </c>
      <c r="J180" s="331" t="e">
        <f t="shared" si="67"/>
        <v>#VALUE!</v>
      </c>
      <c r="K180" s="331" t="e">
        <f t="shared" si="67"/>
        <v>#VALUE!</v>
      </c>
      <c r="L180" s="331" t="e">
        <f t="shared" si="67"/>
        <v>#VALUE!</v>
      </c>
      <c r="M180" s="331" t="e">
        <f t="shared" si="67"/>
        <v>#VALUE!</v>
      </c>
      <c r="N180" s="331" t="e">
        <f t="shared" si="67"/>
        <v>#VALUE!</v>
      </c>
      <c r="O180" s="331" t="e">
        <f t="shared" si="67"/>
        <v>#VALUE!</v>
      </c>
      <c r="P180" s="331" t="e">
        <f t="shared" si="67"/>
        <v>#VALUE!</v>
      </c>
      <c r="Q180" s="331" t="e">
        <f t="shared" si="67"/>
        <v>#VALUE!</v>
      </c>
      <c r="R180" s="331" t="e">
        <f t="shared" si="67"/>
        <v>#VALUE!</v>
      </c>
      <c r="S180" s="331" t="e">
        <f t="shared" si="67"/>
        <v>#VALUE!</v>
      </c>
      <c r="U180" s="331" t="e">
        <f t="shared" si="59"/>
        <v>#DIV/0!</v>
      </c>
    </row>
    <row r="181" spans="2:21" ht="14.85" customHeight="1">
      <c r="B181" s="413" t="str">
        <f t="shared" si="65"/>
        <v>Series C Warrants</v>
      </c>
      <c r="D181" s="331" t="e">
        <f t="shared" ref="D181:S181" si="68">D$106*D121/D$138</f>
        <v>#DIV/0!</v>
      </c>
      <c r="E181" s="331" t="e">
        <f t="shared" si="68"/>
        <v>#DIV/0!</v>
      </c>
      <c r="F181" s="331" t="e">
        <f t="shared" si="68"/>
        <v>#DIV/0!</v>
      </c>
      <c r="G181" s="331" t="e">
        <f t="shared" si="68"/>
        <v>#DIV/0!</v>
      </c>
      <c r="H181" s="331" t="e">
        <f t="shared" si="68"/>
        <v>#DIV/0!</v>
      </c>
      <c r="I181" s="331" t="e">
        <f t="shared" si="68"/>
        <v>#VALUE!</v>
      </c>
      <c r="J181" s="331" t="e">
        <f t="shared" si="68"/>
        <v>#VALUE!</v>
      </c>
      <c r="K181" s="331" t="e">
        <f t="shared" si="68"/>
        <v>#VALUE!</v>
      </c>
      <c r="L181" s="331" t="e">
        <f t="shared" si="68"/>
        <v>#VALUE!</v>
      </c>
      <c r="M181" s="331" t="e">
        <f t="shared" si="68"/>
        <v>#VALUE!</v>
      </c>
      <c r="N181" s="331" t="e">
        <f t="shared" si="68"/>
        <v>#VALUE!</v>
      </c>
      <c r="O181" s="331" t="e">
        <f t="shared" si="68"/>
        <v>#VALUE!</v>
      </c>
      <c r="P181" s="331" t="e">
        <f t="shared" si="68"/>
        <v>#VALUE!</v>
      </c>
      <c r="Q181" s="331" t="e">
        <f t="shared" si="68"/>
        <v>#VALUE!</v>
      </c>
      <c r="R181" s="331" t="e">
        <f t="shared" si="68"/>
        <v>#VALUE!</v>
      </c>
      <c r="S181" s="331" t="e">
        <f t="shared" si="68"/>
        <v>#VALUE!</v>
      </c>
      <c r="U181" s="331" t="e">
        <f t="shared" si="59"/>
        <v>#DIV/0!</v>
      </c>
    </row>
    <row r="182" spans="2:21" ht="14.85" customHeight="1">
      <c r="B182" s="413" t="str">
        <f t="shared" si="65"/>
        <v>Series D Warrants</v>
      </c>
      <c r="D182" s="331" t="e">
        <f t="shared" ref="D182:S182" si="69">D$106*D122/D$138</f>
        <v>#DIV/0!</v>
      </c>
      <c r="E182" s="331" t="e">
        <f t="shared" si="69"/>
        <v>#DIV/0!</v>
      </c>
      <c r="F182" s="331" t="e">
        <f t="shared" si="69"/>
        <v>#DIV/0!</v>
      </c>
      <c r="G182" s="331" t="e">
        <f t="shared" si="69"/>
        <v>#DIV/0!</v>
      </c>
      <c r="H182" s="331" t="e">
        <f t="shared" si="69"/>
        <v>#DIV/0!</v>
      </c>
      <c r="I182" s="331" t="e">
        <f t="shared" si="69"/>
        <v>#VALUE!</v>
      </c>
      <c r="J182" s="331" t="e">
        <f t="shared" si="69"/>
        <v>#VALUE!</v>
      </c>
      <c r="K182" s="331" t="e">
        <f t="shared" si="69"/>
        <v>#VALUE!</v>
      </c>
      <c r="L182" s="331" t="e">
        <f t="shared" si="69"/>
        <v>#VALUE!</v>
      </c>
      <c r="M182" s="331" t="e">
        <f t="shared" si="69"/>
        <v>#VALUE!</v>
      </c>
      <c r="N182" s="331" t="e">
        <f t="shared" si="69"/>
        <v>#VALUE!</v>
      </c>
      <c r="O182" s="331" t="e">
        <f t="shared" si="69"/>
        <v>#VALUE!</v>
      </c>
      <c r="P182" s="331" t="e">
        <f t="shared" si="69"/>
        <v>#VALUE!</v>
      </c>
      <c r="Q182" s="331" t="e">
        <f t="shared" si="69"/>
        <v>#VALUE!</v>
      </c>
      <c r="R182" s="331" t="e">
        <f t="shared" si="69"/>
        <v>#VALUE!</v>
      </c>
      <c r="S182" s="331" t="e">
        <f t="shared" si="69"/>
        <v>#VALUE!</v>
      </c>
      <c r="U182" s="331" t="e">
        <f t="shared" si="59"/>
        <v>#DIV/0!</v>
      </c>
    </row>
    <row r="183" spans="2:21" ht="14.85" customHeight="1">
      <c r="B183" s="413" t="str">
        <f t="shared" si="65"/>
        <v>Series E Warrants</v>
      </c>
      <c r="D183" s="331" t="e">
        <f t="shared" ref="D183:S183" si="70">D$106*D123/D$138</f>
        <v>#DIV/0!</v>
      </c>
      <c r="E183" s="331" t="e">
        <f t="shared" si="70"/>
        <v>#DIV/0!</v>
      </c>
      <c r="F183" s="331" t="e">
        <f t="shared" si="70"/>
        <v>#DIV/0!</v>
      </c>
      <c r="G183" s="331" t="e">
        <f t="shared" si="70"/>
        <v>#DIV/0!</v>
      </c>
      <c r="H183" s="331" t="e">
        <f t="shared" si="70"/>
        <v>#DIV/0!</v>
      </c>
      <c r="I183" s="331" t="e">
        <f t="shared" si="70"/>
        <v>#VALUE!</v>
      </c>
      <c r="J183" s="331" t="e">
        <f t="shared" si="70"/>
        <v>#VALUE!</v>
      </c>
      <c r="K183" s="331" t="e">
        <f t="shared" si="70"/>
        <v>#VALUE!</v>
      </c>
      <c r="L183" s="331" t="e">
        <f t="shared" si="70"/>
        <v>#VALUE!</v>
      </c>
      <c r="M183" s="331" t="e">
        <f t="shared" si="70"/>
        <v>#VALUE!</v>
      </c>
      <c r="N183" s="331" t="e">
        <f t="shared" si="70"/>
        <v>#VALUE!</v>
      </c>
      <c r="O183" s="331" t="e">
        <f t="shared" si="70"/>
        <v>#VALUE!</v>
      </c>
      <c r="P183" s="331" t="e">
        <f t="shared" si="70"/>
        <v>#VALUE!</v>
      </c>
      <c r="Q183" s="331" t="e">
        <f t="shared" si="70"/>
        <v>#VALUE!</v>
      </c>
      <c r="R183" s="331" t="e">
        <f t="shared" si="70"/>
        <v>#VALUE!</v>
      </c>
      <c r="S183" s="331" t="e">
        <f t="shared" si="70"/>
        <v>#VALUE!</v>
      </c>
      <c r="U183" s="331" t="e">
        <f t="shared" si="59"/>
        <v>#DIV/0!</v>
      </c>
    </row>
    <row r="184" spans="2:21" ht="14.85" customHeight="1">
      <c r="B184" s="413" t="str">
        <f t="shared" si="65"/>
        <v>Series F Warrants</v>
      </c>
      <c r="D184" s="331" t="e">
        <f t="shared" ref="D184:S184" si="71">D$106*D124/D$138</f>
        <v>#DIV/0!</v>
      </c>
      <c r="E184" s="331" t="e">
        <f t="shared" si="71"/>
        <v>#DIV/0!</v>
      </c>
      <c r="F184" s="331" t="e">
        <f t="shared" si="71"/>
        <v>#DIV/0!</v>
      </c>
      <c r="G184" s="331" t="e">
        <f t="shared" si="71"/>
        <v>#DIV/0!</v>
      </c>
      <c r="H184" s="331" t="e">
        <f t="shared" si="71"/>
        <v>#DIV/0!</v>
      </c>
      <c r="I184" s="331" t="e">
        <f t="shared" si="71"/>
        <v>#VALUE!</v>
      </c>
      <c r="J184" s="331" t="e">
        <f t="shared" si="71"/>
        <v>#VALUE!</v>
      </c>
      <c r="K184" s="331" t="e">
        <f t="shared" si="71"/>
        <v>#VALUE!</v>
      </c>
      <c r="L184" s="331" t="e">
        <f t="shared" si="71"/>
        <v>#VALUE!</v>
      </c>
      <c r="M184" s="331" t="e">
        <f t="shared" si="71"/>
        <v>#VALUE!</v>
      </c>
      <c r="N184" s="331" t="e">
        <f t="shared" si="71"/>
        <v>#VALUE!</v>
      </c>
      <c r="O184" s="331" t="e">
        <f t="shared" si="71"/>
        <v>#VALUE!</v>
      </c>
      <c r="P184" s="331" t="e">
        <f t="shared" si="71"/>
        <v>#VALUE!</v>
      </c>
      <c r="Q184" s="331" t="e">
        <f t="shared" si="71"/>
        <v>#VALUE!</v>
      </c>
      <c r="R184" s="331" t="e">
        <f t="shared" si="71"/>
        <v>#VALUE!</v>
      </c>
      <c r="S184" s="331" t="e">
        <f t="shared" si="71"/>
        <v>#VALUE!</v>
      </c>
      <c r="U184" s="331" t="e">
        <f t="shared" si="59"/>
        <v>#DIV/0!</v>
      </c>
    </row>
    <row r="185" spans="2:21" ht="14.85" customHeight="1">
      <c r="B185" s="413" t="str">
        <f t="shared" si="65"/>
        <v>Series G Warrants</v>
      </c>
      <c r="D185" s="331" t="e">
        <f t="shared" ref="D185:S185" si="72">D$106*D125/D$138</f>
        <v>#DIV/0!</v>
      </c>
      <c r="E185" s="331" t="e">
        <f t="shared" si="72"/>
        <v>#DIV/0!</v>
      </c>
      <c r="F185" s="331" t="e">
        <f t="shared" si="72"/>
        <v>#DIV/0!</v>
      </c>
      <c r="G185" s="331" t="e">
        <f t="shared" si="72"/>
        <v>#DIV/0!</v>
      </c>
      <c r="H185" s="331" t="e">
        <f t="shared" si="72"/>
        <v>#DIV/0!</v>
      </c>
      <c r="I185" s="331" t="e">
        <f t="shared" si="72"/>
        <v>#VALUE!</v>
      </c>
      <c r="J185" s="331" t="e">
        <f t="shared" si="72"/>
        <v>#VALUE!</v>
      </c>
      <c r="K185" s="331" t="e">
        <f t="shared" si="72"/>
        <v>#VALUE!</v>
      </c>
      <c r="L185" s="331" t="e">
        <f t="shared" si="72"/>
        <v>#VALUE!</v>
      </c>
      <c r="M185" s="331" t="e">
        <f t="shared" si="72"/>
        <v>#VALUE!</v>
      </c>
      <c r="N185" s="331" t="e">
        <f t="shared" si="72"/>
        <v>#VALUE!</v>
      </c>
      <c r="O185" s="331" t="e">
        <f t="shared" si="72"/>
        <v>#VALUE!</v>
      </c>
      <c r="P185" s="331" t="e">
        <f t="shared" si="72"/>
        <v>#VALUE!</v>
      </c>
      <c r="Q185" s="331" t="e">
        <f t="shared" si="72"/>
        <v>#VALUE!</v>
      </c>
      <c r="R185" s="331" t="e">
        <f t="shared" si="72"/>
        <v>#VALUE!</v>
      </c>
      <c r="S185" s="331" t="e">
        <f t="shared" si="72"/>
        <v>#VALUE!</v>
      </c>
      <c r="U185" s="331" t="e">
        <f t="shared" si="59"/>
        <v>#DIV/0!</v>
      </c>
    </row>
    <row r="186" spans="2:21" ht="14.85" customHeight="1">
      <c r="B186" s="328" t="str">
        <f t="shared" ref="B186:B196" si="73">B126</f>
        <v>Options/Warrants at $2.00 Strike Price</v>
      </c>
      <c r="D186" s="331" t="e">
        <f t="shared" ref="D186:S186" si="74">D$106*D126/D$138</f>
        <v>#DIV/0!</v>
      </c>
      <c r="E186" s="331" t="e">
        <f t="shared" si="74"/>
        <v>#DIV/0!</v>
      </c>
      <c r="F186" s="331" t="e">
        <f t="shared" si="74"/>
        <v>#DIV/0!</v>
      </c>
      <c r="G186" s="331" t="e">
        <f t="shared" si="74"/>
        <v>#DIV/0!</v>
      </c>
      <c r="H186" s="331" t="e">
        <f t="shared" si="74"/>
        <v>#DIV/0!</v>
      </c>
      <c r="I186" s="331" t="e">
        <f t="shared" si="74"/>
        <v>#VALUE!</v>
      </c>
      <c r="J186" s="331" t="e">
        <f t="shared" si="74"/>
        <v>#VALUE!</v>
      </c>
      <c r="K186" s="331" t="e">
        <f t="shared" si="74"/>
        <v>#VALUE!</v>
      </c>
      <c r="L186" s="331" t="e">
        <f t="shared" si="74"/>
        <v>#VALUE!</v>
      </c>
      <c r="M186" s="331" t="e">
        <f t="shared" si="74"/>
        <v>#VALUE!</v>
      </c>
      <c r="N186" s="331" t="e">
        <f t="shared" si="74"/>
        <v>#VALUE!</v>
      </c>
      <c r="O186" s="331" t="e">
        <f t="shared" si="74"/>
        <v>#VALUE!</v>
      </c>
      <c r="P186" s="331" t="e">
        <f t="shared" si="74"/>
        <v>#VALUE!</v>
      </c>
      <c r="Q186" s="331" t="e">
        <f t="shared" si="74"/>
        <v>#VALUE!</v>
      </c>
      <c r="R186" s="331" t="e">
        <f t="shared" si="74"/>
        <v>#VALUE!</v>
      </c>
      <c r="S186" s="331" t="e">
        <f t="shared" si="74"/>
        <v>#VALUE!</v>
      </c>
      <c r="U186" s="331" t="e">
        <f t="shared" si="59"/>
        <v>#DIV/0!</v>
      </c>
    </row>
    <row r="187" spans="2:21" ht="14.85" customHeight="1">
      <c r="B187" s="328" t="str">
        <f t="shared" si="73"/>
        <v>Options/Warrants at $0.00 Strike Price</v>
      </c>
      <c r="D187" s="331" t="e">
        <f t="shared" ref="D187:S187" si="75">D$106*D127/D$138</f>
        <v>#DIV/0!</v>
      </c>
      <c r="E187" s="331" t="e">
        <f t="shared" si="75"/>
        <v>#DIV/0!</v>
      </c>
      <c r="F187" s="331" t="e">
        <f t="shared" si="75"/>
        <v>#DIV/0!</v>
      </c>
      <c r="G187" s="331" t="e">
        <f t="shared" si="75"/>
        <v>#DIV/0!</v>
      </c>
      <c r="H187" s="331" t="e">
        <f t="shared" si="75"/>
        <v>#DIV/0!</v>
      </c>
      <c r="I187" s="331" t="e">
        <f t="shared" si="75"/>
        <v>#VALUE!</v>
      </c>
      <c r="J187" s="331" t="e">
        <f t="shared" si="75"/>
        <v>#VALUE!</v>
      </c>
      <c r="K187" s="331" t="e">
        <f t="shared" si="75"/>
        <v>#VALUE!</v>
      </c>
      <c r="L187" s="331" t="e">
        <f t="shared" si="75"/>
        <v>#VALUE!</v>
      </c>
      <c r="M187" s="331" t="e">
        <f t="shared" si="75"/>
        <v>#VALUE!</v>
      </c>
      <c r="N187" s="331" t="e">
        <f t="shared" si="75"/>
        <v>#VALUE!</v>
      </c>
      <c r="O187" s="331" t="e">
        <f t="shared" si="75"/>
        <v>#VALUE!</v>
      </c>
      <c r="P187" s="331" t="e">
        <f t="shared" si="75"/>
        <v>#VALUE!</v>
      </c>
      <c r="Q187" s="331" t="e">
        <f t="shared" si="75"/>
        <v>#VALUE!</v>
      </c>
      <c r="R187" s="331" t="e">
        <f t="shared" si="75"/>
        <v>#VALUE!</v>
      </c>
      <c r="S187" s="331" t="e">
        <f t="shared" si="75"/>
        <v>#VALUE!</v>
      </c>
      <c r="U187" s="331" t="e">
        <f t="shared" si="59"/>
        <v>#DIV/0!</v>
      </c>
    </row>
    <row r="188" spans="2:21" ht="14.85" customHeight="1">
      <c r="B188" s="328" t="str">
        <f t="shared" si="73"/>
        <v>Options/Warrants at $0.00 Strike Price</v>
      </c>
      <c r="D188" s="331" t="e">
        <f t="shared" ref="D188:S188" si="76">D$106*D128/D$138</f>
        <v>#DIV/0!</v>
      </c>
      <c r="E188" s="331" t="e">
        <f t="shared" si="76"/>
        <v>#DIV/0!</v>
      </c>
      <c r="F188" s="331" t="e">
        <f t="shared" si="76"/>
        <v>#DIV/0!</v>
      </c>
      <c r="G188" s="331" t="e">
        <f t="shared" si="76"/>
        <v>#DIV/0!</v>
      </c>
      <c r="H188" s="331" t="e">
        <f t="shared" si="76"/>
        <v>#DIV/0!</v>
      </c>
      <c r="I188" s="331" t="e">
        <f t="shared" si="76"/>
        <v>#VALUE!</v>
      </c>
      <c r="J188" s="331" t="e">
        <f t="shared" si="76"/>
        <v>#VALUE!</v>
      </c>
      <c r="K188" s="331" t="e">
        <f t="shared" si="76"/>
        <v>#VALUE!</v>
      </c>
      <c r="L188" s="331" t="e">
        <f t="shared" si="76"/>
        <v>#VALUE!</v>
      </c>
      <c r="M188" s="331" t="e">
        <f t="shared" si="76"/>
        <v>#VALUE!</v>
      </c>
      <c r="N188" s="331" t="e">
        <f t="shared" si="76"/>
        <v>#VALUE!</v>
      </c>
      <c r="O188" s="331" t="e">
        <f t="shared" si="76"/>
        <v>#VALUE!</v>
      </c>
      <c r="P188" s="331" t="e">
        <f t="shared" si="76"/>
        <v>#VALUE!</v>
      </c>
      <c r="Q188" s="331" t="e">
        <f t="shared" si="76"/>
        <v>#VALUE!</v>
      </c>
      <c r="R188" s="331" t="e">
        <f t="shared" si="76"/>
        <v>#VALUE!</v>
      </c>
      <c r="S188" s="331" t="e">
        <f t="shared" si="76"/>
        <v>#VALUE!</v>
      </c>
      <c r="U188" s="331" t="e">
        <f t="shared" si="59"/>
        <v>#DIV/0!</v>
      </c>
    </row>
    <row r="189" spans="2:21" ht="14.85" customHeight="1">
      <c r="B189" s="328" t="str">
        <f t="shared" si="73"/>
        <v>Options/Warrants at $0.00 Strike Price</v>
      </c>
      <c r="D189" s="331" t="e">
        <f t="shared" ref="D189:S189" si="77">D$106*D129/D$138</f>
        <v>#DIV/0!</v>
      </c>
      <c r="E189" s="331" t="e">
        <f t="shared" si="77"/>
        <v>#DIV/0!</v>
      </c>
      <c r="F189" s="331" t="e">
        <f t="shared" si="77"/>
        <v>#DIV/0!</v>
      </c>
      <c r="G189" s="331" t="e">
        <f t="shared" si="77"/>
        <v>#DIV/0!</v>
      </c>
      <c r="H189" s="331" t="e">
        <f t="shared" si="77"/>
        <v>#DIV/0!</v>
      </c>
      <c r="I189" s="331" t="e">
        <f t="shared" si="77"/>
        <v>#VALUE!</v>
      </c>
      <c r="J189" s="331" t="e">
        <f t="shared" si="77"/>
        <v>#VALUE!</v>
      </c>
      <c r="K189" s="331" t="e">
        <f t="shared" si="77"/>
        <v>#VALUE!</v>
      </c>
      <c r="L189" s="331" t="e">
        <f t="shared" si="77"/>
        <v>#VALUE!</v>
      </c>
      <c r="M189" s="331" t="e">
        <f t="shared" si="77"/>
        <v>#VALUE!</v>
      </c>
      <c r="N189" s="331" t="e">
        <f t="shared" si="77"/>
        <v>#VALUE!</v>
      </c>
      <c r="O189" s="331" t="e">
        <f t="shared" si="77"/>
        <v>#VALUE!</v>
      </c>
      <c r="P189" s="331" t="e">
        <f t="shared" si="77"/>
        <v>#VALUE!</v>
      </c>
      <c r="Q189" s="331" t="e">
        <f t="shared" si="77"/>
        <v>#VALUE!</v>
      </c>
      <c r="R189" s="331" t="e">
        <f t="shared" si="77"/>
        <v>#VALUE!</v>
      </c>
      <c r="S189" s="331" t="e">
        <f t="shared" si="77"/>
        <v>#VALUE!</v>
      </c>
      <c r="U189" s="331" t="e">
        <f t="shared" si="59"/>
        <v>#DIV/0!</v>
      </c>
    </row>
    <row r="190" spans="2:21" ht="14.85" customHeight="1">
      <c r="B190" s="328" t="str">
        <f t="shared" si="73"/>
        <v>Options/Warrants at $0.00 Strike Price</v>
      </c>
      <c r="D190" s="331" t="e">
        <f t="shared" ref="D190:S190" si="78">D$106*D130/D$138</f>
        <v>#DIV/0!</v>
      </c>
      <c r="E190" s="331" t="e">
        <f t="shared" si="78"/>
        <v>#DIV/0!</v>
      </c>
      <c r="F190" s="331" t="e">
        <f t="shared" si="78"/>
        <v>#DIV/0!</v>
      </c>
      <c r="G190" s="331" t="e">
        <f t="shared" si="78"/>
        <v>#DIV/0!</v>
      </c>
      <c r="H190" s="331" t="e">
        <f t="shared" si="78"/>
        <v>#DIV/0!</v>
      </c>
      <c r="I190" s="331" t="e">
        <f t="shared" si="78"/>
        <v>#VALUE!</v>
      </c>
      <c r="J190" s="331" t="e">
        <f t="shared" si="78"/>
        <v>#VALUE!</v>
      </c>
      <c r="K190" s="331" t="e">
        <f t="shared" si="78"/>
        <v>#VALUE!</v>
      </c>
      <c r="L190" s="331" t="e">
        <f t="shared" si="78"/>
        <v>#VALUE!</v>
      </c>
      <c r="M190" s="331" t="e">
        <f t="shared" si="78"/>
        <v>#VALUE!</v>
      </c>
      <c r="N190" s="331" t="e">
        <f t="shared" si="78"/>
        <v>#VALUE!</v>
      </c>
      <c r="O190" s="331" t="e">
        <f t="shared" si="78"/>
        <v>#VALUE!</v>
      </c>
      <c r="P190" s="331" t="e">
        <f t="shared" si="78"/>
        <v>#VALUE!</v>
      </c>
      <c r="Q190" s="331" t="e">
        <f t="shared" si="78"/>
        <v>#VALUE!</v>
      </c>
      <c r="R190" s="331" t="e">
        <f t="shared" si="78"/>
        <v>#VALUE!</v>
      </c>
      <c r="S190" s="331" t="e">
        <f t="shared" si="78"/>
        <v>#VALUE!</v>
      </c>
      <c r="U190" s="331" t="e">
        <f t="shared" si="59"/>
        <v>#DIV/0!</v>
      </c>
    </row>
    <row r="191" spans="2:21" ht="14.85" customHeight="1">
      <c r="B191" s="328" t="str">
        <f t="shared" si="73"/>
        <v>Options/Warrants at $0.00 Strike Price</v>
      </c>
      <c r="D191" s="331" t="e">
        <f t="shared" ref="D191:S191" si="79">D$106*D131/D$138</f>
        <v>#DIV/0!</v>
      </c>
      <c r="E191" s="331" t="e">
        <f t="shared" si="79"/>
        <v>#DIV/0!</v>
      </c>
      <c r="F191" s="331" t="e">
        <f t="shared" si="79"/>
        <v>#DIV/0!</v>
      </c>
      <c r="G191" s="331" t="e">
        <f t="shared" si="79"/>
        <v>#DIV/0!</v>
      </c>
      <c r="H191" s="331" t="e">
        <f t="shared" si="79"/>
        <v>#DIV/0!</v>
      </c>
      <c r="I191" s="331" t="e">
        <f t="shared" si="79"/>
        <v>#VALUE!</v>
      </c>
      <c r="J191" s="331" t="e">
        <f t="shared" si="79"/>
        <v>#VALUE!</v>
      </c>
      <c r="K191" s="331" t="e">
        <f t="shared" si="79"/>
        <v>#VALUE!</v>
      </c>
      <c r="L191" s="331" t="e">
        <f t="shared" si="79"/>
        <v>#VALUE!</v>
      </c>
      <c r="M191" s="331" t="e">
        <f t="shared" si="79"/>
        <v>#VALUE!</v>
      </c>
      <c r="N191" s="331" t="e">
        <f t="shared" si="79"/>
        <v>#VALUE!</v>
      </c>
      <c r="O191" s="331" t="e">
        <f t="shared" si="79"/>
        <v>#VALUE!</v>
      </c>
      <c r="P191" s="331" t="e">
        <f t="shared" si="79"/>
        <v>#VALUE!</v>
      </c>
      <c r="Q191" s="331" t="e">
        <f t="shared" si="79"/>
        <v>#VALUE!</v>
      </c>
      <c r="R191" s="331" t="e">
        <f t="shared" si="79"/>
        <v>#VALUE!</v>
      </c>
      <c r="S191" s="331" t="e">
        <f t="shared" si="79"/>
        <v>#VALUE!</v>
      </c>
      <c r="U191" s="331" t="e">
        <f t="shared" si="59"/>
        <v>#DIV/0!</v>
      </c>
    </row>
    <row r="192" spans="2:21" ht="14.85" customHeight="1">
      <c r="B192" s="328" t="str">
        <f t="shared" si="73"/>
        <v>Options/Warrants at $0.00 Strike Price</v>
      </c>
      <c r="D192" s="331" t="e">
        <f t="shared" ref="D192:S192" si="80">D$106*D132/D$138</f>
        <v>#DIV/0!</v>
      </c>
      <c r="E192" s="331" t="e">
        <f t="shared" si="80"/>
        <v>#DIV/0!</v>
      </c>
      <c r="F192" s="331" t="e">
        <f t="shared" si="80"/>
        <v>#DIV/0!</v>
      </c>
      <c r="G192" s="331" t="e">
        <f t="shared" si="80"/>
        <v>#DIV/0!</v>
      </c>
      <c r="H192" s="331" t="e">
        <f t="shared" si="80"/>
        <v>#DIV/0!</v>
      </c>
      <c r="I192" s="331" t="e">
        <f t="shared" si="80"/>
        <v>#VALUE!</v>
      </c>
      <c r="J192" s="331" t="e">
        <f t="shared" si="80"/>
        <v>#VALUE!</v>
      </c>
      <c r="K192" s="331" t="e">
        <f t="shared" si="80"/>
        <v>#VALUE!</v>
      </c>
      <c r="L192" s="331" t="e">
        <f t="shared" si="80"/>
        <v>#VALUE!</v>
      </c>
      <c r="M192" s="331" t="e">
        <f t="shared" si="80"/>
        <v>#VALUE!</v>
      </c>
      <c r="N192" s="331" t="e">
        <f t="shared" si="80"/>
        <v>#VALUE!</v>
      </c>
      <c r="O192" s="331" t="e">
        <f t="shared" si="80"/>
        <v>#VALUE!</v>
      </c>
      <c r="P192" s="331" t="e">
        <f t="shared" si="80"/>
        <v>#VALUE!</v>
      </c>
      <c r="Q192" s="331" t="e">
        <f t="shared" si="80"/>
        <v>#VALUE!</v>
      </c>
      <c r="R192" s="331" t="e">
        <f t="shared" si="80"/>
        <v>#VALUE!</v>
      </c>
      <c r="S192" s="331" t="e">
        <f t="shared" si="80"/>
        <v>#VALUE!</v>
      </c>
      <c r="U192" s="331" t="e">
        <f t="shared" si="59"/>
        <v>#DIV/0!</v>
      </c>
    </row>
    <row r="193" spans="2:23" ht="14.85" customHeight="1">
      <c r="B193" s="328" t="str">
        <f t="shared" si="73"/>
        <v>Options/Warrants at $0.00 Strike Price</v>
      </c>
      <c r="D193" s="331" t="e">
        <f t="shared" ref="D193:S193" si="81">D$106*D133/D$138</f>
        <v>#DIV/0!</v>
      </c>
      <c r="E193" s="331" t="e">
        <f t="shared" si="81"/>
        <v>#DIV/0!</v>
      </c>
      <c r="F193" s="331" t="e">
        <f t="shared" si="81"/>
        <v>#DIV/0!</v>
      </c>
      <c r="G193" s="331" t="e">
        <f t="shared" si="81"/>
        <v>#DIV/0!</v>
      </c>
      <c r="H193" s="331" t="e">
        <f t="shared" si="81"/>
        <v>#DIV/0!</v>
      </c>
      <c r="I193" s="331" t="e">
        <f t="shared" si="81"/>
        <v>#VALUE!</v>
      </c>
      <c r="J193" s="331" t="e">
        <f t="shared" si="81"/>
        <v>#VALUE!</v>
      </c>
      <c r="K193" s="331" t="e">
        <f t="shared" si="81"/>
        <v>#VALUE!</v>
      </c>
      <c r="L193" s="331" t="e">
        <f t="shared" si="81"/>
        <v>#VALUE!</v>
      </c>
      <c r="M193" s="331" t="e">
        <f t="shared" si="81"/>
        <v>#VALUE!</v>
      </c>
      <c r="N193" s="331" t="e">
        <f t="shared" si="81"/>
        <v>#VALUE!</v>
      </c>
      <c r="O193" s="331" t="e">
        <f t="shared" si="81"/>
        <v>#VALUE!</v>
      </c>
      <c r="P193" s="331" t="e">
        <f t="shared" si="81"/>
        <v>#VALUE!</v>
      </c>
      <c r="Q193" s="331" t="e">
        <f t="shared" si="81"/>
        <v>#VALUE!</v>
      </c>
      <c r="R193" s="331" t="e">
        <f t="shared" si="81"/>
        <v>#VALUE!</v>
      </c>
      <c r="S193" s="331" t="e">
        <f t="shared" si="81"/>
        <v>#VALUE!</v>
      </c>
      <c r="U193" s="331" t="e">
        <f>SUM(D193:S193)</f>
        <v>#DIV/0!</v>
      </c>
    </row>
    <row r="194" spans="2:23" ht="14.85" customHeight="1">
      <c r="B194" s="328" t="str">
        <f t="shared" si="73"/>
        <v>Options/Warrants at $0.00 Strike Price</v>
      </c>
      <c r="D194" s="331" t="e">
        <f t="shared" ref="D194:S194" si="82">D$106*D134/D$138</f>
        <v>#DIV/0!</v>
      </c>
      <c r="E194" s="331" t="e">
        <f t="shared" si="82"/>
        <v>#DIV/0!</v>
      </c>
      <c r="F194" s="331" t="e">
        <f t="shared" si="82"/>
        <v>#DIV/0!</v>
      </c>
      <c r="G194" s="331" t="e">
        <f t="shared" si="82"/>
        <v>#DIV/0!</v>
      </c>
      <c r="H194" s="331" t="e">
        <f t="shared" si="82"/>
        <v>#DIV/0!</v>
      </c>
      <c r="I194" s="331" t="e">
        <f t="shared" si="82"/>
        <v>#VALUE!</v>
      </c>
      <c r="J194" s="331" t="e">
        <f t="shared" si="82"/>
        <v>#VALUE!</v>
      </c>
      <c r="K194" s="331" t="e">
        <f t="shared" si="82"/>
        <v>#VALUE!</v>
      </c>
      <c r="L194" s="331" t="e">
        <f t="shared" si="82"/>
        <v>#VALUE!</v>
      </c>
      <c r="M194" s="331" t="e">
        <f t="shared" si="82"/>
        <v>#VALUE!</v>
      </c>
      <c r="N194" s="331" t="e">
        <f t="shared" si="82"/>
        <v>#VALUE!</v>
      </c>
      <c r="O194" s="331" t="e">
        <f t="shared" si="82"/>
        <v>#VALUE!</v>
      </c>
      <c r="P194" s="331" t="e">
        <f t="shared" si="82"/>
        <v>#VALUE!</v>
      </c>
      <c r="Q194" s="331" t="e">
        <f t="shared" si="82"/>
        <v>#VALUE!</v>
      </c>
      <c r="R194" s="331" t="e">
        <f t="shared" si="82"/>
        <v>#VALUE!</v>
      </c>
      <c r="S194" s="331" t="e">
        <f t="shared" si="82"/>
        <v>#VALUE!</v>
      </c>
      <c r="U194" s="331" t="e">
        <f>SUM(D194:S194)</f>
        <v>#DIV/0!</v>
      </c>
    </row>
    <row r="195" spans="2:23" ht="14.85" customHeight="1">
      <c r="B195" s="328" t="str">
        <f t="shared" si="73"/>
        <v>Expected Options Grant</v>
      </c>
      <c r="D195" s="331" t="e">
        <f t="shared" ref="D195:S195" si="83">D$106*D135/D$138</f>
        <v>#DIV/0!</v>
      </c>
      <c r="E195" s="331" t="e">
        <f t="shared" si="83"/>
        <v>#DIV/0!</v>
      </c>
      <c r="F195" s="331" t="e">
        <f t="shared" si="83"/>
        <v>#DIV/0!</v>
      </c>
      <c r="G195" s="331" t="e">
        <f t="shared" si="83"/>
        <v>#DIV/0!</v>
      </c>
      <c r="H195" s="331" t="e">
        <f t="shared" si="83"/>
        <v>#DIV/0!</v>
      </c>
      <c r="I195" s="331" t="e">
        <f t="shared" si="83"/>
        <v>#VALUE!</v>
      </c>
      <c r="J195" s="331" t="e">
        <f t="shared" si="83"/>
        <v>#VALUE!</v>
      </c>
      <c r="K195" s="331" t="e">
        <f t="shared" si="83"/>
        <v>#VALUE!</v>
      </c>
      <c r="L195" s="331" t="e">
        <f t="shared" si="83"/>
        <v>#VALUE!</v>
      </c>
      <c r="M195" s="331" t="e">
        <f t="shared" si="83"/>
        <v>#VALUE!</v>
      </c>
      <c r="N195" s="331" t="e">
        <f t="shared" si="83"/>
        <v>#VALUE!</v>
      </c>
      <c r="O195" s="331" t="e">
        <f t="shared" si="83"/>
        <v>#VALUE!</v>
      </c>
      <c r="P195" s="331" t="e">
        <f t="shared" si="83"/>
        <v>#VALUE!</v>
      </c>
      <c r="Q195" s="331" t="e">
        <f t="shared" si="83"/>
        <v>#VALUE!</v>
      </c>
      <c r="R195" s="331" t="e">
        <f t="shared" si="83"/>
        <v>#VALUE!</v>
      </c>
      <c r="S195" s="331" t="e">
        <f t="shared" si="83"/>
        <v>#VALUE!</v>
      </c>
      <c r="U195" s="331" t="e">
        <f>SUM(D195:S195)</f>
        <v>#DIV/0!</v>
      </c>
    </row>
    <row r="196" spans="2:23" ht="14.85" customHeight="1">
      <c r="B196" s="328" t="str">
        <f t="shared" si="73"/>
        <v>Common Stock</v>
      </c>
      <c r="D196" s="331" t="e">
        <f t="shared" ref="D196:S196" si="84">D$106*D136/D$138</f>
        <v>#DIV/0!</v>
      </c>
      <c r="E196" s="331" t="e">
        <f t="shared" si="84"/>
        <v>#DIV/0!</v>
      </c>
      <c r="F196" s="331" t="e">
        <f t="shared" si="84"/>
        <v>#DIV/0!</v>
      </c>
      <c r="G196" s="331" t="e">
        <f t="shared" si="84"/>
        <v>#DIV/0!</v>
      </c>
      <c r="H196" s="331" t="e">
        <f t="shared" si="84"/>
        <v>#DIV/0!</v>
      </c>
      <c r="I196" s="331" t="e">
        <f t="shared" si="84"/>
        <v>#VALUE!</v>
      </c>
      <c r="J196" s="331" t="e">
        <f t="shared" si="84"/>
        <v>#VALUE!</v>
      </c>
      <c r="K196" s="331" t="e">
        <f t="shared" si="84"/>
        <v>#VALUE!</v>
      </c>
      <c r="L196" s="331" t="e">
        <f t="shared" si="84"/>
        <v>#VALUE!</v>
      </c>
      <c r="M196" s="331" t="e">
        <f t="shared" si="84"/>
        <v>#VALUE!</v>
      </c>
      <c r="N196" s="331" t="e">
        <f t="shared" si="84"/>
        <v>#VALUE!</v>
      </c>
      <c r="O196" s="331" t="e">
        <f t="shared" si="84"/>
        <v>#VALUE!</v>
      </c>
      <c r="P196" s="331" t="e">
        <f t="shared" si="84"/>
        <v>#VALUE!</v>
      </c>
      <c r="Q196" s="331" t="e">
        <f t="shared" si="84"/>
        <v>#VALUE!</v>
      </c>
      <c r="R196" s="331" t="e">
        <f t="shared" si="84"/>
        <v>#VALUE!</v>
      </c>
      <c r="S196" s="331" t="e">
        <f t="shared" si="84"/>
        <v>#VALUE!</v>
      </c>
      <c r="U196" s="331" t="e">
        <f>SUM(D196:S196)</f>
        <v>#DIV/0!</v>
      </c>
    </row>
    <row r="197" spans="2:23" ht="14.85" customHeight="1">
      <c r="B197" s="761"/>
      <c r="C197" s="761"/>
      <c r="D197" s="346"/>
      <c r="E197" s="346"/>
      <c r="F197" s="346"/>
      <c r="G197" s="346"/>
      <c r="H197" s="346"/>
      <c r="I197" s="346"/>
      <c r="J197" s="346"/>
      <c r="K197" s="346"/>
      <c r="L197" s="346"/>
      <c r="M197" s="346"/>
      <c r="N197" s="346"/>
      <c r="O197" s="346"/>
      <c r="P197" s="346"/>
      <c r="Q197" s="346"/>
      <c r="R197" s="346"/>
      <c r="S197" s="346"/>
      <c r="U197" s="346"/>
    </row>
    <row r="198" spans="2:23" ht="14.85" customHeight="1">
      <c r="B198" s="253" t="s">
        <v>2547</v>
      </c>
      <c r="D198" s="412" t="e">
        <f t="shared" ref="D198:S198" si="85">SUM(D172:D196)</f>
        <v>#DIV/0!</v>
      </c>
      <c r="E198" s="412" t="e">
        <f t="shared" si="85"/>
        <v>#DIV/0!</v>
      </c>
      <c r="F198" s="412" t="e">
        <f t="shared" si="85"/>
        <v>#DIV/0!</v>
      </c>
      <c r="G198" s="412" t="e">
        <f t="shared" si="85"/>
        <v>#DIV/0!</v>
      </c>
      <c r="H198" s="412" t="e">
        <f t="shared" si="85"/>
        <v>#DIV/0!</v>
      </c>
      <c r="I198" s="412" t="e">
        <f t="shared" si="85"/>
        <v>#VALUE!</v>
      </c>
      <c r="J198" s="412" t="e">
        <f t="shared" si="85"/>
        <v>#VALUE!</v>
      </c>
      <c r="K198" s="412" t="e">
        <f t="shared" si="85"/>
        <v>#VALUE!</v>
      </c>
      <c r="L198" s="412" t="e">
        <f t="shared" si="85"/>
        <v>#VALUE!</v>
      </c>
      <c r="M198" s="412" t="e">
        <f t="shared" si="85"/>
        <v>#VALUE!</v>
      </c>
      <c r="N198" s="412" t="e">
        <f t="shared" si="85"/>
        <v>#VALUE!</v>
      </c>
      <c r="O198" s="412" t="e">
        <f t="shared" si="85"/>
        <v>#VALUE!</v>
      </c>
      <c r="P198" s="412" t="e">
        <f t="shared" si="85"/>
        <v>#VALUE!</v>
      </c>
      <c r="Q198" s="412" t="e">
        <f t="shared" si="85"/>
        <v>#VALUE!</v>
      </c>
      <c r="R198" s="412" t="e">
        <f t="shared" si="85"/>
        <v>#VALUE!</v>
      </c>
      <c r="S198" s="412" t="e">
        <f t="shared" si="85"/>
        <v>#VALUE!</v>
      </c>
      <c r="U198" s="412" t="e">
        <f>SUM(U172:U196)</f>
        <v>#DIV/0!</v>
      </c>
      <c r="W198" s="765" t="e">
        <f>U198-D9</f>
        <v>#DIV/0!</v>
      </c>
    </row>
    <row r="199" spans="2:23" ht="14.85" customHeight="1"/>
    <row r="200" spans="2:23" ht="14.85" customHeight="1"/>
    <row r="201" spans="2:23" ht="14.85" customHeight="1"/>
    <row r="202" spans="2:23" ht="14.85" customHeight="1">
      <c r="B202" s="250" t="s">
        <v>2578</v>
      </c>
      <c r="D202" s="766">
        <f>D89</f>
        <v>216</v>
      </c>
      <c r="E202" s="766">
        <f>F89-E89</f>
        <v>261</v>
      </c>
      <c r="F202" s="766">
        <f t="shared" ref="F202:R202" si="86">G89-F89</f>
        <v>243</v>
      </c>
      <c r="G202" s="766">
        <f t="shared" si="86"/>
        <v>250</v>
      </c>
      <c r="H202" s="766">
        <f t="shared" si="86"/>
        <v>-1234</v>
      </c>
      <c r="I202" s="766">
        <f t="shared" si="86"/>
        <v>0</v>
      </c>
      <c r="J202" s="766">
        <f t="shared" si="86"/>
        <v>0</v>
      </c>
      <c r="K202" s="766">
        <f t="shared" si="86"/>
        <v>0</v>
      </c>
      <c r="L202" s="766">
        <f t="shared" si="86"/>
        <v>0</v>
      </c>
      <c r="M202" s="766">
        <f t="shared" si="86"/>
        <v>0</v>
      </c>
      <c r="N202" s="766">
        <f t="shared" si="86"/>
        <v>0</v>
      </c>
      <c r="O202" s="766">
        <f t="shared" si="86"/>
        <v>0</v>
      </c>
      <c r="P202" s="766">
        <f t="shared" si="86"/>
        <v>0</v>
      </c>
      <c r="Q202" s="766">
        <f t="shared" si="86"/>
        <v>0</v>
      </c>
      <c r="R202" s="766">
        <f t="shared" si="86"/>
        <v>0</v>
      </c>
    </row>
    <row r="203" spans="2:23" ht="14.85" customHeight="1"/>
    <row r="204" spans="2:23" ht="14.85" customHeight="1">
      <c r="B204" s="767" t="s">
        <v>2579</v>
      </c>
      <c r="D204" s="1940">
        <f>D170</f>
        <v>1</v>
      </c>
      <c r="E204" s="1941">
        <f t="shared" ref="E204:S204" si="87">E170</f>
        <v>2</v>
      </c>
      <c r="F204" s="1941">
        <f t="shared" si="87"/>
        <v>3</v>
      </c>
      <c r="G204" s="1941">
        <f t="shared" si="87"/>
        <v>4</v>
      </c>
      <c r="H204" s="1941">
        <f t="shared" si="87"/>
        <v>5</v>
      </c>
      <c r="I204" s="1941">
        <f t="shared" si="87"/>
        <v>6</v>
      </c>
      <c r="J204" s="1941">
        <f t="shared" si="87"/>
        <v>7</v>
      </c>
      <c r="K204" s="1941">
        <f t="shared" si="87"/>
        <v>8</v>
      </c>
      <c r="L204" s="1941">
        <f t="shared" si="87"/>
        <v>9</v>
      </c>
      <c r="M204" s="1941">
        <f t="shared" si="87"/>
        <v>10</v>
      </c>
      <c r="N204" s="1941">
        <f t="shared" si="87"/>
        <v>11</v>
      </c>
      <c r="O204" s="1941">
        <f t="shared" si="87"/>
        <v>12</v>
      </c>
      <c r="P204" s="1941">
        <f t="shared" si="87"/>
        <v>13</v>
      </c>
      <c r="Q204" s="1941">
        <f t="shared" si="87"/>
        <v>14</v>
      </c>
      <c r="R204" s="1941">
        <f t="shared" si="87"/>
        <v>15</v>
      </c>
      <c r="S204" s="1942">
        <f t="shared" si="87"/>
        <v>16</v>
      </c>
    </row>
    <row r="205" spans="2:23" ht="14.85" customHeight="1"/>
    <row r="206" spans="2:23" ht="14.85" customHeight="1">
      <c r="B206" s="250" t="str">
        <f>B172</f>
        <v>Series A</v>
      </c>
      <c r="D206" s="458" t="e">
        <f>D112/D$138*D$202</f>
        <v>#DIV/0!</v>
      </c>
      <c r="E206" s="458" t="e">
        <f t="shared" ref="E206:S206" si="88">E112/E$138*E$202</f>
        <v>#DIV/0!</v>
      </c>
      <c r="F206" s="458" t="e">
        <f t="shared" si="88"/>
        <v>#DIV/0!</v>
      </c>
      <c r="G206" s="458" t="e">
        <f t="shared" si="88"/>
        <v>#DIV/0!</v>
      </c>
      <c r="H206" s="458" t="e">
        <f t="shared" si="88"/>
        <v>#DIV/0!</v>
      </c>
      <c r="I206" s="458" t="e">
        <f t="shared" si="88"/>
        <v>#DIV/0!</v>
      </c>
      <c r="J206" s="458" t="e">
        <f t="shared" si="88"/>
        <v>#DIV/0!</v>
      </c>
      <c r="K206" s="458" t="e">
        <f t="shared" si="88"/>
        <v>#DIV/0!</v>
      </c>
      <c r="L206" s="458" t="e">
        <f t="shared" si="88"/>
        <v>#DIV/0!</v>
      </c>
      <c r="M206" s="458" t="e">
        <f t="shared" si="88"/>
        <v>#DIV/0!</v>
      </c>
      <c r="N206" s="458" t="e">
        <f t="shared" si="88"/>
        <v>#DIV/0!</v>
      </c>
      <c r="O206" s="458" t="e">
        <f t="shared" si="88"/>
        <v>#DIV/0!</v>
      </c>
      <c r="P206" s="458" t="e">
        <f t="shared" si="88"/>
        <v>#DIV/0!</v>
      </c>
      <c r="Q206" s="458" t="e">
        <f t="shared" si="88"/>
        <v>#DIV/0!</v>
      </c>
      <c r="R206" s="458" t="e">
        <f t="shared" si="88"/>
        <v>#DIV/0!</v>
      </c>
      <c r="S206" s="458" t="e">
        <f t="shared" si="88"/>
        <v>#DIV/0!</v>
      </c>
    </row>
    <row r="207" spans="2:23" ht="14.85" customHeight="1">
      <c r="B207" s="250" t="str">
        <f t="shared" ref="B207:B230" si="89">B173</f>
        <v>Series B</v>
      </c>
      <c r="D207" s="458" t="e">
        <f t="shared" ref="D207:S207" si="90">D113/D$138*D$202</f>
        <v>#DIV/0!</v>
      </c>
      <c r="E207" s="458" t="e">
        <f t="shared" si="90"/>
        <v>#DIV/0!</v>
      </c>
      <c r="F207" s="458" t="e">
        <f t="shared" si="90"/>
        <v>#DIV/0!</v>
      </c>
      <c r="G207" s="458" t="e">
        <f t="shared" si="90"/>
        <v>#DIV/0!</v>
      </c>
      <c r="H207" s="458" t="e">
        <f t="shared" si="90"/>
        <v>#DIV/0!</v>
      </c>
      <c r="I207" s="458" t="e">
        <f t="shared" si="90"/>
        <v>#DIV/0!</v>
      </c>
      <c r="J207" s="458" t="e">
        <f t="shared" si="90"/>
        <v>#DIV/0!</v>
      </c>
      <c r="K207" s="458" t="e">
        <f t="shared" si="90"/>
        <v>#DIV/0!</v>
      </c>
      <c r="L207" s="458" t="e">
        <f t="shared" si="90"/>
        <v>#DIV/0!</v>
      </c>
      <c r="M207" s="458" t="e">
        <f t="shared" si="90"/>
        <v>#DIV/0!</v>
      </c>
      <c r="N207" s="458" t="e">
        <f t="shared" si="90"/>
        <v>#DIV/0!</v>
      </c>
      <c r="O207" s="458" t="e">
        <f t="shared" si="90"/>
        <v>#DIV/0!</v>
      </c>
      <c r="P207" s="458" t="e">
        <f t="shared" si="90"/>
        <v>#DIV/0!</v>
      </c>
      <c r="Q207" s="458" t="e">
        <f t="shared" si="90"/>
        <v>#DIV/0!</v>
      </c>
      <c r="R207" s="458" t="e">
        <f t="shared" si="90"/>
        <v>#DIV/0!</v>
      </c>
      <c r="S207" s="458" t="e">
        <f t="shared" si="90"/>
        <v>#DIV/0!</v>
      </c>
    </row>
    <row r="208" spans="2:23" ht="14.85" customHeight="1">
      <c r="B208" s="250" t="str">
        <f t="shared" si="89"/>
        <v>Series C</v>
      </c>
      <c r="D208" s="458" t="e">
        <f t="shared" ref="D208:S208" si="91">D114/D$138*D$202</f>
        <v>#DIV/0!</v>
      </c>
      <c r="E208" s="458" t="e">
        <f t="shared" si="91"/>
        <v>#DIV/0!</v>
      </c>
      <c r="F208" s="458" t="e">
        <f t="shared" si="91"/>
        <v>#DIV/0!</v>
      </c>
      <c r="G208" s="458" t="e">
        <f t="shared" si="91"/>
        <v>#DIV/0!</v>
      </c>
      <c r="H208" s="458" t="e">
        <f t="shared" si="91"/>
        <v>#DIV/0!</v>
      </c>
      <c r="I208" s="458" t="e">
        <f t="shared" si="91"/>
        <v>#DIV/0!</v>
      </c>
      <c r="J208" s="458" t="e">
        <f t="shared" si="91"/>
        <v>#DIV/0!</v>
      </c>
      <c r="K208" s="458" t="e">
        <f t="shared" si="91"/>
        <v>#DIV/0!</v>
      </c>
      <c r="L208" s="458" t="e">
        <f t="shared" si="91"/>
        <v>#DIV/0!</v>
      </c>
      <c r="M208" s="458" t="e">
        <f t="shared" si="91"/>
        <v>#DIV/0!</v>
      </c>
      <c r="N208" s="458" t="e">
        <f t="shared" si="91"/>
        <v>#DIV/0!</v>
      </c>
      <c r="O208" s="458" t="e">
        <f t="shared" si="91"/>
        <v>#DIV/0!</v>
      </c>
      <c r="P208" s="458" t="e">
        <f t="shared" si="91"/>
        <v>#DIV/0!</v>
      </c>
      <c r="Q208" s="458" t="e">
        <f t="shared" si="91"/>
        <v>#DIV/0!</v>
      </c>
      <c r="R208" s="458" t="e">
        <f t="shared" si="91"/>
        <v>#DIV/0!</v>
      </c>
      <c r="S208" s="458" t="e">
        <f t="shared" si="91"/>
        <v>#DIV/0!</v>
      </c>
    </row>
    <row r="209" spans="2:19" ht="14.85" customHeight="1">
      <c r="B209" s="250" t="str">
        <f t="shared" si="89"/>
        <v>Series D</v>
      </c>
      <c r="D209" s="458" t="e">
        <f t="shared" ref="D209:S209" si="92">D115/D$138*D$202</f>
        <v>#DIV/0!</v>
      </c>
      <c r="E209" s="458" t="e">
        <f t="shared" si="92"/>
        <v>#DIV/0!</v>
      </c>
      <c r="F209" s="458" t="e">
        <f t="shared" si="92"/>
        <v>#DIV/0!</v>
      </c>
      <c r="G209" s="458" t="e">
        <f t="shared" si="92"/>
        <v>#DIV/0!</v>
      </c>
      <c r="H209" s="458" t="e">
        <f t="shared" si="92"/>
        <v>#DIV/0!</v>
      </c>
      <c r="I209" s="458" t="e">
        <f t="shared" si="92"/>
        <v>#DIV/0!</v>
      </c>
      <c r="J209" s="458" t="e">
        <f t="shared" si="92"/>
        <v>#DIV/0!</v>
      </c>
      <c r="K209" s="458" t="e">
        <f t="shared" si="92"/>
        <v>#DIV/0!</v>
      </c>
      <c r="L209" s="458" t="e">
        <f t="shared" si="92"/>
        <v>#DIV/0!</v>
      </c>
      <c r="M209" s="458" t="e">
        <f t="shared" si="92"/>
        <v>#DIV/0!</v>
      </c>
      <c r="N209" s="458" t="e">
        <f t="shared" si="92"/>
        <v>#DIV/0!</v>
      </c>
      <c r="O209" s="458" t="e">
        <f t="shared" si="92"/>
        <v>#DIV/0!</v>
      </c>
      <c r="P209" s="458" t="e">
        <f t="shared" si="92"/>
        <v>#DIV/0!</v>
      </c>
      <c r="Q209" s="458" t="e">
        <f t="shared" si="92"/>
        <v>#DIV/0!</v>
      </c>
      <c r="R209" s="458" t="e">
        <f t="shared" si="92"/>
        <v>#DIV/0!</v>
      </c>
      <c r="S209" s="458" t="e">
        <f t="shared" si="92"/>
        <v>#DIV/0!</v>
      </c>
    </row>
    <row r="210" spans="2:19" ht="14.85" customHeight="1">
      <c r="B210" s="250" t="str">
        <f t="shared" si="89"/>
        <v>Series E</v>
      </c>
      <c r="D210" s="458" t="e">
        <f t="shared" ref="D210:S210" si="93">D116/D$138*D$202</f>
        <v>#DIV/0!</v>
      </c>
      <c r="E210" s="458" t="e">
        <f t="shared" si="93"/>
        <v>#DIV/0!</v>
      </c>
      <c r="F210" s="458" t="e">
        <f t="shared" si="93"/>
        <v>#DIV/0!</v>
      </c>
      <c r="G210" s="458" t="e">
        <f t="shared" si="93"/>
        <v>#DIV/0!</v>
      </c>
      <c r="H210" s="458" t="e">
        <f t="shared" si="93"/>
        <v>#DIV/0!</v>
      </c>
      <c r="I210" s="458" t="e">
        <f t="shared" si="93"/>
        <v>#DIV/0!</v>
      </c>
      <c r="J210" s="458" t="e">
        <f t="shared" si="93"/>
        <v>#DIV/0!</v>
      </c>
      <c r="K210" s="458" t="e">
        <f t="shared" si="93"/>
        <v>#DIV/0!</v>
      </c>
      <c r="L210" s="458" t="e">
        <f t="shared" si="93"/>
        <v>#DIV/0!</v>
      </c>
      <c r="M210" s="458" t="e">
        <f t="shared" si="93"/>
        <v>#DIV/0!</v>
      </c>
      <c r="N210" s="458" t="e">
        <f t="shared" si="93"/>
        <v>#DIV/0!</v>
      </c>
      <c r="O210" s="458" t="e">
        <f t="shared" si="93"/>
        <v>#DIV/0!</v>
      </c>
      <c r="P210" s="458" t="e">
        <f t="shared" si="93"/>
        <v>#DIV/0!</v>
      </c>
      <c r="Q210" s="458" t="e">
        <f t="shared" si="93"/>
        <v>#DIV/0!</v>
      </c>
      <c r="R210" s="458" t="e">
        <f t="shared" si="93"/>
        <v>#DIV/0!</v>
      </c>
      <c r="S210" s="458" t="e">
        <f t="shared" si="93"/>
        <v>#DIV/0!</v>
      </c>
    </row>
    <row r="211" spans="2:19" ht="14.85" customHeight="1">
      <c r="B211" s="250" t="str">
        <f t="shared" si="89"/>
        <v>Series F</v>
      </c>
      <c r="D211" s="458" t="e">
        <f t="shared" ref="D211:S211" si="94">D117/D$138*D$202</f>
        <v>#DIV/0!</v>
      </c>
      <c r="E211" s="458" t="e">
        <f t="shared" si="94"/>
        <v>#DIV/0!</v>
      </c>
      <c r="F211" s="458" t="e">
        <f t="shared" si="94"/>
        <v>#DIV/0!</v>
      </c>
      <c r="G211" s="458" t="e">
        <f t="shared" si="94"/>
        <v>#DIV/0!</v>
      </c>
      <c r="H211" s="458" t="e">
        <f t="shared" si="94"/>
        <v>#DIV/0!</v>
      </c>
      <c r="I211" s="458" t="e">
        <f t="shared" si="94"/>
        <v>#DIV/0!</v>
      </c>
      <c r="J211" s="458" t="e">
        <f t="shared" si="94"/>
        <v>#DIV/0!</v>
      </c>
      <c r="K211" s="458" t="e">
        <f t="shared" si="94"/>
        <v>#DIV/0!</v>
      </c>
      <c r="L211" s="458" t="e">
        <f t="shared" si="94"/>
        <v>#DIV/0!</v>
      </c>
      <c r="M211" s="458" t="e">
        <f t="shared" si="94"/>
        <v>#DIV/0!</v>
      </c>
      <c r="N211" s="458" t="e">
        <f t="shared" si="94"/>
        <v>#DIV/0!</v>
      </c>
      <c r="O211" s="458" t="e">
        <f t="shared" si="94"/>
        <v>#DIV/0!</v>
      </c>
      <c r="P211" s="458" t="e">
        <f t="shared" si="94"/>
        <v>#DIV/0!</v>
      </c>
      <c r="Q211" s="458" t="e">
        <f t="shared" si="94"/>
        <v>#DIV/0!</v>
      </c>
      <c r="R211" s="458" t="e">
        <f t="shared" si="94"/>
        <v>#DIV/0!</v>
      </c>
      <c r="S211" s="458" t="e">
        <f t="shared" si="94"/>
        <v>#DIV/0!</v>
      </c>
    </row>
    <row r="212" spans="2:19" ht="14.85" customHeight="1">
      <c r="B212" s="250" t="str">
        <f t="shared" si="89"/>
        <v>Series G</v>
      </c>
      <c r="D212" s="458" t="e">
        <f t="shared" ref="D212:S212" si="95">D118/D$138*D$202</f>
        <v>#DIV/0!</v>
      </c>
      <c r="E212" s="458" t="e">
        <f t="shared" si="95"/>
        <v>#DIV/0!</v>
      </c>
      <c r="F212" s="458" t="e">
        <f t="shared" si="95"/>
        <v>#DIV/0!</v>
      </c>
      <c r="G212" s="458" t="e">
        <f t="shared" si="95"/>
        <v>#DIV/0!</v>
      </c>
      <c r="H212" s="458" t="e">
        <f t="shared" si="95"/>
        <v>#DIV/0!</v>
      </c>
      <c r="I212" s="458" t="e">
        <f t="shared" si="95"/>
        <v>#DIV/0!</v>
      </c>
      <c r="J212" s="458" t="e">
        <f t="shared" si="95"/>
        <v>#DIV/0!</v>
      </c>
      <c r="K212" s="458" t="e">
        <f t="shared" si="95"/>
        <v>#DIV/0!</v>
      </c>
      <c r="L212" s="458" t="e">
        <f t="shared" si="95"/>
        <v>#DIV/0!</v>
      </c>
      <c r="M212" s="458" t="e">
        <f t="shared" si="95"/>
        <v>#DIV/0!</v>
      </c>
      <c r="N212" s="458" t="e">
        <f t="shared" si="95"/>
        <v>#DIV/0!</v>
      </c>
      <c r="O212" s="458" t="e">
        <f t="shared" si="95"/>
        <v>#DIV/0!</v>
      </c>
      <c r="P212" s="458" t="e">
        <f t="shared" si="95"/>
        <v>#DIV/0!</v>
      </c>
      <c r="Q212" s="458" t="e">
        <f t="shared" si="95"/>
        <v>#DIV/0!</v>
      </c>
      <c r="R212" s="458" t="e">
        <f t="shared" si="95"/>
        <v>#DIV/0!</v>
      </c>
      <c r="S212" s="458" t="e">
        <f t="shared" si="95"/>
        <v>#DIV/0!</v>
      </c>
    </row>
    <row r="213" spans="2:19" ht="14.85" customHeight="1">
      <c r="B213" s="250" t="str">
        <f t="shared" si="89"/>
        <v>Series A Warrants</v>
      </c>
      <c r="D213" s="458" t="e">
        <f t="shared" ref="D213:S213" si="96">D119/D$138*D$202</f>
        <v>#DIV/0!</v>
      </c>
      <c r="E213" s="458" t="e">
        <f t="shared" si="96"/>
        <v>#DIV/0!</v>
      </c>
      <c r="F213" s="458" t="e">
        <f t="shared" si="96"/>
        <v>#DIV/0!</v>
      </c>
      <c r="G213" s="458" t="e">
        <f t="shared" si="96"/>
        <v>#DIV/0!</v>
      </c>
      <c r="H213" s="458" t="e">
        <f t="shared" si="96"/>
        <v>#DIV/0!</v>
      </c>
      <c r="I213" s="458" t="e">
        <f t="shared" si="96"/>
        <v>#DIV/0!</v>
      </c>
      <c r="J213" s="458" t="e">
        <f t="shared" si="96"/>
        <v>#DIV/0!</v>
      </c>
      <c r="K213" s="458" t="e">
        <f t="shared" si="96"/>
        <v>#DIV/0!</v>
      </c>
      <c r="L213" s="458" t="e">
        <f t="shared" si="96"/>
        <v>#DIV/0!</v>
      </c>
      <c r="M213" s="458" t="e">
        <f t="shared" si="96"/>
        <v>#DIV/0!</v>
      </c>
      <c r="N213" s="458" t="e">
        <f t="shared" si="96"/>
        <v>#DIV/0!</v>
      </c>
      <c r="O213" s="458" t="e">
        <f t="shared" si="96"/>
        <v>#DIV/0!</v>
      </c>
      <c r="P213" s="458" t="e">
        <f t="shared" si="96"/>
        <v>#DIV/0!</v>
      </c>
      <c r="Q213" s="458" t="e">
        <f t="shared" si="96"/>
        <v>#DIV/0!</v>
      </c>
      <c r="R213" s="458" t="e">
        <f t="shared" si="96"/>
        <v>#DIV/0!</v>
      </c>
      <c r="S213" s="458" t="e">
        <f t="shared" si="96"/>
        <v>#DIV/0!</v>
      </c>
    </row>
    <row r="214" spans="2:19" ht="14.85" customHeight="1">
      <c r="B214" s="250" t="str">
        <f t="shared" si="89"/>
        <v>Series B Warrants</v>
      </c>
      <c r="D214" s="458" t="e">
        <f t="shared" ref="D214:S214" si="97">D120/D$138*D$202</f>
        <v>#DIV/0!</v>
      </c>
      <c r="E214" s="458" t="e">
        <f t="shared" si="97"/>
        <v>#DIV/0!</v>
      </c>
      <c r="F214" s="458" t="e">
        <f t="shared" si="97"/>
        <v>#DIV/0!</v>
      </c>
      <c r="G214" s="458" t="e">
        <f t="shared" si="97"/>
        <v>#DIV/0!</v>
      </c>
      <c r="H214" s="458" t="e">
        <f t="shared" si="97"/>
        <v>#DIV/0!</v>
      </c>
      <c r="I214" s="458" t="e">
        <f t="shared" si="97"/>
        <v>#DIV/0!</v>
      </c>
      <c r="J214" s="458" t="e">
        <f t="shared" si="97"/>
        <v>#DIV/0!</v>
      </c>
      <c r="K214" s="458" t="e">
        <f t="shared" si="97"/>
        <v>#DIV/0!</v>
      </c>
      <c r="L214" s="458" t="e">
        <f t="shared" si="97"/>
        <v>#DIV/0!</v>
      </c>
      <c r="M214" s="458" t="e">
        <f t="shared" si="97"/>
        <v>#DIV/0!</v>
      </c>
      <c r="N214" s="458" t="e">
        <f t="shared" si="97"/>
        <v>#DIV/0!</v>
      </c>
      <c r="O214" s="458" t="e">
        <f t="shared" si="97"/>
        <v>#DIV/0!</v>
      </c>
      <c r="P214" s="458" t="e">
        <f t="shared" si="97"/>
        <v>#DIV/0!</v>
      </c>
      <c r="Q214" s="458" t="e">
        <f t="shared" si="97"/>
        <v>#DIV/0!</v>
      </c>
      <c r="R214" s="458" t="e">
        <f t="shared" si="97"/>
        <v>#DIV/0!</v>
      </c>
      <c r="S214" s="458" t="e">
        <f t="shared" si="97"/>
        <v>#DIV/0!</v>
      </c>
    </row>
    <row r="215" spans="2:19" ht="14.85" customHeight="1">
      <c r="B215" s="250" t="str">
        <f t="shared" si="89"/>
        <v>Series C Warrants</v>
      </c>
      <c r="D215" s="458" t="e">
        <f t="shared" ref="D215:S215" si="98">D121/D$138*D$202</f>
        <v>#DIV/0!</v>
      </c>
      <c r="E215" s="458" t="e">
        <f t="shared" si="98"/>
        <v>#DIV/0!</v>
      </c>
      <c r="F215" s="458" t="e">
        <f t="shared" si="98"/>
        <v>#DIV/0!</v>
      </c>
      <c r="G215" s="458" t="e">
        <f t="shared" si="98"/>
        <v>#DIV/0!</v>
      </c>
      <c r="H215" s="458" t="e">
        <f t="shared" si="98"/>
        <v>#DIV/0!</v>
      </c>
      <c r="I215" s="458" t="e">
        <f t="shared" si="98"/>
        <v>#DIV/0!</v>
      </c>
      <c r="J215" s="458" t="e">
        <f t="shared" si="98"/>
        <v>#DIV/0!</v>
      </c>
      <c r="K215" s="458" t="e">
        <f t="shared" si="98"/>
        <v>#DIV/0!</v>
      </c>
      <c r="L215" s="458" t="e">
        <f t="shared" si="98"/>
        <v>#DIV/0!</v>
      </c>
      <c r="M215" s="458" t="e">
        <f t="shared" si="98"/>
        <v>#DIV/0!</v>
      </c>
      <c r="N215" s="458" t="e">
        <f t="shared" si="98"/>
        <v>#DIV/0!</v>
      </c>
      <c r="O215" s="458" t="e">
        <f t="shared" si="98"/>
        <v>#DIV/0!</v>
      </c>
      <c r="P215" s="458" t="e">
        <f t="shared" si="98"/>
        <v>#DIV/0!</v>
      </c>
      <c r="Q215" s="458" t="e">
        <f t="shared" si="98"/>
        <v>#DIV/0!</v>
      </c>
      <c r="R215" s="458" t="e">
        <f t="shared" si="98"/>
        <v>#DIV/0!</v>
      </c>
      <c r="S215" s="458" t="e">
        <f t="shared" si="98"/>
        <v>#DIV/0!</v>
      </c>
    </row>
    <row r="216" spans="2:19" ht="14.85" customHeight="1">
      <c r="B216" s="250" t="str">
        <f t="shared" si="89"/>
        <v>Series D Warrants</v>
      </c>
      <c r="D216" s="458" t="e">
        <f t="shared" ref="D216:S216" si="99">D122/D$138*D$202</f>
        <v>#DIV/0!</v>
      </c>
      <c r="E216" s="458" t="e">
        <f t="shared" si="99"/>
        <v>#DIV/0!</v>
      </c>
      <c r="F216" s="458" t="e">
        <f t="shared" si="99"/>
        <v>#DIV/0!</v>
      </c>
      <c r="G216" s="458" t="e">
        <f t="shared" si="99"/>
        <v>#DIV/0!</v>
      </c>
      <c r="H216" s="458" t="e">
        <f t="shared" si="99"/>
        <v>#DIV/0!</v>
      </c>
      <c r="I216" s="458" t="e">
        <f t="shared" si="99"/>
        <v>#DIV/0!</v>
      </c>
      <c r="J216" s="458" t="e">
        <f t="shared" si="99"/>
        <v>#DIV/0!</v>
      </c>
      <c r="K216" s="458" t="e">
        <f t="shared" si="99"/>
        <v>#DIV/0!</v>
      </c>
      <c r="L216" s="458" t="e">
        <f t="shared" si="99"/>
        <v>#DIV/0!</v>
      </c>
      <c r="M216" s="458" t="e">
        <f t="shared" si="99"/>
        <v>#DIV/0!</v>
      </c>
      <c r="N216" s="458" t="e">
        <f t="shared" si="99"/>
        <v>#DIV/0!</v>
      </c>
      <c r="O216" s="458" t="e">
        <f t="shared" si="99"/>
        <v>#DIV/0!</v>
      </c>
      <c r="P216" s="458" t="e">
        <f t="shared" si="99"/>
        <v>#DIV/0!</v>
      </c>
      <c r="Q216" s="458" t="e">
        <f t="shared" si="99"/>
        <v>#DIV/0!</v>
      </c>
      <c r="R216" s="458" t="e">
        <f t="shared" si="99"/>
        <v>#DIV/0!</v>
      </c>
      <c r="S216" s="458" t="e">
        <f t="shared" si="99"/>
        <v>#DIV/0!</v>
      </c>
    </row>
    <row r="217" spans="2:19" ht="14.85" customHeight="1">
      <c r="B217" s="250" t="str">
        <f t="shared" si="89"/>
        <v>Series E Warrants</v>
      </c>
      <c r="D217" s="458" t="e">
        <f t="shared" ref="D217:S217" si="100">D123/D$138*D$202</f>
        <v>#DIV/0!</v>
      </c>
      <c r="E217" s="458" t="e">
        <f t="shared" si="100"/>
        <v>#DIV/0!</v>
      </c>
      <c r="F217" s="458" t="e">
        <f t="shared" si="100"/>
        <v>#DIV/0!</v>
      </c>
      <c r="G217" s="458" t="e">
        <f t="shared" si="100"/>
        <v>#DIV/0!</v>
      </c>
      <c r="H217" s="458" t="e">
        <f t="shared" si="100"/>
        <v>#DIV/0!</v>
      </c>
      <c r="I217" s="458" t="e">
        <f t="shared" si="100"/>
        <v>#DIV/0!</v>
      </c>
      <c r="J217" s="458" t="e">
        <f t="shared" si="100"/>
        <v>#DIV/0!</v>
      </c>
      <c r="K217" s="458" t="e">
        <f t="shared" si="100"/>
        <v>#DIV/0!</v>
      </c>
      <c r="L217" s="458" t="e">
        <f t="shared" si="100"/>
        <v>#DIV/0!</v>
      </c>
      <c r="M217" s="458" t="e">
        <f t="shared" si="100"/>
        <v>#DIV/0!</v>
      </c>
      <c r="N217" s="458" t="e">
        <f t="shared" si="100"/>
        <v>#DIV/0!</v>
      </c>
      <c r="O217" s="458" t="e">
        <f t="shared" si="100"/>
        <v>#DIV/0!</v>
      </c>
      <c r="P217" s="458" t="e">
        <f t="shared" si="100"/>
        <v>#DIV/0!</v>
      </c>
      <c r="Q217" s="458" t="e">
        <f t="shared" si="100"/>
        <v>#DIV/0!</v>
      </c>
      <c r="R217" s="458" t="e">
        <f t="shared" si="100"/>
        <v>#DIV/0!</v>
      </c>
      <c r="S217" s="458" t="e">
        <f t="shared" si="100"/>
        <v>#DIV/0!</v>
      </c>
    </row>
    <row r="218" spans="2:19" ht="14.85" customHeight="1">
      <c r="B218" s="250" t="str">
        <f t="shared" si="89"/>
        <v>Series F Warrants</v>
      </c>
      <c r="D218" s="458" t="e">
        <f t="shared" ref="D218:S218" si="101">D124/D$138*D$202</f>
        <v>#DIV/0!</v>
      </c>
      <c r="E218" s="458" t="e">
        <f t="shared" si="101"/>
        <v>#DIV/0!</v>
      </c>
      <c r="F218" s="458" t="e">
        <f t="shared" si="101"/>
        <v>#DIV/0!</v>
      </c>
      <c r="G218" s="458" t="e">
        <f t="shared" si="101"/>
        <v>#DIV/0!</v>
      </c>
      <c r="H218" s="458" t="e">
        <f t="shared" si="101"/>
        <v>#DIV/0!</v>
      </c>
      <c r="I218" s="458" t="e">
        <f t="shared" si="101"/>
        <v>#DIV/0!</v>
      </c>
      <c r="J218" s="458" t="e">
        <f t="shared" si="101"/>
        <v>#DIV/0!</v>
      </c>
      <c r="K218" s="458" t="e">
        <f t="shared" si="101"/>
        <v>#DIV/0!</v>
      </c>
      <c r="L218" s="458" t="e">
        <f t="shared" si="101"/>
        <v>#DIV/0!</v>
      </c>
      <c r="M218" s="458" t="e">
        <f t="shared" si="101"/>
        <v>#DIV/0!</v>
      </c>
      <c r="N218" s="458" t="e">
        <f t="shared" si="101"/>
        <v>#DIV/0!</v>
      </c>
      <c r="O218" s="458" t="e">
        <f t="shared" si="101"/>
        <v>#DIV/0!</v>
      </c>
      <c r="P218" s="458" t="e">
        <f t="shared" si="101"/>
        <v>#DIV/0!</v>
      </c>
      <c r="Q218" s="458" t="e">
        <f t="shared" si="101"/>
        <v>#DIV/0!</v>
      </c>
      <c r="R218" s="458" t="e">
        <f t="shared" si="101"/>
        <v>#DIV/0!</v>
      </c>
      <c r="S218" s="458" t="e">
        <f t="shared" si="101"/>
        <v>#DIV/0!</v>
      </c>
    </row>
    <row r="219" spans="2:19" ht="14.85" customHeight="1">
      <c r="B219" s="250" t="str">
        <f t="shared" si="89"/>
        <v>Series G Warrants</v>
      </c>
      <c r="D219" s="458" t="e">
        <f t="shared" ref="D219:S219" si="102">D125/D$138*D$202</f>
        <v>#DIV/0!</v>
      </c>
      <c r="E219" s="458" t="e">
        <f t="shared" si="102"/>
        <v>#DIV/0!</v>
      </c>
      <c r="F219" s="458" t="e">
        <f t="shared" si="102"/>
        <v>#DIV/0!</v>
      </c>
      <c r="G219" s="458" t="e">
        <f t="shared" si="102"/>
        <v>#DIV/0!</v>
      </c>
      <c r="H219" s="458" t="e">
        <f t="shared" si="102"/>
        <v>#DIV/0!</v>
      </c>
      <c r="I219" s="458" t="e">
        <f t="shared" si="102"/>
        <v>#DIV/0!</v>
      </c>
      <c r="J219" s="458" t="e">
        <f t="shared" si="102"/>
        <v>#DIV/0!</v>
      </c>
      <c r="K219" s="458" t="e">
        <f t="shared" si="102"/>
        <v>#DIV/0!</v>
      </c>
      <c r="L219" s="458" t="e">
        <f t="shared" si="102"/>
        <v>#DIV/0!</v>
      </c>
      <c r="M219" s="458" t="e">
        <f t="shared" si="102"/>
        <v>#DIV/0!</v>
      </c>
      <c r="N219" s="458" t="e">
        <f t="shared" si="102"/>
        <v>#DIV/0!</v>
      </c>
      <c r="O219" s="458" t="e">
        <f t="shared" si="102"/>
        <v>#DIV/0!</v>
      </c>
      <c r="P219" s="458" t="e">
        <f t="shared" si="102"/>
        <v>#DIV/0!</v>
      </c>
      <c r="Q219" s="458" t="e">
        <f t="shared" si="102"/>
        <v>#DIV/0!</v>
      </c>
      <c r="R219" s="458" t="e">
        <f t="shared" si="102"/>
        <v>#DIV/0!</v>
      </c>
      <c r="S219" s="458" t="e">
        <f t="shared" si="102"/>
        <v>#DIV/0!</v>
      </c>
    </row>
    <row r="220" spans="2:19" ht="14.85" customHeight="1">
      <c r="B220" s="250" t="str">
        <f t="shared" si="89"/>
        <v>Options/Warrants at $2.00 Strike Price</v>
      </c>
      <c r="D220" s="458" t="e">
        <f t="shared" ref="D220:S220" si="103">D126/D$138*D$202</f>
        <v>#DIV/0!</v>
      </c>
      <c r="E220" s="458" t="e">
        <f t="shared" si="103"/>
        <v>#DIV/0!</v>
      </c>
      <c r="F220" s="458" t="e">
        <f t="shared" si="103"/>
        <v>#DIV/0!</v>
      </c>
      <c r="G220" s="458" t="e">
        <f t="shared" si="103"/>
        <v>#DIV/0!</v>
      </c>
      <c r="H220" s="458" t="e">
        <f t="shared" si="103"/>
        <v>#DIV/0!</v>
      </c>
      <c r="I220" s="458" t="e">
        <f t="shared" si="103"/>
        <v>#DIV/0!</v>
      </c>
      <c r="J220" s="458" t="e">
        <f t="shared" si="103"/>
        <v>#DIV/0!</v>
      </c>
      <c r="K220" s="458" t="e">
        <f t="shared" si="103"/>
        <v>#DIV/0!</v>
      </c>
      <c r="L220" s="458" t="e">
        <f t="shared" si="103"/>
        <v>#DIV/0!</v>
      </c>
      <c r="M220" s="458" t="e">
        <f t="shared" si="103"/>
        <v>#DIV/0!</v>
      </c>
      <c r="N220" s="458" t="e">
        <f t="shared" si="103"/>
        <v>#DIV/0!</v>
      </c>
      <c r="O220" s="458" t="e">
        <f t="shared" si="103"/>
        <v>#DIV/0!</v>
      </c>
      <c r="P220" s="458" t="e">
        <f t="shared" si="103"/>
        <v>#DIV/0!</v>
      </c>
      <c r="Q220" s="458" t="e">
        <f t="shared" si="103"/>
        <v>#DIV/0!</v>
      </c>
      <c r="R220" s="458" t="e">
        <f t="shared" si="103"/>
        <v>#DIV/0!</v>
      </c>
      <c r="S220" s="458" t="e">
        <f t="shared" si="103"/>
        <v>#DIV/0!</v>
      </c>
    </row>
    <row r="221" spans="2:19" ht="14.85" customHeight="1">
      <c r="B221" s="250" t="str">
        <f t="shared" si="89"/>
        <v>Options/Warrants at $0.00 Strike Price</v>
      </c>
      <c r="D221" s="458" t="e">
        <f t="shared" ref="D221:S221" si="104">D127/D$138*D$202</f>
        <v>#DIV/0!</v>
      </c>
      <c r="E221" s="458" t="e">
        <f t="shared" si="104"/>
        <v>#DIV/0!</v>
      </c>
      <c r="F221" s="458" t="e">
        <f t="shared" si="104"/>
        <v>#DIV/0!</v>
      </c>
      <c r="G221" s="458" t="e">
        <f t="shared" si="104"/>
        <v>#DIV/0!</v>
      </c>
      <c r="H221" s="458" t="e">
        <f t="shared" si="104"/>
        <v>#DIV/0!</v>
      </c>
      <c r="I221" s="458" t="e">
        <f t="shared" si="104"/>
        <v>#DIV/0!</v>
      </c>
      <c r="J221" s="458" t="e">
        <f t="shared" si="104"/>
        <v>#DIV/0!</v>
      </c>
      <c r="K221" s="458" t="e">
        <f t="shared" si="104"/>
        <v>#DIV/0!</v>
      </c>
      <c r="L221" s="458" t="e">
        <f t="shared" si="104"/>
        <v>#DIV/0!</v>
      </c>
      <c r="M221" s="458" t="e">
        <f t="shared" si="104"/>
        <v>#DIV/0!</v>
      </c>
      <c r="N221" s="458" t="e">
        <f t="shared" si="104"/>
        <v>#DIV/0!</v>
      </c>
      <c r="O221" s="458" t="e">
        <f t="shared" si="104"/>
        <v>#DIV/0!</v>
      </c>
      <c r="P221" s="458" t="e">
        <f t="shared" si="104"/>
        <v>#DIV/0!</v>
      </c>
      <c r="Q221" s="458" t="e">
        <f t="shared" si="104"/>
        <v>#DIV/0!</v>
      </c>
      <c r="R221" s="458" t="e">
        <f t="shared" si="104"/>
        <v>#DIV/0!</v>
      </c>
      <c r="S221" s="458" t="e">
        <f t="shared" si="104"/>
        <v>#DIV/0!</v>
      </c>
    </row>
    <row r="222" spans="2:19" ht="14.85" customHeight="1">
      <c r="B222" s="250" t="str">
        <f t="shared" si="89"/>
        <v>Options/Warrants at $0.00 Strike Price</v>
      </c>
      <c r="D222" s="458" t="e">
        <f t="shared" ref="D222:S222" si="105">D128/D$138*D$202</f>
        <v>#DIV/0!</v>
      </c>
      <c r="E222" s="458" t="e">
        <f t="shared" si="105"/>
        <v>#DIV/0!</v>
      </c>
      <c r="F222" s="458" t="e">
        <f t="shared" si="105"/>
        <v>#DIV/0!</v>
      </c>
      <c r="G222" s="458" t="e">
        <f t="shared" si="105"/>
        <v>#DIV/0!</v>
      </c>
      <c r="H222" s="458" t="e">
        <f t="shared" si="105"/>
        <v>#DIV/0!</v>
      </c>
      <c r="I222" s="458" t="e">
        <f t="shared" si="105"/>
        <v>#DIV/0!</v>
      </c>
      <c r="J222" s="458" t="e">
        <f t="shared" si="105"/>
        <v>#DIV/0!</v>
      </c>
      <c r="K222" s="458" t="e">
        <f t="shared" si="105"/>
        <v>#DIV/0!</v>
      </c>
      <c r="L222" s="458" t="e">
        <f t="shared" si="105"/>
        <v>#DIV/0!</v>
      </c>
      <c r="M222" s="458" t="e">
        <f t="shared" si="105"/>
        <v>#DIV/0!</v>
      </c>
      <c r="N222" s="458" t="e">
        <f t="shared" si="105"/>
        <v>#DIV/0!</v>
      </c>
      <c r="O222" s="458" t="e">
        <f t="shared" si="105"/>
        <v>#DIV/0!</v>
      </c>
      <c r="P222" s="458" t="e">
        <f t="shared" si="105"/>
        <v>#DIV/0!</v>
      </c>
      <c r="Q222" s="458" t="e">
        <f t="shared" si="105"/>
        <v>#DIV/0!</v>
      </c>
      <c r="R222" s="458" t="e">
        <f t="shared" si="105"/>
        <v>#DIV/0!</v>
      </c>
      <c r="S222" s="458" t="e">
        <f t="shared" si="105"/>
        <v>#DIV/0!</v>
      </c>
    </row>
    <row r="223" spans="2:19" ht="14.85" customHeight="1">
      <c r="B223" s="250" t="str">
        <f t="shared" si="89"/>
        <v>Options/Warrants at $0.00 Strike Price</v>
      </c>
      <c r="D223" s="458" t="e">
        <f t="shared" ref="D223:S223" si="106">D129/D$138*D$202</f>
        <v>#DIV/0!</v>
      </c>
      <c r="E223" s="458" t="e">
        <f t="shared" si="106"/>
        <v>#DIV/0!</v>
      </c>
      <c r="F223" s="458" t="e">
        <f t="shared" si="106"/>
        <v>#DIV/0!</v>
      </c>
      <c r="G223" s="458" t="e">
        <f t="shared" si="106"/>
        <v>#DIV/0!</v>
      </c>
      <c r="H223" s="458" t="e">
        <f t="shared" si="106"/>
        <v>#DIV/0!</v>
      </c>
      <c r="I223" s="458" t="e">
        <f t="shared" si="106"/>
        <v>#DIV/0!</v>
      </c>
      <c r="J223" s="458" t="e">
        <f t="shared" si="106"/>
        <v>#DIV/0!</v>
      </c>
      <c r="K223" s="458" t="e">
        <f t="shared" si="106"/>
        <v>#DIV/0!</v>
      </c>
      <c r="L223" s="458" t="e">
        <f t="shared" si="106"/>
        <v>#DIV/0!</v>
      </c>
      <c r="M223" s="458" t="e">
        <f t="shared" si="106"/>
        <v>#DIV/0!</v>
      </c>
      <c r="N223" s="458" t="e">
        <f t="shared" si="106"/>
        <v>#DIV/0!</v>
      </c>
      <c r="O223" s="458" t="e">
        <f t="shared" si="106"/>
        <v>#DIV/0!</v>
      </c>
      <c r="P223" s="458" t="e">
        <f t="shared" si="106"/>
        <v>#DIV/0!</v>
      </c>
      <c r="Q223" s="458" t="e">
        <f t="shared" si="106"/>
        <v>#DIV/0!</v>
      </c>
      <c r="R223" s="458" t="e">
        <f t="shared" si="106"/>
        <v>#DIV/0!</v>
      </c>
      <c r="S223" s="458" t="e">
        <f t="shared" si="106"/>
        <v>#DIV/0!</v>
      </c>
    </row>
    <row r="224" spans="2:19" ht="14.85" customHeight="1">
      <c r="B224" s="250" t="str">
        <f t="shared" si="89"/>
        <v>Options/Warrants at $0.00 Strike Price</v>
      </c>
      <c r="D224" s="458" t="e">
        <f t="shared" ref="D224:S224" si="107">D130/D$138*D$202</f>
        <v>#DIV/0!</v>
      </c>
      <c r="E224" s="458" t="e">
        <f t="shared" si="107"/>
        <v>#DIV/0!</v>
      </c>
      <c r="F224" s="458" t="e">
        <f t="shared" si="107"/>
        <v>#DIV/0!</v>
      </c>
      <c r="G224" s="458" t="e">
        <f t="shared" si="107"/>
        <v>#DIV/0!</v>
      </c>
      <c r="H224" s="458" t="e">
        <f t="shared" si="107"/>
        <v>#DIV/0!</v>
      </c>
      <c r="I224" s="458" t="e">
        <f t="shared" si="107"/>
        <v>#DIV/0!</v>
      </c>
      <c r="J224" s="458" t="e">
        <f t="shared" si="107"/>
        <v>#DIV/0!</v>
      </c>
      <c r="K224" s="458" t="e">
        <f t="shared" si="107"/>
        <v>#DIV/0!</v>
      </c>
      <c r="L224" s="458" t="e">
        <f t="shared" si="107"/>
        <v>#DIV/0!</v>
      </c>
      <c r="M224" s="458" t="e">
        <f t="shared" si="107"/>
        <v>#DIV/0!</v>
      </c>
      <c r="N224" s="458" t="e">
        <f t="shared" si="107"/>
        <v>#DIV/0!</v>
      </c>
      <c r="O224" s="458" t="e">
        <f t="shared" si="107"/>
        <v>#DIV/0!</v>
      </c>
      <c r="P224" s="458" t="e">
        <f t="shared" si="107"/>
        <v>#DIV/0!</v>
      </c>
      <c r="Q224" s="458" t="e">
        <f t="shared" si="107"/>
        <v>#DIV/0!</v>
      </c>
      <c r="R224" s="458" t="e">
        <f t="shared" si="107"/>
        <v>#DIV/0!</v>
      </c>
      <c r="S224" s="458" t="e">
        <f t="shared" si="107"/>
        <v>#DIV/0!</v>
      </c>
    </row>
    <row r="225" spans="2:19" ht="14.85" customHeight="1">
      <c r="B225" s="250" t="str">
        <f t="shared" si="89"/>
        <v>Options/Warrants at $0.00 Strike Price</v>
      </c>
      <c r="D225" s="458" t="e">
        <f t="shared" ref="D225:S225" si="108">D131/D$138*D$202</f>
        <v>#DIV/0!</v>
      </c>
      <c r="E225" s="458" t="e">
        <f t="shared" si="108"/>
        <v>#DIV/0!</v>
      </c>
      <c r="F225" s="458" t="e">
        <f t="shared" si="108"/>
        <v>#DIV/0!</v>
      </c>
      <c r="G225" s="458" t="e">
        <f t="shared" si="108"/>
        <v>#DIV/0!</v>
      </c>
      <c r="H225" s="458" t="e">
        <f t="shared" si="108"/>
        <v>#DIV/0!</v>
      </c>
      <c r="I225" s="458" t="e">
        <f t="shared" si="108"/>
        <v>#DIV/0!</v>
      </c>
      <c r="J225" s="458" t="e">
        <f t="shared" si="108"/>
        <v>#DIV/0!</v>
      </c>
      <c r="K225" s="458" t="e">
        <f t="shared" si="108"/>
        <v>#DIV/0!</v>
      </c>
      <c r="L225" s="458" t="e">
        <f t="shared" si="108"/>
        <v>#DIV/0!</v>
      </c>
      <c r="M225" s="458" t="e">
        <f t="shared" si="108"/>
        <v>#DIV/0!</v>
      </c>
      <c r="N225" s="458" t="e">
        <f t="shared" si="108"/>
        <v>#DIV/0!</v>
      </c>
      <c r="O225" s="458" t="e">
        <f t="shared" si="108"/>
        <v>#DIV/0!</v>
      </c>
      <c r="P225" s="458" t="e">
        <f t="shared" si="108"/>
        <v>#DIV/0!</v>
      </c>
      <c r="Q225" s="458" t="e">
        <f t="shared" si="108"/>
        <v>#DIV/0!</v>
      </c>
      <c r="R225" s="458" t="e">
        <f t="shared" si="108"/>
        <v>#DIV/0!</v>
      </c>
      <c r="S225" s="458" t="e">
        <f t="shared" si="108"/>
        <v>#DIV/0!</v>
      </c>
    </row>
    <row r="226" spans="2:19" ht="14.85" customHeight="1">
      <c r="B226" s="250" t="str">
        <f t="shared" si="89"/>
        <v>Options/Warrants at $0.00 Strike Price</v>
      </c>
      <c r="D226" s="458" t="e">
        <f t="shared" ref="D226:S226" si="109">D132/D$138*D$202</f>
        <v>#DIV/0!</v>
      </c>
      <c r="E226" s="458" t="e">
        <f t="shared" si="109"/>
        <v>#DIV/0!</v>
      </c>
      <c r="F226" s="458" t="e">
        <f t="shared" si="109"/>
        <v>#DIV/0!</v>
      </c>
      <c r="G226" s="458" t="e">
        <f t="shared" si="109"/>
        <v>#DIV/0!</v>
      </c>
      <c r="H226" s="458" t="e">
        <f t="shared" si="109"/>
        <v>#DIV/0!</v>
      </c>
      <c r="I226" s="458" t="e">
        <f t="shared" si="109"/>
        <v>#DIV/0!</v>
      </c>
      <c r="J226" s="458" t="e">
        <f t="shared" si="109"/>
        <v>#DIV/0!</v>
      </c>
      <c r="K226" s="458" t="e">
        <f t="shared" si="109"/>
        <v>#DIV/0!</v>
      </c>
      <c r="L226" s="458" t="e">
        <f t="shared" si="109"/>
        <v>#DIV/0!</v>
      </c>
      <c r="M226" s="458" t="e">
        <f t="shared" si="109"/>
        <v>#DIV/0!</v>
      </c>
      <c r="N226" s="458" t="e">
        <f t="shared" si="109"/>
        <v>#DIV/0!</v>
      </c>
      <c r="O226" s="458" t="e">
        <f t="shared" si="109"/>
        <v>#DIV/0!</v>
      </c>
      <c r="P226" s="458" t="e">
        <f t="shared" si="109"/>
        <v>#DIV/0!</v>
      </c>
      <c r="Q226" s="458" t="e">
        <f t="shared" si="109"/>
        <v>#DIV/0!</v>
      </c>
      <c r="R226" s="458" t="e">
        <f t="shared" si="109"/>
        <v>#DIV/0!</v>
      </c>
      <c r="S226" s="458" t="e">
        <f t="shared" si="109"/>
        <v>#DIV/0!</v>
      </c>
    </row>
    <row r="227" spans="2:19" ht="14.85" customHeight="1">
      <c r="B227" s="250" t="str">
        <f t="shared" si="89"/>
        <v>Options/Warrants at $0.00 Strike Price</v>
      </c>
      <c r="D227" s="458" t="e">
        <f t="shared" ref="D227:S227" si="110">D133/D$138*D$202</f>
        <v>#DIV/0!</v>
      </c>
      <c r="E227" s="458" t="e">
        <f t="shared" si="110"/>
        <v>#DIV/0!</v>
      </c>
      <c r="F227" s="458" t="e">
        <f t="shared" si="110"/>
        <v>#DIV/0!</v>
      </c>
      <c r="G227" s="458" t="e">
        <f t="shared" si="110"/>
        <v>#DIV/0!</v>
      </c>
      <c r="H227" s="458" t="e">
        <f t="shared" si="110"/>
        <v>#DIV/0!</v>
      </c>
      <c r="I227" s="458" t="e">
        <f t="shared" si="110"/>
        <v>#DIV/0!</v>
      </c>
      <c r="J227" s="458" t="e">
        <f t="shared" si="110"/>
        <v>#DIV/0!</v>
      </c>
      <c r="K227" s="458" t="e">
        <f t="shared" si="110"/>
        <v>#DIV/0!</v>
      </c>
      <c r="L227" s="458" t="e">
        <f t="shared" si="110"/>
        <v>#DIV/0!</v>
      </c>
      <c r="M227" s="458" t="e">
        <f t="shared" si="110"/>
        <v>#DIV/0!</v>
      </c>
      <c r="N227" s="458" t="e">
        <f t="shared" si="110"/>
        <v>#DIV/0!</v>
      </c>
      <c r="O227" s="458" t="e">
        <f t="shared" si="110"/>
        <v>#DIV/0!</v>
      </c>
      <c r="P227" s="458" t="e">
        <f t="shared" si="110"/>
        <v>#DIV/0!</v>
      </c>
      <c r="Q227" s="458" t="e">
        <f t="shared" si="110"/>
        <v>#DIV/0!</v>
      </c>
      <c r="R227" s="458" t="e">
        <f t="shared" si="110"/>
        <v>#DIV/0!</v>
      </c>
      <c r="S227" s="458" t="e">
        <f t="shared" si="110"/>
        <v>#DIV/0!</v>
      </c>
    </row>
    <row r="228" spans="2:19" ht="14.85" customHeight="1">
      <c r="B228" s="250" t="str">
        <f t="shared" si="89"/>
        <v>Options/Warrants at $0.00 Strike Price</v>
      </c>
      <c r="D228" s="458" t="e">
        <f t="shared" ref="D228:S228" si="111">D134/D$138*D$202</f>
        <v>#DIV/0!</v>
      </c>
      <c r="E228" s="458" t="e">
        <f t="shared" si="111"/>
        <v>#DIV/0!</v>
      </c>
      <c r="F228" s="458" t="e">
        <f t="shared" si="111"/>
        <v>#DIV/0!</v>
      </c>
      <c r="G228" s="458" t="e">
        <f t="shared" si="111"/>
        <v>#DIV/0!</v>
      </c>
      <c r="H228" s="458" t="e">
        <f t="shared" si="111"/>
        <v>#DIV/0!</v>
      </c>
      <c r="I228" s="458" t="e">
        <f t="shared" si="111"/>
        <v>#DIV/0!</v>
      </c>
      <c r="J228" s="458" t="e">
        <f t="shared" si="111"/>
        <v>#DIV/0!</v>
      </c>
      <c r="K228" s="458" t="e">
        <f t="shared" si="111"/>
        <v>#DIV/0!</v>
      </c>
      <c r="L228" s="458" t="e">
        <f t="shared" si="111"/>
        <v>#DIV/0!</v>
      </c>
      <c r="M228" s="458" t="e">
        <f t="shared" si="111"/>
        <v>#DIV/0!</v>
      </c>
      <c r="N228" s="458" t="e">
        <f t="shared" si="111"/>
        <v>#DIV/0!</v>
      </c>
      <c r="O228" s="458" t="e">
        <f t="shared" si="111"/>
        <v>#DIV/0!</v>
      </c>
      <c r="P228" s="458" t="e">
        <f t="shared" si="111"/>
        <v>#DIV/0!</v>
      </c>
      <c r="Q228" s="458" t="e">
        <f t="shared" si="111"/>
        <v>#DIV/0!</v>
      </c>
      <c r="R228" s="458" t="e">
        <f t="shared" si="111"/>
        <v>#DIV/0!</v>
      </c>
      <c r="S228" s="458" t="e">
        <f t="shared" si="111"/>
        <v>#DIV/0!</v>
      </c>
    </row>
    <row r="229" spans="2:19" ht="14.85" customHeight="1">
      <c r="B229" s="250" t="str">
        <f t="shared" si="89"/>
        <v>Expected Options Grant</v>
      </c>
      <c r="D229" s="458" t="e">
        <f t="shared" ref="D229:S230" si="112">D135/D$138*D$202</f>
        <v>#DIV/0!</v>
      </c>
      <c r="E229" s="458" t="e">
        <f t="shared" si="112"/>
        <v>#DIV/0!</v>
      </c>
      <c r="F229" s="458" t="e">
        <f t="shared" si="112"/>
        <v>#DIV/0!</v>
      </c>
      <c r="G229" s="458" t="e">
        <f t="shared" si="112"/>
        <v>#DIV/0!</v>
      </c>
      <c r="H229" s="458" t="e">
        <f t="shared" si="112"/>
        <v>#DIV/0!</v>
      </c>
      <c r="I229" s="458" t="e">
        <f t="shared" si="112"/>
        <v>#DIV/0!</v>
      </c>
      <c r="J229" s="458" t="e">
        <f t="shared" si="112"/>
        <v>#DIV/0!</v>
      </c>
      <c r="K229" s="458" t="e">
        <f t="shared" si="112"/>
        <v>#DIV/0!</v>
      </c>
      <c r="L229" s="458" t="e">
        <f t="shared" si="112"/>
        <v>#DIV/0!</v>
      </c>
      <c r="M229" s="458" t="e">
        <f t="shared" si="112"/>
        <v>#DIV/0!</v>
      </c>
      <c r="N229" s="458" t="e">
        <f t="shared" si="112"/>
        <v>#DIV/0!</v>
      </c>
      <c r="O229" s="458" t="e">
        <f t="shared" si="112"/>
        <v>#DIV/0!</v>
      </c>
      <c r="P229" s="458" t="e">
        <f t="shared" si="112"/>
        <v>#DIV/0!</v>
      </c>
      <c r="Q229" s="458" t="e">
        <f t="shared" si="112"/>
        <v>#DIV/0!</v>
      </c>
      <c r="R229" s="458" t="e">
        <f t="shared" si="112"/>
        <v>#DIV/0!</v>
      </c>
      <c r="S229" s="458" t="e">
        <f t="shared" si="112"/>
        <v>#DIV/0!</v>
      </c>
    </row>
    <row r="230" spans="2:19" ht="14.85" customHeight="1">
      <c r="B230" s="346" t="str">
        <f t="shared" si="89"/>
        <v>Common Stock</v>
      </c>
      <c r="C230" s="346"/>
      <c r="D230" s="1938" t="e">
        <f t="shared" si="112"/>
        <v>#DIV/0!</v>
      </c>
      <c r="E230" s="1938" t="e">
        <f t="shared" si="112"/>
        <v>#DIV/0!</v>
      </c>
      <c r="F230" s="1938" t="e">
        <f t="shared" si="112"/>
        <v>#DIV/0!</v>
      </c>
      <c r="G230" s="1938" t="e">
        <f t="shared" si="112"/>
        <v>#DIV/0!</v>
      </c>
      <c r="H230" s="1938" t="e">
        <f t="shared" si="112"/>
        <v>#DIV/0!</v>
      </c>
      <c r="I230" s="1938" t="e">
        <f t="shared" si="112"/>
        <v>#DIV/0!</v>
      </c>
      <c r="J230" s="1938" t="e">
        <f t="shared" si="112"/>
        <v>#DIV/0!</v>
      </c>
      <c r="K230" s="1938" t="e">
        <f t="shared" si="112"/>
        <v>#DIV/0!</v>
      </c>
      <c r="L230" s="1938" t="e">
        <f t="shared" si="112"/>
        <v>#DIV/0!</v>
      </c>
      <c r="M230" s="1938" t="e">
        <f t="shared" si="112"/>
        <v>#DIV/0!</v>
      </c>
      <c r="N230" s="1938" t="e">
        <f t="shared" si="112"/>
        <v>#DIV/0!</v>
      </c>
      <c r="O230" s="1938" t="e">
        <f t="shared" si="112"/>
        <v>#DIV/0!</v>
      </c>
      <c r="P230" s="1938" t="e">
        <f t="shared" si="112"/>
        <v>#DIV/0!</v>
      </c>
      <c r="Q230" s="1938" t="e">
        <f t="shared" si="112"/>
        <v>#DIV/0!</v>
      </c>
      <c r="R230" s="1938" t="e">
        <f t="shared" si="112"/>
        <v>#DIV/0!</v>
      </c>
      <c r="S230" s="1938" t="e">
        <f t="shared" si="112"/>
        <v>#DIV/0!</v>
      </c>
    </row>
    <row r="231" spans="2:19" ht="14.85" customHeight="1">
      <c r="B231" s="253" t="s">
        <v>169</v>
      </c>
      <c r="D231" s="253" t="e">
        <f>SUM(D206:D230)</f>
        <v>#DIV/0!</v>
      </c>
      <c r="E231" s="253" t="e">
        <f t="shared" ref="E231:S231" si="113">SUM(E206:E230)</f>
        <v>#DIV/0!</v>
      </c>
      <c r="F231" s="253" t="e">
        <f t="shared" si="113"/>
        <v>#DIV/0!</v>
      </c>
      <c r="G231" s="253" t="e">
        <f t="shared" si="113"/>
        <v>#DIV/0!</v>
      </c>
      <c r="H231" s="253" t="e">
        <f t="shared" si="113"/>
        <v>#DIV/0!</v>
      </c>
      <c r="I231" s="253" t="e">
        <f t="shared" si="113"/>
        <v>#DIV/0!</v>
      </c>
      <c r="J231" s="253" t="e">
        <f t="shared" si="113"/>
        <v>#DIV/0!</v>
      </c>
      <c r="K231" s="253" t="e">
        <f t="shared" si="113"/>
        <v>#DIV/0!</v>
      </c>
      <c r="L231" s="253" t="e">
        <f t="shared" si="113"/>
        <v>#DIV/0!</v>
      </c>
      <c r="M231" s="253" t="e">
        <f t="shared" si="113"/>
        <v>#DIV/0!</v>
      </c>
      <c r="N231" s="253" t="e">
        <f t="shared" si="113"/>
        <v>#DIV/0!</v>
      </c>
      <c r="O231" s="253" t="e">
        <f t="shared" si="113"/>
        <v>#DIV/0!</v>
      </c>
      <c r="P231" s="253" t="e">
        <f t="shared" si="113"/>
        <v>#DIV/0!</v>
      </c>
      <c r="Q231" s="253" t="e">
        <f t="shared" si="113"/>
        <v>#DIV/0!</v>
      </c>
      <c r="R231" s="253" t="e">
        <f t="shared" si="113"/>
        <v>#DIV/0!</v>
      </c>
      <c r="S231" s="253" t="e">
        <f t="shared" si="113"/>
        <v>#DIV/0!</v>
      </c>
    </row>
    <row r="232" spans="2:19" ht="14.85" customHeight="1"/>
    <row r="233" spans="2:19" ht="14.85" customHeight="1">
      <c r="B233" s="767" t="s">
        <v>2590</v>
      </c>
      <c r="D233" s="1940">
        <f>D204</f>
        <v>1</v>
      </c>
      <c r="E233" s="1941">
        <f t="shared" ref="E233:S233" si="114">E204</f>
        <v>2</v>
      </c>
      <c r="F233" s="1941">
        <f t="shared" si="114"/>
        <v>3</v>
      </c>
      <c r="G233" s="1941">
        <f t="shared" si="114"/>
        <v>4</v>
      </c>
      <c r="H233" s="1941">
        <f t="shared" si="114"/>
        <v>5</v>
      </c>
      <c r="I233" s="1941">
        <f t="shared" si="114"/>
        <v>6</v>
      </c>
      <c r="J233" s="1941">
        <f t="shared" si="114"/>
        <v>7</v>
      </c>
      <c r="K233" s="1941">
        <f t="shared" si="114"/>
        <v>8</v>
      </c>
      <c r="L233" s="1941">
        <f t="shared" si="114"/>
        <v>9</v>
      </c>
      <c r="M233" s="1941">
        <f t="shared" si="114"/>
        <v>10</v>
      </c>
      <c r="N233" s="1941">
        <f t="shared" si="114"/>
        <v>11</v>
      </c>
      <c r="O233" s="1941">
        <f t="shared" si="114"/>
        <v>12</v>
      </c>
      <c r="P233" s="1941">
        <f t="shared" si="114"/>
        <v>13</v>
      </c>
      <c r="Q233" s="1941">
        <f t="shared" si="114"/>
        <v>14</v>
      </c>
      <c r="R233" s="1941">
        <f t="shared" si="114"/>
        <v>15</v>
      </c>
      <c r="S233" s="1942">
        <f t="shared" si="114"/>
        <v>16</v>
      </c>
    </row>
    <row r="234" spans="2:19" ht="14.85" customHeight="1"/>
    <row r="235" spans="2:19" ht="14.85" customHeight="1">
      <c r="B235" s="250" t="str">
        <f>B206</f>
        <v>Series A</v>
      </c>
      <c r="D235" s="458" t="e">
        <f>SUM($D206:D206)/$W55</f>
        <v>#DIV/0!</v>
      </c>
      <c r="E235" s="458" t="e">
        <f>SUM($D206:E206)/$W55</f>
        <v>#DIV/0!</v>
      </c>
      <c r="F235" s="458" t="e">
        <f>SUM($D206:F206)/$W55</f>
        <v>#DIV/0!</v>
      </c>
      <c r="G235" s="458" t="e">
        <f>SUM($D206:G206)/$W55</f>
        <v>#DIV/0!</v>
      </c>
      <c r="H235" s="458" t="e">
        <f>SUM($D206:H206)/$W55</f>
        <v>#DIV/0!</v>
      </c>
      <c r="I235" s="458" t="e">
        <f>SUM($D206:I206)/$W55</f>
        <v>#DIV/0!</v>
      </c>
      <c r="J235" s="458" t="e">
        <f>SUM($D206:J206)/$W55</f>
        <v>#DIV/0!</v>
      </c>
      <c r="K235" s="458" t="e">
        <f>SUM($D206:K206)/$W55</f>
        <v>#DIV/0!</v>
      </c>
      <c r="L235" s="458" t="e">
        <f>SUM($D206:L206)/$W55</f>
        <v>#DIV/0!</v>
      </c>
      <c r="M235" s="458" t="e">
        <f>SUM($D206:M206)/$W55</f>
        <v>#DIV/0!</v>
      </c>
      <c r="N235" s="458" t="e">
        <f>SUM($D206:N206)/$W55</f>
        <v>#DIV/0!</v>
      </c>
      <c r="O235" s="458" t="e">
        <f>SUM($D206:O206)/$W55</f>
        <v>#DIV/0!</v>
      </c>
      <c r="P235" s="458" t="e">
        <f>SUM($D206:P206)/$W55</f>
        <v>#DIV/0!</v>
      </c>
      <c r="Q235" s="458" t="e">
        <f>SUM($D206:Q206)/$W55</f>
        <v>#DIV/0!</v>
      </c>
      <c r="R235" s="458" t="e">
        <f>SUM($D206:R206)/$W55</f>
        <v>#DIV/0!</v>
      </c>
      <c r="S235" s="458" t="e">
        <f>SUM($D206:S206)/$W55</f>
        <v>#DIV/0!</v>
      </c>
    </row>
    <row r="236" spans="2:19" ht="14.85" customHeight="1">
      <c r="B236" s="250" t="str">
        <f t="shared" ref="B236:B259" si="115">B207</f>
        <v>Series B</v>
      </c>
      <c r="D236" s="458" t="e">
        <f ca="1">SUM($D207:D207)/$W56</f>
        <v>#DIV/0!</v>
      </c>
      <c r="E236" s="458" t="e">
        <f ca="1">SUM($D207:E207)/$W56</f>
        <v>#DIV/0!</v>
      </c>
      <c r="F236" s="458" t="e">
        <f ca="1">SUM($D207:F207)/$W56</f>
        <v>#DIV/0!</v>
      </c>
      <c r="G236" s="458" t="e">
        <f ca="1">SUM($D207:G207)/$W56</f>
        <v>#DIV/0!</v>
      </c>
      <c r="H236" s="458" t="e">
        <f ca="1">SUM($D207:H207)/$W56</f>
        <v>#DIV/0!</v>
      </c>
      <c r="I236" s="458" t="e">
        <f ca="1">SUM($D207:I207)/$W56</f>
        <v>#DIV/0!</v>
      </c>
      <c r="J236" s="458" t="e">
        <f ca="1">SUM($D207:J207)/$W56</f>
        <v>#DIV/0!</v>
      </c>
      <c r="K236" s="458" t="e">
        <f ca="1">SUM($D207:K207)/$W56</f>
        <v>#DIV/0!</v>
      </c>
      <c r="L236" s="458" t="e">
        <f ca="1">SUM($D207:L207)/$W56</f>
        <v>#DIV/0!</v>
      </c>
      <c r="M236" s="458" t="e">
        <f ca="1">SUM($D207:M207)/$W56</f>
        <v>#DIV/0!</v>
      </c>
      <c r="N236" s="458" t="e">
        <f ca="1">SUM($D207:N207)/$W56</f>
        <v>#DIV/0!</v>
      </c>
      <c r="O236" s="458" t="e">
        <f ca="1">SUM($D207:O207)/$W56</f>
        <v>#DIV/0!</v>
      </c>
      <c r="P236" s="458" t="e">
        <f ca="1">SUM($D207:P207)/$W56</f>
        <v>#DIV/0!</v>
      </c>
      <c r="Q236" s="458" t="e">
        <f ca="1">SUM($D207:Q207)/$W56</f>
        <v>#DIV/0!</v>
      </c>
      <c r="R236" s="458" t="e">
        <f ca="1">SUM($D207:R207)/$W56</f>
        <v>#DIV/0!</v>
      </c>
      <c r="S236" s="458" t="e">
        <f ca="1">SUM($D207:S207)/$W56</f>
        <v>#DIV/0!</v>
      </c>
    </row>
    <row r="237" spans="2:19" ht="14.85" customHeight="1">
      <c r="B237" s="250" t="str">
        <f t="shared" si="115"/>
        <v>Series C</v>
      </c>
      <c r="D237" s="458" t="e">
        <f ca="1">SUM($D208:D208)/$W57</f>
        <v>#DIV/0!</v>
      </c>
      <c r="E237" s="458" t="e">
        <f ca="1">SUM($D208:E208)/$W57</f>
        <v>#DIV/0!</v>
      </c>
      <c r="F237" s="458" t="e">
        <f ca="1">SUM($D208:F208)/$W57</f>
        <v>#DIV/0!</v>
      </c>
      <c r="G237" s="458" t="e">
        <f ca="1">SUM($D208:G208)/$W57</f>
        <v>#DIV/0!</v>
      </c>
      <c r="H237" s="458" t="e">
        <f ca="1">SUM($D208:H208)/$W57</f>
        <v>#DIV/0!</v>
      </c>
      <c r="I237" s="458" t="e">
        <f ca="1">SUM($D208:I208)/$W57</f>
        <v>#DIV/0!</v>
      </c>
      <c r="J237" s="458" t="e">
        <f ca="1">SUM($D208:J208)/$W57</f>
        <v>#DIV/0!</v>
      </c>
      <c r="K237" s="458" t="e">
        <f ca="1">SUM($D208:K208)/$W57</f>
        <v>#DIV/0!</v>
      </c>
      <c r="L237" s="458" t="e">
        <f ca="1">SUM($D208:L208)/$W57</f>
        <v>#DIV/0!</v>
      </c>
      <c r="M237" s="458" t="e">
        <f ca="1">SUM($D208:M208)/$W57</f>
        <v>#DIV/0!</v>
      </c>
      <c r="N237" s="458" t="e">
        <f ca="1">SUM($D208:N208)/$W57</f>
        <v>#DIV/0!</v>
      </c>
      <c r="O237" s="458" t="e">
        <f ca="1">SUM($D208:O208)/$W57</f>
        <v>#DIV/0!</v>
      </c>
      <c r="P237" s="458" t="e">
        <f ca="1">SUM($D208:P208)/$W57</f>
        <v>#DIV/0!</v>
      </c>
      <c r="Q237" s="458" t="e">
        <f ca="1">SUM($D208:Q208)/$W57</f>
        <v>#DIV/0!</v>
      </c>
      <c r="R237" s="458" t="e">
        <f ca="1">SUM($D208:R208)/$W57</f>
        <v>#DIV/0!</v>
      </c>
      <c r="S237" s="458" t="e">
        <f ca="1">SUM($D208:S208)/$W57</f>
        <v>#DIV/0!</v>
      </c>
    </row>
    <row r="238" spans="2:19" ht="14.85" customHeight="1">
      <c r="B238" s="250" t="str">
        <f t="shared" si="115"/>
        <v>Series D</v>
      </c>
      <c r="D238" s="458" t="e">
        <f ca="1">SUM($D209:D209)/$W58</f>
        <v>#DIV/0!</v>
      </c>
      <c r="E238" s="458" t="e">
        <f ca="1">SUM($D209:E209)/$W58</f>
        <v>#DIV/0!</v>
      </c>
      <c r="F238" s="458" t="e">
        <f ca="1">SUM($D209:F209)/$W58</f>
        <v>#DIV/0!</v>
      </c>
      <c r="G238" s="458" t="e">
        <f ca="1">SUM($D209:G209)/$W58</f>
        <v>#DIV/0!</v>
      </c>
      <c r="H238" s="458" t="e">
        <f ca="1">SUM($D209:H209)/$W58</f>
        <v>#DIV/0!</v>
      </c>
      <c r="I238" s="458" t="e">
        <f ca="1">SUM($D209:I209)/$W58</f>
        <v>#DIV/0!</v>
      </c>
      <c r="J238" s="458" t="e">
        <f ca="1">SUM($D209:J209)/$W58</f>
        <v>#DIV/0!</v>
      </c>
      <c r="K238" s="458" t="e">
        <f ca="1">SUM($D209:K209)/$W58</f>
        <v>#DIV/0!</v>
      </c>
      <c r="L238" s="458" t="e">
        <f ca="1">SUM($D209:L209)/$W58</f>
        <v>#DIV/0!</v>
      </c>
      <c r="M238" s="458" t="e">
        <f ca="1">SUM($D209:M209)/$W58</f>
        <v>#DIV/0!</v>
      </c>
      <c r="N238" s="458" t="e">
        <f ca="1">SUM($D209:N209)/$W58</f>
        <v>#DIV/0!</v>
      </c>
      <c r="O238" s="458" t="e">
        <f ca="1">SUM($D209:O209)/$W58</f>
        <v>#DIV/0!</v>
      </c>
      <c r="P238" s="458" t="e">
        <f ca="1">SUM($D209:P209)/$W58</f>
        <v>#DIV/0!</v>
      </c>
      <c r="Q238" s="458" t="e">
        <f ca="1">SUM($D209:Q209)/$W58</f>
        <v>#DIV/0!</v>
      </c>
      <c r="R238" s="458" t="e">
        <f ca="1">SUM($D209:R209)/$W58</f>
        <v>#DIV/0!</v>
      </c>
      <c r="S238" s="458" t="e">
        <f ca="1">SUM($D209:S209)/$W58</f>
        <v>#DIV/0!</v>
      </c>
    </row>
    <row r="239" spans="2:19" ht="14.85" customHeight="1">
      <c r="B239" s="250" t="str">
        <f t="shared" si="115"/>
        <v>Series E</v>
      </c>
      <c r="D239" s="458" t="e">
        <f ca="1">SUM($D210:D210)/$W59</f>
        <v>#DIV/0!</v>
      </c>
      <c r="E239" s="458" t="e">
        <f ca="1">SUM($D210:E210)/$W59</f>
        <v>#DIV/0!</v>
      </c>
      <c r="F239" s="458" t="e">
        <f ca="1">SUM($D210:F210)/$W59</f>
        <v>#DIV/0!</v>
      </c>
      <c r="G239" s="458" t="e">
        <f ca="1">SUM($D210:G210)/$W59</f>
        <v>#DIV/0!</v>
      </c>
      <c r="H239" s="458" t="e">
        <f ca="1">SUM($D210:H210)/$W59</f>
        <v>#DIV/0!</v>
      </c>
      <c r="I239" s="458" t="e">
        <f ca="1">SUM($D210:I210)/$W59</f>
        <v>#DIV/0!</v>
      </c>
      <c r="J239" s="458" t="e">
        <f ca="1">SUM($D210:J210)/$W59</f>
        <v>#DIV/0!</v>
      </c>
      <c r="K239" s="458" t="e">
        <f ca="1">SUM($D210:K210)/$W59</f>
        <v>#DIV/0!</v>
      </c>
      <c r="L239" s="458" t="e">
        <f ca="1">SUM($D210:L210)/$W59</f>
        <v>#DIV/0!</v>
      </c>
      <c r="M239" s="458" t="e">
        <f ca="1">SUM($D210:M210)/$W59</f>
        <v>#DIV/0!</v>
      </c>
      <c r="N239" s="458" t="e">
        <f ca="1">SUM($D210:N210)/$W59</f>
        <v>#DIV/0!</v>
      </c>
      <c r="O239" s="458" t="e">
        <f ca="1">SUM($D210:O210)/$W59</f>
        <v>#DIV/0!</v>
      </c>
      <c r="P239" s="458" t="e">
        <f ca="1">SUM($D210:P210)/$W59</f>
        <v>#DIV/0!</v>
      </c>
      <c r="Q239" s="458" t="e">
        <f ca="1">SUM($D210:Q210)/$W59</f>
        <v>#DIV/0!</v>
      </c>
      <c r="R239" s="458" t="e">
        <f ca="1">SUM($D210:R210)/$W59</f>
        <v>#DIV/0!</v>
      </c>
      <c r="S239" s="458" t="e">
        <f ca="1">SUM($D210:S210)/$W59</f>
        <v>#DIV/0!</v>
      </c>
    </row>
    <row r="240" spans="2:19" ht="14.85" customHeight="1">
      <c r="B240" s="250" t="str">
        <f t="shared" si="115"/>
        <v>Series F</v>
      </c>
      <c r="D240" s="458" t="e">
        <f ca="1">SUM($D211:D211)/$W60</f>
        <v>#DIV/0!</v>
      </c>
      <c r="E240" s="458" t="e">
        <f ca="1">SUM($D211:E211)/$W60</f>
        <v>#DIV/0!</v>
      </c>
      <c r="F240" s="458" t="e">
        <f ca="1">SUM($D211:F211)/$W60</f>
        <v>#DIV/0!</v>
      </c>
      <c r="G240" s="458" t="e">
        <f ca="1">SUM($D211:G211)/$W60</f>
        <v>#DIV/0!</v>
      </c>
      <c r="H240" s="458" t="e">
        <f ca="1">SUM($D211:H211)/$W60</f>
        <v>#DIV/0!</v>
      </c>
      <c r="I240" s="458" t="e">
        <f ca="1">SUM($D211:I211)/$W60</f>
        <v>#DIV/0!</v>
      </c>
      <c r="J240" s="458" t="e">
        <f ca="1">SUM($D211:J211)/$W60</f>
        <v>#DIV/0!</v>
      </c>
      <c r="K240" s="458" t="e">
        <f ca="1">SUM($D211:K211)/$W60</f>
        <v>#DIV/0!</v>
      </c>
      <c r="L240" s="458" t="e">
        <f ca="1">SUM($D211:L211)/$W60</f>
        <v>#DIV/0!</v>
      </c>
      <c r="M240" s="458" t="e">
        <f ca="1">SUM($D211:M211)/$W60</f>
        <v>#DIV/0!</v>
      </c>
      <c r="N240" s="458" t="e">
        <f ca="1">SUM($D211:N211)/$W60</f>
        <v>#DIV/0!</v>
      </c>
      <c r="O240" s="458" t="e">
        <f ca="1">SUM($D211:O211)/$W60</f>
        <v>#DIV/0!</v>
      </c>
      <c r="P240" s="458" t="e">
        <f ca="1">SUM($D211:P211)/$W60</f>
        <v>#DIV/0!</v>
      </c>
      <c r="Q240" s="458" t="e">
        <f ca="1">SUM($D211:Q211)/$W60</f>
        <v>#DIV/0!</v>
      </c>
      <c r="R240" s="458" t="e">
        <f ca="1">SUM($D211:R211)/$W60</f>
        <v>#DIV/0!</v>
      </c>
      <c r="S240" s="458" t="e">
        <f ca="1">SUM($D211:S211)/$W60</f>
        <v>#DIV/0!</v>
      </c>
    </row>
    <row r="241" spans="2:19" ht="14.85" customHeight="1">
      <c r="B241" s="250" t="str">
        <f t="shared" si="115"/>
        <v>Series G</v>
      </c>
      <c r="D241" s="458" t="e">
        <f ca="1">SUM($D212:D212)/$W61</f>
        <v>#DIV/0!</v>
      </c>
      <c r="E241" s="458" t="e">
        <f ca="1">SUM($D212:E212)/$W61</f>
        <v>#DIV/0!</v>
      </c>
      <c r="F241" s="458" t="e">
        <f ca="1">SUM($D212:F212)/$W61</f>
        <v>#DIV/0!</v>
      </c>
      <c r="G241" s="458" t="e">
        <f ca="1">SUM($D212:G212)/$W61</f>
        <v>#DIV/0!</v>
      </c>
      <c r="H241" s="458" t="e">
        <f ca="1">SUM($D212:H212)/$W61</f>
        <v>#DIV/0!</v>
      </c>
      <c r="I241" s="458" t="e">
        <f ca="1">SUM($D212:I212)/$W61</f>
        <v>#DIV/0!</v>
      </c>
      <c r="J241" s="458" t="e">
        <f ca="1">SUM($D212:J212)/$W61</f>
        <v>#DIV/0!</v>
      </c>
      <c r="K241" s="458" t="e">
        <f ca="1">SUM($D212:K212)/$W61</f>
        <v>#DIV/0!</v>
      </c>
      <c r="L241" s="458" t="e">
        <f ca="1">SUM($D212:L212)/$W61</f>
        <v>#DIV/0!</v>
      </c>
      <c r="M241" s="458" t="e">
        <f ca="1">SUM($D212:M212)/$W61</f>
        <v>#DIV/0!</v>
      </c>
      <c r="N241" s="458" t="e">
        <f ca="1">SUM($D212:N212)/$W61</f>
        <v>#DIV/0!</v>
      </c>
      <c r="O241" s="458" t="e">
        <f ca="1">SUM($D212:O212)/$W61</f>
        <v>#DIV/0!</v>
      </c>
      <c r="P241" s="458" t="e">
        <f ca="1">SUM($D212:P212)/$W61</f>
        <v>#DIV/0!</v>
      </c>
      <c r="Q241" s="458" t="e">
        <f ca="1">SUM($D212:Q212)/$W61</f>
        <v>#DIV/0!</v>
      </c>
      <c r="R241" s="458" t="e">
        <f ca="1">SUM($D212:R212)/$W61</f>
        <v>#DIV/0!</v>
      </c>
      <c r="S241" s="458" t="e">
        <f ca="1">SUM($D212:S212)/$W61</f>
        <v>#DIV/0!</v>
      </c>
    </row>
    <row r="242" spans="2:19" ht="14.85" customHeight="1">
      <c r="B242" s="250" t="str">
        <f t="shared" si="115"/>
        <v>Series A Warrants</v>
      </c>
      <c r="D242" s="458" t="e">
        <f ca="1">SUM($D213:D213)/$W62</f>
        <v>#DIV/0!</v>
      </c>
      <c r="E242" s="458" t="e">
        <f ca="1">SUM($D213:E213)/$W62</f>
        <v>#DIV/0!</v>
      </c>
      <c r="F242" s="458" t="e">
        <f ca="1">SUM($D213:F213)/$W62</f>
        <v>#DIV/0!</v>
      </c>
      <c r="G242" s="458" t="e">
        <f ca="1">SUM($D213:G213)/$W62</f>
        <v>#DIV/0!</v>
      </c>
      <c r="H242" s="458" t="e">
        <f ca="1">SUM($D213:H213)/$W62</f>
        <v>#DIV/0!</v>
      </c>
      <c r="I242" s="458" t="e">
        <f ca="1">SUM($D213:I213)/$W62</f>
        <v>#DIV/0!</v>
      </c>
      <c r="J242" s="458" t="e">
        <f ca="1">SUM($D213:J213)/$W62</f>
        <v>#DIV/0!</v>
      </c>
      <c r="K242" s="458" t="e">
        <f ca="1">SUM($D213:K213)/$W62</f>
        <v>#DIV/0!</v>
      </c>
      <c r="L242" s="458" t="e">
        <f ca="1">SUM($D213:L213)/$W62</f>
        <v>#DIV/0!</v>
      </c>
      <c r="M242" s="458" t="e">
        <f ca="1">SUM($D213:M213)/$W62</f>
        <v>#DIV/0!</v>
      </c>
      <c r="N242" s="458" t="e">
        <f ca="1">SUM($D213:N213)/$W62</f>
        <v>#DIV/0!</v>
      </c>
      <c r="O242" s="458" t="e">
        <f ca="1">SUM($D213:O213)/$W62</f>
        <v>#DIV/0!</v>
      </c>
      <c r="P242" s="458" t="e">
        <f ca="1">SUM($D213:P213)/$W62</f>
        <v>#DIV/0!</v>
      </c>
      <c r="Q242" s="458" t="e">
        <f ca="1">SUM($D213:Q213)/$W62</f>
        <v>#DIV/0!</v>
      </c>
      <c r="R242" s="458" t="e">
        <f ca="1">SUM($D213:R213)/$W62</f>
        <v>#DIV/0!</v>
      </c>
      <c r="S242" s="458" t="e">
        <f ca="1">SUM($D213:S213)/$W62</f>
        <v>#DIV/0!</v>
      </c>
    </row>
    <row r="243" spans="2:19" ht="14.85" customHeight="1">
      <c r="B243" s="250" t="str">
        <f t="shared" si="115"/>
        <v>Series B Warrants</v>
      </c>
      <c r="D243" s="458" t="e">
        <f ca="1">SUM($D214:D214)/$W63</f>
        <v>#DIV/0!</v>
      </c>
      <c r="E243" s="458" t="e">
        <f ca="1">SUM($D214:E214)/$W63</f>
        <v>#DIV/0!</v>
      </c>
      <c r="F243" s="458" t="e">
        <f ca="1">SUM($D214:F214)/$W63</f>
        <v>#DIV/0!</v>
      </c>
      <c r="G243" s="458" t="e">
        <f ca="1">SUM($D214:G214)/$W63</f>
        <v>#DIV/0!</v>
      </c>
      <c r="H243" s="458" t="e">
        <f ca="1">SUM($D214:H214)/$W63</f>
        <v>#DIV/0!</v>
      </c>
      <c r="I243" s="458" t="e">
        <f ca="1">SUM($D214:I214)/$W63</f>
        <v>#DIV/0!</v>
      </c>
      <c r="J243" s="458" t="e">
        <f ca="1">SUM($D214:J214)/$W63</f>
        <v>#DIV/0!</v>
      </c>
      <c r="K243" s="458" t="e">
        <f ca="1">SUM($D214:K214)/$W63</f>
        <v>#DIV/0!</v>
      </c>
      <c r="L243" s="458" t="e">
        <f ca="1">SUM($D214:L214)/$W63</f>
        <v>#DIV/0!</v>
      </c>
      <c r="M243" s="458" t="e">
        <f ca="1">SUM($D214:M214)/$W63</f>
        <v>#DIV/0!</v>
      </c>
      <c r="N243" s="458" t="e">
        <f ca="1">SUM($D214:N214)/$W63</f>
        <v>#DIV/0!</v>
      </c>
      <c r="O243" s="458" t="e">
        <f ca="1">SUM($D214:O214)/$W63</f>
        <v>#DIV/0!</v>
      </c>
      <c r="P243" s="458" t="e">
        <f ca="1">SUM($D214:P214)/$W63</f>
        <v>#DIV/0!</v>
      </c>
      <c r="Q243" s="458" t="e">
        <f ca="1">SUM($D214:Q214)/$W63</f>
        <v>#DIV/0!</v>
      </c>
      <c r="R243" s="458" t="e">
        <f ca="1">SUM($D214:R214)/$W63</f>
        <v>#DIV/0!</v>
      </c>
      <c r="S243" s="458" t="e">
        <f ca="1">SUM($D214:S214)/$W63</f>
        <v>#DIV/0!</v>
      </c>
    </row>
    <row r="244" spans="2:19" ht="14.85" customHeight="1">
      <c r="B244" s="250" t="str">
        <f t="shared" si="115"/>
        <v>Series C Warrants</v>
      </c>
      <c r="D244" s="458" t="e">
        <f ca="1">SUM($D215:D215)/$W64</f>
        <v>#DIV/0!</v>
      </c>
      <c r="E244" s="458" t="e">
        <f ca="1">SUM($D215:E215)/$W64</f>
        <v>#DIV/0!</v>
      </c>
      <c r="F244" s="458" t="e">
        <f ca="1">SUM($D215:F215)/$W64</f>
        <v>#DIV/0!</v>
      </c>
      <c r="G244" s="458" t="e">
        <f ca="1">SUM($D215:G215)/$W64</f>
        <v>#DIV/0!</v>
      </c>
      <c r="H244" s="458" t="e">
        <f ca="1">SUM($D215:H215)/$W64</f>
        <v>#DIV/0!</v>
      </c>
      <c r="I244" s="458" t="e">
        <f ca="1">SUM($D215:I215)/$W64</f>
        <v>#DIV/0!</v>
      </c>
      <c r="J244" s="458" t="e">
        <f ca="1">SUM($D215:J215)/$W64</f>
        <v>#DIV/0!</v>
      </c>
      <c r="K244" s="458" t="e">
        <f ca="1">SUM($D215:K215)/$W64</f>
        <v>#DIV/0!</v>
      </c>
      <c r="L244" s="458" t="e">
        <f ca="1">SUM($D215:L215)/$W64</f>
        <v>#DIV/0!</v>
      </c>
      <c r="M244" s="458" t="e">
        <f ca="1">SUM($D215:M215)/$W64</f>
        <v>#DIV/0!</v>
      </c>
      <c r="N244" s="458" t="e">
        <f ca="1">SUM($D215:N215)/$W64</f>
        <v>#DIV/0!</v>
      </c>
      <c r="O244" s="458" t="e">
        <f ca="1">SUM($D215:O215)/$W64</f>
        <v>#DIV/0!</v>
      </c>
      <c r="P244" s="458" t="e">
        <f ca="1">SUM($D215:P215)/$W64</f>
        <v>#DIV/0!</v>
      </c>
      <c r="Q244" s="458" t="e">
        <f ca="1">SUM($D215:Q215)/$W64</f>
        <v>#DIV/0!</v>
      </c>
      <c r="R244" s="458" t="e">
        <f ca="1">SUM($D215:R215)/$W64</f>
        <v>#DIV/0!</v>
      </c>
      <c r="S244" s="458" t="e">
        <f ca="1">SUM($D215:S215)/$W64</f>
        <v>#DIV/0!</v>
      </c>
    </row>
    <row r="245" spans="2:19" ht="14.85" customHeight="1">
      <c r="B245" s="250" t="str">
        <f t="shared" si="115"/>
        <v>Series D Warrants</v>
      </c>
      <c r="D245" s="458" t="e">
        <f ca="1">SUM($D216:D216)/$W65</f>
        <v>#DIV/0!</v>
      </c>
      <c r="E245" s="458" t="e">
        <f ca="1">SUM($D216:E216)/$W65</f>
        <v>#DIV/0!</v>
      </c>
      <c r="F245" s="458" t="e">
        <f ca="1">SUM($D216:F216)/$W65</f>
        <v>#DIV/0!</v>
      </c>
      <c r="G245" s="458" t="e">
        <f ca="1">SUM($D216:G216)/$W65</f>
        <v>#DIV/0!</v>
      </c>
      <c r="H245" s="458" t="e">
        <f ca="1">SUM($D216:H216)/$W65</f>
        <v>#DIV/0!</v>
      </c>
      <c r="I245" s="458" t="e">
        <f ca="1">SUM($D216:I216)/$W65</f>
        <v>#DIV/0!</v>
      </c>
      <c r="J245" s="458" t="e">
        <f ca="1">SUM($D216:J216)/$W65</f>
        <v>#DIV/0!</v>
      </c>
      <c r="K245" s="458" t="e">
        <f ca="1">SUM($D216:K216)/$W65</f>
        <v>#DIV/0!</v>
      </c>
      <c r="L245" s="458" t="e">
        <f ca="1">SUM($D216:L216)/$W65</f>
        <v>#DIV/0!</v>
      </c>
      <c r="M245" s="458" t="e">
        <f ca="1">SUM($D216:M216)/$W65</f>
        <v>#DIV/0!</v>
      </c>
      <c r="N245" s="458" t="e">
        <f ca="1">SUM($D216:N216)/$W65</f>
        <v>#DIV/0!</v>
      </c>
      <c r="O245" s="458" t="e">
        <f ca="1">SUM($D216:O216)/$W65</f>
        <v>#DIV/0!</v>
      </c>
      <c r="P245" s="458" t="e">
        <f ca="1">SUM($D216:P216)/$W65</f>
        <v>#DIV/0!</v>
      </c>
      <c r="Q245" s="458" t="e">
        <f ca="1">SUM($D216:Q216)/$W65</f>
        <v>#DIV/0!</v>
      </c>
      <c r="R245" s="458" t="e">
        <f ca="1">SUM($D216:R216)/$W65</f>
        <v>#DIV/0!</v>
      </c>
      <c r="S245" s="458" t="e">
        <f ca="1">SUM($D216:S216)/$W65</f>
        <v>#DIV/0!</v>
      </c>
    </row>
    <row r="246" spans="2:19" ht="14.85" customHeight="1">
      <c r="B246" s="250" t="str">
        <f t="shared" si="115"/>
        <v>Series E Warrants</v>
      </c>
      <c r="D246" s="458" t="e">
        <f ca="1">SUM($D217:D217)/$W66</f>
        <v>#DIV/0!</v>
      </c>
      <c r="E246" s="458" t="e">
        <f ca="1">SUM($D217:E217)/$W66</f>
        <v>#DIV/0!</v>
      </c>
      <c r="F246" s="458" t="e">
        <f ca="1">SUM($D217:F217)/$W66</f>
        <v>#DIV/0!</v>
      </c>
      <c r="G246" s="458" t="e">
        <f ca="1">SUM($D217:G217)/$W66</f>
        <v>#DIV/0!</v>
      </c>
      <c r="H246" s="458" t="e">
        <f ca="1">SUM($D217:H217)/$W66</f>
        <v>#DIV/0!</v>
      </c>
      <c r="I246" s="458" t="e">
        <f ca="1">SUM($D217:I217)/$W66</f>
        <v>#DIV/0!</v>
      </c>
      <c r="J246" s="458" t="e">
        <f ca="1">SUM($D217:J217)/$W66</f>
        <v>#DIV/0!</v>
      </c>
      <c r="K246" s="458" t="e">
        <f ca="1">SUM($D217:K217)/$W66</f>
        <v>#DIV/0!</v>
      </c>
      <c r="L246" s="458" t="e">
        <f ca="1">SUM($D217:L217)/$W66</f>
        <v>#DIV/0!</v>
      </c>
      <c r="M246" s="458" t="e">
        <f ca="1">SUM($D217:M217)/$W66</f>
        <v>#DIV/0!</v>
      </c>
      <c r="N246" s="458" t="e">
        <f ca="1">SUM($D217:N217)/$W66</f>
        <v>#DIV/0!</v>
      </c>
      <c r="O246" s="458" t="e">
        <f ca="1">SUM($D217:O217)/$W66</f>
        <v>#DIV/0!</v>
      </c>
      <c r="P246" s="458" t="e">
        <f ca="1">SUM($D217:P217)/$W66</f>
        <v>#DIV/0!</v>
      </c>
      <c r="Q246" s="458" t="e">
        <f ca="1">SUM($D217:Q217)/$W66</f>
        <v>#DIV/0!</v>
      </c>
      <c r="R246" s="458" t="e">
        <f ca="1">SUM($D217:R217)/$W66</f>
        <v>#DIV/0!</v>
      </c>
      <c r="S246" s="458" t="e">
        <f ca="1">SUM($D217:S217)/$W66</f>
        <v>#DIV/0!</v>
      </c>
    </row>
    <row r="247" spans="2:19" ht="14.85" customHeight="1">
      <c r="B247" s="250" t="str">
        <f t="shared" si="115"/>
        <v>Series F Warrants</v>
      </c>
      <c r="D247" s="458" t="e">
        <f ca="1">SUM($D218:D218)/$W67</f>
        <v>#DIV/0!</v>
      </c>
      <c r="E247" s="458" t="e">
        <f ca="1">SUM($D218:E218)/$W67</f>
        <v>#DIV/0!</v>
      </c>
      <c r="F247" s="458" t="e">
        <f ca="1">SUM($D218:F218)/$W67</f>
        <v>#DIV/0!</v>
      </c>
      <c r="G247" s="458" t="e">
        <f ca="1">SUM($D218:G218)/$W67</f>
        <v>#DIV/0!</v>
      </c>
      <c r="H247" s="458" t="e">
        <f ca="1">SUM($D218:H218)/$W67</f>
        <v>#DIV/0!</v>
      </c>
      <c r="I247" s="458" t="e">
        <f ca="1">SUM($D218:I218)/$W67</f>
        <v>#DIV/0!</v>
      </c>
      <c r="J247" s="458" t="e">
        <f ca="1">SUM($D218:J218)/$W67</f>
        <v>#DIV/0!</v>
      </c>
      <c r="K247" s="458" t="e">
        <f ca="1">SUM($D218:K218)/$W67</f>
        <v>#DIV/0!</v>
      </c>
      <c r="L247" s="458" t="e">
        <f ca="1">SUM($D218:L218)/$W67</f>
        <v>#DIV/0!</v>
      </c>
      <c r="M247" s="458" t="e">
        <f ca="1">SUM($D218:M218)/$W67</f>
        <v>#DIV/0!</v>
      </c>
      <c r="N247" s="458" t="e">
        <f ca="1">SUM($D218:N218)/$W67</f>
        <v>#DIV/0!</v>
      </c>
      <c r="O247" s="458" t="e">
        <f ca="1">SUM($D218:O218)/$W67</f>
        <v>#DIV/0!</v>
      </c>
      <c r="P247" s="458" t="e">
        <f ca="1">SUM($D218:P218)/$W67</f>
        <v>#DIV/0!</v>
      </c>
      <c r="Q247" s="458" t="e">
        <f ca="1">SUM($D218:Q218)/$W67</f>
        <v>#DIV/0!</v>
      </c>
      <c r="R247" s="458" t="e">
        <f ca="1">SUM($D218:R218)/$W67</f>
        <v>#DIV/0!</v>
      </c>
      <c r="S247" s="458" t="e">
        <f ca="1">SUM($D218:S218)/$W67</f>
        <v>#DIV/0!</v>
      </c>
    </row>
    <row r="248" spans="2:19" ht="14.85" customHeight="1">
      <c r="B248" s="250" t="str">
        <f t="shared" si="115"/>
        <v>Series G Warrants</v>
      </c>
      <c r="D248" s="458" t="e">
        <f ca="1">SUM($D219:D219)/$W68</f>
        <v>#DIV/0!</v>
      </c>
      <c r="E248" s="458" t="e">
        <f ca="1">SUM($D219:E219)/$W68</f>
        <v>#DIV/0!</v>
      </c>
      <c r="F248" s="458" t="e">
        <f ca="1">SUM($D219:F219)/$W68</f>
        <v>#DIV/0!</v>
      </c>
      <c r="G248" s="458" t="e">
        <f ca="1">SUM($D219:G219)/$W68</f>
        <v>#DIV/0!</v>
      </c>
      <c r="H248" s="458" t="e">
        <f ca="1">SUM($D219:H219)/$W68</f>
        <v>#DIV/0!</v>
      </c>
      <c r="I248" s="458" t="e">
        <f ca="1">SUM($D219:I219)/$W68</f>
        <v>#DIV/0!</v>
      </c>
      <c r="J248" s="458" t="e">
        <f ca="1">SUM($D219:J219)/$W68</f>
        <v>#DIV/0!</v>
      </c>
      <c r="K248" s="458" t="e">
        <f ca="1">SUM($D219:K219)/$W68</f>
        <v>#DIV/0!</v>
      </c>
      <c r="L248" s="458" t="e">
        <f ca="1">SUM($D219:L219)/$W68</f>
        <v>#DIV/0!</v>
      </c>
      <c r="M248" s="458" t="e">
        <f ca="1">SUM($D219:M219)/$W68</f>
        <v>#DIV/0!</v>
      </c>
      <c r="N248" s="458" t="e">
        <f ca="1">SUM($D219:N219)/$W68</f>
        <v>#DIV/0!</v>
      </c>
      <c r="O248" s="458" t="e">
        <f ca="1">SUM($D219:O219)/$W68</f>
        <v>#DIV/0!</v>
      </c>
      <c r="P248" s="458" t="e">
        <f ca="1">SUM($D219:P219)/$W68</f>
        <v>#DIV/0!</v>
      </c>
      <c r="Q248" s="458" t="e">
        <f ca="1">SUM($D219:Q219)/$W68</f>
        <v>#DIV/0!</v>
      </c>
      <c r="R248" s="458" t="e">
        <f ca="1">SUM($D219:R219)/$W68</f>
        <v>#DIV/0!</v>
      </c>
      <c r="S248" s="458" t="e">
        <f ca="1">SUM($D219:S219)/$W68</f>
        <v>#DIV/0!</v>
      </c>
    </row>
    <row r="249" spans="2:19" ht="14.85" customHeight="1">
      <c r="B249" s="250" t="str">
        <f t="shared" si="115"/>
        <v>Options/Warrants at $2.00 Strike Price</v>
      </c>
      <c r="D249" s="458" t="e">
        <f>SUM($D220:D220)/$W69</f>
        <v>#DIV/0!</v>
      </c>
      <c r="E249" s="458" t="e">
        <f>SUM($D220:E220)/$W69</f>
        <v>#DIV/0!</v>
      </c>
      <c r="F249" s="458" t="e">
        <f>SUM($D220:F220)/$W69</f>
        <v>#DIV/0!</v>
      </c>
      <c r="G249" s="458" t="e">
        <f>SUM($D220:G220)/$W69</f>
        <v>#DIV/0!</v>
      </c>
      <c r="H249" s="458" t="e">
        <f>SUM($D220:H220)/$W69</f>
        <v>#DIV/0!</v>
      </c>
      <c r="I249" s="458" t="e">
        <f>SUM($D220:I220)/$W69</f>
        <v>#DIV/0!</v>
      </c>
      <c r="J249" s="458" t="e">
        <f>SUM($D220:J220)/$W69</f>
        <v>#DIV/0!</v>
      </c>
      <c r="K249" s="458" t="e">
        <f>SUM($D220:K220)/$W69</f>
        <v>#DIV/0!</v>
      </c>
      <c r="L249" s="458" t="e">
        <f>SUM($D220:L220)/$W69</f>
        <v>#DIV/0!</v>
      </c>
      <c r="M249" s="458" t="e">
        <f>SUM($D220:M220)/$W69</f>
        <v>#DIV/0!</v>
      </c>
      <c r="N249" s="458" t="e">
        <f>SUM($D220:N220)/$W69</f>
        <v>#DIV/0!</v>
      </c>
      <c r="O249" s="458" t="e">
        <f>SUM($D220:O220)/$W69</f>
        <v>#DIV/0!</v>
      </c>
      <c r="P249" s="458" t="e">
        <f>SUM($D220:P220)/$W69</f>
        <v>#DIV/0!</v>
      </c>
      <c r="Q249" s="458" t="e">
        <f>SUM($D220:Q220)/$W69</f>
        <v>#DIV/0!</v>
      </c>
      <c r="R249" s="458" t="e">
        <f>SUM($D220:R220)/$W69</f>
        <v>#DIV/0!</v>
      </c>
      <c r="S249" s="458" t="e">
        <f>SUM($D220:S220)/$W69</f>
        <v>#DIV/0!</v>
      </c>
    </row>
    <row r="250" spans="2:19" ht="14.85" customHeight="1">
      <c r="B250" s="250" t="str">
        <f t="shared" si="115"/>
        <v>Options/Warrants at $0.00 Strike Price</v>
      </c>
      <c r="D250" s="458" t="e">
        <f>SUM($D221:D221)/$W70</f>
        <v>#DIV/0!</v>
      </c>
      <c r="E250" s="458" t="e">
        <f>SUM($D221:E221)/$W70</f>
        <v>#DIV/0!</v>
      </c>
      <c r="F250" s="458" t="e">
        <f>SUM($D221:F221)/$W70</f>
        <v>#DIV/0!</v>
      </c>
      <c r="G250" s="458" t="e">
        <f>SUM($D221:G221)/$W70</f>
        <v>#DIV/0!</v>
      </c>
      <c r="H250" s="458" t="e">
        <f>SUM($D221:H221)/$W70</f>
        <v>#DIV/0!</v>
      </c>
      <c r="I250" s="458" t="e">
        <f>SUM($D221:I221)/$W70</f>
        <v>#DIV/0!</v>
      </c>
      <c r="J250" s="458" t="e">
        <f>SUM($D221:J221)/$W70</f>
        <v>#DIV/0!</v>
      </c>
      <c r="K250" s="458" t="e">
        <f>SUM($D221:K221)/$W70</f>
        <v>#DIV/0!</v>
      </c>
      <c r="L250" s="458" t="e">
        <f>SUM($D221:L221)/$W70</f>
        <v>#DIV/0!</v>
      </c>
      <c r="M250" s="458" t="e">
        <f>SUM($D221:M221)/$W70</f>
        <v>#DIV/0!</v>
      </c>
      <c r="N250" s="458" t="e">
        <f>SUM($D221:N221)/$W70</f>
        <v>#DIV/0!</v>
      </c>
      <c r="O250" s="458" t="e">
        <f>SUM($D221:O221)/$W70</f>
        <v>#DIV/0!</v>
      </c>
      <c r="P250" s="458" t="e">
        <f>SUM($D221:P221)/$W70</f>
        <v>#DIV/0!</v>
      </c>
      <c r="Q250" s="458" t="e">
        <f>SUM($D221:Q221)/$W70</f>
        <v>#DIV/0!</v>
      </c>
      <c r="R250" s="458" t="e">
        <f>SUM($D221:R221)/$W70</f>
        <v>#DIV/0!</v>
      </c>
      <c r="S250" s="458" t="e">
        <f>SUM($D221:S221)/$W70</f>
        <v>#DIV/0!</v>
      </c>
    </row>
    <row r="251" spans="2:19" ht="14.85" customHeight="1">
      <c r="B251" s="250" t="str">
        <f t="shared" si="115"/>
        <v>Options/Warrants at $0.00 Strike Price</v>
      </c>
      <c r="D251" s="458" t="e">
        <f>SUM($D222:D222)/$W71</f>
        <v>#DIV/0!</v>
      </c>
      <c r="E251" s="458" t="e">
        <f>SUM($D222:E222)/$W71</f>
        <v>#DIV/0!</v>
      </c>
      <c r="F251" s="458" t="e">
        <f>SUM($D222:F222)/$W71</f>
        <v>#DIV/0!</v>
      </c>
      <c r="G251" s="458" t="e">
        <f>SUM($D222:G222)/$W71</f>
        <v>#DIV/0!</v>
      </c>
      <c r="H251" s="458" t="e">
        <f>SUM($D222:H222)/$W71</f>
        <v>#DIV/0!</v>
      </c>
      <c r="I251" s="458" t="e">
        <f>SUM($D222:I222)/$W71</f>
        <v>#DIV/0!</v>
      </c>
      <c r="J251" s="458" t="e">
        <f>SUM($D222:J222)/$W71</f>
        <v>#DIV/0!</v>
      </c>
      <c r="K251" s="458" t="e">
        <f>SUM($D222:K222)/$W71</f>
        <v>#DIV/0!</v>
      </c>
      <c r="L251" s="458" t="e">
        <f>SUM($D222:L222)/$W71</f>
        <v>#DIV/0!</v>
      </c>
      <c r="M251" s="458" t="e">
        <f>SUM($D222:M222)/$W71</f>
        <v>#DIV/0!</v>
      </c>
      <c r="N251" s="458" t="e">
        <f>SUM($D222:N222)/$W71</f>
        <v>#DIV/0!</v>
      </c>
      <c r="O251" s="458" t="e">
        <f>SUM($D222:O222)/$W71</f>
        <v>#DIV/0!</v>
      </c>
      <c r="P251" s="458" t="e">
        <f>SUM($D222:P222)/$W71</f>
        <v>#DIV/0!</v>
      </c>
      <c r="Q251" s="458" t="e">
        <f>SUM($D222:Q222)/$W71</f>
        <v>#DIV/0!</v>
      </c>
      <c r="R251" s="458" t="e">
        <f>SUM($D222:R222)/$W71</f>
        <v>#DIV/0!</v>
      </c>
      <c r="S251" s="458" t="e">
        <f>SUM($D222:S222)/$W71</f>
        <v>#DIV/0!</v>
      </c>
    </row>
    <row r="252" spans="2:19" ht="14.85" customHeight="1">
      <c r="B252" s="250" t="str">
        <f t="shared" si="115"/>
        <v>Options/Warrants at $0.00 Strike Price</v>
      </c>
      <c r="D252" s="458" t="e">
        <f>SUM($D223:D223)/$W72</f>
        <v>#DIV/0!</v>
      </c>
      <c r="E252" s="458" t="e">
        <f>SUM($D223:E223)/$W72</f>
        <v>#DIV/0!</v>
      </c>
      <c r="F252" s="458" t="e">
        <f>SUM($D223:F223)/$W72</f>
        <v>#DIV/0!</v>
      </c>
      <c r="G252" s="458" t="e">
        <f>SUM($D223:G223)/$W72</f>
        <v>#DIV/0!</v>
      </c>
      <c r="H252" s="458" t="e">
        <f>SUM($D223:H223)/$W72</f>
        <v>#DIV/0!</v>
      </c>
      <c r="I252" s="458" t="e">
        <f>SUM($D223:I223)/$W72</f>
        <v>#DIV/0!</v>
      </c>
      <c r="J252" s="458" t="e">
        <f>SUM($D223:J223)/$W72</f>
        <v>#DIV/0!</v>
      </c>
      <c r="K252" s="458" t="e">
        <f>SUM($D223:K223)/$W72</f>
        <v>#DIV/0!</v>
      </c>
      <c r="L252" s="458" t="e">
        <f>SUM($D223:L223)/$W72</f>
        <v>#DIV/0!</v>
      </c>
      <c r="M252" s="458" t="e">
        <f>SUM($D223:M223)/$W72</f>
        <v>#DIV/0!</v>
      </c>
      <c r="N252" s="458" t="e">
        <f>SUM($D223:N223)/$W72</f>
        <v>#DIV/0!</v>
      </c>
      <c r="O252" s="458" t="e">
        <f>SUM($D223:O223)/$W72</f>
        <v>#DIV/0!</v>
      </c>
      <c r="P252" s="458" t="e">
        <f>SUM($D223:P223)/$W72</f>
        <v>#DIV/0!</v>
      </c>
      <c r="Q252" s="458" t="e">
        <f>SUM($D223:Q223)/$W72</f>
        <v>#DIV/0!</v>
      </c>
      <c r="R252" s="458" t="e">
        <f>SUM($D223:R223)/$W72</f>
        <v>#DIV/0!</v>
      </c>
      <c r="S252" s="458" t="e">
        <f>SUM($D223:S223)/$W72</f>
        <v>#DIV/0!</v>
      </c>
    </row>
    <row r="253" spans="2:19" ht="14.85" customHeight="1">
      <c r="B253" s="250" t="str">
        <f t="shared" si="115"/>
        <v>Options/Warrants at $0.00 Strike Price</v>
      </c>
      <c r="D253" s="458" t="e">
        <f>SUM($D224:D224)/$W73</f>
        <v>#DIV/0!</v>
      </c>
      <c r="E253" s="458" t="e">
        <f>SUM($D224:E224)/$W73</f>
        <v>#DIV/0!</v>
      </c>
      <c r="F253" s="458" t="e">
        <f>SUM($D224:F224)/$W73</f>
        <v>#DIV/0!</v>
      </c>
      <c r="G253" s="458" t="e">
        <f>SUM($D224:G224)/$W73</f>
        <v>#DIV/0!</v>
      </c>
      <c r="H253" s="458" t="e">
        <f>SUM($D224:H224)/$W73</f>
        <v>#DIV/0!</v>
      </c>
      <c r="I253" s="458" t="e">
        <f>SUM($D224:I224)/$W73</f>
        <v>#DIV/0!</v>
      </c>
      <c r="J253" s="458" t="e">
        <f>SUM($D224:J224)/$W73</f>
        <v>#DIV/0!</v>
      </c>
      <c r="K253" s="458" t="e">
        <f>SUM($D224:K224)/$W73</f>
        <v>#DIV/0!</v>
      </c>
      <c r="L253" s="458" t="e">
        <f>SUM($D224:L224)/$W73</f>
        <v>#DIV/0!</v>
      </c>
      <c r="M253" s="458" t="e">
        <f>SUM($D224:M224)/$W73</f>
        <v>#DIV/0!</v>
      </c>
      <c r="N253" s="458" t="e">
        <f>SUM($D224:N224)/$W73</f>
        <v>#DIV/0!</v>
      </c>
      <c r="O253" s="458" t="e">
        <f>SUM($D224:O224)/$W73</f>
        <v>#DIV/0!</v>
      </c>
      <c r="P253" s="458" t="e">
        <f>SUM($D224:P224)/$W73</f>
        <v>#DIV/0!</v>
      </c>
      <c r="Q253" s="458" t="e">
        <f>SUM($D224:Q224)/$W73</f>
        <v>#DIV/0!</v>
      </c>
      <c r="R253" s="458" t="e">
        <f>SUM($D224:R224)/$W73</f>
        <v>#DIV/0!</v>
      </c>
      <c r="S253" s="458" t="e">
        <f>SUM($D224:S224)/$W73</f>
        <v>#DIV/0!</v>
      </c>
    </row>
    <row r="254" spans="2:19" ht="14.85" customHeight="1">
      <c r="B254" s="250" t="str">
        <f t="shared" si="115"/>
        <v>Options/Warrants at $0.00 Strike Price</v>
      </c>
      <c r="D254" s="458" t="e">
        <f>SUM($D225:D225)/$W74</f>
        <v>#DIV/0!</v>
      </c>
      <c r="E254" s="458" t="e">
        <f>SUM($D225:E225)/$W74</f>
        <v>#DIV/0!</v>
      </c>
      <c r="F254" s="458" t="e">
        <f>SUM($D225:F225)/$W74</f>
        <v>#DIV/0!</v>
      </c>
      <c r="G254" s="458" t="e">
        <f>SUM($D225:G225)/$W74</f>
        <v>#DIV/0!</v>
      </c>
      <c r="H254" s="458" t="e">
        <f>SUM($D225:H225)/$W74</f>
        <v>#DIV/0!</v>
      </c>
      <c r="I254" s="458" t="e">
        <f>SUM($D225:I225)/$W74</f>
        <v>#DIV/0!</v>
      </c>
      <c r="J254" s="458" t="e">
        <f>SUM($D225:J225)/$W74</f>
        <v>#DIV/0!</v>
      </c>
      <c r="K254" s="458" t="e">
        <f>SUM($D225:K225)/$W74</f>
        <v>#DIV/0!</v>
      </c>
      <c r="L254" s="458" t="e">
        <f>SUM($D225:L225)/$W74</f>
        <v>#DIV/0!</v>
      </c>
      <c r="M254" s="458" t="e">
        <f>SUM($D225:M225)/$W74</f>
        <v>#DIV/0!</v>
      </c>
      <c r="N254" s="458" t="e">
        <f>SUM($D225:N225)/$W74</f>
        <v>#DIV/0!</v>
      </c>
      <c r="O254" s="458" t="e">
        <f>SUM($D225:O225)/$W74</f>
        <v>#DIV/0!</v>
      </c>
      <c r="P254" s="458" t="e">
        <f>SUM($D225:P225)/$W74</f>
        <v>#DIV/0!</v>
      </c>
      <c r="Q254" s="458" t="e">
        <f>SUM($D225:Q225)/$W74</f>
        <v>#DIV/0!</v>
      </c>
      <c r="R254" s="458" t="e">
        <f>SUM($D225:R225)/$W74</f>
        <v>#DIV/0!</v>
      </c>
      <c r="S254" s="458" t="e">
        <f>SUM($D225:S225)/$W74</f>
        <v>#DIV/0!</v>
      </c>
    </row>
    <row r="255" spans="2:19" ht="14.85" customHeight="1">
      <c r="B255" s="250" t="str">
        <f t="shared" si="115"/>
        <v>Options/Warrants at $0.00 Strike Price</v>
      </c>
      <c r="D255" s="458" t="e">
        <f>SUM($D226:D226)/$W75</f>
        <v>#DIV/0!</v>
      </c>
      <c r="E255" s="458" t="e">
        <f>SUM($D226:E226)/$W75</f>
        <v>#DIV/0!</v>
      </c>
      <c r="F255" s="458" t="e">
        <f>SUM($D226:F226)/$W75</f>
        <v>#DIV/0!</v>
      </c>
      <c r="G255" s="458" t="e">
        <f>SUM($D226:G226)/$W75</f>
        <v>#DIV/0!</v>
      </c>
      <c r="H255" s="458" t="e">
        <f>SUM($D226:H226)/$W75</f>
        <v>#DIV/0!</v>
      </c>
      <c r="I255" s="458" t="e">
        <f>SUM($D226:I226)/$W75</f>
        <v>#DIV/0!</v>
      </c>
      <c r="J255" s="458" t="e">
        <f>SUM($D226:J226)/$W75</f>
        <v>#DIV/0!</v>
      </c>
      <c r="K255" s="458" t="e">
        <f>SUM($D226:K226)/$W75</f>
        <v>#DIV/0!</v>
      </c>
      <c r="L255" s="458" t="e">
        <f>SUM($D226:L226)/$W75</f>
        <v>#DIV/0!</v>
      </c>
      <c r="M255" s="458" t="e">
        <f>SUM($D226:M226)/$W75</f>
        <v>#DIV/0!</v>
      </c>
      <c r="N255" s="458" t="e">
        <f>SUM($D226:N226)/$W75</f>
        <v>#DIV/0!</v>
      </c>
      <c r="O255" s="458" t="e">
        <f>SUM($D226:O226)/$W75</f>
        <v>#DIV/0!</v>
      </c>
      <c r="P255" s="458" t="e">
        <f>SUM($D226:P226)/$W75</f>
        <v>#DIV/0!</v>
      </c>
      <c r="Q255" s="458" t="e">
        <f>SUM($D226:Q226)/$W75</f>
        <v>#DIV/0!</v>
      </c>
      <c r="R255" s="458" t="e">
        <f>SUM($D226:R226)/$W75</f>
        <v>#DIV/0!</v>
      </c>
      <c r="S255" s="458" t="e">
        <f>SUM($D226:S226)/$W75</f>
        <v>#DIV/0!</v>
      </c>
    </row>
    <row r="256" spans="2:19" ht="14.85" customHeight="1">
      <c r="B256" s="250" t="str">
        <f t="shared" si="115"/>
        <v>Options/Warrants at $0.00 Strike Price</v>
      </c>
      <c r="D256" s="458" t="e">
        <f>SUM($D227:D227)/$W76</f>
        <v>#DIV/0!</v>
      </c>
      <c r="E256" s="458" t="e">
        <f>SUM($D227:E227)/$W76</f>
        <v>#DIV/0!</v>
      </c>
      <c r="F256" s="458" t="e">
        <f>SUM($D227:F227)/$W76</f>
        <v>#DIV/0!</v>
      </c>
      <c r="G256" s="458" t="e">
        <f>SUM($D227:G227)/$W76</f>
        <v>#DIV/0!</v>
      </c>
      <c r="H256" s="458" t="e">
        <f>SUM($D227:H227)/$W76</f>
        <v>#DIV/0!</v>
      </c>
      <c r="I256" s="458" t="e">
        <f>SUM($D227:I227)/$W76</f>
        <v>#DIV/0!</v>
      </c>
      <c r="J256" s="458" t="e">
        <f>SUM($D227:J227)/$W76</f>
        <v>#DIV/0!</v>
      </c>
      <c r="K256" s="458" t="e">
        <f>SUM($D227:K227)/$W76</f>
        <v>#DIV/0!</v>
      </c>
      <c r="L256" s="458" t="e">
        <f>SUM($D227:L227)/$W76</f>
        <v>#DIV/0!</v>
      </c>
      <c r="M256" s="458" t="e">
        <f>SUM($D227:M227)/$W76</f>
        <v>#DIV/0!</v>
      </c>
      <c r="N256" s="458" t="e">
        <f>SUM($D227:N227)/$W76</f>
        <v>#DIV/0!</v>
      </c>
      <c r="O256" s="458" t="e">
        <f>SUM($D227:O227)/$W76</f>
        <v>#DIV/0!</v>
      </c>
      <c r="P256" s="458" t="e">
        <f>SUM($D227:P227)/$W76</f>
        <v>#DIV/0!</v>
      </c>
      <c r="Q256" s="458" t="e">
        <f>SUM($D227:Q227)/$W76</f>
        <v>#DIV/0!</v>
      </c>
      <c r="R256" s="458" t="e">
        <f>SUM($D227:R227)/$W76</f>
        <v>#DIV/0!</v>
      </c>
      <c r="S256" s="458" t="e">
        <f>SUM($D227:S227)/$W76</f>
        <v>#DIV/0!</v>
      </c>
    </row>
    <row r="257" spans="2:19" ht="14.85" customHeight="1">
      <c r="B257" s="250" t="str">
        <f t="shared" si="115"/>
        <v>Options/Warrants at $0.00 Strike Price</v>
      </c>
      <c r="D257" s="458" t="e">
        <f>SUM($D228:D228)/$W77</f>
        <v>#DIV/0!</v>
      </c>
      <c r="E257" s="458" t="e">
        <f>SUM($D228:E228)/$W77</f>
        <v>#DIV/0!</v>
      </c>
      <c r="F257" s="458" t="e">
        <f>SUM($D228:F228)/$W77</f>
        <v>#DIV/0!</v>
      </c>
      <c r="G257" s="458" t="e">
        <f>SUM($D228:G228)/$W77</f>
        <v>#DIV/0!</v>
      </c>
      <c r="H257" s="458" t="e">
        <f>SUM($D228:H228)/$W77</f>
        <v>#DIV/0!</v>
      </c>
      <c r="I257" s="458" t="e">
        <f>SUM($D228:I228)/$W77</f>
        <v>#DIV/0!</v>
      </c>
      <c r="J257" s="458" t="e">
        <f>SUM($D228:J228)/$W77</f>
        <v>#DIV/0!</v>
      </c>
      <c r="K257" s="458" t="e">
        <f>SUM($D228:K228)/$W77</f>
        <v>#DIV/0!</v>
      </c>
      <c r="L257" s="458" t="e">
        <f>SUM($D228:L228)/$W77</f>
        <v>#DIV/0!</v>
      </c>
      <c r="M257" s="458" t="e">
        <f>SUM($D228:M228)/$W77</f>
        <v>#DIV/0!</v>
      </c>
      <c r="N257" s="458" t="e">
        <f>SUM($D228:N228)/$W77</f>
        <v>#DIV/0!</v>
      </c>
      <c r="O257" s="458" t="e">
        <f>SUM($D228:O228)/$W77</f>
        <v>#DIV/0!</v>
      </c>
      <c r="P257" s="458" t="e">
        <f>SUM($D228:P228)/$W77</f>
        <v>#DIV/0!</v>
      </c>
      <c r="Q257" s="458" t="e">
        <f>SUM($D228:Q228)/$W77</f>
        <v>#DIV/0!</v>
      </c>
      <c r="R257" s="458" t="e">
        <f>SUM($D228:R228)/$W77</f>
        <v>#DIV/0!</v>
      </c>
      <c r="S257" s="458" t="e">
        <f>SUM($D228:S228)/$W77</f>
        <v>#DIV/0!</v>
      </c>
    </row>
    <row r="258" spans="2:19" ht="14.85" customHeight="1">
      <c r="B258" s="250" t="str">
        <f t="shared" si="115"/>
        <v>Expected Options Grant</v>
      </c>
      <c r="D258" s="458" t="e">
        <f>SUM($D229:D229)/$W78</f>
        <v>#DIV/0!</v>
      </c>
      <c r="E258" s="458" t="e">
        <f>SUM($D229:E229)/$W78</f>
        <v>#DIV/0!</v>
      </c>
      <c r="F258" s="458" t="e">
        <f>SUM($D229:F229)/$W78</f>
        <v>#DIV/0!</v>
      </c>
      <c r="G258" s="458" t="e">
        <f>SUM($D229:G229)/$W78</f>
        <v>#DIV/0!</v>
      </c>
      <c r="H258" s="458" t="e">
        <f>SUM($D229:H229)/$W78</f>
        <v>#DIV/0!</v>
      </c>
      <c r="I258" s="458" t="e">
        <f>SUM($D229:I229)/$W78</f>
        <v>#DIV/0!</v>
      </c>
      <c r="J258" s="458" t="e">
        <f>SUM($D229:J229)/$W78</f>
        <v>#DIV/0!</v>
      </c>
      <c r="K258" s="458" t="e">
        <f>SUM($D229:K229)/$W78</f>
        <v>#DIV/0!</v>
      </c>
      <c r="L258" s="458" t="e">
        <f>SUM($D229:L229)/$W78</f>
        <v>#DIV/0!</v>
      </c>
      <c r="M258" s="458" t="e">
        <f>SUM($D229:M229)/$W78</f>
        <v>#DIV/0!</v>
      </c>
      <c r="N258" s="458" t="e">
        <f>SUM($D229:N229)/$W78</f>
        <v>#DIV/0!</v>
      </c>
      <c r="O258" s="458" t="e">
        <f>SUM($D229:O229)/$W78</f>
        <v>#DIV/0!</v>
      </c>
      <c r="P258" s="458" t="e">
        <f>SUM($D229:P229)/$W78</f>
        <v>#DIV/0!</v>
      </c>
      <c r="Q258" s="458" t="e">
        <f>SUM($D229:Q229)/$W78</f>
        <v>#DIV/0!</v>
      </c>
      <c r="R258" s="458" t="e">
        <f>SUM($D229:R229)/$W78</f>
        <v>#DIV/0!</v>
      </c>
      <c r="S258" s="458" t="e">
        <f>SUM($D229:S229)/$W78</f>
        <v>#DIV/0!</v>
      </c>
    </row>
    <row r="259" spans="2:19" ht="14.85" customHeight="1">
      <c r="B259" s="346" t="str">
        <f t="shared" si="115"/>
        <v>Common Stock</v>
      </c>
      <c r="C259" s="346"/>
      <c r="D259" s="1938" t="e">
        <f ca="1">SUM($D230:D230)/$W79</f>
        <v>#DIV/0!</v>
      </c>
      <c r="E259" s="1938" t="e">
        <f ca="1">SUM($D230:E230)/$W79</f>
        <v>#DIV/0!</v>
      </c>
      <c r="F259" s="1938" t="e">
        <f ca="1">SUM($D230:F230)/$W79</f>
        <v>#DIV/0!</v>
      </c>
      <c r="G259" s="1938" t="e">
        <f ca="1">SUM($D230:G230)/$W79</f>
        <v>#DIV/0!</v>
      </c>
      <c r="H259" s="1938" t="e">
        <f ca="1">SUM($D230:H230)/$W79</f>
        <v>#DIV/0!</v>
      </c>
      <c r="I259" s="1938" t="e">
        <f ca="1">SUM($D230:I230)/$W79</f>
        <v>#DIV/0!</v>
      </c>
      <c r="J259" s="1938" t="e">
        <f ca="1">SUM($D230:J230)/$W79</f>
        <v>#DIV/0!</v>
      </c>
      <c r="K259" s="1938" t="e">
        <f ca="1">SUM($D230:K230)/$W79</f>
        <v>#DIV/0!</v>
      </c>
      <c r="L259" s="1938" t="e">
        <f ca="1">SUM($D230:L230)/$W79</f>
        <v>#DIV/0!</v>
      </c>
      <c r="M259" s="1938" t="e">
        <f ca="1">SUM($D230:M230)/$W79</f>
        <v>#DIV/0!</v>
      </c>
      <c r="N259" s="1938" t="e">
        <f ca="1">SUM($D230:N230)/$W79</f>
        <v>#DIV/0!</v>
      </c>
      <c r="O259" s="1938" t="e">
        <f ca="1">SUM($D230:O230)/$W79</f>
        <v>#DIV/0!</v>
      </c>
      <c r="P259" s="1938" t="e">
        <f ca="1">SUM($D230:P230)/$W79</f>
        <v>#DIV/0!</v>
      </c>
      <c r="Q259" s="1938" t="e">
        <f ca="1">SUM($D230:Q230)/$W79</f>
        <v>#DIV/0!</v>
      </c>
      <c r="R259" s="1938" t="e">
        <f ca="1">SUM($D230:R230)/$W79</f>
        <v>#DIV/0!</v>
      </c>
      <c r="S259" s="1938" t="e">
        <f ca="1">SUM($D230:S230)/$W79</f>
        <v>#DIV/0!</v>
      </c>
    </row>
    <row r="260" spans="2:19" ht="14.85" customHeight="1">
      <c r="B260" s="253" t="s">
        <v>169</v>
      </c>
      <c r="D260" s="253" t="e">
        <f>SUM(D235:D259)</f>
        <v>#DIV/0!</v>
      </c>
      <c r="E260" s="253" t="e">
        <f t="shared" ref="E260:S260" si="116">SUM(E235:E259)</f>
        <v>#DIV/0!</v>
      </c>
      <c r="F260" s="253" t="e">
        <f t="shared" si="116"/>
        <v>#DIV/0!</v>
      </c>
      <c r="G260" s="253" t="e">
        <f t="shared" si="116"/>
        <v>#DIV/0!</v>
      </c>
      <c r="H260" s="253" t="e">
        <f t="shared" si="116"/>
        <v>#DIV/0!</v>
      </c>
      <c r="I260" s="253" t="e">
        <f t="shared" si="116"/>
        <v>#DIV/0!</v>
      </c>
      <c r="J260" s="253" t="e">
        <f t="shared" si="116"/>
        <v>#DIV/0!</v>
      </c>
      <c r="K260" s="253" t="e">
        <f t="shared" si="116"/>
        <v>#DIV/0!</v>
      </c>
      <c r="L260" s="253" t="e">
        <f t="shared" si="116"/>
        <v>#DIV/0!</v>
      </c>
      <c r="M260" s="253" t="e">
        <f t="shared" si="116"/>
        <v>#DIV/0!</v>
      </c>
      <c r="N260" s="253" t="e">
        <f t="shared" si="116"/>
        <v>#DIV/0!</v>
      </c>
      <c r="O260" s="253" t="e">
        <f t="shared" si="116"/>
        <v>#DIV/0!</v>
      </c>
      <c r="P260" s="253" t="e">
        <f t="shared" si="116"/>
        <v>#DIV/0!</v>
      </c>
      <c r="Q260" s="253" t="e">
        <f t="shared" si="116"/>
        <v>#DIV/0!</v>
      </c>
      <c r="R260" s="253" t="e">
        <f t="shared" si="116"/>
        <v>#DIV/0!</v>
      </c>
      <c r="S260" s="253" t="e">
        <f t="shared" si="116"/>
        <v>#DIV/0!</v>
      </c>
    </row>
    <row r="261" spans="2:19" ht="14.85" customHeight="1"/>
    <row r="262" spans="2:19" ht="14.85" customHeight="1">
      <c r="B262" s="250" t="s">
        <v>2227</v>
      </c>
      <c r="D262" s="1943">
        <f t="shared" ref="D262:S262" si="117">NORMSDIST(D97)</f>
        <v>1</v>
      </c>
      <c r="E262" s="1943">
        <f t="shared" si="117"/>
        <v>1</v>
      </c>
      <c r="F262" s="1943">
        <f t="shared" si="117"/>
        <v>1</v>
      </c>
      <c r="G262" s="1943">
        <f t="shared" si="117"/>
        <v>1</v>
      </c>
      <c r="H262" s="1943">
        <f t="shared" si="117"/>
        <v>1</v>
      </c>
      <c r="I262" s="1943" t="e">
        <f t="shared" si="117"/>
        <v>#VALUE!</v>
      </c>
      <c r="J262" s="1943" t="e">
        <f t="shared" si="117"/>
        <v>#VALUE!</v>
      </c>
      <c r="K262" s="1943" t="e">
        <f t="shared" si="117"/>
        <v>#VALUE!</v>
      </c>
      <c r="L262" s="1943" t="e">
        <f t="shared" si="117"/>
        <v>#VALUE!</v>
      </c>
      <c r="M262" s="1943" t="e">
        <f t="shared" si="117"/>
        <v>#VALUE!</v>
      </c>
      <c r="N262" s="1943" t="e">
        <f t="shared" si="117"/>
        <v>#VALUE!</v>
      </c>
      <c r="O262" s="1943" t="e">
        <f t="shared" si="117"/>
        <v>#VALUE!</v>
      </c>
      <c r="P262" s="1943" t="e">
        <f t="shared" si="117"/>
        <v>#VALUE!</v>
      </c>
      <c r="Q262" s="1943" t="e">
        <f t="shared" si="117"/>
        <v>#VALUE!</v>
      </c>
      <c r="R262" s="1943" t="e">
        <f t="shared" si="117"/>
        <v>#VALUE!</v>
      </c>
      <c r="S262" s="1943" t="e">
        <f t="shared" si="117"/>
        <v>#VALUE!</v>
      </c>
    </row>
    <row r="263" spans="2:19" ht="14.85" customHeight="1"/>
    <row r="264" spans="2:19" ht="14.85" customHeight="1">
      <c r="D264" s="416">
        <f t="shared" ref="D264:S264" si="118">NORMSDIST(D98)</f>
        <v>1</v>
      </c>
      <c r="E264" s="416">
        <f t="shared" si="118"/>
        <v>1</v>
      </c>
      <c r="F264" s="416">
        <f t="shared" si="118"/>
        <v>1</v>
      </c>
      <c r="G264" s="416">
        <f t="shared" si="118"/>
        <v>1</v>
      </c>
      <c r="H264" s="416">
        <f t="shared" si="118"/>
        <v>1</v>
      </c>
      <c r="I264" s="416" t="e">
        <f t="shared" si="118"/>
        <v>#VALUE!</v>
      </c>
      <c r="J264" s="416" t="e">
        <f t="shared" si="118"/>
        <v>#VALUE!</v>
      </c>
      <c r="K264" s="416" t="e">
        <f t="shared" si="118"/>
        <v>#VALUE!</v>
      </c>
      <c r="L264" s="416" t="e">
        <f t="shared" si="118"/>
        <v>#VALUE!</v>
      </c>
      <c r="M264" s="416" t="e">
        <f t="shared" si="118"/>
        <v>#VALUE!</v>
      </c>
      <c r="N264" s="416" t="e">
        <f t="shared" si="118"/>
        <v>#VALUE!</v>
      </c>
      <c r="O264" s="416" t="e">
        <f t="shared" si="118"/>
        <v>#VALUE!</v>
      </c>
      <c r="P264" s="416" t="e">
        <f t="shared" si="118"/>
        <v>#VALUE!</v>
      </c>
      <c r="Q264" s="416" t="e">
        <f t="shared" si="118"/>
        <v>#VALUE!</v>
      </c>
      <c r="R264" s="416" t="e">
        <f t="shared" si="118"/>
        <v>#VALUE!</v>
      </c>
      <c r="S264" s="416" t="e">
        <f t="shared" si="118"/>
        <v>#VALUE!</v>
      </c>
    </row>
    <row r="265" spans="2:19" ht="14.85" customHeight="1">
      <c r="B265" s="250" t="s">
        <v>1859</v>
      </c>
      <c r="D265" s="772">
        <f>D264-E264</f>
        <v>0</v>
      </c>
      <c r="E265" s="416"/>
      <c r="F265" s="416"/>
      <c r="G265" s="416"/>
      <c r="H265" s="416"/>
      <c r="I265" s="416"/>
      <c r="J265" s="416"/>
      <c r="K265" s="416"/>
      <c r="L265" s="416"/>
      <c r="M265" s="416"/>
      <c r="N265" s="416"/>
      <c r="O265" s="416"/>
      <c r="P265" s="416"/>
      <c r="Q265" s="416"/>
      <c r="R265" s="416"/>
      <c r="S265" s="416"/>
    </row>
    <row r="266" spans="2:19" ht="14.85" customHeight="1"/>
    <row r="267" spans="2:19" ht="14.85" customHeight="1"/>
    <row r="268" spans="2:19" ht="14.85" customHeight="1"/>
    <row r="269" spans="2:19" ht="14.85" customHeight="1"/>
    <row r="270" spans="2:19" ht="14.85" customHeight="1"/>
    <row r="271" spans="2:19" ht="14.85" customHeight="1"/>
    <row r="272" spans="2:19"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I4">
    <cfRule type="cellIs" dxfId="82" priority="7" stopIfTrue="1" operator="equal">
      <formula>"input"</formula>
    </cfRule>
  </conditionalFormatting>
  <conditionalFormatting sqref="J4">
    <cfRule type="cellIs" dxfId="81" priority="5" stopIfTrue="1" operator="equal">
      <formula>"input"</formula>
    </cfRule>
  </conditionalFormatting>
  <conditionalFormatting sqref="J4">
    <cfRule type="cellIs" dxfId="80" priority="6" stopIfTrue="1" operator="equal">
      <formula>"input"</formula>
    </cfRule>
  </conditionalFormatting>
  <conditionalFormatting sqref="K4:R4">
    <cfRule type="cellIs" dxfId="79" priority="3" stopIfTrue="1" operator="equal">
      <formula>"input"</formula>
    </cfRule>
  </conditionalFormatting>
  <conditionalFormatting sqref="K4:R4">
    <cfRule type="cellIs" dxfId="78" priority="4" stopIfTrue="1" operator="equal">
      <formula>"input"</formula>
    </cfRule>
  </conditionalFormatting>
  <conditionalFormatting sqref="S4">
    <cfRule type="cellIs" dxfId="77" priority="1" stopIfTrue="1" operator="equal">
      <formula>"input"</formula>
    </cfRule>
  </conditionalFormatting>
  <conditionalFormatting sqref="S4">
    <cfRule type="cellIs" dxfId="76" priority="2" stopIfTrue="1" operator="equal">
      <formula>"input"</formula>
    </cfRule>
  </conditionalFormatting>
  <pageMargins left="0.5" right="0.5" top="0.5" bottom="0.5" header="0.5" footer="0.5"/>
  <pageSetup scale="75" fitToWidth="0" fitToHeight="0" pageOrder="overThenDown" orientation="landscape" r:id="rId1"/>
  <rowBreaks count="3" manualBreakCount="3">
    <brk id="52" max="19" man="1"/>
    <brk id="90" max="19" man="1"/>
    <brk id="138" max="19" man="1"/>
  </rowBreaks>
  <legacyDrawing r:id="rId2"/>
  <legacyDrawingHF r:id="rId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66"/>
  <dimension ref="A1:V764"/>
  <sheetViews>
    <sheetView showGridLines="0" view="pageBreakPreview" zoomScale="80" zoomScaleNormal="100" zoomScaleSheetLayoutView="80" workbookViewId="0"/>
  </sheetViews>
  <sheetFormatPr defaultRowHeight="12.75"/>
  <cols>
    <col min="1" max="1" width="4.5" style="250" customWidth="1"/>
    <col min="2" max="2" width="31.33203125" style="250" customWidth="1"/>
    <col min="3" max="3" width="6.83203125" style="250" customWidth="1"/>
    <col min="4" max="4" width="19.33203125" style="250" customWidth="1"/>
    <col min="5" max="5" width="6.83203125" style="250" customWidth="1"/>
    <col min="6" max="6" width="19.33203125" style="250" customWidth="1"/>
    <col min="7" max="7" width="6.83203125" style="250" customWidth="1"/>
    <col min="8" max="8" width="19.33203125" style="250" customWidth="1"/>
    <col min="9" max="9" width="6.83203125" style="250" customWidth="1"/>
    <col min="10" max="10" width="20.83203125" style="250" customWidth="1"/>
    <col min="11" max="11" width="6.83203125" style="250" customWidth="1"/>
    <col min="12" max="12" width="20.83203125" style="250" customWidth="1"/>
    <col min="13" max="13" width="4.5" style="250" customWidth="1"/>
    <col min="14" max="14" width="9.33203125" style="250"/>
    <col min="15" max="15" width="15.33203125" style="250" bestFit="1" customWidth="1"/>
    <col min="16" max="16" width="11.5" style="250" bestFit="1" customWidth="1"/>
    <col min="17" max="17" width="9.33203125" style="250"/>
    <col min="18" max="18" width="10.6640625" style="250" customWidth="1"/>
    <col min="19" max="16384" width="9.33203125" style="250"/>
  </cols>
  <sheetData>
    <row r="1" spans="2:16" ht="10.7" customHeight="1" thickBot="1"/>
    <row r="2" spans="2:16" ht="16.5" customHeight="1" thickTop="1">
      <c r="B2" s="258" t="str">
        <f>'MASTER PubCo Inputs'!$C$5</f>
        <v>ABC, Inc.</v>
      </c>
      <c r="C2" s="258"/>
      <c r="D2" s="258"/>
      <c r="E2" s="258"/>
      <c r="F2" s="258"/>
      <c r="G2" s="258"/>
      <c r="H2" s="258"/>
      <c r="I2" s="258"/>
      <c r="J2" s="258"/>
      <c r="K2" s="258"/>
      <c r="L2" s="258"/>
      <c r="N2" s="467"/>
      <c r="O2" s="793"/>
      <c r="P2" s="793"/>
    </row>
    <row r="3" spans="2:16" ht="15.75" customHeight="1">
      <c r="B3" s="259" t="str">
        <f>VLOOKUP(B4,Outline!$E$8:$G$79,COLUMNS(Outline!$E$8:$G$8),FALSE)</f>
        <v>Workpaper #3</v>
      </c>
      <c r="C3" s="259"/>
      <c r="D3" s="259"/>
      <c r="E3" s="259"/>
      <c r="F3" s="259"/>
      <c r="G3" s="259"/>
      <c r="H3" s="259"/>
      <c r="I3" s="259"/>
      <c r="J3" s="259"/>
      <c r="K3" s="259"/>
      <c r="L3" s="259"/>
      <c r="N3" s="467"/>
      <c r="O3" s="467"/>
      <c r="P3" s="467"/>
    </row>
    <row r="4" spans="2:16" ht="16.5" customHeight="1" thickBot="1">
      <c r="B4" s="924" t="s">
        <v>2204</v>
      </c>
      <c r="C4" s="924"/>
      <c r="D4" s="924"/>
      <c r="E4" s="924"/>
      <c r="F4" s="924"/>
      <c r="G4" s="924"/>
      <c r="H4" s="924"/>
      <c r="I4" s="924"/>
      <c r="J4" s="925"/>
      <c r="K4" s="925"/>
      <c r="L4" s="925" t="str">
        <f>+'MASTER PubCo Inputs'!$C$20</f>
        <v>(in thousands of USD and shares, except price per share)</v>
      </c>
      <c r="N4" s="467"/>
      <c r="O4" s="467"/>
      <c r="P4" s="1928"/>
    </row>
    <row r="5" spans="2:16" s="467" customFormat="1" ht="14.85" customHeight="1" thickTop="1">
      <c r="B5" s="250"/>
      <c r="C5" s="250"/>
      <c r="D5" s="250"/>
      <c r="E5" s="250"/>
      <c r="F5" s="250"/>
      <c r="G5" s="250"/>
      <c r="H5" s="250"/>
      <c r="I5" s="250"/>
      <c r="J5" s="250"/>
      <c r="K5" s="250"/>
      <c r="L5" s="250"/>
      <c r="M5" s="250"/>
      <c r="P5" s="480"/>
    </row>
    <row r="6" spans="2:16" ht="14.85" customHeight="1">
      <c r="N6" s="467"/>
      <c r="O6" s="467"/>
      <c r="P6" s="480"/>
    </row>
    <row r="7" spans="2:16" ht="14.85" customHeight="1">
      <c r="B7" s="780" t="s">
        <v>428</v>
      </c>
      <c r="C7" s="781"/>
      <c r="D7" s="782" t="s">
        <v>326</v>
      </c>
      <c r="E7" s="782"/>
      <c r="F7" s="782" t="s">
        <v>324</v>
      </c>
      <c r="G7" s="782"/>
      <c r="H7" s="782" t="s">
        <v>429</v>
      </c>
      <c r="I7" s="782"/>
      <c r="J7" s="782" t="s">
        <v>973</v>
      </c>
      <c r="K7" s="782"/>
      <c r="L7" s="783" t="s">
        <v>430</v>
      </c>
      <c r="N7" s="467"/>
      <c r="O7" s="467"/>
      <c r="P7" s="1929"/>
    </row>
    <row r="8" spans="2:16" ht="14.85" customHeight="1">
      <c r="N8" s="467"/>
      <c r="O8" s="467"/>
      <c r="P8" s="467"/>
    </row>
    <row r="9" spans="2:16" ht="14.85" customHeight="1">
      <c r="B9" s="250" t="str">
        <f>'OPM 1 Hybrid'!B172</f>
        <v>Series A</v>
      </c>
      <c r="D9" s="329" t="e">
        <f>'OPM 1 Hybrid'!$U172</f>
        <v>#DIV/0!</v>
      </c>
      <c r="E9" s="785"/>
      <c r="F9" s="329">
        <f>'Cap Table'!$D$13</f>
        <v>10</v>
      </c>
      <c r="G9" s="345"/>
      <c r="H9" s="786" t="e">
        <f t="shared" ref="H9:H24" si="0">D9/F9</f>
        <v>#DIV/0!</v>
      </c>
      <c r="I9" s="786"/>
      <c r="J9" s="787"/>
      <c r="K9" s="725"/>
      <c r="L9" s="787"/>
      <c r="N9" s="467"/>
      <c r="O9" s="467"/>
      <c r="P9" s="467"/>
    </row>
    <row r="10" spans="2:16" ht="14.85" customHeight="1">
      <c r="B10" s="250" t="str">
        <f>'OPM 1 Hybrid'!B173</f>
        <v>Series B</v>
      </c>
      <c r="D10" s="329" t="e">
        <f>'OPM 1 Hybrid'!$U173</f>
        <v>#DIV/0!</v>
      </c>
      <c r="E10" s="785"/>
      <c r="F10" s="329">
        <f ca="1">'Cap Table'!$E$13</f>
        <v>99</v>
      </c>
      <c r="G10" s="345"/>
      <c r="H10" s="786" t="e">
        <f t="shared" ca="1" si="0"/>
        <v>#DIV/0!</v>
      </c>
      <c r="I10" s="786"/>
      <c r="J10" s="787"/>
      <c r="K10" s="725"/>
      <c r="L10" s="787"/>
      <c r="N10" s="467"/>
      <c r="O10" s="467"/>
      <c r="P10" s="467"/>
    </row>
    <row r="11" spans="2:16" ht="14.85" customHeight="1">
      <c r="B11" s="250" t="str">
        <f>'OPM 1 Hybrid'!B174</f>
        <v>Series C</v>
      </c>
      <c r="D11" s="329" t="e">
        <f>'OPM 1 Hybrid'!$U174</f>
        <v>#DIV/0!</v>
      </c>
      <c r="E11" s="785"/>
      <c r="F11" s="329">
        <f ca="1">'Cap Table'!$F$13</f>
        <v>88</v>
      </c>
      <c r="G11" s="345"/>
      <c r="H11" s="786" t="e">
        <f t="shared" ca="1" si="0"/>
        <v>#DIV/0!</v>
      </c>
      <c r="I11" s="786"/>
      <c r="J11" s="787"/>
      <c r="K11" s="725"/>
      <c r="L11" s="787"/>
      <c r="N11" s="467"/>
      <c r="O11" s="467"/>
      <c r="P11" s="467"/>
    </row>
    <row r="12" spans="2:16" ht="14.85" customHeight="1">
      <c r="B12" s="250" t="str">
        <f>'OPM 1 Hybrid'!B175</f>
        <v>Series D</v>
      </c>
      <c r="D12" s="329" t="e">
        <f>'OPM 1 Hybrid'!$U175</f>
        <v>#DIV/0!</v>
      </c>
      <c r="E12" s="785"/>
      <c r="F12" s="329">
        <f ca="1">'Cap Table'!$G$13</f>
        <v>54</v>
      </c>
      <c r="G12" s="345"/>
      <c r="H12" s="786" t="e">
        <f t="shared" ca="1" si="0"/>
        <v>#DIV/0!</v>
      </c>
      <c r="I12" s="786"/>
      <c r="J12" s="787"/>
      <c r="K12" s="725"/>
      <c r="L12" s="787"/>
    </row>
    <row r="13" spans="2:16" ht="14.85" customHeight="1">
      <c r="B13" s="250" t="str">
        <f>'OPM 1 Hybrid'!B176</f>
        <v>Series E</v>
      </c>
      <c r="D13" s="329" t="e">
        <f>'OPM 1 Hybrid'!$U176</f>
        <v>#DIV/0!</v>
      </c>
      <c r="E13" s="785"/>
      <c r="F13" s="329">
        <f ca="1">'Cap Table'!$H$13</f>
        <v>100</v>
      </c>
      <c r="G13" s="345"/>
      <c r="H13" s="786" t="e">
        <f t="shared" ca="1" si="0"/>
        <v>#DIV/0!</v>
      </c>
      <c r="I13" s="786"/>
      <c r="J13" s="787"/>
      <c r="K13" s="725"/>
      <c r="L13" s="787"/>
    </row>
    <row r="14" spans="2:16" ht="14.85" customHeight="1">
      <c r="B14" s="250" t="str">
        <f>'OPM 1 Hybrid'!B177</f>
        <v>Series F</v>
      </c>
      <c r="D14" s="329" t="e">
        <f>'OPM 1 Hybrid'!$U177</f>
        <v>#DIV/0!</v>
      </c>
      <c r="E14" s="785"/>
      <c r="F14" s="329">
        <f ca="1">'Cap Table'!$I$13</f>
        <v>66</v>
      </c>
      <c r="G14" s="345"/>
      <c r="H14" s="786" t="e">
        <f t="shared" ca="1" si="0"/>
        <v>#DIV/0!</v>
      </c>
      <c r="I14" s="786"/>
      <c r="J14" s="787"/>
      <c r="K14" s="725"/>
      <c r="L14" s="787"/>
    </row>
    <row r="15" spans="2:16" ht="14.85" customHeight="1">
      <c r="B15" s="250" t="str">
        <f>'OPM 1 Hybrid'!B178</f>
        <v>Series G</v>
      </c>
      <c r="D15" s="329" t="e">
        <f>'OPM 1 Hybrid'!$U178</f>
        <v>#DIV/0!</v>
      </c>
      <c r="E15" s="785"/>
      <c r="F15" s="329">
        <f ca="1">'Cap Table'!$J$13</f>
        <v>98</v>
      </c>
      <c r="G15" s="345"/>
      <c r="H15" s="786" t="e">
        <f t="shared" ca="1" si="0"/>
        <v>#DIV/0!</v>
      </c>
      <c r="I15" s="786"/>
      <c r="J15" s="787"/>
      <c r="K15" s="725"/>
      <c r="L15" s="787"/>
    </row>
    <row r="16" spans="2:16" ht="14.85" customHeight="1">
      <c r="B16" s="250" t="str">
        <f>'OPM 1 Hybrid'!B179</f>
        <v>Series A Warrants</v>
      </c>
      <c r="D16" s="329" t="e">
        <f>'OPM 1 Hybrid'!$U179</f>
        <v>#DIV/0!</v>
      </c>
      <c r="E16" s="785"/>
      <c r="F16" s="329">
        <f ca="1">'Cap Table'!$D$15</f>
        <v>12</v>
      </c>
      <c r="G16" s="345"/>
      <c r="H16" s="786" t="e">
        <f t="shared" ca="1" si="0"/>
        <v>#DIV/0!</v>
      </c>
      <c r="I16" s="786"/>
      <c r="J16" s="787"/>
      <c r="K16" s="725"/>
      <c r="L16" s="787"/>
    </row>
    <row r="17" spans="1:22" ht="14.85" customHeight="1">
      <c r="B17" s="250" t="str">
        <f>'OPM 1 Hybrid'!B180</f>
        <v>Series B Warrants</v>
      </c>
      <c r="D17" s="329" t="e">
        <f>'OPM 1 Hybrid'!$U180</f>
        <v>#DIV/0!</v>
      </c>
      <c r="E17" s="785"/>
      <c r="F17" s="329">
        <f ca="1">'Cap Table'!$E$15</f>
        <v>10</v>
      </c>
      <c r="G17" s="345"/>
      <c r="H17" s="786" t="e">
        <f t="shared" ca="1" si="0"/>
        <v>#DIV/0!</v>
      </c>
      <c r="I17" s="786"/>
      <c r="J17" s="787"/>
      <c r="K17" s="725"/>
      <c r="L17" s="787"/>
    </row>
    <row r="18" spans="1:22" ht="14.85" customHeight="1">
      <c r="B18" s="250" t="str">
        <f>'OPM 1 Hybrid'!B181</f>
        <v>Series C Warrants</v>
      </c>
      <c r="D18" s="329" t="e">
        <f>'OPM 1 Hybrid'!$U181</f>
        <v>#DIV/0!</v>
      </c>
      <c r="E18" s="785"/>
      <c r="F18" s="329">
        <f ca="1">'Cap Table'!$F$15</f>
        <v>17</v>
      </c>
      <c r="G18" s="345"/>
      <c r="H18" s="786" t="e">
        <f t="shared" ca="1" si="0"/>
        <v>#DIV/0!</v>
      </c>
      <c r="I18" s="786"/>
      <c r="J18" s="787"/>
      <c r="K18" s="725"/>
      <c r="L18" s="787"/>
    </row>
    <row r="19" spans="1:22" ht="14.85" customHeight="1">
      <c r="B19" s="250" t="str">
        <f>'OPM 1 Hybrid'!B182</f>
        <v>Series D Warrants</v>
      </c>
      <c r="D19" s="329" t="e">
        <f>'OPM 1 Hybrid'!$U182</f>
        <v>#DIV/0!</v>
      </c>
      <c r="E19" s="785"/>
      <c r="F19" s="329">
        <f ca="1">'Cap Table'!$G$15</f>
        <v>14</v>
      </c>
      <c r="G19" s="345"/>
      <c r="H19" s="786" t="e">
        <f t="shared" ca="1" si="0"/>
        <v>#DIV/0!</v>
      </c>
      <c r="I19" s="786"/>
      <c r="J19" s="787"/>
      <c r="K19" s="725"/>
      <c r="L19" s="787"/>
    </row>
    <row r="20" spans="1:22" ht="14.85" customHeight="1">
      <c r="B20" s="250" t="str">
        <f>'OPM 1 Hybrid'!B183</f>
        <v>Series E Warrants</v>
      </c>
      <c r="D20" s="329" t="e">
        <f>'OPM 1 Hybrid'!$U183</f>
        <v>#DIV/0!</v>
      </c>
      <c r="E20" s="785"/>
      <c r="F20" s="329">
        <f ca="1">'Cap Table'!$H$15</f>
        <v>19</v>
      </c>
      <c r="G20" s="345"/>
      <c r="H20" s="786" t="e">
        <f t="shared" ca="1" si="0"/>
        <v>#DIV/0!</v>
      </c>
      <c r="I20" s="786"/>
      <c r="J20" s="787"/>
      <c r="K20" s="725"/>
      <c r="L20" s="787"/>
    </row>
    <row r="21" spans="1:22" ht="14.85" customHeight="1">
      <c r="B21" s="250" t="str">
        <f>'OPM 1 Hybrid'!B184</f>
        <v>Series F Warrants</v>
      </c>
      <c r="D21" s="329" t="e">
        <f>'OPM 1 Hybrid'!$U184</f>
        <v>#DIV/0!</v>
      </c>
      <c r="E21" s="785"/>
      <c r="F21" s="329">
        <f ca="1">'Cap Table'!$I$15</f>
        <v>15</v>
      </c>
      <c r="G21" s="345"/>
      <c r="H21" s="786" t="e">
        <f t="shared" ca="1" si="0"/>
        <v>#DIV/0!</v>
      </c>
      <c r="I21" s="786"/>
      <c r="J21" s="787"/>
      <c r="K21" s="725"/>
      <c r="L21" s="787"/>
    </row>
    <row r="22" spans="1:22" ht="14.85" customHeight="1">
      <c r="B22" s="250" t="str">
        <f>'OPM 1 Hybrid'!B185</f>
        <v>Series G Warrants</v>
      </c>
      <c r="D22" s="329" t="e">
        <f>'OPM 1 Hybrid'!$U185</f>
        <v>#DIV/0!</v>
      </c>
      <c r="E22" s="785"/>
      <c r="F22" s="329">
        <f ca="1">'Cap Table'!$J$15</f>
        <v>11</v>
      </c>
      <c r="G22" s="345"/>
      <c r="H22" s="786" t="e">
        <f t="shared" ca="1" si="0"/>
        <v>#DIV/0!</v>
      </c>
      <c r="I22" s="786"/>
      <c r="J22" s="787"/>
      <c r="K22" s="725"/>
      <c r="L22" s="787"/>
    </row>
    <row r="23" spans="1:22" ht="14.85" customHeight="1">
      <c r="B23" s="250" t="s">
        <v>576</v>
      </c>
      <c r="D23" s="329" t="e">
        <f>SUM('OPM 1 Hybrid'!U186:U195)</f>
        <v>#DIV/0!</v>
      </c>
      <c r="E23" s="785"/>
      <c r="F23" s="329">
        <f>SUM('Cap Table'!D27:D36)</f>
        <v>93</v>
      </c>
      <c r="G23" s="345"/>
      <c r="H23" s="786" t="e">
        <f t="shared" si="0"/>
        <v>#DIV/0!</v>
      </c>
      <c r="I23" s="786"/>
      <c r="J23" s="787"/>
      <c r="K23" s="725"/>
      <c r="L23" s="787"/>
    </row>
    <row r="24" spans="1:22" ht="14.85" customHeight="1">
      <c r="B24" s="250" t="str">
        <f>'OPM 1 Hybrid'!B196</f>
        <v>Common Stock</v>
      </c>
      <c r="C24" s="788"/>
      <c r="D24" s="329" t="e">
        <f>'OPM 1 Hybrid'!U196</f>
        <v>#DIV/0!</v>
      </c>
      <c r="E24" s="785"/>
      <c r="F24" s="329">
        <f ca="1">'Cap Table'!K13</f>
        <v>64</v>
      </c>
      <c r="G24" s="345"/>
      <c r="H24" s="789" t="e">
        <f t="shared" ca="1" si="0"/>
        <v>#DIV/0!</v>
      </c>
      <c r="I24" s="786"/>
      <c r="J24" s="730" t="e">
        <f>'DLOM Hybrid'!$K$47</f>
        <v>#REF!</v>
      </c>
      <c r="K24" s="725"/>
      <c r="L24" s="786" t="e">
        <f ca="1">H24*(1-J24)</f>
        <v>#DIV/0!</v>
      </c>
    </row>
    <row r="25" spans="1:22" ht="14.85" customHeight="1">
      <c r="B25" s="346"/>
      <c r="C25" s="346"/>
      <c r="D25" s="790"/>
      <c r="E25" s="790"/>
      <c r="F25" s="790"/>
      <c r="G25" s="346"/>
      <c r="H25" s="749"/>
      <c r="I25" s="346"/>
      <c r="J25" s="749"/>
      <c r="K25" s="749"/>
      <c r="L25" s="749"/>
    </row>
    <row r="26" spans="1:22" ht="14.85" customHeight="1">
      <c r="B26" s="253" t="str">
        <f>'OPM 1 Hybrid'!B198</f>
        <v>Total Tranche Value</v>
      </c>
      <c r="D26" s="791" t="e">
        <f>SUM(D9:D24)</f>
        <v>#DIV/0!</v>
      </c>
      <c r="E26" s="759"/>
      <c r="F26" s="791">
        <f ca="1">SUM(F9:F24)</f>
        <v>770</v>
      </c>
      <c r="H26" s="275"/>
      <c r="J26" s="275"/>
      <c r="K26" s="275"/>
      <c r="L26" s="275"/>
    </row>
    <row r="27" spans="1:22" ht="14.85" customHeight="1"/>
    <row r="28" spans="1:22" ht="14.85" customHeight="1">
      <c r="B28" s="356" t="s">
        <v>86</v>
      </c>
      <c r="O28" s="467"/>
      <c r="P28" s="467"/>
      <c r="Q28" s="467"/>
      <c r="R28" s="467"/>
      <c r="S28" s="467"/>
      <c r="T28" s="467"/>
      <c r="U28" s="467"/>
      <c r="V28" s="467"/>
    </row>
    <row r="29" spans="1:22" ht="14.85" customHeight="1">
      <c r="A29" s="357" t="s">
        <v>270</v>
      </c>
      <c r="B29" s="792" t="str">
        <f>"Refer to "&amp;'DLOM Hybrid'!B3&amp;" for DLOM calculations."</f>
        <v>Refer to Workpaper #4 for DLOM calculations.</v>
      </c>
      <c r="O29" s="467"/>
      <c r="P29" s="467"/>
      <c r="Q29" s="467"/>
      <c r="R29" s="467"/>
      <c r="S29" s="467"/>
      <c r="T29" s="467"/>
      <c r="U29" s="467"/>
      <c r="V29" s="467"/>
    </row>
    <row r="30" spans="1:22" ht="14.85" customHeight="1">
      <c r="O30" s="793"/>
      <c r="P30" s="467"/>
      <c r="Q30" s="467"/>
      <c r="R30" s="467"/>
      <c r="S30" s="467"/>
      <c r="T30" s="467"/>
      <c r="U30" s="467"/>
      <c r="V30" s="467"/>
    </row>
    <row r="31" spans="1:22" ht="14.85" customHeight="1">
      <c r="D31" s="1944" t="s">
        <v>110</v>
      </c>
      <c r="O31" s="467"/>
      <c r="P31" s="467"/>
      <c r="Q31" s="467"/>
      <c r="R31" s="467"/>
      <c r="S31" s="467"/>
      <c r="T31" s="467"/>
      <c r="U31" s="467"/>
      <c r="V31" s="467"/>
    </row>
    <row r="32" spans="1:22" ht="14.85" customHeight="1">
      <c r="D32" s="1945" t="e">
        <f>IF((D26&lt;&gt;'OPM 1 Hybrid'!U198),"Check","")</f>
        <v>#DIV/0!</v>
      </c>
      <c r="O32" s="467"/>
      <c r="P32" s="467"/>
      <c r="Q32" s="467"/>
      <c r="R32" s="795"/>
      <c r="S32" s="467"/>
      <c r="T32" s="467"/>
      <c r="U32" s="467"/>
      <c r="V32" s="467"/>
    </row>
    <row r="33" spans="15:22" ht="14.85" customHeight="1">
      <c r="O33" s="674"/>
      <c r="P33" s="467"/>
      <c r="Q33" s="467"/>
      <c r="R33" s="467"/>
      <c r="S33" s="467"/>
      <c r="T33" s="467"/>
      <c r="U33" s="467"/>
      <c r="V33" s="467"/>
    </row>
    <row r="34" spans="15:22" ht="14.85" customHeight="1">
      <c r="O34" s="674"/>
      <c r="P34" s="467"/>
      <c r="Q34" s="467"/>
      <c r="R34" s="467"/>
      <c r="S34" s="467"/>
      <c r="T34" s="467"/>
      <c r="U34" s="467"/>
      <c r="V34" s="467"/>
    </row>
    <row r="35" spans="15:22" ht="14.85" customHeight="1">
      <c r="O35" s="796"/>
      <c r="P35" s="467"/>
      <c r="Q35" s="467"/>
      <c r="R35" s="480"/>
      <c r="S35" s="467"/>
      <c r="T35" s="467"/>
      <c r="U35" s="467"/>
      <c r="V35" s="467"/>
    </row>
    <row r="36" spans="15:22" ht="14.85" customHeight="1">
      <c r="O36" s="674"/>
      <c r="P36" s="467"/>
      <c r="Q36" s="467"/>
      <c r="R36" s="467"/>
      <c r="S36" s="467"/>
      <c r="T36" s="467"/>
      <c r="U36" s="467"/>
      <c r="V36" s="467"/>
    </row>
    <row r="37" spans="15:22" ht="14.85" customHeight="1">
      <c r="O37" s="674"/>
      <c r="P37" s="467"/>
      <c r="Q37" s="467"/>
      <c r="R37" s="467"/>
      <c r="S37" s="467"/>
      <c r="T37" s="467"/>
      <c r="U37" s="467"/>
      <c r="V37" s="467"/>
    </row>
    <row r="38" spans="15:22" ht="14.85" customHeight="1">
      <c r="O38" s="467"/>
      <c r="P38" s="467"/>
      <c r="Q38" s="467"/>
      <c r="R38" s="467"/>
      <c r="S38" s="467"/>
      <c r="T38" s="467"/>
      <c r="U38" s="467"/>
      <c r="V38" s="467"/>
    </row>
    <row r="39" spans="15:22" ht="14.85" customHeight="1">
      <c r="O39" s="467"/>
      <c r="P39" s="467"/>
      <c r="Q39" s="467"/>
      <c r="R39" s="467"/>
      <c r="S39" s="467"/>
      <c r="T39" s="467"/>
      <c r="U39" s="467"/>
      <c r="V39" s="467"/>
    </row>
    <row r="40" spans="15:22" ht="14.85" customHeight="1">
      <c r="O40" s="467"/>
      <c r="P40" s="467"/>
      <c r="Q40" s="467"/>
      <c r="R40" s="795"/>
      <c r="S40" s="467"/>
      <c r="T40" s="467"/>
      <c r="U40" s="467"/>
      <c r="V40" s="467"/>
    </row>
    <row r="41" spans="15:22" ht="14.85" customHeight="1">
      <c r="O41" s="797"/>
      <c r="P41" s="467"/>
      <c r="Q41" s="467"/>
      <c r="R41" s="467"/>
      <c r="S41" s="467"/>
      <c r="T41" s="467"/>
      <c r="U41" s="467"/>
      <c r="V41" s="467"/>
    </row>
    <row r="42" spans="15:22" ht="14.85" customHeight="1">
      <c r="O42" s="797"/>
      <c r="P42" s="467"/>
      <c r="Q42" s="467"/>
      <c r="R42" s="467"/>
      <c r="S42" s="467"/>
      <c r="T42" s="467"/>
      <c r="U42" s="467"/>
      <c r="V42" s="467"/>
    </row>
    <row r="43" spans="15:22" ht="14.85" customHeight="1">
      <c r="O43" s="798"/>
      <c r="P43" s="467"/>
      <c r="Q43" s="467"/>
      <c r="R43" s="480"/>
      <c r="S43" s="467"/>
      <c r="T43" s="467"/>
      <c r="U43" s="467"/>
      <c r="V43" s="467"/>
    </row>
    <row r="44" spans="15:22" ht="14.85" customHeight="1">
      <c r="O44" s="797"/>
      <c r="P44" s="467"/>
      <c r="Q44" s="467"/>
      <c r="R44" s="467"/>
      <c r="S44" s="467"/>
      <c r="T44" s="467"/>
      <c r="U44" s="467"/>
      <c r="V44" s="467"/>
    </row>
    <row r="45" spans="15:22" ht="14.85" customHeight="1">
      <c r="O45" s="797"/>
      <c r="P45" s="467"/>
      <c r="Q45" s="467"/>
      <c r="R45" s="467"/>
      <c r="S45" s="467"/>
      <c r="T45" s="467"/>
      <c r="U45" s="467"/>
      <c r="V45" s="467"/>
    </row>
    <row r="46" spans="15:22" ht="14.85" customHeight="1">
      <c r="O46" s="467"/>
      <c r="P46" s="467"/>
      <c r="Q46" s="467"/>
      <c r="R46" s="467"/>
      <c r="S46" s="467"/>
      <c r="T46" s="467"/>
      <c r="U46" s="467"/>
      <c r="V46" s="467"/>
    </row>
    <row r="47" spans="15:22" ht="14.85" customHeight="1">
      <c r="O47" s="467"/>
      <c r="P47" s="467"/>
      <c r="Q47" s="467"/>
      <c r="R47" s="467"/>
      <c r="S47" s="467"/>
      <c r="T47" s="467"/>
      <c r="U47" s="467"/>
      <c r="V47" s="467"/>
    </row>
    <row r="48" spans="15:22" ht="14.85" customHeight="1">
      <c r="O48" s="467"/>
      <c r="P48" s="467"/>
      <c r="Q48" s="467"/>
      <c r="R48" s="467"/>
      <c r="S48" s="467"/>
      <c r="T48" s="467"/>
      <c r="U48" s="467"/>
      <c r="V48" s="467"/>
    </row>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dataConsolidate/>
  <conditionalFormatting sqref="B4:I4">
    <cfRule type="cellIs" dxfId="75" priority="7" stopIfTrue="1" operator="equal">
      <formula>"input"</formula>
    </cfRule>
  </conditionalFormatting>
  <conditionalFormatting sqref="J4">
    <cfRule type="cellIs" dxfId="74" priority="5" stopIfTrue="1" operator="equal">
      <formula>"input"</formula>
    </cfRule>
  </conditionalFormatting>
  <conditionalFormatting sqref="J4">
    <cfRule type="cellIs" dxfId="73" priority="6" stopIfTrue="1" operator="equal">
      <formula>"input"</formula>
    </cfRule>
  </conditionalFormatting>
  <conditionalFormatting sqref="K4">
    <cfRule type="cellIs" dxfId="72" priority="3" stopIfTrue="1" operator="equal">
      <formula>"input"</formula>
    </cfRule>
  </conditionalFormatting>
  <conditionalFormatting sqref="K4">
    <cfRule type="cellIs" dxfId="71" priority="4" stopIfTrue="1" operator="equal">
      <formula>"input"</formula>
    </cfRule>
  </conditionalFormatting>
  <conditionalFormatting sqref="L4">
    <cfRule type="cellIs" dxfId="70" priority="1" stopIfTrue="1" operator="equal">
      <formula>"input"</formula>
    </cfRule>
  </conditionalFormatting>
  <conditionalFormatting sqref="L4">
    <cfRule type="cellIs" dxfId="69" priority="2" stopIfTrue="1" operator="equal">
      <formula>"input"</formula>
    </cfRule>
  </conditionalFormatting>
  <pageMargins left="0.5" right="0.5" top="0.5" bottom="0.5" header="0.5" footer="0.5"/>
  <pageSetup scale="88" fitToWidth="0" fitToHeight="0" orientation="landscape" r:id="rId1"/>
  <legacyDrawingHF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7"/>
  <dimension ref="B1:M764"/>
  <sheetViews>
    <sheetView showGridLines="0" view="pageBreakPreview" zoomScale="80" zoomScaleNormal="100" zoomScaleSheetLayoutView="80" workbookViewId="0"/>
  </sheetViews>
  <sheetFormatPr defaultRowHeight="12.75"/>
  <cols>
    <col min="1" max="1" width="4.5" style="250" customWidth="1"/>
    <col min="2" max="2" width="92.33203125" style="250" customWidth="1"/>
    <col min="3" max="3" width="2.83203125" style="250" customWidth="1"/>
    <col min="4" max="10" width="11.83203125" style="250" customWidth="1"/>
    <col min="11" max="11" width="21" style="250" bestFit="1" customWidth="1"/>
    <col min="12" max="12" width="2.83203125" style="250" customWidth="1"/>
    <col min="13" max="13" width="25.83203125" style="250" customWidth="1"/>
    <col min="14" max="14" width="4.5" style="250" customWidth="1"/>
    <col min="15" max="16384" width="9.33203125" style="250"/>
  </cols>
  <sheetData>
    <row r="1" spans="2:13" ht="10.7" customHeight="1" thickBot="1"/>
    <row r="2" spans="2:13" ht="16.5" customHeight="1" thickTop="1">
      <c r="B2" s="258" t="str">
        <f>'MASTER PubCo Inputs'!$C$5</f>
        <v>ABC, Inc.</v>
      </c>
      <c r="C2" s="258"/>
      <c r="D2" s="258"/>
      <c r="E2" s="258"/>
      <c r="F2" s="258"/>
      <c r="G2" s="258"/>
      <c r="H2" s="258"/>
      <c r="I2" s="258"/>
      <c r="J2" s="258"/>
      <c r="K2" s="258"/>
      <c r="L2" s="258"/>
      <c r="M2" s="258"/>
    </row>
    <row r="3" spans="2:13" ht="15.75" customHeight="1">
      <c r="B3" s="259" t="str">
        <f>VLOOKUP(B4,Outline!$E$8:$G$79,COLUMNS(Outline!$E$8:$G$8),FALSE)</f>
        <v>Workpaper #4</v>
      </c>
      <c r="C3" s="259"/>
      <c r="D3" s="259"/>
      <c r="E3" s="259"/>
      <c r="F3" s="259"/>
      <c r="G3" s="259"/>
      <c r="H3" s="259"/>
      <c r="I3" s="259"/>
      <c r="J3" s="259"/>
      <c r="K3" s="259"/>
      <c r="L3" s="259"/>
      <c r="M3" s="259"/>
    </row>
    <row r="4" spans="2:13" ht="16.5" customHeight="1" thickBot="1">
      <c r="B4" s="924" t="s">
        <v>2205</v>
      </c>
      <c r="C4" s="924"/>
      <c r="D4" s="924"/>
      <c r="E4" s="924"/>
      <c r="F4" s="924"/>
      <c r="G4" s="924"/>
      <c r="H4" s="924"/>
      <c r="I4" s="924"/>
      <c r="J4" s="924"/>
      <c r="K4" s="924"/>
      <c r="L4" s="924"/>
      <c r="M4" s="925"/>
    </row>
    <row r="5" spans="2:13" ht="14.85" customHeight="1" thickTop="1"/>
    <row r="6" spans="2:13" ht="14.85" customHeight="1"/>
    <row r="7" spans="2:13" ht="14.85" customHeight="1">
      <c r="B7" s="1509" t="s">
        <v>502</v>
      </c>
      <c r="C7" s="1510"/>
      <c r="D7" s="1357" t="str">
        <f t="array" ref="D7:J7">TRANSPOSE('Class Vol'!B15:B21)</f>
        <v>Series A</v>
      </c>
      <c r="E7" s="1357" t="str">
        <v>Series B</v>
      </c>
      <c r="F7" s="1357" t="str">
        <v>Series C</v>
      </c>
      <c r="G7" s="1357" t="str">
        <v>Series D</v>
      </c>
      <c r="H7" s="1357" t="str">
        <v>Series E</v>
      </c>
      <c r="I7" s="1357" t="str">
        <v>Series F</v>
      </c>
      <c r="J7" s="1357" t="str">
        <v>Series G</v>
      </c>
      <c r="K7" s="1578" t="s">
        <v>157</v>
      </c>
      <c r="M7" s="1448" t="s">
        <v>70</v>
      </c>
    </row>
    <row r="8" spans="2:13" ht="14.85" customHeight="1"/>
    <row r="9" spans="2:13" ht="14.85" customHeight="1">
      <c r="B9" s="1460" t="s">
        <v>71</v>
      </c>
      <c r="C9" s="886"/>
      <c r="D9" s="1946">
        <f>'OPM 1 Hybrid'!$D$10</f>
        <v>2.5</v>
      </c>
      <c r="E9" s="1946">
        <f>'OPM 1 Hybrid'!$D$10</f>
        <v>2.5</v>
      </c>
      <c r="F9" s="1946">
        <f>'OPM 1 Hybrid'!$D$10</f>
        <v>2.5</v>
      </c>
      <c r="G9" s="1946">
        <f>'OPM 1 Hybrid'!$D$10</f>
        <v>2.5</v>
      </c>
      <c r="H9" s="1946">
        <f>'OPM 1 Hybrid'!$D$10</f>
        <v>2.5</v>
      </c>
      <c r="I9" s="1946">
        <f>'OPM 1 Hybrid'!$D$10</f>
        <v>2.5</v>
      </c>
      <c r="J9" s="1946">
        <f>'OPM 1 Hybrid'!$D$10</f>
        <v>2.5</v>
      </c>
      <c r="K9" s="1947">
        <f>'OPM 1 Hybrid'!$D$10</f>
        <v>2.5</v>
      </c>
      <c r="M9" s="1948" t="str">
        <f>'OPM 1 Hybrid'!B3</f>
        <v>Workpaper #2</v>
      </c>
    </row>
    <row r="10" spans="2:13" ht="14.85" customHeight="1">
      <c r="B10" s="466" t="s">
        <v>72</v>
      </c>
      <c r="C10" s="467"/>
      <c r="D10" s="1949">
        <f>'Risk-Free Rates'!$E$83</f>
        <v>1.2549999999999999E-2</v>
      </c>
      <c r="E10" s="1949">
        <f>'Risk-Free Rates'!$E$83</f>
        <v>1.2549999999999999E-2</v>
      </c>
      <c r="F10" s="1949">
        <f>'Risk-Free Rates'!$E$83</f>
        <v>1.2549999999999999E-2</v>
      </c>
      <c r="G10" s="1949">
        <f>'Risk-Free Rates'!$E$83</f>
        <v>1.2549999999999999E-2</v>
      </c>
      <c r="H10" s="1949">
        <f>'Risk-Free Rates'!$E$83</f>
        <v>1.2549999999999999E-2</v>
      </c>
      <c r="I10" s="1949">
        <f>'Risk-Free Rates'!$E$83</f>
        <v>1.2549999999999999E-2</v>
      </c>
      <c r="J10" s="1949">
        <f>'Risk-Free Rates'!$E$83</f>
        <v>1.2549999999999999E-2</v>
      </c>
      <c r="K10" s="1950">
        <f>'Risk-Free Rates'!$E$83</f>
        <v>1.2549999999999999E-2</v>
      </c>
      <c r="M10" s="1126" t="str">
        <f>'Risk-Free Rates'!B3</f>
        <v>Exhibit H.9</v>
      </c>
    </row>
    <row r="11" spans="2:13" ht="14.85" customHeight="1">
      <c r="B11" s="466" t="s">
        <v>73</v>
      </c>
      <c r="C11" s="467"/>
      <c r="D11" s="1467">
        <v>0</v>
      </c>
      <c r="E11" s="1467">
        <v>0</v>
      </c>
      <c r="F11" s="1467">
        <v>0</v>
      </c>
      <c r="G11" s="1467">
        <v>0</v>
      </c>
      <c r="H11" s="1467">
        <v>0</v>
      </c>
      <c r="I11" s="1467">
        <v>0</v>
      </c>
      <c r="J11" s="1467">
        <v>0</v>
      </c>
      <c r="K11" s="1468">
        <v>0</v>
      </c>
      <c r="M11" s="724"/>
    </row>
    <row r="12" spans="2:13" ht="14.85" customHeight="1">
      <c r="B12" s="1469" t="s">
        <v>74</v>
      </c>
      <c r="C12" s="512"/>
      <c r="D12" s="1951" t="e">
        <f t="array" ref="D12:J12">TRANSPOSE('Class Vol'!F15:F21)</f>
        <v>#REF!</v>
      </c>
      <c r="E12" s="1951" t="e">
        <v>#REF!</v>
      </c>
      <c r="F12" s="1951" t="e">
        <v>#REF!</v>
      </c>
      <c r="G12" s="1951" t="e">
        <v>#REF!</v>
      </c>
      <c r="H12" s="1951" t="e">
        <v>#REF!</v>
      </c>
      <c r="I12" s="1951" t="e">
        <v>#REF!</v>
      </c>
      <c r="J12" s="1951" t="e">
        <v>#REF!</v>
      </c>
      <c r="K12" s="1952" t="e">
        <f>'Class Vol'!F39</f>
        <v>#REF!</v>
      </c>
      <c r="M12" s="1953" t="str">
        <f>'Class Vol'!B3</f>
        <v>Workpaper #6</v>
      </c>
    </row>
    <row r="13" spans="2:13" ht="14.85" customHeight="1">
      <c r="B13" s="466"/>
      <c r="C13" s="467"/>
      <c r="D13" s="467"/>
      <c r="E13" s="467"/>
      <c r="F13" s="467"/>
      <c r="G13" s="467"/>
      <c r="H13" s="467"/>
      <c r="I13" s="467"/>
      <c r="J13" s="467"/>
      <c r="K13" s="468"/>
    </row>
    <row r="14" spans="2:13" ht="14.85" customHeight="1">
      <c r="B14" s="466" t="s">
        <v>75</v>
      </c>
      <c r="C14" s="467"/>
      <c r="D14" s="1473" t="e">
        <f t="shared" ref="D14:J14" si="0">D12^2*D9</f>
        <v>#REF!</v>
      </c>
      <c r="E14" s="1473" t="e">
        <f t="shared" ref="E14:I14" si="1">E12^2*E9</f>
        <v>#REF!</v>
      </c>
      <c r="F14" s="1473" t="e">
        <f t="shared" si="1"/>
        <v>#REF!</v>
      </c>
      <c r="G14" s="1473" t="e">
        <f t="shared" si="1"/>
        <v>#REF!</v>
      </c>
      <c r="H14" s="1473" t="e">
        <f t="shared" si="1"/>
        <v>#REF!</v>
      </c>
      <c r="I14" s="1473" t="e">
        <f t="shared" si="1"/>
        <v>#REF!</v>
      </c>
      <c r="J14" s="1473" t="e">
        <f t="shared" si="0"/>
        <v>#REF!</v>
      </c>
      <c r="K14" s="1474" t="e">
        <f>K12^2*K9</f>
        <v>#REF!</v>
      </c>
    </row>
    <row r="15" spans="2:13" ht="14.85" customHeight="1">
      <c r="B15" s="466" t="s">
        <v>76</v>
      </c>
      <c r="C15" s="467"/>
      <c r="D15" s="1473" t="e">
        <f t="shared" ref="D15:J15" si="2">(D12^2*D9+LN(2*(EXP(D14)-D12^2*D9-1))-2*LN(EXP(D14)-1))^0.5</f>
        <v>#REF!</v>
      </c>
      <c r="E15" s="1473" t="e">
        <f t="shared" ref="E15" si="3">(E12^2*E9+LN(2*(EXP(E14)-E12^2*E9-1))-2*LN(EXP(E14)-1))^0.5</f>
        <v>#REF!</v>
      </c>
      <c r="F15" s="1473" t="e">
        <f t="shared" ref="F15" si="4">(F12^2*F9+LN(2*(EXP(F14)-F12^2*F9-1))-2*LN(EXP(F14)-1))^0.5</f>
        <v>#REF!</v>
      </c>
      <c r="G15" s="1473" t="e">
        <f t="shared" ref="G15" si="5">(G12^2*G9+LN(2*(EXP(G14)-G12^2*G9-1))-2*LN(EXP(G14)-1))^0.5</f>
        <v>#REF!</v>
      </c>
      <c r="H15" s="1473" t="e">
        <f t="shared" ref="H15" si="6">(H12^2*H9+LN(2*(EXP(H14)-H12^2*H9-1))-2*LN(EXP(H14)-1))^0.5</f>
        <v>#REF!</v>
      </c>
      <c r="I15" s="1473" t="e">
        <f t="shared" ref="I15" si="7">(I12^2*I9+LN(2*(EXP(I14)-I12^2*I9-1))-2*LN(EXP(I14)-1))^0.5</f>
        <v>#REF!</v>
      </c>
      <c r="J15" s="1473" t="e">
        <f t="shared" si="2"/>
        <v>#REF!</v>
      </c>
      <c r="K15" s="1474" t="e">
        <f>(K12^2*K9+LN(2*(EXP(K14)-K12^2*K9-1))-2*LN(EXP(K14)-1))^0.5</f>
        <v>#REF!</v>
      </c>
    </row>
    <row r="16" spans="2:13" ht="14.85" customHeight="1">
      <c r="B16" s="466" t="s">
        <v>77</v>
      </c>
      <c r="C16" s="467"/>
      <c r="D16" s="1473" t="e">
        <f t="shared" ref="D16:J16" si="8">((D10-D11)*D9)/D15+0.5*D15</f>
        <v>#REF!</v>
      </c>
      <c r="E16" s="1473" t="e">
        <f t="shared" ref="E16" si="9">((E10-E11)*E9)/E15+0.5*E15</f>
        <v>#REF!</v>
      </c>
      <c r="F16" s="1473" t="e">
        <f t="shared" ref="F16" si="10">((F10-F11)*F9)/F15+0.5*F15</f>
        <v>#REF!</v>
      </c>
      <c r="G16" s="1473" t="e">
        <f t="shared" ref="G16" si="11">((G10-G11)*G9)/G15+0.5*G15</f>
        <v>#REF!</v>
      </c>
      <c r="H16" s="1473" t="e">
        <f t="shared" ref="H16" si="12">((H10-H11)*H9)/H15+0.5*H15</f>
        <v>#REF!</v>
      </c>
      <c r="I16" s="1473" t="e">
        <f t="shared" ref="I16" si="13">((I10-I11)*I9)/I15+0.5*I15</f>
        <v>#REF!</v>
      </c>
      <c r="J16" s="1473" t="e">
        <f t="shared" si="8"/>
        <v>#REF!</v>
      </c>
      <c r="K16" s="1474" t="e">
        <f>((K10-K11)*K9)/K15+0.5*K15</f>
        <v>#REF!</v>
      </c>
    </row>
    <row r="17" spans="2:13" ht="14.85" customHeight="1">
      <c r="B17" s="466" t="s">
        <v>78</v>
      </c>
      <c r="C17" s="467"/>
      <c r="D17" s="1473" t="e">
        <f t="shared" ref="D17:J17" si="14">((D10-D11)*D9)/D15-0.5*D15</f>
        <v>#REF!</v>
      </c>
      <c r="E17" s="1473" t="e">
        <f t="shared" ref="E17:I17" si="15">((E10-E11)*E9)/E15-0.5*E15</f>
        <v>#REF!</v>
      </c>
      <c r="F17" s="1473" t="e">
        <f t="shared" si="15"/>
        <v>#REF!</v>
      </c>
      <c r="G17" s="1473" t="e">
        <f t="shared" si="15"/>
        <v>#REF!</v>
      </c>
      <c r="H17" s="1473" t="e">
        <f t="shared" si="15"/>
        <v>#REF!</v>
      </c>
      <c r="I17" s="1473" t="e">
        <f t="shared" si="15"/>
        <v>#REF!</v>
      </c>
      <c r="J17" s="1473" t="e">
        <f t="shared" si="14"/>
        <v>#REF!</v>
      </c>
      <c r="K17" s="1474" t="e">
        <f>((K10-K11)*K9)/K15-0.5*K15</f>
        <v>#REF!</v>
      </c>
    </row>
    <row r="18" spans="2:13" ht="14.85" customHeight="1">
      <c r="B18" s="466"/>
      <c r="C18" s="467"/>
      <c r="D18" s="1475"/>
      <c r="E18" s="1475"/>
      <c r="F18" s="1475"/>
      <c r="G18" s="1475"/>
      <c r="H18" s="1475"/>
      <c r="I18" s="1475"/>
      <c r="J18" s="1475"/>
      <c r="K18" s="1476"/>
    </row>
    <row r="19" spans="2:13" ht="14.85" customHeight="1">
      <c r="B19" s="1477" t="s">
        <v>79</v>
      </c>
      <c r="C19" s="1478"/>
      <c r="D19" s="1479" t="e">
        <f t="shared" ref="D19:J19" si="16">EXP((D10-D11)*D9)*NORMSDIST(D16)-NORMSDIST(D17)</f>
        <v>#REF!</v>
      </c>
      <c r="E19" s="1479" t="e">
        <f t="shared" ref="E19:I19" si="17">EXP((E10-E11)*E9)*NORMSDIST(E16)-NORMSDIST(E17)</f>
        <v>#REF!</v>
      </c>
      <c r="F19" s="1479" t="e">
        <f t="shared" si="17"/>
        <v>#REF!</v>
      </c>
      <c r="G19" s="1479" t="e">
        <f t="shared" si="17"/>
        <v>#REF!</v>
      </c>
      <c r="H19" s="1479" t="e">
        <f t="shared" si="17"/>
        <v>#REF!</v>
      </c>
      <c r="I19" s="1479" t="e">
        <f t="shared" si="17"/>
        <v>#REF!</v>
      </c>
      <c r="J19" s="1479" t="e">
        <f t="shared" si="16"/>
        <v>#REF!</v>
      </c>
      <c r="K19" s="1480" t="e">
        <f>EXP((K10-K11)*K9)*NORMSDIST(K16)-NORMSDIST(K17)</f>
        <v>#REF!</v>
      </c>
    </row>
    <row r="20" spans="2:13" ht="14.85" customHeight="1"/>
    <row r="21" spans="2:13" ht="14.85" customHeight="1">
      <c r="B21" s="1577" t="s">
        <v>80</v>
      </c>
      <c r="C21" s="1357"/>
      <c r="D21" s="1357" t="str">
        <f>D7</f>
        <v>Series A</v>
      </c>
      <c r="E21" s="1357" t="str">
        <f t="shared" ref="E21:K21" si="18">E7</f>
        <v>Series B</v>
      </c>
      <c r="F21" s="1357" t="str">
        <f t="shared" si="18"/>
        <v>Series C</v>
      </c>
      <c r="G21" s="1357" t="str">
        <f t="shared" si="18"/>
        <v>Series D</v>
      </c>
      <c r="H21" s="1357" t="str">
        <f t="shared" si="18"/>
        <v>Series E</v>
      </c>
      <c r="I21" s="1357" t="str">
        <f t="shared" si="18"/>
        <v>Series F</v>
      </c>
      <c r="J21" s="1357" t="str">
        <f t="shared" si="18"/>
        <v>Series G</v>
      </c>
      <c r="K21" s="1578" t="str">
        <f t="shared" si="18"/>
        <v>Common Stock</v>
      </c>
    </row>
    <row r="22" spans="2:13" ht="14.85" customHeight="1"/>
    <row r="23" spans="2:13" ht="14.85" customHeight="1">
      <c r="B23" s="1460" t="s">
        <v>81</v>
      </c>
      <c r="C23" s="886"/>
      <c r="D23" s="1954">
        <v>1</v>
      </c>
      <c r="E23" s="1954">
        <v>1</v>
      </c>
      <c r="F23" s="1954">
        <v>1</v>
      </c>
      <c r="G23" s="1954">
        <v>1</v>
      </c>
      <c r="H23" s="1954">
        <v>1</v>
      </c>
      <c r="I23" s="1954">
        <v>1</v>
      </c>
      <c r="J23" s="1954">
        <v>1</v>
      </c>
      <c r="K23" s="1955">
        <v>1</v>
      </c>
    </row>
    <row r="24" spans="2:13" ht="14.85" customHeight="1">
      <c r="B24" s="1469" t="s">
        <v>82</v>
      </c>
      <c r="C24" s="467"/>
      <c r="D24" s="480">
        <v>1</v>
      </c>
      <c r="E24" s="480">
        <v>1</v>
      </c>
      <c r="F24" s="480">
        <v>1</v>
      </c>
      <c r="G24" s="480">
        <v>1</v>
      </c>
      <c r="H24" s="480">
        <v>1</v>
      </c>
      <c r="I24" s="480">
        <v>1</v>
      </c>
      <c r="J24" s="480">
        <v>1</v>
      </c>
      <c r="K24" s="777">
        <v>1</v>
      </c>
    </row>
    <row r="25" spans="2:13" ht="14.85" customHeight="1">
      <c r="B25" s="1469" t="s">
        <v>83</v>
      </c>
      <c r="C25" s="467"/>
      <c r="D25" s="850">
        <f t="shared" ref="D25:J25" si="19">D9</f>
        <v>2.5</v>
      </c>
      <c r="E25" s="850">
        <f t="shared" ref="E25:I25" si="20">E9</f>
        <v>2.5</v>
      </c>
      <c r="F25" s="850">
        <f t="shared" si="20"/>
        <v>2.5</v>
      </c>
      <c r="G25" s="850">
        <f t="shared" si="20"/>
        <v>2.5</v>
      </c>
      <c r="H25" s="850">
        <f t="shared" si="20"/>
        <v>2.5</v>
      </c>
      <c r="I25" s="850">
        <f t="shared" si="20"/>
        <v>2.5</v>
      </c>
      <c r="J25" s="850">
        <f t="shared" si="19"/>
        <v>2.5</v>
      </c>
      <c r="K25" s="847">
        <f>K9</f>
        <v>2.5</v>
      </c>
      <c r="M25" s="1126"/>
    </row>
    <row r="26" spans="2:13" ht="14.85" customHeight="1">
      <c r="B26" s="466" t="s">
        <v>72</v>
      </c>
      <c r="C26" s="467"/>
      <c r="D26" s="797">
        <f t="shared" ref="D26:J26" si="21">D10</f>
        <v>1.2549999999999999E-2</v>
      </c>
      <c r="E26" s="797">
        <f t="shared" ref="E26:I26" si="22">E10</f>
        <v>1.2549999999999999E-2</v>
      </c>
      <c r="F26" s="797">
        <f t="shared" si="22"/>
        <v>1.2549999999999999E-2</v>
      </c>
      <c r="G26" s="797">
        <f t="shared" si="22"/>
        <v>1.2549999999999999E-2</v>
      </c>
      <c r="H26" s="797">
        <f t="shared" si="22"/>
        <v>1.2549999999999999E-2</v>
      </c>
      <c r="I26" s="797">
        <f t="shared" si="22"/>
        <v>1.2549999999999999E-2</v>
      </c>
      <c r="J26" s="797">
        <f t="shared" si="21"/>
        <v>1.2549999999999999E-2</v>
      </c>
      <c r="K26" s="1483">
        <f>K10</f>
        <v>1.2549999999999999E-2</v>
      </c>
      <c r="M26" s="1126" t="str">
        <f>+M10</f>
        <v>Exhibit H.9</v>
      </c>
    </row>
    <row r="27" spans="2:13" ht="14.85" customHeight="1">
      <c r="B27" s="466" t="s">
        <v>74</v>
      </c>
      <c r="C27" s="467"/>
      <c r="D27" s="674" t="e">
        <f t="shared" ref="D27:J27" si="23">D12</f>
        <v>#REF!</v>
      </c>
      <c r="E27" s="674" t="e">
        <f t="shared" ref="E27:I27" si="24">E12</f>
        <v>#REF!</v>
      </c>
      <c r="F27" s="674" t="e">
        <f t="shared" si="24"/>
        <v>#REF!</v>
      </c>
      <c r="G27" s="674" t="e">
        <f t="shared" si="24"/>
        <v>#REF!</v>
      </c>
      <c r="H27" s="674" t="e">
        <f t="shared" si="24"/>
        <v>#REF!</v>
      </c>
      <c r="I27" s="674" t="e">
        <f t="shared" si="24"/>
        <v>#REF!</v>
      </c>
      <c r="J27" s="674" t="e">
        <f t="shared" si="23"/>
        <v>#REF!</v>
      </c>
      <c r="K27" s="673" t="e">
        <f>K12</f>
        <v>#REF!</v>
      </c>
      <c r="M27" s="1126" t="str">
        <f>+M12</f>
        <v>Workpaper #6</v>
      </c>
    </row>
    <row r="28" spans="2:13" ht="14.85" customHeight="1">
      <c r="B28" s="466"/>
      <c r="C28" s="467"/>
      <c r="D28" s="467"/>
      <c r="E28" s="467"/>
      <c r="F28" s="467"/>
      <c r="G28" s="467"/>
      <c r="H28" s="467"/>
      <c r="I28" s="467"/>
      <c r="J28" s="467"/>
      <c r="K28" s="468"/>
    </row>
    <row r="29" spans="2:13" ht="14.85" customHeight="1">
      <c r="B29" s="466" t="s">
        <v>84</v>
      </c>
      <c r="C29" s="467"/>
      <c r="D29" s="1473" t="e">
        <f t="shared" ref="D29:J29" si="25">(LN(D23/D24)+(D26+D27^2/2)*D25)/(D27*SQRT(D25))</f>
        <v>#REF!</v>
      </c>
      <c r="E29" s="1473" t="e">
        <f t="shared" ref="E29:I29" si="26">(LN(E23/E24)+(E26+E27^2/2)*E25)/(E27*SQRT(E25))</f>
        <v>#REF!</v>
      </c>
      <c r="F29" s="1473" t="e">
        <f t="shared" si="26"/>
        <v>#REF!</v>
      </c>
      <c r="G29" s="1473" t="e">
        <f t="shared" si="26"/>
        <v>#REF!</v>
      </c>
      <c r="H29" s="1473" t="e">
        <f t="shared" si="26"/>
        <v>#REF!</v>
      </c>
      <c r="I29" s="1473" t="e">
        <f t="shared" si="26"/>
        <v>#REF!</v>
      </c>
      <c r="J29" s="1473" t="e">
        <f t="shared" si="25"/>
        <v>#REF!</v>
      </c>
      <c r="K29" s="1474" t="e">
        <f>(LN(K23/K24)+(K26+K27^2/2)*K25)/(K27*SQRT(K25))</f>
        <v>#REF!</v>
      </c>
    </row>
    <row r="30" spans="2:13" ht="14.85" customHeight="1">
      <c r="B30" s="466" t="s">
        <v>85</v>
      </c>
      <c r="C30" s="467"/>
      <c r="D30" s="1473" t="e">
        <f t="shared" ref="D30:J30" si="27">D29-D27*SQRT(D25)</f>
        <v>#REF!</v>
      </c>
      <c r="E30" s="1473" t="e">
        <f t="shared" ref="E30" si="28">E29-E27*SQRT(E25)</f>
        <v>#REF!</v>
      </c>
      <c r="F30" s="1473" t="e">
        <f t="shared" ref="F30" si="29">F29-F27*SQRT(F25)</f>
        <v>#REF!</v>
      </c>
      <c r="G30" s="1473" t="e">
        <f t="shared" ref="G30" si="30">G29-G27*SQRT(G25)</f>
        <v>#REF!</v>
      </c>
      <c r="H30" s="1473" t="e">
        <f t="shared" ref="H30" si="31">H29-H27*SQRT(H25)</f>
        <v>#REF!</v>
      </c>
      <c r="I30" s="1473" t="e">
        <f t="shared" ref="I30" si="32">I29-I27*SQRT(I25)</f>
        <v>#REF!</v>
      </c>
      <c r="J30" s="1473" t="e">
        <f t="shared" si="27"/>
        <v>#REF!</v>
      </c>
      <c r="K30" s="1474" t="e">
        <f>K29-K27*SQRT(K25)</f>
        <v>#REF!</v>
      </c>
    </row>
    <row r="31" spans="2:13" ht="14.85" customHeight="1">
      <c r="B31" s="466"/>
      <c r="C31" s="467"/>
      <c r="D31" s="467"/>
      <c r="E31" s="467"/>
      <c r="F31" s="467"/>
      <c r="G31" s="467"/>
      <c r="H31" s="467"/>
      <c r="I31" s="467"/>
      <c r="J31" s="467"/>
      <c r="K31" s="468"/>
    </row>
    <row r="32" spans="2:13" ht="14.85" customHeight="1">
      <c r="B32" s="1477" t="s">
        <v>79</v>
      </c>
      <c r="C32" s="346"/>
      <c r="D32" s="1479" t="e">
        <f t="shared" ref="D32:J32" si="33">D24*EXP(-D26*D25)*NORMSDIST(-D30)-D23*NORMSDIST(-D29)</f>
        <v>#REF!</v>
      </c>
      <c r="E32" s="1479" t="e">
        <f t="shared" ref="E32:I32" si="34">E24*EXP(-E26*E25)*NORMSDIST(-E30)-E23*NORMSDIST(-E29)</f>
        <v>#REF!</v>
      </c>
      <c r="F32" s="1479" t="e">
        <f t="shared" si="34"/>
        <v>#REF!</v>
      </c>
      <c r="G32" s="1479" t="e">
        <f t="shared" si="34"/>
        <v>#REF!</v>
      </c>
      <c r="H32" s="1479" t="e">
        <f t="shared" si="34"/>
        <v>#REF!</v>
      </c>
      <c r="I32" s="1479" t="e">
        <f t="shared" si="34"/>
        <v>#REF!</v>
      </c>
      <c r="J32" s="1479" t="e">
        <f t="shared" si="33"/>
        <v>#REF!</v>
      </c>
      <c r="K32" s="1480" t="e">
        <f>K24*EXP(-K26*K25)*NORMSDIST(-K30)-K23*NORMSDIST(-K29)</f>
        <v>#REF!</v>
      </c>
    </row>
    <row r="33" spans="2:13" ht="14.85" customHeight="1"/>
    <row r="34" spans="2:13" ht="14.85" customHeight="1">
      <c r="B34" s="1577" t="s">
        <v>498</v>
      </c>
      <c r="C34" s="1357"/>
      <c r="D34" s="1357" t="str">
        <f>D7</f>
        <v>Series A</v>
      </c>
      <c r="E34" s="1357" t="str">
        <f t="shared" ref="E34:K34" si="35">E7</f>
        <v>Series B</v>
      </c>
      <c r="F34" s="1357" t="str">
        <f t="shared" si="35"/>
        <v>Series C</v>
      </c>
      <c r="G34" s="1357" t="str">
        <f t="shared" si="35"/>
        <v>Series D</v>
      </c>
      <c r="H34" s="1357" t="str">
        <f t="shared" si="35"/>
        <v>Series E</v>
      </c>
      <c r="I34" s="1357" t="str">
        <f t="shared" si="35"/>
        <v>Series F</v>
      </c>
      <c r="J34" s="1357" t="str">
        <f t="shared" si="35"/>
        <v>Series G</v>
      </c>
      <c r="K34" s="1578" t="str">
        <f t="shared" si="35"/>
        <v>Common Stock</v>
      </c>
    </row>
    <row r="35" spans="2:13" ht="14.85" customHeight="1"/>
    <row r="36" spans="2:13" ht="14.85" customHeight="1">
      <c r="B36" s="1460" t="s">
        <v>83</v>
      </c>
      <c r="C36" s="886"/>
      <c r="D36" s="1956">
        <f t="shared" ref="D36:J36" si="36">+D25</f>
        <v>2.5</v>
      </c>
      <c r="E36" s="1956">
        <f t="shared" ref="E36:I36" si="37">+E25</f>
        <v>2.5</v>
      </c>
      <c r="F36" s="1956">
        <f t="shared" si="37"/>
        <v>2.5</v>
      </c>
      <c r="G36" s="1956">
        <f t="shared" si="37"/>
        <v>2.5</v>
      </c>
      <c r="H36" s="1956">
        <f t="shared" si="37"/>
        <v>2.5</v>
      </c>
      <c r="I36" s="1956">
        <f t="shared" si="37"/>
        <v>2.5</v>
      </c>
      <c r="J36" s="1956">
        <f t="shared" si="36"/>
        <v>2.5</v>
      </c>
      <c r="K36" s="1957">
        <f>+K25</f>
        <v>2.5</v>
      </c>
      <c r="M36" s="1126"/>
    </row>
    <row r="37" spans="2:13" ht="14.85" customHeight="1">
      <c r="B37" s="466" t="s">
        <v>81</v>
      </c>
      <c r="C37" s="467"/>
      <c r="D37" s="480">
        <f t="shared" ref="D37:J37" si="38">+D23</f>
        <v>1</v>
      </c>
      <c r="E37" s="480">
        <f t="shared" ref="E37:I37" si="39">+E23</f>
        <v>1</v>
      </c>
      <c r="F37" s="480">
        <f t="shared" si="39"/>
        <v>1</v>
      </c>
      <c r="G37" s="480">
        <f t="shared" si="39"/>
        <v>1</v>
      </c>
      <c r="H37" s="480">
        <f t="shared" si="39"/>
        <v>1</v>
      </c>
      <c r="I37" s="480">
        <f t="shared" si="39"/>
        <v>1</v>
      </c>
      <c r="J37" s="480">
        <f t="shared" si="38"/>
        <v>1</v>
      </c>
      <c r="K37" s="777">
        <f>+K23</f>
        <v>1</v>
      </c>
    </row>
    <row r="38" spans="2:13" ht="14.85" customHeight="1">
      <c r="B38" s="466" t="s">
        <v>82</v>
      </c>
      <c r="C38" s="467"/>
      <c r="D38" s="480">
        <f t="shared" ref="D38:J38" si="40">+D24</f>
        <v>1</v>
      </c>
      <c r="E38" s="480">
        <f t="shared" ref="E38:I38" si="41">+E24</f>
        <v>1</v>
      </c>
      <c r="F38" s="480">
        <f t="shared" si="41"/>
        <v>1</v>
      </c>
      <c r="G38" s="480">
        <f t="shared" si="41"/>
        <v>1</v>
      </c>
      <c r="H38" s="480">
        <f t="shared" si="41"/>
        <v>1</v>
      </c>
      <c r="I38" s="480">
        <f t="shared" si="41"/>
        <v>1</v>
      </c>
      <c r="J38" s="480">
        <f t="shared" si="40"/>
        <v>1</v>
      </c>
      <c r="K38" s="777">
        <f>+K24</f>
        <v>1</v>
      </c>
    </row>
    <row r="39" spans="2:13" ht="14.85" customHeight="1">
      <c r="B39" s="466" t="s">
        <v>73</v>
      </c>
      <c r="C39" s="467"/>
      <c r="D39" s="797">
        <f t="shared" ref="D39:J39" si="42">+D11</f>
        <v>0</v>
      </c>
      <c r="E39" s="797">
        <f t="shared" ref="E39:I39" si="43">+E11</f>
        <v>0</v>
      </c>
      <c r="F39" s="797">
        <f t="shared" si="43"/>
        <v>0</v>
      </c>
      <c r="G39" s="797">
        <f t="shared" si="43"/>
        <v>0</v>
      </c>
      <c r="H39" s="797">
        <f t="shared" si="43"/>
        <v>0</v>
      </c>
      <c r="I39" s="797">
        <f t="shared" si="43"/>
        <v>0</v>
      </c>
      <c r="J39" s="797">
        <f t="shared" si="42"/>
        <v>0</v>
      </c>
      <c r="K39" s="1483">
        <f>+K11</f>
        <v>0</v>
      </c>
    </row>
    <row r="40" spans="2:13" ht="14.85" customHeight="1">
      <c r="B40" s="466" t="s">
        <v>74</v>
      </c>
      <c r="C40" s="467"/>
      <c r="D40" s="674" t="e">
        <f t="shared" ref="D40:J40" si="44">+D12</f>
        <v>#REF!</v>
      </c>
      <c r="E40" s="674" t="e">
        <f t="shared" ref="E40:I40" si="45">+E12</f>
        <v>#REF!</v>
      </c>
      <c r="F40" s="674" t="e">
        <f t="shared" si="45"/>
        <v>#REF!</v>
      </c>
      <c r="G40" s="674" t="e">
        <f t="shared" si="45"/>
        <v>#REF!</v>
      </c>
      <c r="H40" s="674" t="e">
        <f t="shared" si="45"/>
        <v>#REF!</v>
      </c>
      <c r="I40" s="674" t="e">
        <f t="shared" si="45"/>
        <v>#REF!</v>
      </c>
      <c r="J40" s="674" t="e">
        <f t="shared" si="44"/>
        <v>#REF!</v>
      </c>
      <c r="K40" s="673" t="e">
        <f>+K12</f>
        <v>#REF!</v>
      </c>
      <c r="M40" s="1126" t="str">
        <f>+M27</f>
        <v>Workpaper #6</v>
      </c>
    </row>
    <row r="41" spans="2:13" ht="14.85" customHeight="1">
      <c r="B41" s="466"/>
      <c r="C41" s="467"/>
      <c r="D41" s="467"/>
      <c r="E41" s="467"/>
      <c r="F41" s="467"/>
      <c r="G41" s="467"/>
      <c r="H41" s="467"/>
      <c r="I41" s="467"/>
      <c r="J41" s="467"/>
      <c r="K41" s="468"/>
    </row>
    <row r="42" spans="2:13" ht="14.85" customHeight="1">
      <c r="B42" s="466" t="s">
        <v>500</v>
      </c>
      <c r="C42" s="467"/>
      <c r="D42" s="1473" t="e">
        <f t="shared" ref="D42:J42" si="46">LN(2*(EXP((D40^2)*D36)-((D40^2)*D36)-1))-2*(LN((D40^2)*D36))</f>
        <v>#REF!</v>
      </c>
      <c r="E42" s="1473" t="e">
        <f t="shared" ref="E42:I42" si="47">LN(2*(EXP((E40^2)*E36)-((E40^2)*E36)-1))-2*(LN((E40^2)*E36))</f>
        <v>#REF!</v>
      </c>
      <c r="F42" s="1473" t="e">
        <f t="shared" si="47"/>
        <v>#REF!</v>
      </c>
      <c r="G42" s="1473" t="e">
        <f t="shared" si="47"/>
        <v>#REF!</v>
      </c>
      <c r="H42" s="1473" t="e">
        <f t="shared" si="47"/>
        <v>#REF!</v>
      </c>
      <c r="I42" s="1473" t="e">
        <f t="shared" si="47"/>
        <v>#REF!</v>
      </c>
      <c r="J42" s="1473" t="e">
        <f t="shared" si="46"/>
        <v>#REF!</v>
      </c>
      <c r="K42" s="1474" t="e">
        <f>LN(2*(EXP((K40^2)*K36)-((K40^2)*K36)-1))-2*(LN((K40^2)*K36))</f>
        <v>#REF!</v>
      </c>
    </row>
    <row r="43" spans="2:13" ht="14.85" customHeight="1">
      <c r="B43" s="466" t="s">
        <v>501</v>
      </c>
      <c r="C43" s="467"/>
      <c r="D43" s="1473" t="e">
        <f t="shared" ref="D43:J43" si="48">SQRT(D42)</f>
        <v>#REF!</v>
      </c>
      <c r="E43" s="1473" t="e">
        <f t="shared" ref="E43" si="49">SQRT(E42)</f>
        <v>#REF!</v>
      </c>
      <c r="F43" s="1473" t="e">
        <f t="shared" ref="F43" si="50">SQRT(F42)</f>
        <v>#REF!</v>
      </c>
      <c r="G43" s="1473" t="e">
        <f t="shared" ref="G43" si="51">SQRT(G42)</f>
        <v>#REF!</v>
      </c>
      <c r="H43" s="1473" t="e">
        <f t="shared" ref="H43" si="52">SQRT(H42)</f>
        <v>#REF!</v>
      </c>
      <c r="I43" s="1473" t="e">
        <f t="shared" ref="I43" si="53">SQRT(I42)</f>
        <v>#REF!</v>
      </c>
      <c r="J43" s="1473" t="e">
        <f t="shared" si="48"/>
        <v>#REF!</v>
      </c>
      <c r="K43" s="1474" t="e">
        <f>SQRT(K42)</f>
        <v>#REF!</v>
      </c>
    </row>
    <row r="44" spans="2:13" ht="14.85" customHeight="1">
      <c r="B44" s="466"/>
      <c r="C44" s="467"/>
      <c r="D44" s="467"/>
      <c r="E44" s="467"/>
      <c r="F44" s="467"/>
      <c r="G44" s="467"/>
      <c r="H44" s="467"/>
      <c r="I44" s="467"/>
      <c r="J44" s="467"/>
      <c r="K44" s="468"/>
    </row>
    <row r="45" spans="2:13" ht="14.85" customHeight="1">
      <c r="B45" s="1477" t="s">
        <v>79</v>
      </c>
      <c r="C45" s="346"/>
      <c r="D45" s="1479" t="e">
        <f t="shared" ref="D45:J45" si="54">EXP(-D39*D36)*D38*(2*NORMSDIST(D43/2)-1)</f>
        <v>#REF!</v>
      </c>
      <c r="E45" s="1479" t="e">
        <f t="shared" ref="E45:I45" si="55">EXP(-E39*E36)*E38*(2*NORMSDIST(E43/2)-1)</f>
        <v>#REF!</v>
      </c>
      <c r="F45" s="1479" t="e">
        <f t="shared" si="55"/>
        <v>#REF!</v>
      </c>
      <c r="G45" s="1479" t="e">
        <f t="shared" si="55"/>
        <v>#REF!</v>
      </c>
      <c r="H45" s="1479" t="e">
        <f t="shared" si="55"/>
        <v>#REF!</v>
      </c>
      <c r="I45" s="1479" t="e">
        <f t="shared" si="55"/>
        <v>#REF!</v>
      </c>
      <c r="J45" s="1479" t="e">
        <f t="shared" si="54"/>
        <v>#REF!</v>
      </c>
      <c r="K45" s="1480" t="e">
        <f>EXP(-K39*K36)*K38*(2*NORMSDIST(K43/2)-1)</f>
        <v>#REF!</v>
      </c>
    </row>
    <row r="46" spans="2:13" ht="14.85" customHeight="1"/>
    <row r="47" spans="2:13" ht="14.85" customHeight="1">
      <c r="B47" s="1498" t="s">
        <v>503</v>
      </c>
      <c r="C47" s="1499"/>
      <c r="D47" s="1500" t="e">
        <f t="shared" ref="D47:J47" si="56">AVERAGE(D45,D32,D19)</f>
        <v>#REF!</v>
      </c>
      <c r="E47" s="1500" t="e">
        <f t="shared" ref="E47:I47" si="57">AVERAGE(E45,E32,E19)</f>
        <v>#REF!</v>
      </c>
      <c r="F47" s="1500" t="e">
        <f t="shared" si="57"/>
        <v>#REF!</v>
      </c>
      <c r="G47" s="1500" t="e">
        <f t="shared" si="57"/>
        <v>#REF!</v>
      </c>
      <c r="H47" s="1500" t="e">
        <f t="shared" si="57"/>
        <v>#REF!</v>
      </c>
      <c r="I47" s="1500" t="e">
        <f t="shared" si="57"/>
        <v>#REF!</v>
      </c>
      <c r="J47" s="1500" t="e">
        <f t="shared" si="56"/>
        <v>#REF!</v>
      </c>
      <c r="K47" s="1501" t="e">
        <f>AVERAGE(K45,K32,K19)</f>
        <v>#REF!</v>
      </c>
    </row>
    <row r="48" spans="2:13" ht="14.85" customHeight="1"/>
    <row r="49" spans="2:2" ht="14.85" customHeight="1">
      <c r="B49" s="356" t="s">
        <v>86</v>
      </c>
    </row>
    <row r="50" spans="2:2" ht="14.85" customHeight="1">
      <c r="B50" s="1958" t="s">
        <v>270</v>
      </c>
    </row>
    <row r="51" spans="2:2" ht="14.85" customHeight="1"/>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L4">
    <cfRule type="cellIs" dxfId="68" priority="3" stopIfTrue="1" operator="equal">
      <formula>"input"</formula>
    </cfRule>
  </conditionalFormatting>
  <conditionalFormatting sqref="M4">
    <cfRule type="cellIs" dxfId="67" priority="1" stopIfTrue="1" operator="equal">
      <formula>"input"</formula>
    </cfRule>
  </conditionalFormatting>
  <conditionalFormatting sqref="M4">
    <cfRule type="cellIs" dxfId="66" priority="2" stopIfTrue="1" operator="equal">
      <formula>"input"</formula>
    </cfRule>
  </conditionalFormatting>
  <pageMargins left="0.5" right="0.5" top="0.5" bottom="0.5" header="0.5" footer="0.5"/>
  <pageSetup scale="65" fitToWidth="0" fitToHeight="0" orientation="landscape" r:id="rId1"/>
  <legacyDrawingHF r:id="rId2"/>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8"/>
  <dimension ref="A1:AI764"/>
  <sheetViews>
    <sheetView showGridLines="0" view="pageBreakPreview" zoomScale="80" zoomScaleNormal="100" zoomScaleSheetLayoutView="80" workbookViewId="0"/>
  </sheetViews>
  <sheetFormatPr defaultRowHeight="12.75" outlineLevelRow="1" outlineLevelCol="1"/>
  <cols>
    <col min="1" max="1" width="4.5" style="250" customWidth="1"/>
    <col min="2" max="2" width="42.1640625" style="250" customWidth="1"/>
    <col min="3" max="3" width="2.83203125" style="250" customWidth="1"/>
    <col min="4" max="4" width="12.83203125" style="250" customWidth="1"/>
    <col min="5" max="5" width="10.83203125" style="250" hidden="1" customWidth="1" outlineLevel="1"/>
    <col min="6" max="7" width="9.83203125" style="250" hidden="1" customWidth="1" outlineLevel="1"/>
    <col min="8" max="8" width="12.83203125" style="250" customWidth="1" collapsed="1"/>
    <col min="9" max="11" width="12.83203125" style="250" customWidth="1"/>
    <col min="12" max="12" width="2.83203125" style="250" customWidth="1"/>
    <col min="13" max="15" width="12.83203125" style="250" customWidth="1"/>
    <col min="16" max="16" width="2.83203125" style="724" customWidth="1"/>
    <col min="17" max="17" width="12.83203125" style="250" customWidth="1"/>
    <col min="18" max="18" width="2.83203125" style="250" customWidth="1"/>
    <col min="19" max="19" width="11.6640625" style="250" hidden="1" customWidth="1" outlineLevel="1"/>
    <col min="20" max="23" width="8.83203125" style="250" hidden="1" customWidth="1" outlineLevel="1"/>
    <col min="24" max="24" width="12.83203125" style="250" customWidth="1" collapsed="1"/>
    <col min="25" max="25" width="12.83203125" style="250" customWidth="1"/>
    <col min="26" max="26" width="4.5" style="250" customWidth="1"/>
    <col min="27" max="27" width="17.5" style="250" bestFit="1" customWidth="1"/>
    <col min="28" max="28" width="14.33203125" style="250" bestFit="1" customWidth="1"/>
    <col min="29" max="29" width="9.6640625" style="250" bestFit="1" customWidth="1"/>
    <col min="30" max="30" width="10.1640625" style="250" bestFit="1" customWidth="1"/>
    <col min="31" max="16384" width="9.33203125" style="250"/>
  </cols>
  <sheetData>
    <row r="1" spans="2:35" ht="10.7" customHeight="1" thickBot="1">
      <c r="P1" s="250"/>
    </row>
    <row r="2" spans="2:35" ht="16.5" customHeight="1" thickTop="1">
      <c r="B2" s="258" t="str">
        <f>'MASTER PubCo Inputs'!$C$5</f>
        <v>ABC, Inc.</v>
      </c>
      <c r="C2" s="258"/>
      <c r="D2" s="258"/>
      <c r="E2" s="258"/>
      <c r="F2" s="258"/>
      <c r="G2" s="258"/>
      <c r="H2" s="258"/>
      <c r="I2" s="258"/>
      <c r="J2" s="258"/>
      <c r="K2" s="258"/>
      <c r="L2" s="258"/>
      <c r="M2" s="258"/>
      <c r="N2" s="258"/>
      <c r="O2" s="258"/>
      <c r="P2" s="258"/>
      <c r="Q2" s="258"/>
      <c r="R2" s="258"/>
      <c r="S2" s="258"/>
      <c r="T2" s="258"/>
      <c r="U2" s="258"/>
      <c r="V2" s="258"/>
      <c r="W2" s="258"/>
      <c r="X2" s="258"/>
      <c r="Y2" s="258"/>
      <c r="AA2" s="1151" t="s">
        <v>87</v>
      </c>
      <c r="AB2" s="1152">
        <f>+'Comp.1'!$AL$2</f>
        <v>42735</v>
      </c>
    </row>
    <row r="3" spans="2:35" ht="15.75" customHeight="1">
      <c r="B3" s="259" t="str">
        <f>VLOOKUP(B4,Outline!$E$8:$G$79,COLUMNS(Outline!$E$8:$G$8),FALSE)</f>
        <v>Workpaper #5</v>
      </c>
      <c r="C3" s="259"/>
      <c r="D3" s="259"/>
      <c r="E3" s="259"/>
      <c r="F3" s="259"/>
      <c r="G3" s="259"/>
      <c r="H3" s="259"/>
      <c r="I3" s="259"/>
      <c r="J3" s="259"/>
      <c r="K3" s="259"/>
      <c r="L3" s="259"/>
      <c r="M3" s="259"/>
      <c r="N3" s="259"/>
      <c r="O3" s="259"/>
      <c r="P3" s="259"/>
      <c r="Q3" s="259"/>
      <c r="R3" s="259"/>
      <c r="S3" s="259"/>
      <c r="T3" s="259"/>
      <c r="U3" s="259"/>
      <c r="V3" s="259"/>
      <c r="W3" s="259"/>
      <c r="X3" s="259"/>
      <c r="Y3" s="259"/>
      <c r="AA3" s="1153" t="s">
        <v>489</v>
      </c>
      <c r="AB3" s="1154" t="str">
        <f>+'Comp.1'!$AL$3</f>
        <v>F</v>
      </c>
    </row>
    <row r="4" spans="2:35" ht="16.5" customHeight="1" thickBot="1">
      <c r="B4" s="924" t="s">
        <v>2206</v>
      </c>
      <c r="C4" s="924"/>
      <c r="D4" s="924"/>
      <c r="E4" s="924"/>
      <c r="F4" s="924"/>
      <c r="G4" s="924"/>
      <c r="H4" s="924"/>
      <c r="I4" s="924"/>
      <c r="J4" s="925"/>
      <c r="K4" s="925"/>
      <c r="L4" s="925"/>
      <c r="M4" s="925"/>
      <c r="N4" s="925"/>
      <c r="O4" s="925"/>
      <c r="P4" s="925"/>
      <c r="Q4" s="925"/>
      <c r="R4" s="925"/>
      <c r="S4" s="925"/>
      <c r="T4" s="925"/>
      <c r="U4" s="925"/>
      <c r="V4" s="925"/>
      <c r="W4" s="925"/>
      <c r="X4" s="925"/>
      <c r="Y4" s="925" t="str">
        <f>+'MASTER PubCo Inputs'!$C$24</f>
        <v>(in millions of USD)</v>
      </c>
      <c r="AA4" s="1153" t="s">
        <v>490</v>
      </c>
      <c r="AB4" s="1154" t="str">
        <f>+'Comp.1'!$AL$4</f>
        <v>USD</v>
      </c>
    </row>
    <row r="5" spans="2:35" ht="14.85" customHeight="1" thickTop="1">
      <c r="B5" s="724"/>
      <c r="AA5" s="518" t="s">
        <v>89</v>
      </c>
      <c r="AB5" s="1155" t="str">
        <f>+'Comp.1'!$AL$5</f>
        <v>H</v>
      </c>
    </row>
    <row r="6" spans="2:35" ht="14.85" customHeight="1" outlineLevel="1">
      <c r="N6" s="1506">
        <f>'OPM 1 Hybrid'!D10</f>
        <v>2.5</v>
      </c>
      <c r="O6" s="1507">
        <f>'Risk-Free Rates'!E75</f>
        <v>1.2549999999999999E-2</v>
      </c>
      <c r="Q6" s="1508">
        <f>HLOOKUP(ROUND(N6,0),'Equity Vol'!$D$8:$H$8,1,TRUE)</f>
        <v>3</v>
      </c>
    </row>
    <row r="7" spans="2:35" ht="14.85" customHeight="1">
      <c r="D7" s="1509" t="s">
        <v>91</v>
      </c>
      <c r="E7" s="1510"/>
      <c r="F7" s="1510"/>
      <c r="G7" s="1510"/>
      <c r="H7" s="1510"/>
      <c r="I7" s="1510"/>
      <c r="J7" s="1510"/>
      <c r="K7" s="1511"/>
      <c r="M7" s="1509" t="s">
        <v>92</v>
      </c>
      <c r="N7" s="1510"/>
      <c r="O7" s="1510"/>
      <c r="P7" s="1512"/>
      <c r="Q7" s="1511"/>
      <c r="S7" s="1509" t="s">
        <v>93</v>
      </c>
      <c r="T7" s="1510"/>
      <c r="U7" s="1510"/>
      <c r="V7" s="1510"/>
      <c r="W7" s="1510"/>
      <c r="X7" s="1283"/>
      <c r="Y7" s="1511"/>
    </row>
    <row r="8" spans="2:35" s="272" customFormat="1" ht="14.85" customHeight="1">
      <c r="B8" s="1515" t="s">
        <v>815</v>
      </c>
      <c r="D8" s="1516" t="s">
        <v>94</v>
      </c>
      <c r="E8" s="1517" t="s">
        <v>95</v>
      </c>
      <c r="F8" s="1517" t="s">
        <v>96</v>
      </c>
      <c r="G8" s="1517" t="s">
        <v>97</v>
      </c>
      <c r="H8" s="1517" t="s">
        <v>98</v>
      </c>
      <c r="I8" s="1517" t="s">
        <v>99</v>
      </c>
      <c r="J8" s="1517" t="s">
        <v>100</v>
      </c>
      <c r="K8" s="1518" t="s">
        <v>101</v>
      </c>
      <c r="L8" s="347"/>
      <c r="M8" s="1516" t="s">
        <v>73</v>
      </c>
      <c r="N8" s="1517" t="s">
        <v>102</v>
      </c>
      <c r="O8" s="1518" t="s">
        <v>72</v>
      </c>
      <c r="P8" s="1292"/>
      <c r="Q8" s="1519" t="s">
        <v>103</v>
      </c>
      <c r="R8" s="1292"/>
      <c r="S8" s="1516" t="s">
        <v>104</v>
      </c>
      <c r="T8" s="1517" t="s">
        <v>84</v>
      </c>
      <c r="U8" s="1517" t="s">
        <v>85</v>
      </c>
      <c r="V8" s="1517" t="s">
        <v>105</v>
      </c>
      <c r="W8" s="1517" t="s">
        <v>106</v>
      </c>
      <c r="X8" s="1520" t="s">
        <v>107</v>
      </c>
      <c r="Y8" s="1518" t="s">
        <v>3512</v>
      </c>
      <c r="AA8" s="1170" t="s">
        <v>108</v>
      </c>
      <c r="AB8" s="1171" t="s">
        <v>109</v>
      </c>
      <c r="AC8" s="1171" t="s">
        <v>110</v>
      </c>
      <c r="AD8" s="1521"/>
    </row>
    <row r="9" spans="2:35" ht="14.85" customHeight="1"/>
    <row r="10" spans="2:35" ht="14.85" customHeight="1">
      <c r="B10" s="250" t="str">
        <f>'Comp.1'!B12</f>
        <v>Spark Therapeutics, Inc.</v>
      </c>
      <c r="D10" s="331">
        <f>'Beta Calc'!K10</f>
        <v>1692.82537</v>
      </c>
      <c r="E10" s="331">
        <f>'Beta Calc'!L10</f>
        <v>1.57541</v>
      </c>
      <c r="F10" s="331">
        <f>'Beta Calc'!M10</f>
        <v>0</v>
      </c>
      <c r="G10" s="331">
        <f>'Beta Calc'!N10</f>
        <v>0</v>
      </c>
      <c r="H10" s="331">
        <f>SUM(E10:G10)</f>
        <v>1.57541</v>
      </c>
      <c r="I10" s="331">
        <f>SUM(D10:G10)</f>
        <v>1694.4007799999999</v>
      </c>
      <c r="J10" s="331">
        <f>'Beta Calc'!Q10</f>
        <v>306.64877999999999</v>
      </c>
      <c r="K10" s="331">
        <f>I10-J10</f>
        <v>1387.752</v>
      </c>
      <c r="M10" s="1066">
        <f>IFERROR('Capital IQ Sheet-GPC'!AT13,"n/a")</f>
        <v>0</v>
      </c>
      <c r="N10" s="331">
        <f t="shared" ref="N10:O39" si="0">N$6</f>
        <v>2.5</v>
      </c>
      <c r="O10" s="1522">
        <f t="shared" si="0"/>
        <v>1.2549999999999999E-2</v>
      </c>
      <c r="P10" s="1523"/>
      <c r="Q10" s="1524" t="str">
        <f>IFERROR(HLOOKUP($Q$6,'Equity Vol'!$B$8:$H10,ROWS('Equity Vol'!$C$8:$C10),FALSE),"n/a")</f>
        <v>n/a</v>
      </c>
      <c r="R10" s="1525"/>
      <c r="S10" s="1526" t="str">
        <f>IFERROR(IF(Q10="n/a","n/a",Q10^2),"n/a")</f>
        <v>n/a</v>
      </c>
      <c r="T10" s="1526" t="str">
        <f t="shared" ref="T10:T39" si="1">IF(OR(K10="n/a",S10="n/a"),"n/a",IF(H10=0,0,IF(M10=0,(LN(K10/H10)+((O10+(S10/2))*N10))/((S10*N10)^0.5),(LN(K10/H10)+((O10-M10+(S10/2))*N10))/((S10*N10)^0.5))))</f>
        <v>n/a</v>
      </c>
      <c r="U10" s="1527" t="str">
        <f t="shared" ref="U10:U39" si="2">IF(T10="n/a","n/a",IF(H10=0,0,T10-(S10*N10)^0.5))</f>
        <v>n/a</v>
      </c>
      <c r="V10" s="1527" t="str">
        <f t="shared" ref="V10:V39" si="3">IF(OR(T10="n/a",S10="n/a"),"n/a",IF(H10=0,0,NORMSDIST(T10)))</f>
        <v>n/a</v>
      </c>
      <c r="W10" s="1527" t="str">
        <f t="shared" ref="W10:W39" si="4">IF(OR(U10="n/a",S10="n/a"),"n/a",IF(H10=0,0,NORMSDIST(U10)))</f>
        <v>n/a</v>
      </c>
      <c r="X10" s="331" t="str">
        <f t="shared" ref="X10:X39" si="5">IF(OR(K10="n/a",S10="n/a"),"n/a",IF(M10=0,(K10*V10)-((H10*EXP(1)^(-O10*N10))*W10),(K10*(2.718^(-M10*N10))*V10)-(H10*(2.718^(-O10*N10))*W10)))</f>
        <v>n/a</v>
      </c>
      <c r="Y10" s="1524" t="str">
        <f>IFERROR(IF(LEN(B10)&gt;0,IF(H10=0,Q10,IF(ISERROR(Q10/((K10/X10)*V10)),"n/a",Q10/((K10/X10)*V10)))),"n/a")</f>
        <v>n/a</v>
      </c>
      <c r="AA10" s="1177" t="str">
        <f>IF('MASTER PubCo Inputs'!B28=0,"",'MASTER PubCo Inputs'!B28)</f>
        <v>NasdaqGS:ONCE</v>
      </c>
      <c r="AB10" s="331">
        <f>'Beta Calc'!Z10</f>
        <v>1387.752</v>
      </c>
      <c r="AC10" s="1178">
        <f t="shared" ref="AC10:AC39" si="6">K10-AB10</f>
        <v>0</v>
      </c>
      <c r="AI10" s="1179"/>
    </row>
    <row r="11" spans="2:35" ht="14.85" customHeight="1">
      <c r="B11" s="250" t="str">
        <f>'Comp.1'!B13</f>
        <v>CRISPR Therapeutics AG</v>
      </c>
      <c r="D11" s="331">
        <f>'Beta Calc'!K11</f>
        <v>868.62804000000006</v>
      </c>
      <c r="E11" s="331">
        <f>'Beta Calc'!L11</f>
        <v>0</v>
      </c>
      <c r="F11" s="331">
        <f>'Beta Calc'!M11</f>
        <v>185.565</v>
      </c>
      <c r="G11" s="331">
        <f>'Beta Calc'!N11</f>
        <v>-5.0999999999999997E-2</v>
      </c>
      <c r="H11" s="331">
        <f t="shared" ref="H11:H39" si="7">SUM(E11:G11)</f>
        <v>185.51400000000001</v>
      </c>
      <c r="I11" s="331">
        <f t="shared" ref="I11:I39" si="8">SUM(D11:G11)</f>
        <v>1054.1420400000002</v>
      </c>
      <c r="J11" s="331">
        <f>'Beta Calc'!Q11</f>
        <v>228.613</v>
      </c>
      <c r="K11" s="331">
        <f t="shared" ref="K11:K39" si="9">I11-J11</f>
        <v>825.52904000000012</v>
      </c>
      <c r="M11" s="1066">
        <f>IFERROR('Capital IQ Sheet-GPC'!AT14,"n/a")</f>
        <v>0</v>
      </c>
      <c r="N11" s="331">
        <f t="shared" si="0"/>
        <v>2.5</v>
      </c>
      <c r="O11" s="1522">
        <f t="shared" si="0"/>
        <v>1.2549999999999999E-2</v>
      </c>
      <c r="P11" s="1523"/>
      <c r="Q11" s="1524" t="str">
        <f>IFERROR(HLOOKUP($Q$6,'Equity Vol'!$B$8:$H11,ROWS('Equity Vol'!$C$8:$C11),FALSE),"n/a")</f>
        <v>n/a</v>
      </c>
      <c r="R11" s="1525"/>
      <c r="S11" s="1526" t="str">
        <f t="shared" ref="S11:S39" si="10">IFERROR(IF(Q11="n/a","n/a",Q11^2),"n/a")</f>
        <v>n/a</v>
      </c>
      <c r="T11" s="1526" t="str">
        <f t="shared" si="1"/>
        <v>n/a</v>
      </c>
      <c r="U11" s="1527" t="str">
        <f t="shared" si="2"/>
        <v>n/a</v>
      </c>
      <c r="V11" s="1527" t="str">
        <f t="shared" si="3"/>
        <v>n/a</v>
      </c>
      <c r="W11" s="1527" t="str">
        <f t="shared" si="4"/>
        <v>n/a</v>
      </c>
      <c r="X11" s="331" t="str">
        <f t="shared" si="5"/>
        <v>n/a</v>
      </c>
      <c r="Y11" s="1524" t="str">
        <f t="shared" ref="Y11:Y39" si="11">IFERROR(IF(LEN(B11)&gt;0,IF(H11=0,Q11,IF(ISERROR(Q11/((K11/X11)*V11)),"n/a",Q11/((K11/X11)*V11)))),"n/a")</f>
        <v>n/a</v>
      </c>
      <c r="AA11" s="1177" t="str">
        <f>IF('MASTER PubCo Inputs'!B29=0,"",'MASTER PubCo Inputs'!B29)</f>
        <v>NasdaqGM:CRSP</v>
      </c>
      <c r="AB11" s="331">
        <f>'Beta Calc'!Z11</f>
        <v>825.52904000000001</v>
      </c>
      <c r="AC11" s="1178">
        <f t="shared" si="6"/>
        <v>0</v>
      </c>
      <c r="AI11" s="1179"/>
    </row>
    <row r="12" spans="2:35" ht="14.85" customHeight="1">
      <c r="B12" s="250" t="str">
        <f>'Comp.1'!B14</f>
        <v>WAVE Life Sciences Ltd.</v>
      </c>
      <c r="D12" s="331">
        <f>'Beta Calc'!K12</f>
        <v>835.72670000000005</v>
      </c>
      <c r="E12" s="331">
        <f>'Beta Calc'!L12</f>
        <v>9.2999999999999999E-2</v>
      </c>
      <c r="F12" s="331">
        <f>'Beta Calc'!M12</f>
        <v>7.8739999999999997</v>
      </c>
      <c r="G12" s="331">
        <f>'Beta Calc'!N12</f>
        <v>0</v>
      </c>
      <c r="H12" s="331">
        <f t="shared" si="7"/>
        <v>7.9669999999999996</v>
      </c>
      <c r="I12" s="331">
        <f t="shared" si="8"/>
        <v>843.69370000000004</v>
      </c>
      <c r="J12" s="331">
        <f>'Beta Calc'!Q12</f>
        <v>169.01499999999999</v>
      </c>
      <c r="K12" s="331">
        <f t="shared" si="9"/>
        <v>674.67870000000005</v>
      </c>
      <c r="M12" s="1066">
        <f>IFERROR('Capital IQ Sheet-GPC'!AT15,"n/a")</f>
        <v>0</v>
      </c>
      <c r="N12" s="331">
        <f t="shared" si="0"/>
        <v>2.5</v>
      </c>
      <c r="O12" s="1522">
        <f t="shared" si="0"/>
        <v>1.2549999999999999E-2</v>
      </c>
      <c r="P12" s="1523"/>
      <c r="Q12" s="1524" t="str">
        <f>IFERROR(HLOOKUP($Q$6,'Equity Vol'!$B$8:$H12,ROWS('Equity Vol'!$C$8:$C12),FALSE),"n/a")</f>
        <v>n/a</v>
      </c>
      <c r="R12" s="1525"/>
      <c r="S12" s="1526" t="str">
        <f t="shared" si="10"/>
        <v>n/a</v>
      </c>
      <c r="T12" s="1526" t="str">
        <f t="shared" si="1"/>
        <v>n/a</v>
      </c>
      <c r="U12" s="1527" t="str">
        <f t="shared" si="2"/>
        <v>n/a</v>
      </c>
      <c r="V12" s="1527" t="str">
        <f t="shared" si="3"/>
        <v>n/a</v>
      </c>
      <c r="W12" s="1527" t="str">
        <f t="shared" si="4"/>
        <v>n/a</v>
      </c>
      <c r="X12" s="331" t="str">
        <f t="shared" si="5"/>
        <v>n/a</v>
      </c>
      <c r="Y12" s="1524" t="str">
        <f t="shared" si="11"/>
        <v>n/a</v>
      </c>
      <c r="AA12" s="1177" t="str">
        <f>IF('MASTER PubCo Inputs'!B30=0,"",'MASTER PubCo Inputs'!B30)</f>
        <v>NasdaqGM:WVE</v>
      </c>
      <c r="AB12" s="331">
        <f>'Beta Calc'!Z12</f>
        <v>674.67870000000005</v>
      </c>
      <c r="AC12" s="1178">
        <f t="shared" si="6"/>
        <v>0</v>
      </c>
      <c r="AI12" s="1179"/>
    </row>
    <row r="13" spans="2:35" ht="14.85" customHeight="1">
      <c r="B13" s="250" t="str">
        <f>'Comp.1'!B15</f>
        <v>Regenxbio Inc.</v>
      </c>
      <c r="D13" s="331">
        <f>'Beta Calc'!K13</f>
        <v>589.07718</v>
      </c>
      <c r="E13" s="331">
        <f>'Beta Calc'!L13</f>
        <v>0</v>
      </c>
      <c r="F13" s="331">
        <f>'Beta Calc'!M13</f>
        <v>0</v>
      </c>
      <c r="G13" s="331">
        <f>'Beta Calc'!N13</f>
        <v>0</v>
      </c>
      <c r="H13" s="331">
        <f t="shared" si="7"/>
        <v>0</v>
      </c>
      <c r="I13" s="331">
        <f t="shared" si="8"/>
        <v>589.07718</v>
      </c>
      <c r="J13" s="331">
        <f>'Beta Calc'!Q13</f>
        <v>91.77</v>
      </c>
      <c r="K13" s="331">
        <f t="shared" si="9"/>
        <v>497.30718000000002</v>
      </c>
      <c r="M13" s="1066">
        <f>IFERROR('Capital IQ Sheet-GPC'!AT16,"n/a")</f>
        <v>0</v>
      </c>
      <c r="N13" s="331">
        <f t="shared" si="0"/>
        <v>2.5</v>
      </c>
      <c r="O13" s="1522">
        <f t="shared" si="0"/>
        <v>1.2549999999999999E-2</v>
      </c>
      <c r="P13" s="1523"/>
      <c r="Q13" s="1524" t="str">
        <f>IFERROR(HLOOKUP($Q$6,'Equity Vol'!$B$8:$H13,ROWS('Equity Vol'!$C$8:$C13),FALSE),"n/a")</f>
        <v>n/a</v>
      </c>
      <c r="R13" s="1525"/>
      <c r="S13" s="1526" t="str">
        <f t="shared" si="10"/>
        <v>n/a</v>
      </c>
      <c r="T13" s="1526" t="str">
        <f t="shared" si="1"/>
        <v>n/a</v>
      </c>
      <c r="U13" s="1527" t="str">
        <f t="shared" si="2"/>
        <v>n/a</v>
      </c>
      <c r="V13" s="1527" t="str">
        <f t="shared" si="3"/>
        <v>n/a</v>
      </c>
      <c r="W13" s="1527" t="str">
        <f t="shared" si="4"/>
        <v>n/a</v>
      </c>
      <c r="X13" s="331" t="str">
        <f t="shared" si="5"/>
        <v>n/a</v>
      </c>
      <c r="Y13" s="1524" t="str">
        <f t="shared" si="11"/>
        <v>n/a</v>
      </c>
      <c r="AA13" s="1177" t="str">
        <f>IF('MASTER PubCo Inputs'!B31=0,"",'MASTER PubCo Inputs'!B31)</f>
        <v>NasdaqGS:RGNX</v>
      </c>
      <c r="AB13" s="331">
        <f>'Beta Calc'!Z13</f>
        <v>497.30718000000002</v>
      </c>
      <c r="AC13" s="1178">
        <f t="shared" si="6"/>
        <v>0</v>
      </c>
      <c r="AI13" s="1179"/>
    </row>
    <row r="14" spans="2:35" ht="14.85" customHeight="1">
      <c r="B14" s="250" t="str">
        <f>'Comp.1'!B16</f>
        <v>Inovio Pharmaceuticals, Inc.</v>
      </c>
      <c r="D14" s="331">
        <f>'Beta Calc'!K14</f>
        <v>524.34855000000005</v>
      </c>
      <c r="E14" s="331">
        <f>'Beta Calc'!L14</f>
        <v>0</v>
      </c>
      <c r="F14" s="331">
        <f>'Beta Calc'!M14</f>
        <v>0</v>
      </c>
      <c r="G14" s="331">
        <f>'Beta Calc'!N14</f>
        <v>9.6269999999999994E-2</v>
      </c>
      <c r="H14" s="331">
        <f t="shared" si="7"/>
        <v>9.6269999999999994E-2</v>
      </c>
      <c r="I14" s="331">
        <f t="shared" si="8"/>
        <v>524.44482000000005</v>
      </c>
      <c r="J14" s="331">
        <f>'Beta Calc'!Q14</f>
        <v>119.68635</v>
      </c>
      <c r="K14" s="331">
        <f t="shared" si="9"/>
        <v>404.75847000000005</v>
      </c>
      <c r="M14" s="1066">
        <f>IFERROR('Capital IQ Sheet-GPC'!AT17,"n/a")</f>
        <v>0</v>
      </c>
      <c r="N14" s="331">
        <f t="shared" si="0"/>
        <v>2.5</v>
      </c>
      <c r="O14" s="1522">
        <f t="shared" si="0"/>
        <v>1.2549999999999999E-2</v>
      </c>
      <c r="P14" s="1523"/>
      <c r="Q14" s="1524">
        <f>IFERROR(HLOOKUP($Q$6,'Equity Vol'!$B$8:$H14,ROWS('Equity Vol'!$C$8:$C14),FALSE),"n/a")</f>
        <v>0.65354069738568776</v>
      </c>
      <c r="R14" s="1525"/>
      <c r="S14" s="1526">
        <f t="shared" si="10"/>
        <v>0.42711544313937111</v>
      </c>
      <c r="T14" s="1526">
        <f t="shared" si="1"/>
        <v>8.6217224295156747</v>
      </c>
      <c r="U14" s="1527">
        <f t="shared" si="2"/>
        <v>7.5883838558388632</v>
      </c>
      <c r="V14" s="1527">
        <f t="shared" si="3"/>
        <v>1</v>
      </c>
      <c r="W14" s="1527">
        <f t="shared" si="4"/>
        <v>0.99999999999998379</v>
      </c>
      <c r="X14" s="331">
        <f t="shared" si="5"/>
        <v>404.66517357929848</v>
      </c>
      <c r="Y14" s="1524">
        <f t="shared" si="11"/>
        <v>0.65339005691150842</v>
      </c>
      <c r="AA14" s="1177" t="str">
        <f>IF('MASTER PubCo Inputs'!B32=0,"",'MASTER PubCo Inputs'!B32)</f>
        <v>NasdaqGS:INO</v>
      </c>
      <c r="AB14" s="331">
        <f>'Beta Calc'!Z14</f>
        <v>404.75846999999999</v>
      </c>
      <c r="AC14" s="1178">
        <f t="shared" si="6"/>
        <v>0</v>
      </c>
      <c r="AI14" s="1179"/>
    </row>
    <row r="15" spans="2:35" ht="14.85" customHeight="1">
      <c r="B15" s="250" t="str">
        <f>'Comp.1'!B17</f>
        <v>Enanta Pharmaceuticals, Inc.</v>
      </c>
      <c r="D15" s="331">
        <f>'Beta Calc'!K15</f>
        <v>598.48901000000001</v>
      </c>
      <c r="E15" s="331">
        <f>'Beta Calc'!L15</f>
        <v>0.70699999999999996</v>
      </c>
      <c r="F15" s="331">
        <f>'Beta Calc'!M15</f>
        <v>1.2370000000000001</v>
      </c>
      <c r="G15" s="331">
        <f>'Beta Calc'!N15</f>
        <v>0</v>
      </c>
      <c r="H15" s="331">
        <f t="shared" si="7"/>
        <v>1.944</v>
      </c>
      <c r="I15" s="331">
        <f t="shared" si="8"/>
        <v>600.43300999999997</v>
      </c>
      <c r="J15" s="331">
        <f>'Beta Calc'!Q15</f>
        <v>218.465</v>
      </c>
      <c r="K15" s="331">
        <f t="shared" si="9"/>
        <v>381.96800999999994</v>
      </c>
      <c r="M15" s="1066">
        <f>IFERROR('Capital IQ Sheet-GPC'!AT18,"n/a")</f>
        <v>0</v>
      </c>
      <c r="N15" s="331">
        <f t="shared" si="0"/>
        <v>2.5</v>
      </c>
      <c r="O15" s="1522">
        <f t="shared" si="0"/>
        <v>1.2549999999999999E-2</v>
      </c>
      <c r="P15" s="1523"/>
      <c r="Q15" s="1524">
        <f>IFERROR(HLOOKUP($Q$6,'Equity Vol'!$B$8:$H15,ROWS('Equity Vol'!$C$8:$C15),FALSE),"n/a")</f>
        <v>0.61508994844412945</v>
      </c>
      <c r="R15" s="1525"/>
      <c r="S15" s="1526">
        <f t="shared" si="10"/>
        <v>0.37833564467700181</v>
      </c>
      <c r="T15" s="1526">
        <f t="shared" si="1"/>
        <v>5.9482059733445718</v>
      </c>
      <c r="U15" s="1527">
        <f t="shared" si="2"/>
        <v>4.9756633718650765</v>
      </c>
      <c r="V15" s="1527">
        <f t="shared" si="3"/>
        <v>0.99999999864451339</v>
      </c>
      <c r="W15" s="1527">
        <f t="shared" si="4"/>
        <v>0.99999967487717489</v>
      </c>
      <c r="X15" s="331">
        <f t="shared" si="5"/>
        <v>380.08405619589814</v>
      </c>
      <c r="Y15" s="1524">
        <f t="shared" si="11"/>
        <v>0.61205618461835121</v>
      </c>
      <c r="AA15" s="1177" t="str">
        <f>IF('MASTER PubCo Inputs'!B33=0,"",'MASTER PubCo Inputs'!B33)</f>
        <v>NasdaqGS:ENTA</v>
      </c>
      <c r="AB15" s="331">
        <f>'Beta Calc'!Z15</f>
        <v>389.81500999999997</v>
      </c>
      <c r="AC15" s="1178">
        <f t="shared" si="6"/>
        <v>-7.8470000000000368</v>
      </c>
      <c r="AI15" s="1179"/>
    </row>
    <row r="16" spans="2:35" ht="14.85" customHeight="1">
      <c r="B16" s="250" t="str">
        <f>'Comp.1'!B18</f>
        <v>Editas Medicine, Inc.</v>
      </c>
      <c r="D16" s="331">
        <f>'Beta Calc'!K16</f>
        <v>508.51056999999997</v>
      </c>
      <c r="E16" s="331">
        <f>'Beta Calc'!L16</f>
        <v>32.048000000000002</v>
      </c>
      <c r="F16" s="331">
        <f>'Beta Calc'!M16</f>
        <v>0</v>
      </c>
      <c r="G16" s="331">
        <f>'Beta Calc'!N16</f>
        <v>0</v>
      </c>
      <c r="H16" s="331">
        <f t="shared" si="7"/>
        <v>32.048000000000002</v>
      </c>
      <c r="I16" s="331">
        <f t="shared" si="8"/>
        <v>540.55856999999992</v>
      </c>
      <c r="J16" s="331">
        <f>'Beta Calc'!Q16</f>
        <v>199.874</v>
      </c>
      <c r="K16" s="331">
        <f t="shared" si="9"/>
        <v>340.68456999999989</v>
      </c>
      <c r="M16" s="1066">
        <f>IFERROR('Capital IQ Sheet-GPC'!AT19,"n/a")</f>
        <v>0</v>
      </c>
      <c r="N16" s="331">
        <f t="shared" si="0"/>
        <v>2.5</v>
      </c>
      <c r="O16" s="1522">
        <f t="shared" si="0"/>
        <v>1.2549999999999999E-2</v>
      </c>
      <c r="P16" s="1523"/>
      <c r="Q16" s="1524" t="str">
        <f>IFERROR(HLOOKUP($Q$6,'Equity Vol'!$B$8:$H16,ROWS('Equity Vol'!$C$8:$C16),FALSE),"n/a")</f>
        <v>n/a</v>
      </c>
      <c r="R16" s="1525"/>
      <c r="S16" s="1526" t="str">
        <f t="shared" si="10"/>
        <v>n/a</v>
      </c>
      <c r="T16" s="1526" t="str">
        <f t="shared" si="1"/>
        <v>n/a</v>
      </c>
      <c r="U16" s="1527" t="str">
        <f t="shared" si="2"/>
        <v>n/a</v>
      </c>
      <c r="V16" s="1527" t="str">
        <f t="shared" si="3"/>
        <v>n/a</v>
      </c>
      <c r="W16" s="1527" t="str">
        <f t="shared" si="4"/>
        <v>n/a</v>
      </c>
      <c r="X16" s="331" t="str">
        <f t="shared" si="5"/>
        <v>n/a</v>
      </c>
      <c r="Y16" s="1524" t="str">
        <f t="shared" si="11"/>
        <v>n/a</v>
      </c>
      <c r="AA16" s="1177" t="str">
        <f>IF('MASTER PubCo Inputs'!B34=0,"",'MASTER PubCo Inputs'!B34)</f>
        <v>NasdaqGS:EDIT</v>
      </c>
      <c r="AB16" s="331">
        <f>'Beta Calc'!Z16</f>
        <v>340.68457000000001</v>
      </c>
      <c r="AC16" s="1178">
        <f t="shared" si="6"/>
        <v>0</v>
      </c>
      <c r="AI16" s="1179"/>
    </row>
    <row r="17" spans="2:35" ht="14.85" customHeight="1">
      <c r="B17" s="250" t="str">
        <f>'Comp.1'!B19</f>
        <v>NantKwest, Inc.</v>
      </c>
      <c r="D17" s="331">
        <f>'Beta Calc'!K17</f>
        <v>538.73569999999995</v>
      </c>
      <c r="E17" s="331">
        <f>'Beta Calc'!L17</f>
        <v>7.7030000000000003</v>
      </c>
      <c r="F17" s="331">
        <f>'Beta Calc'!M17</f>
        <v>0</v>
      </c>
      <c r="G17" s="331">
        <f>'Beta Calc'!N17</f>
        <v>0</v>
      </c>
      <c r="H17" s="331">
        <f t="shared" si="7"/>
        <v>7.7030000000000003</v>
      </c>
      <c r="I17" s="331">
        <f t="shared" si="8"/>
        <v>546.43869999999993</v>
      </c>
      <c r="J17" s="331">
        <f>'Beta Calc'!Q17</f>
        <v>209.256</v>
      </c>
      <c r="K17" s="331">
        <f t="shared" si="9"/>
        <v>337.18269999999995</v>
      </c>
      <c r="M17" s="1066">
        <f>IFERROR('Capital IQ Sheet-GPC'!AT20,"n/a")</f>
        <v>0</v>
      </c>
      <c r="N17" s="331">
        <f t="shared" si="0"/>
        <v>2.5</v>
      </c>
      <c r="O17" s="1522">
        <f t="shared" si="0"/>
        <v>1.2549999999999999E-2</v>
      </c>
      <c r="P17" s="1523"/>
      <c r="Q17" s="1524" t="str">
        <f>IFERROR(HLOOKUP($Q$6,'Equity Vol'!$B$8:$H17,ROWS('Equity Vol'!$C$8:$C17),FALSE),"n/a")</f>
        <v>n/a</v>
      </c>
      <c r="R17" s="1525"/>
      <c r="S17" s="1526" t="str">
        <f t="shared" si="10"/>
        <v>n/a</v>
      </c>
      <c r="T17" s="1526" t="str">
        <f t="shared" si="1"/>
        <v>n/a</v>
      </c>
      <c r="U17" s="1527" t="str">
        <f t="shared" si="2"/>
        <v>n/a</v>
      </c>
      <c r="V17" s="1527" t="str">
        <f t="shared" si="3"/>
        <v>n/a</v>
      </c>
      <c r="W17" s="1527" t="str">
        <f t="shared" si="4"/>
        <v>n/a</v>
      </c>
      <c r="X17" s="331" t="str">
        <f t="shared" si="5"/>
        <v>n/a</v>
      </c>
      <c r="Y17" s="1524" t="str">
        <f t="shared" si="11"/>
        <v>n/a</v>
      </c>
      <c r="AA17" s="1177" t="str">
        <f>IF('MASTER PubCo Inputs'!B35=0,"",'MASTER PubCo Inputs'!B35)</f>
        <v>NasdaqGS:NK</v>
      </c>
      <c r="AB17" s="331">
        <f>'Beta Calc'!Z17</f>
        <v>337.18270000000001</v>
      </c>
      <c r="AC17" s="1178">
        <f t="shared" si="6"/>
        <v>0</v>
      </c>
      <c r="AI17" s="1179"/>
    </row>
    <row r="18" spans="2:35" ht="14.85" customHeight="1">
      <c r="B18" s="250" t="str">
        <f>'Comp.1'!B20</f>
        <v>Cocrystal Pharma, Inc.</v>
      </c>
      <c r="D18" s="331">
        <f>'Beta Calc'!K18</f>
        <v>317.20850000000002</v>
      </c>
      <c r="E18" s="331">
        <f>'Beta Calc'!L18</f>
        <v>0</v>
      </c>
      <c r="F18" s="331">
        <f>'Beta Calc'!M18</f>
        <v>0</v>
      </c>
      <c r="G18" s="331">
        <f>'Beta Calc'!N18</f>
        <v>0</v>
      </c>
      <c r="H18" s="331">
        <f t="shared" si="7"/>
        <v>0</v>
      </c>
      <c r="I18" s="331">
        <f t="shared" si="8"/>
        <v>317.20850000000002</v>
      </c>
      <c r="J18" s="331">
        <f>'Beta Calc'!Q18</f>
        <v>5.9059999999999997</v>
      </c>
      <c r="K18" s="331">
        <f t="shared" si="9"/>
        <v>311.30250000000001</v>
      </c>
      <c r="M18" s="1066">
        <f>IFERROR('Capital IQ Sheet-GPC'!AT21,"n/a")</f>
        <v>0</v>
      </c>
      <c r="N18" s="331">
        <f t="shared" si="0"/>
        <v>2.5</v>
      </c>
      <c r="O18" s="1522">
        <f t="shared" si="0"/>
        <v>1.2549999999999999E-2</v>
      </c>
      <c r="P18" s="1523"/>
      <c r="Q18" s="1524">
        <f>IFERROR(HLOOKUP($Q$6,'Equity Vol'!$B$8:$H18,ROWS('Equity Vol'!$C$8:$C18),FALSE),"n/a")</f>
        <v>0.8052399960875728</v>
      </c>
      <c r="R18" s="1525"/>
      <c r="S18" s="1526">
        <f t="shared" si="10"/>
        <v>0.64841145129911426</v>
      </c>
      <c r="T18" s="1526">
        <f t="shared" si="1"/>
        <v>0</v>
      </c>
      <c r="U18" s="1527">
        <f t="shared" si="2"/>
        <v>0</v>
      </c>
      <c r="V18" s="1527">
        <f t="shared" si="3"/>
        <v>0</v>
      </c>
      <c r="W18" s="1527">
        <f t="shared" si="4"/>
        <v>0</v>
      </c>
      <c r="X18" s="331">
        <f t="shared" si="5"/>
        <v>0</v>
      </c>
      <c r="Y18" s="1524">
        <f t="shared" si="11"/>
        <v>0.8052399960875728</v>
      </c>
      <c r="AA18" s="1177" t="str">
        <f>IF('MASTER PubCo Inputs'!B36=0,"",'MASTER PubCo Inputs'!B36)</f>
        <v>OTCBB:COCP</v>
      </c>
      <c r="AB18" s="331">
        <f>'Beta Calc'!Z18</f>
        <v>311.30250000000001</v>
      </c>
      <c r="AC18" s="1178">
        <f t="shared" si="6"/>
        <v>0</v>
      </c>
      <c r="AI18" s="1179"/>
    </row>
    <row r="19" spans="2:35" ht="14.85" customHeight="1">
      <c r="B19" s="250" t="str">
        <f>'Comp.1'!B21</f>
        <v>Intellia Therapeutics Inc.</v>
      </c>
      <c r="D19" s="331">
        <f>'Beta Calc'!K19</f>
        <v>566.92646000000002</v>
      </c>
      <c r="E19" s="331">
        <f>'Beta Calc'!L19</f>
        <v>0</v>
      </c>
      <c r="F19" s="331">
        <f>'Beta Calc'!M19</f>
        <v>0</v>
      </c>
      <c r="G19" s="331">
        <f>'Beta Calc'!N19</f>
        <v>0</v>
      </c>
      <c r="H19" s="331">
        <f t="shared" si="7"/>
        <v>0</v>
      </c>
      <c r="I19" s="331">
        <f t="shared" si="8"/>
        <v>566.92646000000002</v>
      </c>
      <c r="J19" s="331">
        <f>'Beta Calc'!Q19</f>
        <v>290.61799999999999</v>
      </c>
      <c r="K19" s="331">
        <f t="shared" si="9"/>
        <v>276.30846000000003</v>
      </c>
      <c r="M19" s="1066">
        <f>IFERROR('Capital IQ Sheet-GPC'!AT22,"n/a")</f>
        <v>0</v>
      </c>
      <c r="N19" s="331">
        <f t="shared" si="0"/>
        <v>2.5</v>
      </c>
      <c r="O19" s="1522">
        <f t="shared" si="0"/>
        <v>1.2549999999999999E-2</v>
      </c>
      <c r="P19" s="1523"/>
      <c r="Q19" s="1524" t="str">
        <f>IFERROR(HLOOKUP($Q$6,'Equity Vol'!$B$8:$H19,ROWS('Equity Vol'!$C$8:$C19),FALSE),"n/a")</f>
        <v>n/a</v>
      </c>
      <c r="R19" s="1525"/>
      <c r="S19" s="1526" t="str">
        <f t="shared" si="10"/>
        <v>n/a</v>
      </c>
      <c r="T19" s="1526" t="str">
        <f t="shared" si="1"/>
        <v>n/a</v>
      </c>
      <c r="U19" s="1527" t="str">
        <f t="shared" si="2"/>
        <v>n/a</v>
      </c>
      <c r="V19" s="1527" t="str">
        <f t="shared" si="3"/>
        <v>n/a</v>
      </c>
      <c r="W19" s="1527" t="str">
        <f t="shared" si="4"/>
        <v>n/a</v>
      </c>
      <c r="X19" s="331" t="str">
        <f t="shared" si="5"/>
        <v>n/a</v>
      </c>
      <c r="Y19" s="1524" t="str">
        <f t="shared" si="11"/>
        <v>n/a</v>
      </c>
      <c r="AA19" s="1177" t="str">
        <f>IF('MASTER PubCo Inputs'!B37=0,"",'MASTER PubCo Inputs'!B37)</f>
        <v>NasdaqGM:NTLA</v>
      </c>
      <c r="AB19" s="331">
        <f>'Beta Calc'!Z19</f>
        <v>276.30846000000003</v>
      </c>
      <c r="AC19" s="1178">
        <f t="shared" si="6"/>
        <v>0</v>
      </c>
      <c r="AI19" s="1179"/>
    </row>
    <row r="20" spans="2:35" ht="14.85" customHeight="1">
      <c r="B20" s="250" t="str">
        <f>'Comp.1'!B22</f>
        <v>GenSight Biologics S.A.</v>
      </c>
      <c r="D20" s="331">
        <f>'Beta Calc'!K20</f>
        <v>256.04862000000003</v>
      </c>
      <c r="E20" s="331">
        <f>'Beta Calc'!L20</f>
        <v>0.67574000000000001</v>
      </c>
      <c r="F20" s="331">
        <f>'Beta Calc'!M20</f>
        <v>0</v>
      </c>
      <c r="G20" s="331">
        <f>'Beta Calc'!N20</f>
        <v>0</v>
      </c>
      <c r="H20" s="331">
        <f t="shared" si="7"/>
        <v>0.67574000000000001</v>
      </c>
      <c r="I20" s="331">
        <f t="shared" si="8"/>
        <v>256.72436000000005</v>
      </c>
      <c r="J20" s="331">
        <f>'Beta Calc'!Q20</f>
        <v>32.647199999999998</v>
      </c>
      <c r="K20" s="331">
        <f t="shared" si="9"/>
        <v>224.07716000000005</v>
      </c>
      <c r="M20" s="1066">
        <f>IFERROR('Capital IQ Sheet-GPC'!AT23,"n/a")</f>
        <v>0</v>
      </c>
      <c r="N20" s="331">
        <f t="shared" si="0"/>
        <v>2.5</v>
      </c>
      <c r="O20" s="1522">
        <f t="shared" si="0"/>
        <v>1.2549999999999999E-2</v>
      </c>
      <c r="P20" s="1523"/>
      <c r="Q20" s="1524" t="str">
        <f>IFERROR(HLOOKUP($Q$6,'Equity Vol'!$B$8:$H20,ROWS('Equity Vol'!$C$8:$C20),FALSE),"n/a")</f>
        <v>n/a</v>
      </c>
      <c r="R20" s="1525"/>
      <c r="S20" s="1526" t="str">
        <f t="shared" si="10"/>
        <v>n/a</v>
      </c>
      <c r="T20" s="1526" t="str">
        <f t="shared" si="1"/>
        <v>n/a</v>
      </c>
      <c r="U20" s="1527" t="str">
        <f t="shared" si="2"/>
        <v>n/a</v>
      </c>
      <c r="V20" s="1527" t="str">
        <f t="shared" si="3"/>
        <v>n/a</v>
      </c>
      <c r="W20" s="1527" t="str">
        <f t="shared" si="4"/>
        <v>n/a</v>
      </c>
      <c r="X20" s="331" t="str">
        <f t="shared" si="5"/>
        <v>n/a</v>
      </c>
      <c r="Y20" s="1524" t="str">
        <f t="shared" si="11"/>
        <v>n/a</v>
      </c>
      <c r="AA20" s="1177" t="str">
        <f>IF('MASTER PubCo Inputs'!B38=0,"",'MASTER PubCo Inputs'!B38)</f>
        <v>ENXTPA:SIGHT</v>
      </c>
      <c r="AB20" s="331">
        <f>'Beta Calc'!Z20</f>
        <v>224.93052</v>
      </c>
      <c r="AC20" s="1178">
        <f t="shared" si="6"/>
        <v>-0.85335999999995238</v>
      </c>
      <c r="AI20" s="1179"/>
    </row>
    <row r="21" spans="2:35" ht="14.85" customHeight="1">
      <c r="B21" s="250" t="str">
        <f>'Comp.1'!B23</f>
        <v>Advaxis, Inc.</v>
      </c>
      <c r="D21" s="331">
        <f>'Beta Calc'!K21</f>
        <v>331.10462000000001</v>
      </c>
      <c r="E21" s="331">
        <f>'Beta Calc'!L21</f>
        <v>0</v>
      </c>
      <c r="F21" s="331">
        <f>'Beta Calc'!M21</f>
        <v>0</v>
      </c>
      <c r="G21" s="331">
        <f>'Beta Calc'!N21</f>
        <v>0</v>
      </c>
      <c r="H21" s="331">
        <f t="shared" si="7"/>
        <v>0</v>
      </c>
      <c r="I21" s="331">
        <f t="shared" si="8"/>
        <v>331.10462000000001</v>
      </c>
      <c r="J21" s="331">
        <f>'Beta Calc'!Q21</f>
        <v>78.717920000000007</v>
      </c>
      <c r="K21" s="331">
        <f t="shared" si="9"/>
        <v>252.38670000000002</v>
      </c>
      <c r="M21" s="1066">
        <f>IFERROR('Capital IQ Sheet-GPC'!AT24,"n/a")</f>
        <v>0</v>
      </c>
      <c r="N21" s="331">
        <f t="shared" si="0"/>
        <v>2.5</v>
      </c>
      <c r="O21" s="1522">
        <f t="shared" si="0"/>
        <v>1.2549999999999999E-2</v>
      </c>
      <c r="P21" s="1523"/>
      <c r="Q21" s="1524">
        <f>IFERROR(HLOOKUP($Q$6,'Equity Vol'!$B$8:$H21,ROWS('Equity Vol'!$C$8:$C21),FALSE),"n/a")</f>
        <v>0.90964738135601619</v>
      </c>
      <c r="R21" s="1525"/>
      <c r="S21" s="1526">
        <f t="shared" si="10"/>
        <v>0.82745835840785753</v>
      </c>
      <c r="T21" s="1526">
        <f t="shared" si="1"/>
        <v>0</v>
      </c>
      <c r="U21" s="1527">
        <f t="shared" si="2"/>
        <v>0</v>
      </c>
      <c r="V21" s="1527">
        <f t="shared" si="3"/>
        <v>0</v>
      </c>
      <c r="W21" s="1527">
        <f t="shared" si="4"/>
        <v>0</v>
      </c>
      <c r="X21" s="331">
        <f t="shared" si="5"/>
        <v>0</v>
      </c>
      <c r="Y21" s="1524">
        <f t="shared" si="11"/>
        <v>0.90964738135601619</v>
      </c>
      <c r="AA21" s="1177" t="str">
        <f>IF('MASTER PubCo Inputs'!B39=0,"",'MASTER PubCo Inputs'!B39)</f>
        <v>NasdaqCM:ADXS</v>
      </c>
      <c r="AB21" s="331">
        <f>'Beta Calc'!Z21</f>
        <v>252.38669999999999</v>
      </c>
      <c r="AC21" s="1178">
        <f t="shared" si="6"/>
        <v>0</v>
      </c>
      <c r="AI21" s="1179"/>
    </row>
    <row r="22" spans="2:35" ht="14.85" customHeight="1">
      <c r="B22" s="250" t="str">
        <f>'Comp.1'!B24</f>
        <v>Audentes Therapeutics, Inc.</v>
      </c>
      <c r="D22" s="331">
        <f>'Beta Calc'!K22</f>
        <v>356.94443000000001</v>
      </c>
      <c r="E22" s="331">
        <f>'Beta Calc'!L22</f>
        <v>0</v>
      </c>
      <c r="F22" s="331">
        <f>'Beta Calc'!M22</f>
        <v>0</v>
      </c>
      <c r="G22" s="331">
        <f>'Beta Calc'!N22</f>
        <v>0</v>
      </c>
      <c r="H22" s="331">
        <f t="shared" si="7"/>
        <v>0</v>
      </c>
      <c r="I22" s="331">
        <f t="shared" si="8"/>
        <v>356.94443000000001</v>
      </c>
      <c r="J22" s="331">
        <f>'Beta Calc'!Q22</f>
        <v>119.18</v>
      </c>
      <c r="K22" s="331">
        <f t="shared" si="9"/>
        <v>237.76443</v>
      </c>
      <c r="M22" s="1066">
        <f>IFERROR('Capital IQ Sheet-GPC'!AT25,"n/a")</f>
        <v>0</v>
      </c>
      <c r="N22" s="331">
        <f t="shared" si="0"/>
        <v>2.5</v>
      </c>
      <c r="O22" s="1522">
        <f t="shared" si="0"/>
        <v>1.2549999999999999E-2</v>
      </c>
      <c r="P22" s="1523"/>
      <c r="Q22" s="1524" t="str">
        <f>IFERROR(HLOOKUP($Q$6,'Equity Vol'!$B$8:$H22,ROWS('Equity Vol'!$C$8:$C22),FALSE),"n/a")</f>
        <v>n/a</v>
      </c>
      <c r="R22" s="1525"/>
      <c r="S22" s="1526" t="str">
        <f t="shared" si="10"/>
        <v>n/a</v>
      </c>
      <c r="T22" s="1526" t="str">
        <f t="shared" si="1"/>
        <v>n/a</v>
      </c>
      <c r="U22" s="1527" t="str">
        <f t="shared" si="2"/>
        <v>n/a</v>
      </c>
      <c r="V22" s="1527" t="str">
        <f t="shared" si="3"/>
        <v>n/a</v>
      </c>
      <c r="W22" s="1527" t="str">
        <f t="shared" si="4"/>
        <v>n/a</v>
      </c>
      <c r="X22" s="331" t="str">
        <f t="shared" si="5"/>
        <v>n/a</v>
      </c>
      <c r="Y22" s="1524" t="str">
        <f t="shared" si="11"/>
        <v>n/a</v>
      </c>
      <c r="AA22" s="1177" t="str">
        <f>IF('MASTER PubCo Inputs'!B40=0,"",'MASTER PubCo Inputs'!B40)</f>
        <v>NasdaqGM:BOLD</v>
      </c>
      <c r="AB22" s="331">
        <f>'Beta Calc'!Z22</f>
        <v>237.76443</v>
      </c>
      <c r="AC22" s="1178">
        <f t="shared" si="6"/>
        <v>0</v>
      </c>
      <c r="AI22" s="1179"/>
    </row>
    <row r="23" spans="2:35" ht="14.85" customHeight="1">
      <c r="B23" s="250" t="str">
        <f>'Comp.1'!B25</f>
        <v>Syros Pharmaceuticals, Inc.</v>
      </c>
      <c r="D23" s="331">
        <f>'Beta Calc'!K23</f>
        <v>317.50677000000002</v>
      </c>
      <c r="E23" s="331">
        <f>'Beta Calc'!L23</f>
        <v>0.26100000000000001</v>
      </c>
      <c r="F23" s="331">
        <f>'Beta Calc'!M23</f>
        <v>0</v>
      </c>
      <c r="G23" s="331">
        <f>'Beta Calc'!N23</f>
        <v>0</v>
      </c>
      <c r="H23" s="331">
        <f t="shared" si="7"/>
        <v>0.26100000000000001</v>
      </c>
      <c r="I23" s="331">
        <f t="shared" si="8"/>
        <v>317.76777000000004</v>
      </c>
      <c r="J23" s="331">
        <f>'Beta Calc'!Q23</f>
        <v>93.494</v>
      </c>
      <c r="K23" s="331">
        <f t="shared" si="9"/>
        <v>224.27377000000004</v>
      </c>
      <c r="M23" s="1066">
        <f>IFERROR('Capital IQ Sheet-GPC'!AT26,"n/a")</f>
        <v>0</v>
      </c>
      <c r="N23" s="331">
        <f t="shared" si="0"/>
        <v>2.5</v>
      </c>
      <c r="O23" s="1522">
        <f t="shared" si="0"/>
        <v>1.2549999999999999E-2</v>
      </c>
      <c r="P23" s="1523"/>
      <c r="Q23" s="1524" t="str">
        <f>IFERROR(HLOOKUP($Q$6,'Equity Vol'!$B$8:$H23,ROWS('Equity Vol'!$C$8:$C23),FALSE),"n/a")</f>
        <v>n/a</v>
      </c>
      <c r="R23" s="1525"/>
      <c r="S23" s="1526" t="str">
        <f t="shared" si="10"/>
        <v>n/a</v>
      </c>
      <c r="T23" s="1526" t="str">
        <f t="shared" si="1"/>
        <v>n/a</v>
      </c>
      <c r="U23" s="1527" t="str">
        <f t="shared" si="2"/>
        <v>n/a</v>
      </c>
      <c r="V23" s="1527" t="str">
        <f t="shared" si="3"/>
        <v>n/a</v>
      </c>
      <c r="W23" s="1527" t="str">
        <f t="shared" si="4"/>
        <v>n/a</v>
      </c>
      <c r="X23" s="331" t="str">
        <f t="shared" si="5"/>
        <v>n/a</v>
      </c>
      <c r="Y23" s="1524" t="str">
        <f t="shared" si="11"/>
        <v>n/a</v>
      </c>
      <c r="AA23" s="1177" t="str">
        <f>IF('MASTER PubCo Inputs'!B41=0,"",'MASTER PubCo Inputs'!B41)</f>
        <v>NasdaqGS:SYRS</v>
      </c>
      <c r="AB23" s="331">
        <f>'Beta Calc'!Z23</f>
        <v>224.27377000000001</v>
      </c>
      <c r="AC23" s="1178">
        <f t="shared" si="6"/>
        <v>0</v>
      </c>
      <c r="AI23" s="1179"/>
    </row>
    <row r="24" spans="2:35" ht="14.85" customHeight="1">
      <c r="B24" s="250" t="str">
        <f>'Comp.1'!B26</f>
        <v>Abeona Therapeutics Inc.</v>
      </c>
      <c r="D24" s="331">
        <f>'Beta Calc'!K24</f>
        <v>249.7473</v>
      </c>
      <c r="E24" s="331">
        <f>'Beta Calc'!L24</f>
        <v>0</v>
      </c>
      <c r="F24" s="331">
        <f>'Beta Calc'!M24</f>
        <v>0</v>
      </c>
      <c r="G24" s="331">
        <f>'Beta Calc'!N24</f>
        <v>0</v>
      </c>
      <c r="H24" s="331">
        <f t="shared" si="7"/>
        <v>0</v>
      </c>
      <c r="I24" s="331">
        <f t="shared" si="8"/>
        <v>249.7473</v>
      </c>
      <c r="J24" s="331">
        <f>'Beta Calc'!Q24</f>
        <v>31.184999999999999</v>
      </c>
      <c r="K24" s="331">
        <f t="shared" si="9"/>
        <v>218.56229999999999</v>
      </c>
      <c r="M24" s="1066">
        <f>IFERROR('Capital IQ Sheet-GPC'!AT27,"n/a")</f>
        <v>0</v>
      </c>
      <c r="N24" s="331">
        <f t="shared" si="0"/>
        <v>2.5</v>
      </c>
      <c r="O24" s="1522">
        <f t="shared" si="0"/>
        <v>1.2549999999999999E-2</v>
      </c>
      <c r="P24" s="1523"/>
      <c r="Q24" s="1524">
        <f>IFERROR(HLOOKUP($Q$6,'Equity Vol'!$B$8:$H24,ROWS('Equity Vol'!$C$8:$C24),FALSE),"n/a")</f>
        <v>0.99599672896108482</v>
      </c>
      <c r="R24" s="1525"/>
      <c r="S24" s="1526">
        <f t="shared" si="10"/>
        <v>0.99200948410118062</v>
      </c>
      <c r="T24" s="1526">
        <f t="shared" si="1"/>
        <v>0</v>
      </c>
      <c r="U24" s="1527">
        <f t="shared" si="2"/>
        <v>0</v>
      </c>
      <c r="V24" s="1527">
        <f t="shared" si="3"/>
        <v>0</v>
      </c>
      <c r="W24" s="1527">
        <f t="shared" si="4"/>
        <v>0</v>
      </c>
      <c r="X24" s="331">
        <f t="shared" si="5"/>
        <v>0</v>
      </c>
      <c r="Y24" s="1524">
        <f t="shared" si="11"/>
        <v>0.99599672896108482</v>
      </c>
      <c r="AA24" s="1177" t="str">
        <f>IF('MASTER PubCo Inputs'!B42=0,"",'MASTER PubCo Inputs'!B42)</f>
        <v>NasdaqCM:ABEO</v>
      </c>
      <c r="AB24" s="331">
        <f>'Beta Calc'!Z24</f>
        <v>218.56229999999999</v>
      </c>
      <c r="AC24" s="1178">
        <f t="shared" si="6"/>
        <v>0</v>
      </c>
      <c r="AI24" s="1179"/>
    </row>
    <row r="25" spans="2:35" ht="14.85" customHeight="1">
      <c r="B25" s="250" t="str">
        <f>'Comp.1'!B27</f>
        <v>Idera Pharmaceuticals, Inc.</v>
      </c>
      <c r="D25" s="331">
        <f>'Beta Calc'!K25</f>
        <v>249.53377</v>
      </c>
      <c r="E25" s="331">
        <f>'Beta Calc'!L25</f>
        <v>0.56899999999999995</v>
      </c>
      <c r="F25" s="331">
        <f>'Beta Calc'!M25</f>
        <v>0</v>
      </c>
      <c r="G25" s="331">
        <f>'Beta Calc'!N25</f>
        <v>0</v>
      </c>
      <c r="H25" s="331">
        <f t="shared" si="7"/>
        <v>0.56899999999999995</v>
      </c>
      <c r="I25" s="331">
        <f t="shared" si="8"/>
        <v>250.10276999999999</v>
      </c>
      <c r="J25" s="331">
        <f>'Beta Calc'!Q25</f>
        <v>52.01</v>
      </c>
      <c r="K25" s="331">
        <f t="shared" si="9"/>
        <v>198.09277</v>
      </c>
      <c r="M25" s="1066">
        <f>IFERROR('Capital IQ Sheet-GPC'!AT28,"n/a")</f>
        <v>0</v>
      </c>
      <c r="N25" s="331">
        <f t="shared" si="0"/>
        <v>2.5</v>
      </c>
      <c r="O25" s="1522">
        <f t="shared" si="0"/>
        <v>1.2549999999999999E-2</v>
      </c>
      <c r="P25" s="1523"/>
      <c r="Q25" s="1524">
        <f>IFERROR(HLOOKUP($Q$6,'Equity Vol'!$B$8:$H25,ROWS('Equity Vol'!$C$8:$C25),FALSE),"n/a")</f>
        <v>0.80520266549599839</v>
      </c>
      <c r="R25" s="1525"/>
      <c r="S25" s="1526">
        <f t="shared" si="10"/>
        <v>0.64835133252186072</v>
      </c>
      <c r="T25" s="1526">
        <f t="shared" si="1"/>
        <v>5.2582113413878986</v>
      </c>
      <c r="U25" s="1527">
        <f t="shared" si="2"/>
        <v>3.9850741408848847</v>
      </c>
      <c r="V25" s="1527">
        <f t="shared" si="3"/>
        <v>0.99999992726835396</v>
      </c>
      <c r="W25" s="1527">
        <f t="shared" si="4"/>
        <v>0.99996627047027808</v>
      </c>
      <c r="X25" s="331">
        <f t="shared" si="5"/>
        <v>197.5413494136736</v>
      </c>
      <c r="Y25" s="1524">
        <f t="shared" si="11"/>
        <v>0.80296132293128397</v>
      </c>
      <c r="AA25" s="1177" t="str">
        <f>IF('MASTER PubCo Inputs'!B43=0,"",'MASTER PubCo Inputs'!B43)</f>
        <v>NasdaqCM:IDRA</v>
      </c>
      <c r="AB25" s="331">
        <f>'Beta Calc'!Z25</f>
        <v>198.09277</v>
      </c>
      <c r="AC25" s="1178">
        <f t="shared" si="6"/>
        <v>0</v>
      </c>
      <c r="AI25" s="1179"/>
    </row>
    <row r="26" spans="2:35" ht="14.85" customHeight="1">
      <c r="B26" s="250" t="str">
        <f>'Comp.1'!B28</f>
        <v>Achillion Pharmaceuticals, Inc.</v>
      </c>
      <c r="D26" s="331">
        <f>'Beta Calc'!K26</f>
        <v>565.85888</v>
      </c>
      <c r="E26" s="331">
        <f>'Beta Calc'!L26</f>
        <v>0.28899999999999998</v>
      </c>
      <c r="F26" s="331">
        <f>'Beta Calc'!M26</f>
        <v>0</v>
      </c>
      <c r="G26" s="331">
        <f>'Beta Calc'!N26</f>
        <v>0</v>
      </c>
      <c r="H26" s="331">
        <f t="shared" si="7"/>
        <v>0.28899999999999998</v>
      </c>
      <c r="I26" s="331">
        <f t="shared" si="8"/>
        <v>566.14787999999999</v>
      </c>
      <c r="J26" s="331">
        <f>'Beta Calc'!Q26</f>
        <v>408.70499999999998</v>
      </c>
      <c r="K26" s="331">
        <f t="shared" si="9"/>
        <v>157.44288</v>
      </c>
      <c r="M26" s="1066">
        <f>IFERROR('Capital IQ Sheet-GPC'!AT29,"n/a")</f>
        <v>0</v>
      </c>
      <c r="N26" s="331">
        <f t="shared" si="0"/>
        <v>2.5</v>
      </c>
      <c r="O26" s="1522">
        <f t="shared" si="0"/>
        <v>1.2549999999999999E-2</v>
      </c>
      <c r="P26" s="1523"/>
      <c r="Q26" s="1524">
        <f>IFERROR(HLOOKUP($Q$6,'Equity Vol'!$B$8:$H26,ROWS('Equity Vol'!$C$8:$C26),FALSE),"n/a")</f>
        <v>0.80172115434392432</v>
      </c>
      <c r="R26" s="1525"/>
      <c r="S26" s="1526">
        <f t="shared" si="10"/>
        <v>0.64275680932255452</v>
      </c>
      <c r="T26" s="1526">
        <f t="shared" si="1"/>
        <v>5.6287706577830949</v>
      </c>
      <c r="U26" s="1527">
        <f t="shared" si="2"/>
        <v>4.3611382097499964</v>
      </c>
      <c r="V26" s="1527">
        <f t="shared" si="3"/>
        <v>0.99999999092507352</v>
      </c>
      <c r="W26" s="1527">
        <f t="shared" si="4"/>
        <v>0.99999353061996166</v>
      </c>
      <c r="X26" s="331">
        <f t="shared" si="5"/>
        <v>157.16280698971735</v>
      </c>
      <c r="Y26" s="1524">
        <f t="shared" si="11"/>
        <v>0.80029499068598786</v>
      </c>
      <c r="AA26" s="1177" t="str">
        <f>IF('MASTER PubCo Inputs'!B44=0,"",'MASTER PubCo Inputs'!B44)</f>
        <v>NasdaqGS:ACHN</v>
      </c>
      <c r="AB26" s="331">
        <f>'Beta Calc'!Z26</f>
        <v>157.44288</v>
      </c>
      <c r="AC26" s="1178">
        <f t="shared" si="6"/>
        <v>0</v>
      </c>
      <c r="AI26" s="1179"/>
    </row>
    <row r="27" spans="2:35" ht="14.85" customHeight="1">
      <c r="B27" s="250" t="str">
        <f>'Comp.1'!B29</f>
        <v>ContraVir Pharmaceuticals, Inc.</v>
      </c>
      <c r="D27" s="331">
        <f>'Beta Calc'!K27</f>
        <v>118.69085</v>
      </c>
      <c r="E27" s="331">
        <f>'Beta Calc'!L27</f>
        <v>0</v>
      </c>
      <c r="F27" s="331">
        <f>'Beta Calc'!M27</f>
        <v>1.83091</v>
      </c>
      <c r="G27" s="331">
        <f>'Beta Calc'!N27</f>
        <v>0</v>
      </c>
      <c r="H27" s="331">
        <f t="shared" si="7"/>
        <v>1.83091</v>
      </c>
      <c r="I27" s="331">
        <f t="shared" si="8"/>
        <v>120.52176</v>
      </c>
      <c r="J27" s="331">
        <f>'Beta Calc'!Q27</f>
        <v>3.0281600000000002</v>
      </c>
      <c r="K27" s="331">
        <f t="shared" si="9"/>
        <v>117.4936</v>
      </c>
      <c r="M27" s="1066">
        <f>IFERROR('Capital IQ Sheet-GPC'!AT30,"n/a")</f>
        <v>0</v>
      </c>
      <c r="N27" s="331">
        <f t="shared" si="0"/>
        <v>2.5</v>
      </c>
      <c r="O27" s="1522">
        <f t="shared" si="0"/>
        <v>1.2549999999999999E-2</v>
      </c>
      <c r="P27" s="1523"/>
      <c r="Q27" s="1524">
        <f>IFERROR(HLOOKUP($Q$6,'Equity Vol'!$B$8:$H27,ROWS('Equity Vol'!$C$8:$C27),FALSE),"n/a")</f>
        <v>1.396853832524193</v>
      </c>
      <c r="R27" s="1525"/>
      <c r="S27" s="1526">
        <f t="shared" si="10"/>
        <v>1.9512006294375264</v>
      </c>
      <c r="T27" s="1526">
        <f t="shared" si="1"/>
        <v>3.0027560361603785</v>
      </c>
      <c r="U27" s="1527">
        <f t="shared" si="2"/>
        <v>0.7941362016044593</v>
      </c>
      <c r="V27" s="1527">
        <f t="shared" si="3"/>
        <v>0.99866226593164009</v>
      </c>
      <c r="W27" s="1527">
        <f t="shared" si="4"/>
        <v>0.78644192776876132</v>
      </c>
      <c r="X27" s="331">
        <f t="shared" si="5"/>
        <v>115.94099605873333</v>
      </c>
      <c r="Y27" s="1524">
        <f t="shared" si="11"/>
        <v>1.3802416850153529</v>
      </c>
      <c r="AA27" s="1177" t="str">
        <f>IF('MASTER PubCo Inputs'!B45=0,"",'MASTER PubCo Inputs'!B45)</f>
        <v>NasdaqCM:CTRV</v>
      </c>
      <c r="AB27" s="331">
        <f>'Beta Calc'!Z27</f>
        <v>117.4936</v>
      </c>
      <c r="AC27" s="1178">
        <f t="shared" si="6"/>
        <v>0</v>
      </c>
      <c r="AI27" s="1179"/>
    </row>
    <row r="28" spans="2:35" ht="14.85" customHeight="1">
      <c r="B28" s="250" t="str">
        <f>'Comp.1'!B30</f>
        <v>Sangamo Therapeutics, Inc.</v>
      </c>
      <c r="D28" s="331">
        <f>'Beta Calc'!K28</f>
        <v>225.99635000000001</v>
      </c>
      <c r="E28" s="331">
        <f>'Beta Calc'!L28</f>
        <v>0</v>
      </c>
      <c r="F28" s="331">
        <f>'Beta Calc'!M28</f>
        <v>0</v>
      </c>
      <c r="G28" s="331">
        <f>'Beta Calc'!N28</f>
        <v>0</v>
      </c>
      <c r="H28" s="331">
        <f t="shared" si="7"/>
        <v>0</v>
      </c>
      <c r="I28" s="331">
        <f t="shared" si="8"/>
        <v>225.99635000000001</v>
      </c>
      <c r="J28" s="331">
        <f>'Beta Calc'!Q28</f>
        <v>145.58099999999999</v>
      </c>
      <c r="K28" s="331">
        <f t="shared" si="9"/>
        <v>80.415350000000018</v>
      </c>
      <c r="M28" s="1066">
        <f>IFERROR('Capital IQ Sheet-GPC'!AT31,"n/a")</f>
        <v>0</v>
      </c>
      <c r="N28" s="331">
        <f t="shared" si="0"/>
        <v>2.5</v>
      </c>
      <c r="O28" s="1522">
        <f t="shared" si="0"/>
        <v>1.2549999999999999E-2</v>
      </c>
      <c r="P28" s="1523"/>
      <c r="Q28" s="1524">
        <f>IFERROR(HLOOKUP($Q$6,'Equity Vol'!$B$8:$H28,ROWS('Equity Vol'!$C$8:$C28),FALSE),"n/a")</f>
        <v>0.72988664995178043</v>
      </c>
      <c r="R28" s="1525"/>
      <c r="S28" s="1526">
        <f t="shared" si="10"/>
        <v>0.53273452177783287</v>
      </c>
      <c r="T28" s="1526">
        <f t="shared" si="1"/>
        <v>0</v>
      </c>
      <c r="U28" s="1527">
        <f t="shared" si="2"/>
        <v>0</v>
      </c>
      <c r="V28" s="1527">
        <f t="shared" si="3"/>
        <v>0</v>
      </c>
      <c r="W28" s="1527">
        <f t="shared" si="4"/>
        <v>0</v>
      </c>
      <c r="X28" s="331">
        <f t="shared" si="5"/>
        <v>0</v>
      </c>
      <c r="Y28" s="1524">
        <f t="shared" si="11"/>
        <v>0.72988664995178043</v>
      </c>
      <c r="AA28" s="1177" t="str">
        <f>IF('MASTER PubCo Inputs'!B46=0,"",'MASTER PubCo Inputs'!B46)</f>
        <v>NasdaqGS:SGMO</v>
      </c>
      <c r="AB28" s="331">
        <f>'Beta Calc'!Z28</f>
        <v>80.415350000000004</v>
      </c>
      <c r="AC28" s="1178">
        <f t="shared" si="6"/>
        <v>0</v>
      </c>
      <c r="AI28" s="1179"/>
    </row>
    <row r="29" spans="2:35" ht="14.85" customHeight="1">
      <c r="B29" s="250" t="str">
        <f>'Comp.1'!B31</f>
        <v>Immune Design Corp.</v>
      </c>
      <c r="D29" s="331">
        <f>'Beta Calc'!K29</f>
        <v>186.75745000000001</v>
      </c>
      <c r="E29" s="331">
        <f>'Beta Calc'!L29</f>
        <v>0</v>
      </c>
      <c r="F29" s="331">
        <f>'Beta Calc'!M29</f>
        <v>0</v>
      </c>
      <c r="G29" s="331">
        <f>'Beta Calc'!N29</f>
        <v>0</v>
      </c>
      <c r="H29" s="331">
        <f t="shared" si="7"/>
        <v>0</v>
      </c>
      <c r="I29" s="331">
        <f t="shared" si="8"/>
        <v>186.75745000000001</v>
      </c>
      <c r="J29" s="331">
        <f>'Beta Calc'!Q29</f>
        <v>112.471</v>
      </c>
      <c r="K29" s="331">
        <f t="shared" si="9"/>
        <v>74.286450000000002</v>
      </c>
      <c r="M29" s="1066">
        <f>IFERROR('Capital IQ Sheet-GPC'!AT32,"n/a")</f>
        <v>0</v>
      </c>
      <c r="N29" s="331">
        <f t="shared" si="0"/>
        <v>2.5</v>
      </c>
      <c r="O29" s="1522">
        <f t="shared" si="0"/>
        <v>1.2549999999999999E-2</v>
      </c>
      <c r="P29" s="1523"/>
      <c r="Q29" s="1524">
        <f>IFERROR(HLOOKUP($Q$6,'Equity Vol'!$B$8:$H29,ROWS('Equity Vol'!$C$8:$C29),FALSE),"n/a")</f>
        <v>0.87802203473928597</v>
      </c>
      <c r="R29" s="1525"/>
      <c r="S29" s="1526">
        <f t="shared" si="10"/>
        <v>0.77092269348771592</v>
      </c>
      <c r="T29" s="1526">
        <f t="shared" si="1"/>
        <v>0</v>
      </c>
      <c r="U29" s="1527">
        <f t="shared" si="2"/>
        <v>0</v>
      </c>
      <c r="V29" s="1527">
        <f t="shared" si="3"/>
        <v>0</v>
      </c>
      <c r="W29" s="1527">
        <f t="shared" si="4"/>
        <v>0</v>
      </c>
      <c r="X29" s="331">
        <f t="shared" si="5"/>
        <v>0</v>
      </c>
      <c r="Y29" s="1524">
        <f t="shared" si="11"/>
        <v>0.87802203473928597</v>
      </c>
      <c r="AA29" s="1177" t="str">
        <f>IF('MASTER PubCo Inputs'!B47=0,"",'MASTER PubCo Inputs'!B47)</f>
        <v>NasdaqGM:IMDZ</v>
      </c>
      <c r="AB29" s="331">
        <f>'Beta Calc'!Z29</f>
        <v>74.286450000000002</v>
      </c>
      <c r="AC29" s="1178">
        <f t="shared" si="6"/>
        <v>0</v>
      </c>
      <c r="AI29" s="1179"/>
    </row>
    <row r="30" spans="2:35" ht="14.85" customHeight="1">
      <c r="B30" s="250" t="str">
        <f>'Comp.1'!B32</f>
        <v>Fate Therapeutics, Inc.</v>
      </c>
      <c r="D30" s="331">
        <f>'Beta Calc'!K30</f>
        <v>100.39557000000001</v>
      </c>
      <c r="E30" s="331">
        <f>'Beta Calc'!L30</f>
        <v>12.635</v>
      </c>
      <c r="F30" s="331">
        <f>'Beta Calc'!M30</f>
        <v>0</v>
      </c>
      <c r="G30" s="331">
        <f>'Beta Calc'!N30</f>
        <v>0</v>
      </c>
      <c r="H30" s="331">
        <f t="shared" si="7"/>
        <v>12.635</v>
      </c>
      <c r="I30" s="331">
        <f t="shared" si="8"/>
        <v>113.03057000000001</v>
      </c>
      <c r="J30" s="331">
        <f>'Beta Calc'!Q30</f>
        <v>46.619</v>
      </c>
      <c r="K30" s="331">
        <f t="shared" si="9"/>
        <v>66.411570000000012</v>
      </c>
      <c r="M30" s="1066">
        <f>IFERROR('Capital IQ Sheet-GPC'!AT33,"n/a")</f>
        <v>0</v>
      </c>
      <c r="N30" s="331">
        <f t="shared" si="0"/>
        <v>2.5</v>
      </c>
      <c r="O30" s="1522">
        <f t="shared" si="0"/>
        <v>1.2549999999999999E-2</v>
      </c>
      <c r="P30" s="1523"/>
      <c r="Q30" s="1524">
        <f>IFERROR(HLOOKUP($Q$6,'Equity Vol'!$B$8:$H30,ROWS('Equity Vol'!$C$8:$C30),FALSE),"n/a")</f>
        <v>0.81948065839335027</v>
      </c>
      <c r="R30" s="1525"/>
      <c r="S30" s="1526">
        <f t="shared" si="10"/>
        <v>0.6715485494807989</v>
      </c>
      <c r="T30" s="1526">
        <f t="shared" si="1"/>
        <v>1.9527563902306266</v>
      </c>
      <c r="U30" s="1527">
        <f t="shared" si="2"/>
        <v>0.65704370074194318</v>
      </c>
      <c r="V30" s="1527">
        <f t="shared" si="3"/>
        <v>0.97457576586430072</v>
      </c>
      <c r="W30" s="1527">
        <f t="shared" si="4"/>
        <v>0.7444235912810202</v>
      </c>
      <c r="X30" s="331">
        <f t="shared" si="5"/>
        <v>55.607839898092038</v>
      </c>
      <c r="Y30" s="1524">
        <f t="shared" si="11"/>
        <v>0.70406925097494399</v>
      </c>
      <c r="AA30" s="1177" t="str">
        <f>IF('MASTER PubCo Inputs'!B48=0,"",'MASTER PubCo Inputs'!B48)</f>
        <v>NasdaqGM:FATE</v>
      </c>
      <c r="AB30" s="331">
        <f>'Beta Calc'!Z30</f>
        <v>66.411569999999998</v>
      </c>
      <c r="AC30" s="1178">
        <f t="shared" si="6"/>
        <v>0</v>
      </c>
      <c r="AI30" s="1179"/>
    </row>
    <row r="31" spans="2:35" ht="14.85" customHeight="1">
      <c r="B31" s="250" t="str">
        <f>'Comp.1'!B33</f>
        <v>Arrowhead Pharmaceuticals, Inc.</v>
      </c>
      <c r="D31" s="331">
        <f>'Beta Calc'!K31</f>
        <v>102.94919</v>
      </c>
      <c r="E31" s="331">
        <f>'Beta Calc'!L31</f>
        <v>3.32328</v>
      </c>
      <c r="F31" s="331">
        <f>'Beta Calc'!M31</f>
        <v>2.0000000000000002E-5</v>
      </c>
      <c r="G31" s="331">
        <f>'Beta Calc'!N31</f>
        <v>-0.55518999999999996</v>
      </c>
      <c r="H31" s="331">
        <f t="shared" si="7"/>
        <v>2.7681100000000001</v>
      </c>
      <c r="I31" s="331">
        <f t="shared" si="8"/>
        <v>105.71730000000001</v>
      </c>
      <c r="J31" s="331">
        <f>'Beta Calc'!Q31</f>
        <v>44.647100000000002</v>
      </c>
      <c r="K31" s="331">
        <f t="shared" si="9"/>
        <v>61.070200000000007</v>
      </c>
      <c r="M31" s="1066">
        <f>IFERROR('Capital IQ Sheet-GPC'!AT34,"n/a")</f>
        <v>0</v>
      </c>
      <c r="N31" s="331">
        <f t="shared" si="0"/>
        <v>2.5</v>
      </c>
      <c r="O31" s="1522">
        <f t="shared" si="0"/>
        <v>1.2549999999999999E-2</v>
      </c>
      <c r="P31" s="1523"/>
      <c r="Q31" s="1524">
        <f>IFERROR(HLOOKUP($Q$6,'Equity Vol'!$B$8:$H31,ROWS('Equity Vol'!$C$8:$C31),FALSE),"n/a")</f>
        <v>0.83310850932360714</v>
      </c>
      <c r="R31" s="1525"/>
      <c r="S31" s="1526">
        <f t="shared" si="10"/>
        <v>0.69406978830740285</v>
      </c>
      <c r="T31" s="1526">
        <f t="shared" si="1"/>
        <v>3.0311562126980922</v>
      </c>
      <c r="U31" s="1527">
        <f t="shared" si="2"/>
        <v>1.7138959989329807</v>
      </c>
      <c r="V31" s="1527">
        <f t="shared" si="3"/>
        <v>0.99878190413751367</v>
      </c>
      <c r="W31" s="1527">
        <f t="shared" si="4"/>
        <v>0.95672608599095244</v>
      </c>
      <c r="X31" s="331">
        <f t="shared" si="5"/>
        <v>58.429288765636585</v>
      </c>
      <c r="Y31" s="1524">
        <f t="shared" si="11"/>
        <v>0.7980537868417622</v>
      </c>
      <c r="AA31" s="1177" t="str">
        <f>IF('MASTER PubCo Inputs'!B49=0,"",'MASTER PubCo Inputs'!B49)</f>
        <v>NasdaqGS:ARWR</v>
      </c>
      <c r="AB31" s="331">
        <f>'Beta Calc'!Z31</f>
        <v>61.0702</v>
      </c>
      <c r="AC31" s="1178">
        <f t="shared" si="6"/>
        <v>0</v>
      </c>
      <c r="AI31" s="1179"/>
    </row>
    <row r="32" spans="2:35" ht="14.85" customHeight="1">
      <c r="B32" s="250" t="str">
        <f>'Comp.1'!B34</f>
        <v>Regulus Therapeutics Inc.</v>
      </c>
      <c r="D32" s="331">
        <f>'Beta Calc'!K32</f>
        <v>129.66210000000001</v>
      </c>
      <c r="E32" s="331">
        <f>'Beta Calc'!L32</f>
        <v>19.786999999999999</v>
      </c>
      <c r="F32" s="331">
        <f>'Beta Calc'!M32</f>
        <v>0</v>
      </c>
      <c r="G32" s="331">
        <f>'Beta Calc'!N32</f>
        <v>0</v>
      </c>
      <c r="H32" s="331">
        <f t="shared" si="7"/>
        <v>19.786999999999999</v>
      </c>
      <c r="I32" s="331">
        <f t="shared" si="8"/>
        <v>149.44910000000002</v>
      </c>
      <c r="J32" s="331">
        <f>'Beta Calc'!Q32</f>
        <v>91.582999999999998</v>
      </c>
      <c r="K32" s="331">
        <f t="shared" si="9"/>
        <v>57.866100000000017</v>
      </c>
      <c r="M32" s="1066">
        <f>IFERROR('Capital IQ Sheet-GPC'!AT35,"n/a")</f>
        <v>0</v>
      </c>
      <c r="N32" s="331">
        <f t="shared" si="0"/>
        <v>2.5</v>
      </c>
      <c r="O32" s="1522">
        <f t="shared" si="0"/>
        <v>1.2549999999999999E-2</v>
      </c>
      <c r="P32" s="1523"/>
      <c r="Q32" s="1524">
        <f>IFERROR(HLOOKUP($Q$6,'Equity Vol'!$B$8:$H32,ROWS('Equity Vol'!$C$8:$C32),FALSE),"n/a")</f>
        <v>0.94732611198066297</v>
      </c>
      <c r="R32" s="1525"/>
      <c r="S32" s="1526">
        <f t="shared" si="10"/>
        <v>0.89742676244039954</v>
      </c>
      <c r="T32" s="1526">
        <f t="shared" si="1"/>
        <v>1.4863029829949712</v>
      </c>
      <c r="U32" s="1527">
        <f t="shared" si="2"/>
        <v>-1.1551117410338207E-2</v>
      </c>
      <c r="V32" s="1527">
        <f t="shared" si="3"/>
        <v>0.93140050097078586</v>
      </c>
      <c r="W32" s="1527">
        <f t="shared" si="4"/>
        <v>0.49539187335512391</v>
      </c>
      <c r="X32" s="331">
        <f t="shared" si="5"/>
        <v>44.396968698796805</v>
      </c>
      <c r="Y32" s="1524">
        <f t="shared" si="11"/>
        <v>0.78035487282488425</v>
      </c>
      <c r="AA32" s="1177" t="str">
        <f>IF('MASTER PubCo Inputs'!B50=0,"",'MASTER PubCo Inputs'!B50)</f>
        <v>NasdaqGM:RGLS</v>
      </c>
      <c r="AB32" s="331">
        <f>'Beta Calc'!Z32</f>
        <v>57.866100000000003</v>
      </c>
      <c r="AC32" s="1178">
        <f t="shared" si="6"/>
        <v>0</v>
      </c>
      <c r="AI32" s="1179"/>
    </row>
    <row r="33" spans="2:35" ht="14.85" customHeight="1">
      <c r="B33" s="250" t="str">
        <f>'Comp.1'!B35</f>
        <v>CEL-SCI Corporation</v>
      </c>
      <c r="D33" s="331">
        <f>'Beta Calc'!K33</f>
        <v>32.817689999999999</v>
      </c>
      <c r="E33" s="331">
        <f>'Beta Calc'!L33</f>
        <v>2.31E-3</v>
      </c>
      <c r="F33" s="331">
        <f>'Beta Calc'!M33</f>
        <v>0</v>
      </c>
      <c r="G33" s="331">
        <f>'Beta Calc'!N33</f>
        <v>0</v>
      </c>
      <c r="H33" s="331">
        <f t="shared" si="7"/>
        <v>2.31E-3</v>
      </c>
      <c r="I33" s="331">
        <f t="shared" si="8"/>
        <v>32.82</v>
      </c>
      <c r="J33" s="331">
        <f>'Beta Calc'!Q33</f>
        <v>5.21896</v>
      </c>
      <c r="K33" s="331">
        <f t="shared" si="9"/>
        <v>27.601040000000001</v>
      </c>
      <c r="M33" s="1066">
        <f>IFERROR('Capital IQ Sheet-GPC'!AT36,"n/a")</f>
        <v>0</v>
      </c>
      <c r="N33" s="331">
        <f t="shared" si="0"/>
        <v>2.5</v>
      </c>
      <c r="O33" s="1522">
        <f t="shared" si="0"/>
        <v>1.2549999999999999E-2</v>
      </c>
      <c r="P33" s="1523"/>
      <c r="Q33" s="1524">
        <f>IFERROR(HLOOKUP($Q$6,'Equity Vol'!$B$8:$H33,ROWS('Equity Vol'!$C$8:$C33),FALSE),"n/a")</f>
        <v>0.79750368267574068</v>
      </c>
      <c r="R33" s="1525"/>
      <c r="S33" s="1526">
        <f t="shared" si="10"/>
        <v>0.63601212388136852</v>
      </c>
      <c r="T33" s="1526">
        <f t="shared" si="1"/>
        <v>8.1007475550067944</v>
      </c>
      <c r="U33" s="1527">
        <f t="shared" si="2"/>
        <v>6.8397835151930408</v>
      </c>
      <c r="V33" s="1527">
        <f t="shared" si="3"/>
        <v>0.99999999999999978</v>
      </c>
      <c r="W33" s="1527">
        <f t="shared" si="4"/>
        <v>0.99999999999603439</v>
      </c>
      <c r="X33" s="331">
        <f t="shared" si="5"/>
        <v>27.598801351076968</v>
      </c>
      <c r="Y33" s="1524">
        <f t="shared" si="11"/>
        <v>0.79743899921597494</v>
      </c>
      <c r="AA33" s="1177" t="str">
        <f>IF('MASTER PubCo Inputs'!B51=0,"",'MASTER PubCo Inputs'!B51)</f>
        <v>AMEX:CVM</v>
      </c>
      <c r="AB33" s="331">
        <f>'Beta Calc'!Z33</f>
        <v>27.601040000000001</v>
      </c>
      <c r="AC33" s="1178">
        <f t="shared" si="6"/>
        <v>0</v>
      </c>
      <c r="AI33" s="1179"/>
    </row>
    <row r="34" spans="2:35" ht="14.85" customHeight="1">
      <c r="B34" s="250" t="str">
        <f>'Comp.1'!B36</f>
        <v>PhaseRx, Inc.</v>
      </c>
      <c r="D34" s="331">
        <f>'Beta Calc'!K34</f>
        <v>24.549689999999998</v>
      </c>
      <c r="E34" s="331">
        <f>'Beta Calc'!L34</f>
        <v>5.6109999999999998</v>
      </c>
      <c r="F34" s="331">
        <f>'Beta Calc'!M34</f>
        <v>0</v>
      </c>
      <c r="G34" s="331">
        <f>'Beta Calc'!N34</f>
        <v>0</v>
      </c>
      <c r="H34" s="331">
        <f t="shared" si="7"/>
        <v>5.6109999999999998</v>
      </c>
      <c r="I34" s="331">
        <f t="shared" si="8"/>
        <v>30.160689999999999</v>
      </c>
      <c r="J34" s="331">
        <f>'Beta Calc'!Q34</f>
        <v>18.635000000000002</v>
      </c>
      <c r="K34" s="331">
        <f t="shared" si="9"/>
        <v>11.525689999999997</v>
      </c>
      <c r="M34" s="1066">
        <f>IFERROR('Capital IQ Sheet-GPC'!AT37,"n/a")</f>
        <v>0</v>
      </c>
      <c r="N34" s="331">
        <f t="shared" si="0"/>
        <v>2.5</v>
      </c>
      <c r="O34" s="1522">
        <f t="shared" si="0"/>
        <v>1.2549999999999999E-2</v>
      </c>
      <c r="P34" s="1523"/>
      <c r="Q34" s="1524" t="str">
        <f>IFERROR(HLOOKUP($Q$6,'Equity Vol'!$B$8:$H34,ROWS('Equity Vol'!$C$8:$C34),FALSE),"n/a")</f>
        <v>n/a</v>
      </c>
      <c r="R34" s="1525"/>
      <c r="S34" s="1526" t="str">
        <f t="shared" si="10"/>
        <v>n/a</v>
      </c>
      <c r="T34" s="1526" t="str">
        <f t="shared" si="1"/>
        <v>n/a</v>
      </c>
      <c r="U34" s="1527" t="str">
        <f t="shared" si="2"/>
        <v>n/a</v>
      </c>
      <c r="V34" s="1527" t="str">
        <f t="shared" si="3"/>
        <v>n/a</v>
      </c>
      <c r="W34" s="1527" t="str">
        <f t="shared" si="4"/>
        <v>n/a</v>
      </c>
      <c r="X34" s="331" t="str">
        <f t="shared" si="5"/>
        <v>n/a</v>
      </c>
      <c r="Y34" s="1524" t="str">
        <f t="shared" si="11"/>
        <v>n/a</v>
      </c>
      <c r="AA34" s="1177" t="str">
        <f>IF('MASTER PubCo Inputs'!B52=0,"",'MASTER PubCo Inputs'!B52)</f>
        <v>NasdaqCM:PZRX</v>
      </c>
      <c r="AB34" s="331">
        <f>'Beta Calc'!Z34</f>
        <v>11.525690000000001</v>
      </c>
      <c r="AC34" s="1178">
        <f t="shared" si="6"/>
        <v>0</v>
      </c>
      <c r="AI34" s="1179"/>
    </row>
    <row r="35" spans="2:35" ht="14.85" customHeight="1">
      <c r="B35" s="250" t="str">
        <f>'Comp.1'!B37</f>
        <v>Marina Biotech, Inc.</v>
      </c>
      <c r="D35" s="331">
        <f>'Beta Calc'!K35</f>
        <v>9.8748500000000003</v>
      </c>
      <c r="E35" s="331">
        <f>'Beta Calc'!L35</f>
        <v>0</v>
      </c>
      <c r="F35" s="331">
        <f>'Beta Calc'!M35</f>
        <v>0</v>
      </c>
      <c r="G35" s="331">
        <f>'Beta Calc'!N35</f>
        <v>0</v>
      </c>
      <c r="H35" s="331">
        <f t="shared" si="7"/>
        <v>0</v>
      </c>
      <c r="I35" s="331">
        <f t="shared" si="8"/>
        <v>9.8748500000000003</v>
      </c>
      <c r="J35" s="331">
        <f>'Beta Calc'!Q35</f>
        <v>0</v>
      </c>
      <c r="K35" s="331">
        <f t="shared" si="9"/>
        <v>9.8748500000000003</v>
      </c>
      <c r="M35" s="1066">
        <f>IFERROR('Capital IQ Sheet-GPC'!AT38,"n/a")</f>
        <v>0</v>
      </c>
      <c r="N35" s="331">
        <f t="shared" si="0"/>
        <v>2.5</v>
      </c>
      <c r="O35" s="1522">
        <f t="shared" si="0"/>
        <v>1.2549999999999999E-2</v>
      </c>
      <c r="P35" s="1523"/>
      <c r="Q35" s="1524" t="str">
        <f>IFERROR(HLOOKUP($Q$6,'Equity Vol'!$B$8:$H35,ROWS('Equity Vol'!$C$8:$C35),FALSE),"n/a")</f>
        <v>n/a</v>
      </c>
      <c r="R35" s="1525"/>
      <c r="S35" s="1526" t="str">
        <f t="shared" si="10"/>
        <v>n/a</v>
      </c>
      <c r="T35" s="1526" t="str">
        <f t="shared" si="1"/>
        <v>n/a</v>
      </c>
      <c r="U35" s="1527" t="str">
        <f t="shared" si="2"/>
        <v>n/a</v>
      </c>
      <c r="V35" s="1527" t="str">
        <f t="shared" si="3"/>
        <v>n/a</v>
      </c>
      <c r="W35" s="1527" t="str">
        <f t="shared" si="4"/>
        <v>n/a</v>
      </c>
      <c r="X35" s="331" t="str">
        <f t="shared" si="5"/>
        <v>n/a</v>
      </c>
      <c r="Y35" s="1524" t="str">
        <f t="shared" si="11"/>
        <v>n/a</v>
      </c>
      <c r="AA35" s="1177" t="str">
        <f>IF('MASTER PubCo Inputs'!B53=0,"",'MASTER PubCo Inputs'!B53)</f>
        <v>OTCPK:MRNA</v>
      </c>
      <c r="AB35" s="331">
        <f>'Beta Calc'!Z35</f>
        <v>0</v>
      </c>
      <c r="AC35" s="1178">
        <f t="shared" si="6"/>
        <v>9.8748500000000003</v>
      </c>
      <c r="AI35" s="1179"/>
    </row>
    <row r="36" spans="2:35" ht="14.85" customHeight="1">
      <c r="B36" s="250" t="str">
        <f>'Comp.1'!B38</f>
        <v>RXi Pharmaceuticals Corporation</v>
      </c>
      <c r="D36" s="331">
        <f>'Beta Calc'!K36</f>
        <v>9.9657699999999991</v>
      </c>
      <c r="E36" s="331">
        <f>'Beta Calc'!L36</f>
        <v>0</v>
      </c>
      <c r="F36" s="331">
        <f>'Beta Calc'!M36</f>
        <v>0</v>
      </c>
      <c r="G36" s="331">
        <f>'Beta Calc'!N36</f>
        <v>0</v>
      </c>
      <c r="H36" s="331">
        <f t="shared" si="7"/>
        <v>0</v>
      </c>
      <c r="I36" s="331">
        <f t="shared" si="8"/>
        <v>9.9657699999999991</v>
      </c>
      <c r="J36" s="331">
        <f>'Beta Calc'!Q36</f>
        <v>4.3789999999999996</v>
      </c>
      <c r="K36" s="331">
        <f t="shared" si="9"/>
        <v>5.5867699999999996</v>
      </c>
      <c r="M36" s="1066">
        <f>IFERROR('Capital IQ Sheet-GPC'!AT39,"n/a")</f>
        <v>0</v>
      </c>
      <c r="N36" s="331">
        <f t="shared" si="0"/>
        <v>2.5</v>
      </c>
      <c r="O36" s="1522">
        <f t="shared" si="0"/>
        <v>1.2549999999999999E-2</v>
      </c>
      <c r="P36" s="1523"/>
      <c r="Q36" s="1524">
        <f>IFERROR(HLOOKUP($Q$6,'Equity Vol'!$B$8:$H36,ROWS('Equity Vol'!$C$8:$C36),FALSE),"n/a")</f>
        <v>0.9097061604101625</v>
      </c>
      <c r="R36" s="1525"/>
      <c r="S36" s="1526">
        <f t="shared" si="10"/>
        <v>0.82756529828820036</v>
      </c>
      <c r="T36" s="1526">
        <f t="shared" si="1"/>
        <v>0</v>
      </c>
      <c r="U36" s="1527">
        <f t="shared" si="2"/>
        <v>0</v>
      </c>
      <c r="V36" s="1527">
        <f t="shared" si="3"/>
        <v>0</v>
      </c>
      <c r="W36" s="1527">
        <f t="shared" si="4"/>
        <v>0</v>
      </c>
      <c r="X36" s="331">
        <f t="shared" si="5"/>
        <v>0</v>
      </c>
      <c r="Y36" s="1524">
        <f t="shared" si="11"/>
        <v>0.9097061604101625</v>
      </c>
      <c r="AA36" s="1177" t="str">
        <f>IF('MASTER PubCo Inputs'!B54=0,"",'MASTER PubCo Inputs'!B54)</f>
        <v>NasdaqCM:RXII</v>
      </c>
      <c r="AB36" s="331">
        <f>'Beta Calc'!Z36</f>
        <v>5.5867699999999996</v>
      </c>
      <c r="AC36" s="1178">
        <f t="shared" si="6"/>
        <v>0</v>
      </c>
      <c r="AI36" s="1179"/>
    </row>
    <row r="37" spans="2:35" ht="14.85" customHeight="1">
      <c r="B37" s="250" t="str">
        <f>'Comp.1'!B39</f>
        <v>Benitec Biopharma Limited</v>
      </c>
      <c r="D37" s="331">
        <f>'Beta Calc'!K37</f>
        <v>12.459519999999999</v>
      </c>
      <c r="E37" s="331">
        <f>'Beta Calc'!L37</f>
        <v>0</v>
      </c>
      <c r="F37" s="331">
        <f>'Beta Calc'!M37</f>
        <v>0</v>
      </c>
      <c r="G37" s="331">
        <f>'Beta Calc'!N37</f>
        <v>0</v>
      </c>
      <c r="H37" s="331">
        <f t="shared" si="7"/>
        <v>0</v>
      </c>
      <c r="I37" s="331">
        <f t="shared" si="8"/>
        <v>12.459519999999999</v>
      </c>
      <c r="J37" s="331">
        <f>'Beta Calc'!Q37</f>
        <v>10.266360000000001</v>
      </c>
      <c r="K37" s="331">
        <f t="shared" si="9"/>
        <v>2.1931599999999989</v>
      </c>
      <c r="M37" s="1066">
        <f>IFERROR('Capital IQ Sheet-GPC'!AT40,"n/a")</f>
        <v>0</v>
      </c>
      <c r="N37" s="331">
        <f t="shared" si="0"/>
        <v>2.5</v>
      </c>
      <c r="O37" s="1522">
        <f t="shared" si="0"/>
        <v>1.2549999999999999E-2</v>
      </c>
      <c r="P37" s="1523"/>
      <c r="Q37" s="1524">
        <f>IFERROR(HLOOKUP($Q$6,'Equity Vol'!$B$8:$H37,ROWS('Equity Vol'!$C$8:$C37),FALSE),"n/a")</f>
        <v>0.98094228131580063</v>
      </c>
      <c r="R37" s="1525"/>
      <c r="S37" s="1526">
        <f t="shared" si="10"/>
        <v>0.9622477592730474</v>
      </c>
      <c r="T37" s="1526">
        <f t="shared" si="1"/>
        <v>0</v>
      </c>
      <c r="U37" s="1527">
        <f t="shared" si="2"/>
        <v>0</v>
      </c>
      <c r="V37" s="1527">
        <f t="shared" si="3"/>
        <v>0</v>
      </c>
      <c r="W37" s="1527">
        <f t="shared" si="4"/>
        <v>0</v>
      </c>
      <c r="X37" s="331">
        <f t="shared" si="5"/>
        <v>0</v>
      </c>
      <c r="Y37" s="1524">
        <f t="shared" si="11"/>
        <v>0.98094228131580063</v>
      </c>
      <c r="AA37" s="1177" t="str">
        <f>IF('MASTER PubCo Inputs'!B55=0,"",'MASTER PubCo Inputs'!B55)</f>
        <v>ASX:BLT</v>
      </c>
      <c r="AB37" s="331">
        <f>'Beta Calc'!Z37</f>
        <v>2.5731899999999999</v>
      </c>
      <c r="AC37" s="1178">
        <f t="shared" si="6"/>
        <v>-0.38003000000000098</v>
      </c>
      <c r="AI37" s="1179"/>
    </row>
    <row r="38" spans="2:35" ht="14.85" customHeight="1">
      <c r="B38" s="250" t="str">
        <f>'Comp.1'!B40</f>
        <v>GenVec, Inc.</v>
      </c>
      <c r="D38" s="331">
        <f>'Beta Calc'!K38</f>
        <v>7.33019</v>
      </c>
      <c r="E38" s="331">
        <f>'Beta Calc'!L38</f>
        <v>0</v>
      </c>
      <c r="F38" s="331">
        <f>'Beta Calc'!M38</f>
        <v>0</v>
      </c>
      <c r="G38" s="331">
        <f>'Beta Calc'!N38</f>
        <v>0</v>
      </c>
      <c r="H38" s="331">
        <f t="shared" si="7"/>
        <v>0</v>
      </c>
      <c r="I38" s="331">
        <f t="shared" si="8"/>
        <v>7.33019</v>
      </c>
      <c r="J38" s="331">
        <f>'Beta Calc'!Q38</f>
        <v>8.3960000000000008</v>
      </c>
      <c r="K38" s="331">
        <f t="shared" si="9"/>
        <v>-1.0658100000000008</v>
      </c>
      <c r="M38" s="1066">
        <f>IFERROR('Capital IQ Sheet-GPC'!AT41,"n/a")</f>
        <v>0</v>
      </c>
      <c r="N38" s="331">
        <f t="shared" si="0"/>
        <v>2.5</v>
      </c>
      <c r="O38" s="1522">
        <f t="shared" si="0"/>
        <v>1.2549999999999999E-2</v>
      </c>
      <c r="P38" s="1523"/>
      <c r="Q38" s="1524">
        <f>IFERROR(HLOOKUP($Q$6,'Equity Vol'!$B$8:$H38,ROWS('Equity Vol'!$C$8:$C38),FALSE),"n/a")</f>
        <v>0.99510388967342045</v>
      </c>
      <c r="R38" s="1525"/>
      <c r="S38" s="1526">
        <f t="shared" si="10"/>
        <v>0.99023175124317098</v>
      </c>
      <c r="T38" s="1526">
        <f t="shared" si="1"/>
        <v>0</v>
      </c>
      <c r="U38" s="1527">
        <f t="shared" si="2"/>
        <v>0</v>
      </c>
      <c r="V38" s="1527">
        <f t="shared" si="3"/>
        <v>0</v>
      </c>
      <c r="W38" s="1527">
        <f t="shared" si="4"/>
        <v>0</v>
      </c>
      <c r="X38" s="331">
        <f t="shared" si="5"/>
        <v>0</v>
      </c>
      <c r="Y38" s="1524">
        <f t="shared" si="11"/>
        <v>0.99510388967342045</v>
      </c>
      <c r="AA38" s="1177" t="str">
        <f>IF('MASTER PubCo Inputs'!B56=0,"",'MASTER PubCo Inputs'!B56)</f>
        <v>NasdaqCM:GNVC</v>
      </c>
      <c r="AB38" s="331">
        <f>'Beta Calc'!Z38</f>
        <v>-1.0658099999999999</v>
      </c>
      <c r="AC38" s="1178">
        <f t="shared" si="6"/>
        <v>0</v>
      </c>
      <c r="AI38" s="1179"/>
    </row>
    <row r="39" spans="2:35" ht="14.85" customHeight="1">
      <c r="B39" s="250" t="str">
        <f>'Comp.1'!B41</f>
        <v>Arbutus Biopharma Corporation</v>
      </c>
      <c r="D39" s="331">
        <f>'Beta Calc'!K39</f>
        <v>145.32996</v>
      </c>
      <c r="E39" s="331">
        <f>'Beta Calc'!L39</f>
        <v>0</v>
      </c>
      <c r="F39" s="331">
        <f>'Beta Calc'!M39</f>
        <v>0</v>
      </c>
      <c r="G39" s="331">
        <f>'Beta Calc'!N39</f>
        <v>0</v>
      </c>
      <c r="H39" s="331">
        <f t="shared" si="7"/>
        <v>0</v>
      </c>
      <c r="I39" s="331">
        <f t="shared" si="8"/>
        <v>145.32996</v>
      </c>
      <c r="J39" s="331">
        <f>'Beta Calc'!Q39</f>
        <v>149.68199999999999</v>
      </c>
      <c r="K39" s="331">
        <f t="shared" si="9"/>
        <v>-4.3520399999999881</v>
      </c>
      <c r="M39" s="1066">
        <f>IFERROR('Capital IQ Sheet-GPC'!AT42,"n/a")</f>
        <v>0</v>
      </c>
      <c r="N39" s="331">
        <f t="shared" si="0"/>
        <v>2.5</v>
      </c>
      <c r="O39" s="1522">
        <f t="shared" si="0"/>
        <v>1.2549999999999999E-2</v>
      </c>
      <c r="P39" s="1523"/>
      <c r="Q39" s="1524">
        <f>IFERROR(HLOOKUP($Q$6,'Equity Vol'!$B$8:$H39,ROWS('Equity Vol'!$C$8:$C39),FALSE),"n/a")</f>
        <v>0.8118930978537976</v>
      </c>
      <c r="R39" s="1525"/>
      <c r="S39" s="1526">
        <f t="shared" si="10"/>
        <v>0.65917040234263613</v>
      </c>
      <c r="T39" s="1526">
        <f t="shared" si="1"/>
        <v>0</v>
      </c>
      <c r="U39" s="1527">
        <f t="shared" si="2"/>
        <v>0</v>
      </c>
      <c r="V39" s="1527">
        <f t="shared" si="3"/>
        <v>0</v>
      </c>
      <c r="W39" s="1527">
        <f t="shared" si="4"/>
        <v>0</v>
      </c>
      <c r="X39" s="331">
        <f t="shared" si="5"/>
        <v>0</v>
      </c>
      <c r="Y39" s="1524">
        <f t="shared" si="11"/>
        <v>0.8118930978537976</v>
      </c>
      <c r="AA39" s="1177" t="str">
        <f>IF('MASTER PubCo Inputs'!B57=0,"",'MASTER PubCo Inputs'!B57)</f>
        <v>NasdaqGS:ABUS</v>
      </c>
      <c r="AB39" s="331">
        <f>'Beta Calc'!Z39</f>
        <v>-4.3520399999999997</v>
      </c>
      <c r="AC39" s="1178">
        <f t="shared" si="6"/>
        <v>1.1546319456101628E-14</v>
      </c>
      <c r="AI39" s="1179"/>
    </row>
    <row r="40" spans="2:35" ht="14.85" customHeight="1">
      <c r="D40" s="331"/>
      <c r="E40" s="331"/>
      <c r="F40" s="331"/>
      <c r="G40" s="331"/>
      <c r="H40" s="331"/>
      <c r="I40" s="331"/>
      <c r="J40" s="331"/>
      <c r="K40" s="331"/>
      <c r="R40" s="724"/>
    </row>
    <row r="41" spans="2:35" ht="14.85" customHeight="1">
      <c r="B41" s="1181" t="s">
        <v>111</v>
      </c>
      <c r="C41" s="1182"/>
      <c r="D41" s="1184">
        <f>MAX(D10:D39)</f>
        <v>1692.82537</v>
      </c>
      <c r="E41" s="1184">
        <f t="shared" ref="E41:K41" si="12">MAX(E10:E39)</f>
        <v>32.048000000000002</v>
      </c>
      <c r="F41" s="1184">
        <f t="shared" si="12"/>
        <v>185.565</v>
      </c>
      <c r="G41" s="1184">
        <f t="shared" si="12"/>
        <v>9.6269999999999994E-2</v>
      </c>
      <c r="H41" s="1184">
        <f t="shared" si="12"/>
        <v>185.51400000000001</v>
      </c>
      <c r="I41" s="1184">
        <f t="shared" si="12"/>
        <v>1694.4007799999999</v>
      </c>
      <c r="J41" s="1184">
        <f t="shared" si="12"/>
        <v>408.70499999999998</v>
      </c>
      <c r="K41" s="1184">
        <f t="shared" si="12"/>
        <v>1387.752</v>
      </c>
      <c r="L41" s="1182"/>
      <c r="M41" s="1326">
        <f t="shared" ref="M41:O41" si="13">MAX(M10:M39)</f>
        <v>0</v>
      </c>
      <c r="N41" s="1184">
        <f t="shared" si="13"/>
        <v>2.5</v>
      </c>
      <c r="O41" s="1528">
        <f t="shared" si="13"/>
        <v>1.2549999999999999E-2</v>
      </c>
      <c r="P41" s="1529"/>
      <c r="Q41" s="1530">
        <f>MAX(Q10:Q39)</f>
        <v>1.396853832524193</v>
      </c>
      <c r="R41" s="1531"/>
      <c r="S41" s="1532">
        <f t="shared" ref="S41:W41" si="14">MAX(S10:S40)</f>
        <v>1.9512006294375264</v>
      </c>
      <c r="T41" s="1532">
        <f t="shared" si="14"/>
        <v>8.6217224295156747</v>
      </c>
      <c r="U41" s="1533">
        <f t="shared" si="14"/>
        <v>7.5883838558388632</v>
      </c>
      <c r="V41" s="1533">
        <f t="shared" si="14"/>
        <v>1</v>
      </c>
      <c r="W41" s="1533">
        <f t="shared" si="14"/>
        <v>0.99999999999998379</v>
      </c>
      <c r="X41" s="1184">
        <f t="shared" ref="X41:Y41" si="15">MAX(X10:X39)</f>
        <v>404.66517357929848</v>
      </c>
      <c r="Y41" s="1534">
        <f t="shared" si="15"/>
        <v>1.3802416850153529</v>
      </c>
      <c r="AB41" s="1535">
        <f ca="1">Y48</f>
        <v>0.30000056124635788</v>
      </c>
      <c r="AC41" s="1536" t="s">
        <v>1815</v>
      </c>
      <c r="AD41" s="1536"/>
      <c r="AE41" s="1536"/>
      <c r="AF41" s="775"/>
    </row>
    <row r="42" spans="2:35" ht="14.85" customHeight="1">
      <c r="B42" s="1187" t="s">
        <v>115</v>
      </c>
      <c r="C42" s="1188"/>
      <c r="D42" s="1190">
        <f t="shared" ref="D42:K42" si="16">QUARTILE(D10:D39,3)</f>
        <v>535.13891249999995</v>
      </c>
      <c r="E42" s="1190">
        <f t="shared" si="16"/>
        <v>0.69918499999999995</v>
      </c>
      <c r="F42" s="1190">
        <f t="shared" si="16"/>
        <v>0</v>
      </c>
      <c r="G42" s="1190">
        <f t="shared" si="16"/>
        <v>0</v>
      </c>
      <c r="H42" s="1190">
        <f t="shared" si="16"/>
        <v>2.5620824999999998</v>
      </c>
      <c r="I42" s="1190">
        <f t="shared" si="16"/>
        <v>544.96866749999992</v>
      </c>
      <c r="J42" s="1190">
        <f t="shared" si="16"/>
        <v>164.18174999999999</v>
      </c>
      <c r="K42" s="1190">
        <f t="shared" si="16"/>
        <v>330.71264999999994</v>
      </c>
      <c r="L42" s="1188"/>
      <c r="M42" s="1328">
        <f>QUARTILE(M10:M39,3)</f>
        <v>0</v>
      </c>
      <c r="N42" s="1190">
        <f>QUARTILE(N10:N39,3)</f>
        <v>2.5</v>
      </c>
      <c r="O42" s="1537">
        <f>QUARTILE(O10:O39,3)</f>
        <v>1.2549999999999999E-2</v>
      </c>
      <c r="P42" s="1538"/>
      <c r="Q42" s="1539">
        <f>QUARTILE(Q10:Q39,3)</f>
        <v>0.93792112408803785</v>
      </c>
      <c r="R42" s="1540"/>
      <c r="S42" s="1541">
        <f>QUARTILE(S10:S40,3)</f>
        <v>0.87996139640234972</v>
      </c>
      <c r="T42" s="1541">
        <f>QUARTILE(T10:T40,3)</f>
        <v>4.7014475592154472</v>
      </c>
      <c r="U42" s="1542">
        <f>QUARTILE(U10:U40,3)</f>
        <v>3.4172796053969088</v>
      </c>
      <c r="V42" s="1542">
        <f>QUARTILE(V10:V40,3)</f>
        <v>0.99969542148564394</v>
      </c>
      <c r="W42" s="1542">
        <f>QUARTILE(W10:W40,3)</f>
        <v>0.9891562243504467</v>
      </c>
      <c r="X42" s="1190">
        <f>QUARTILE(X10:X39,3)</f>
        <v>101.56306923545915</v>
      </c>
      <c r="Y42" s="1543">
        <f>QUARTILE(Y10:Y39,3)</f>
        <v>0.90969146564662595</v>
      </c>
      <c r="AB42" s="1544">
        <f>Y50</f>
        <v>0.31</v>
      </c>
      <c r="AC42" s="467" t="s">
        <v>1816</v>
      </c>
      <c r="AD42" s="467"/>
      <c r="AE42" s="467"/>
      <c r="AF42" s="468"/>
    </row>
    <row r="43" spans="2:35" ht="14.85" customHeight="1">
      <c r="B43" s="1187" t="s">
        <v>113</v>
      </c>
      <c r="C43" s="1188"/>
      <c r="D43" s="1190">
        <f>AVERAGE(D10:D39)</f>
        <v>349.13332166666657</v>
      </c>
      <c r="E43" s="1190">
        <f t="shared" ref="E43:K43" si="17">AVERAGE(E10:E39)</f>
        <v>2.8426580000000001</v>
      </c>
      <c r="F43" s="1190">
        <f t="shared" si="17"/>
        <v>6.5502309999999992</v>
      </c>
      <c r="G43" s="1190">
        <f t="shared" si="17"/>
        <v>-1.699733333333333E-2</v>
      </c>
      <c r="H43" s="1190">
        <f t="shared" si="17"/>
        <v>9.3758916666666661</v>
      </c>
      <c r="I43" s="1190">
        <f t="shared" si="17"/>
        <v>358.50921333333332</v>
      </c>
      <c r="J43" s="1190">
        <f t="shared" si="17"/>
        <v>109.87659433333336</v>
      </c>
      <c r="K43" s="1190">
        <f t="shared" si="17"/>
        <v>248.63261900000001</v>
      </c>
      <c r="L43" s="1188"/>
      <c r="M43" s="1328">
        <f t="shared" ref="M43:O43" si="18">AVERAGE(M10:M39)</f>
        <v>0</v>
      </c>
      <c r="N43" s="1190">
        <f t="shared" si="18"/>
        <v>2.5</v>
      </c>
      <c r="O43" s="1537">
        <f t="shared" si="18"/>
        <v>1.2550000000000004E-2</v>
      </c>
      <c r="P43" s="1538"/>
      <c r="Q43" s="1539">
        <f>AVERAGE(Q10:Q39)</f>
        <v>0.87145919338423417</v>
      </c>
      <c r="R43" s="1540"/>
      <c r="S43" s="1541">
        <f t="shared" ref="S43:W43" si="19">AVERAGE(S10:S40)</f>
        <v>0.78653160019050228</v>
      </c>
      <c r="T43" s="1541">
        <f t="shared" si="19"/>
        <v>2.3905905321734502</v>
      </c>
      <c r="U43" s="1542">
        <f t="shared" si="19"/>
        <v>1.7168648820778281</v>
      </c>
      <c r="V43" s="1542">
        <f t="shared" si="19"/>
        <v>0.49463446409678774</v>
      </c>
      <c r="W43" s="1542">
        <f t="shared" si="19"/>
        <v>0.44349683079773838</v>
      </c>
      <c r="X43" s="1190">
        <f t="shared" ref="X43:Y43" si="20">AVERAGE(X10:X39)</f>
        <v>80.079293386162405</v>
      </c>
      <c r="Y43" s="1543">
        <f t="shared" si="20"/>
        <v>0.85251663168716496</v>
      </c>
      <c r="AB43" s="1544">
        <f>Y44</f>
        <v>0.80410065950942844</v>
      </c>
      <c r="AC43" s="467" t="s">
        <v>1814</v>
      </c>
      <c r="AD43" s="467"/>
      <c r="AE43" s="467"/>
      <c r="AF43" s="1545" t="s">
        <v>2280</v>
      </c>
    </row>
    <row r="44" spans="2:35" ht="14.85" customHeight="1">
      <c r="B44" s="1187" t="s">
        <v>44</v>
      </c>
      <c r="C44" s="1188"/>
      <c r="D44" s="1190">
        <f>MEDIAN(D10:D39)</f>
        <v>252.89796000000001</v>
      </c>
      <c r="E44" s="1190">
        <f t="shared" ref="E44:K44" si="21">MEDIAN(E10:E39)</f>
        <v>0</v>
      </c>
      <c r="F44" s="1190">
        <f t="shared" si="21"/>
        <v>0</v>
      </c>
      <c r="G44" s="1190">
        <f t="shared" si="21"/>
        <v>0</v>
      </c>
      <c r="H44" s="1190">
        <f t="shared" si="21"/>
        <v>0.17863499999999999</v>
      </c>
      <c r="I44" s="1190">
        <f t="shared" si="21"/>
        <v>253.41356500000001</v>
      </c>
      <c r="J44" s="1190">
        <f t="shared" si="21"/>
        <v>91.676500000000004</v>
      </c>
      <c r="K44" s="1190">
        <f t="shared" si="21"/>
        <v>208.32753500000001</v>
      </c>
      <c r="L44" s="1188"/>
      <c r="M44" s="1328">
        <f t="shared" ref="M44:O44" si="22">MEDIAN(M10:M39)</f>
        <v>0</v>
      </c>
      <c r="N44" s="1190">
        <f t="shared" si="22"/>
        <v>2.5</v>
      </c>
      <c r="O44" s="1537">
        <f t="shared" si="22"/>
        <v>1.2549999999999999E-2</v>
      </c>
      <c r="P44" s="1538"/>
      <c r="Q44" s="1539">
        <f>MEDIAN(Q10:Q39)</f>
        <v>0.82629458385847876</v>
      </c>
      <c r="R44" s="1540"/>
      <c r="S44" s="1541">
        <f t="shared" ref="S44:W44" si="23">MEDIAN(S10:S40)</f>
        <v>0.68280916889410093</v>
      </c>
      <c r="T44" s="1541">
        <f t="shared" si="23"/>
        <v>0.74315149149748561</v>
      </c>
      <c r="U44" s="1542">
        <f t="shared" si="23"/>
        <v>0</v>
      </c>
      <c r="V44" s="1542">
        <f t="shared" si="23"/>
        <v>0.46570025048539293</v>
      </c>
      <c r="W44" s="1542">
        <f t="shared" si="23"/>
        <v>0.24769593667756196</v>
      </c>
      <c r="X44" s="1190">
        <f t="shared" ref="X44:Y44" si="24">MEDIAN(X10:X39)</f>
        <v>13.799400675538484</v>
      </c>
      <c r="Y44" s="1543">
        <f t="shared" si="24"/>
        <v>0.80410065950942844</v>
      </c>
      <c r="AB44" s="1546" t="str">
        <f ca="1">IF(ROUND(AB41,3)=ROUND(AB43,3),"","Update Volatility - OPM")</f>
        <v>Update Volatility - OPM</v>
      </c>
      <c r="AC44" s="467"/>
      <c r="AD44" s="467"/>
      <c r="AE44" s="467"/>
      <c r="AF44" s="468"/>
    </row>
    <row r="45" spans="2:35" ht="14.85" customHeight="1">
      <c r="B45" s="1187" t="s">
        <v>114</v>
      </c>
      <c r="C45" s="1188"/>
      <c r="D45" s="1190">
        <f>QUARTILE(D10:D39,1)</f>
        <v>106.88460499999999</v>
      </c>
      <c r="E45" s="1190">
        <f t="shared" ref="E45:K45" si="25">QUARTILE(E10:E39,1)</f>
        <v>0</v>
      </c>
      <c r="F45" s="1190">
        <f t="shared" si="25"/>
        <v>0</v>
      </c>
      <c r="G45" s="1190">
        <f t="shared" si="25"/>
        <v>0</v>
      </c>
      <c r="H45" s="1190">
        <f t="shared" si="25"/>
        <v>0</v>
      </c>
      <c r="I45" s="1190">
        <f t="shared" si="25"/>
        <v>114.9033675</v>
      </c>
      <c r="J45" s="1190">
        <f t="shared" si="25"/>
        <v>21.772500000000001</v>
      </c>
      <c r="K45" s="1190">
        <f t="shared" si="25"/>
        <v>58.667125000000013</v>
      </c>
      <c r="L45" s="1188"/>
      <c r="M45" s="1328">
        <f t="shared" ref="M45:O45" si="26">QUARTILE(M10:M39,1)</f>
        <v>0</v>
      </c>
      <c r="N45" s="1190">
        <f t="shared" si="26"/>
        <v>2.5</v>
      </c>
      <c r="O45" s="1537">
        <f t="shared" si="26"/>
        <v>1.2549999999999999E-2</v>
      </c>
      <c r="P45" s="1538"/>
      <c r="Q45" s="1539">
        <f>QUARTILE(Q10:Q39,1)</f>
        <v>0.80259153213194279</v>
      </c>
      <c r="R45" s="1540"/>
      <c r="S45" s="1541">
        <f t="shared" ref="S45:W45" si="27">QUARTILE(S10:S40,1)</f>
        <v>0.64415544012238102</v>
      </c>
      <c r="T45" s="1541">
        <f t="shared" si="27"/>
        <v>0</v>
      </c>
      <c r="U45" s="1542">
        <f t="shared" si="27"/>
        <v>0</v>
      </c>
      <c r="V45" s="1542">
        <f t="shared" si="27"/>
        <v>0</v>
      </c>
      <c r="W45" s="1542">
        <f t="shared" si="27"/>
        <v>0</v>
      </c>
      <c r="X45" s="1190">
        <f t="shared" ref="X45:Y45" si="28">QUARTILE(X10:X39,1)</f>
        <v>0</v>
      </c>
      <c r="Y45" s="1543">
        <f t="shared" si="28"/>
        <v>0.78462590442265689</v>
      </c>
      <c r="AB45" s="1547" t="str">
        <f>IF(ROUND(AB42,3)=ROUND(AB43,3),"","Update Volatility - DLOM")</f>
        <v>Update Volatility - DLOM</v>
      </c>
      <c r="AC45" s="346"/>
      <c r="AD45" s="346"/>
      <c r="AE45" s="346"/>
      <c r="AF45" s="897"/>
    </row>
    <row r="46" spans="2:35" ht="14.85" customHeight="1">
      <c r="B46" s="1192" t="s">
        <v>112</v>
      </c>
      <c r="C46" s="858"/>
      <c r="D46" s="867">
        <f t="shared" ref="D46:K46" si="29">MIN(D10:D39)</f>
        <v>7.33019</v>
      </c>
      <c r="E46" s="867">
        <f t="shared" si="29"/>
        <v>0</v>
      </c>
      <c r="F46" s="867">
        <f t="shared" si="29"/>
        <v>0</v>
      </c>
      <c r="G46" s="867">
        <f t="shared" si="29"/>
        <v>-0.55518999999999996</v>
      </c>
      <c r="H46" s="867">
        <f t="shared" si="29"/>
        <v>0</v>
      </c>
      <c r="I46" s="867">
        <f t="shared" si="29"/>
        <v>7.33019</v>
      </c>
      <c r="J46" s="867">
        <f t="shared" si="29"/>
        <v>0</v>
      </c>
      <c r="K46" s="867">
        <f t="shared" si="29"/>
        <v>-4.3520399999999881</v>
      </c>
      <c r="L46" s="858"/>
      <c r="M46" s="1330">
        <f>MIN(M10:M39)</f>
        <v>0</v>
      </c>
      <c r="N46" s="867">
        <f>MIN(N10:N39)</f>
        <v>2.5</v>
      </c>
      <c r="O46" s="1548">
        <f>MIN(O10:O39)</f>
        <v>1.2549999999999999E-2</v>
      </c>
      <c r="P46" s="1549"/>
      <c r="Q46" s="1550">
        <f>MIN(Q10:Q39)</f>
        <v>0.61508994844412945</v>
      </c>
      <c r="R46" s="1551"/>
      <c r="S46" s="1552">
        <f>MIN(S10:S40)</f>
        <v>0.37833564467700181</v>
      </c>
      <c r="T46" s="1552">
        <f>MIN(T10:T40)</f>
        <v>0</v>
      </c>
      <c r="U46" s="1553">
        <f>MIN(U10:U40)</f>
        <v>-1.1551117410338207E-2</v>
      </c>
      <c r="V46" s="1553">
        <f>MIN(V10:V40)</f>
        <v>0</v>
      </c>
      <c r="W46" s="1553">
        <f>MIN(W10:W40)</f>
        <v>0</v>
      </c>
      <c r="X46" s="867">
        <f>MIN(X10:X39)</f>
        <v>0</v>
      </c>
      <c r="Y46" s="1554">
        <f>MIN(Y10:Y39)</f>
        <v>0.61205618461835121</v>
      </c>
    </row>
    <row r="47" spans="2:35" ht="14.85" customHeight="1">
      <c r="AB47" s="1104" t="str">
        <f ca="1">IF(AND(AB44=$AF$45,AB45=$AF$45),"","Check")</f>
        <v>Check</v>
      </c>
    </row>
    <row r="48" spans="2:35" ht="14.85" customHeight="1">
      <c r="B48" s="1555" t="str">
        <f>B2</f>
        <v>ABC, Inc.</v>
      </c>
      <c r="C48" s="1556" t="s">
        <v>269</v>
      </c>
      <c r="D48" s="1557"/>
      <c r="E48" s="1557"/>
      <c r="F48" s="1557"/>
      <c r="G48" s="1557"/>
      <c r="H48" s="1558">
        <f ca="1">-'Val Summ'!$H$20/1000</f>
        <v>2.0379999999999998</v>
      </c>
      <c r="I48" s="1559">
        <f t="shared" ref="I48" si="30">SUM(D48:G48)</f>
        <v>0</v>
      </c>
      <c r="J48" s="1557"/>
      <c r="K48" s="1558">
        <f ca="1">'Val Summ'!$H$17/1000</f>
        <v>61.23</v>
      </c>
      <c r="L48" s="1557"/>
      <c r="M48" s="1560">
        <f>'DLOM Hybrid'!K11</f>
        <v>0</v>
      </c>
      <c r="N48" s="1561">
        <f>N$6</f>
        <v>2.5</v>
      </c>
      <c r="O48" s="1562">
        <f>O$6</f>
        <v>1.2549999999999999E-2</v>
      </c>
      <c r="P48" s="1563"/>
      <c r="Q48" s="1564">
        <v>0.31</v>
      </c>
      <c r="R48" s="1557"/>
      <c r="S48" s="1565">
        <f>IF(Q48="n/a","n/a",Q48^2)</f>
        <v>9.6100000000000005E-2</v>
      </c>
      <c r="T48" s="1565">
        <f ca="1">IF(OR(K48="n/a",S48="n/a"),"n/a",IF(H48=0,0,IF(M48=0,(LN(K48/H48)+((O48+(S48/2))*N48))/((S48*N48)^0.5),(LN(K48/H48)+((O48-M48+(S48/2))*N48))/((S48*N48)^0.5))))</f>
        <v>7.2511400726560051</v>
      </c>
      <c r="U48" s="1566">
        <f ca="1">IF(T48="n/a","n/a",IF(H48=0,0,T48-(S48*N48)^0.5))</f>
        <v>6.7609870353299062</v>
      </c>
      <c r="V48" s="1566">
        <f ca="1">IF(OR(T48="n/a",S48="n/a"),"n/a",IF(H48=0,0,NORMSDIST(T48)))</f>
        <v>0.99999999999979339</v>
      </c>
      <c r="W48" s="1566">
        <f ca="1">IF(OR(U48="n/a",S48="n/a"),"n/a",IF(H48=0,0,NORMSDIST(U48)))</f>
        <v>0.99999999999314726</v>
      </c>
      <c r="X48" s="1566">
        <f ca="1">IF(OR(K48="n/a",S48="n/a"),"n/a",IF(M48=0,(K48*V48)-((H48*EXP(1)^(-O48*N48))*W48),(K48*(2.718^(-M48*N48))*V48)-(H48*(2.718^(-O48*N48))*W48)))</f>
        <v>59.254949564873208</v>
      </c>
      <c r="Y48" s="1567">
        <f ca="1">IF(LEN(B48)&gt;0,IF(H48=0,Q48,IF(ISERROR(Q48/((K48/X48)*V48)),"n/a",Q48/((K48/X48)*V48))))</f>
        <v>0.30000056124635788</v>
      </c>
    </row>
    <row r="49" spans="1:25" ht="14.85" customHeight="1">
      <c r="C49" s="414"/>
      <c r="D49" s="414"/>
      <c r="E49" s="414"/>
      <c r="F49" s="414"/>
      <c r="G49" s="414"/>
      <c r="H49" s="414"/>
      <c r="I49" s="414"/>
      <c r="J49" s="414"/>
    </row>
    <row r="50" spans="1:25" ht="14.85" customHeight="1">
      <c r="B50" s="1555" t="str">
        <f>B48</f>
        <v>ABC, Inc.</v>
      </c>
      <c r="C50" s="1556" t="s">
        <v>308</v>
      </c>
      <c r="D50" s="1557"/>
      <c r="E50" s="1557"/>
      <c r="F50" s="1557"/>
      <c r="G50" s="1557"/>
      <c r="H50" s="1558"/>
      <c r="I50" s="1559">
        <f ca="1">K50+J50</f>
        <v>61.23</v>
      </c>
      <c r="J50" s="1557"/>
      <c r="K50" s="1568">
        <f ca="1">K48</f>
        <v>61.23</v>
      </c>
      <c r="L50" s="1557"/>
      <c r="M50" s="1569">
        <f>M48</f>
        <v>0</v>
      </c>
      <c r="N50" s="1561">
        <f>N$6</f>
        <v>2.5</v>
      </c>
      <c r="O50" s="1562">
        <f>O$6</f>
        <v>1.2549999999999999E-2</v>
      </c>
      <c r="P50" s="1563"/>
      <c r="Q50" s="1564">
        <v>0.31</v>
      </c>
      <c r="R50" s="1557"/>
      <c r="S50" s="1565">
        <f>IF(Q50="n/a","n/a",Q50^2)</f>
        <v>9.6100000000000005E-2</v>
      </c>
      <c r="T50" s="1565">
        <f ca="1">IF(OR(K50="n/a",S50="n/a"),"n/a",IF(H50=0,0,IF(M50=0,(LN(K50/H50)+((O50+(S50/2))*N50))/((S50*N50)^0.5),(LN(K50/H50)+((O50-M50+(S50/2))*N50))/((S50*N50)^0.5))))</f>
        <v>0</v>
      </c>
      <c r="U50" s="1566">
        <f ca="1">IF(T50="n/a","n/a",IF(H50=0,0,T50-(S50*N50)^0.5))</f>
        <v>0</v>
      </c>
      <c r="V50" s="1566">
        <f ca="1">IF(OR(T50="n/a",S50="n/a"),"n/a",IF(H50=0,0,NORMSDIST(T50)))</f>
        <v>0</v>
      </c>
      <c r="W50" s="1566">
        <f ca="1">IF(OR(U50="n/a",S50="n/a"),"n/a",IF(H50=0,0,NORMSDIST(U50)))</f>
        <v>0</v>
      </c>
      <c r="X50" s="1566">
        <f ca="1">IF(OR(K50="n/a",S50="n/a"),"n/a",IF(M50=0,(K50*V50)-((H50*EXP(1)^(-O50*N50))*W50),(K50*(2.718^(-M50*N50))*V50)-(H50*(2.718^(-O50*N50))*W50)))</f>
        <v>0</v>
      </c>
      <c r="Y50" s="1567">
        <f>IF(LEN(B50)&gt;0,IF(H50=0,Q50,IF(ISERROR(Q50/((K50/X50)*V50)),"n/a",Q50/((K50/X50)*V50))))</f>
        <v>0.31</v>
      </c>
    </row>
    <row r="51" spans="1:25" ht="14.85" customHeight="1"/>
    <row r="52" spans="1:25" ht="14.85" customHeight="1">
      <c r="B52" s="356" t="s">
        <v>86</v>
      </c>
    </row>
    <row r="53" spans="1:25" ht="14.85" customHeight="1">
      <c r="A53" s="357" t="s">
        <v>270</v>
      </c>
      <c r="B53" s="274" t="s">
        <v>3513</v>
      </c>
    </row>
    <row r="54" spans="1:25" s="359" customFormat="1" ht="14.85" customHeight="1">
      <c r="A54" s="1570" t="s">
        <v>269</v>
      </c>
      <c r="B54" s="1571" t="s">
        <v>1140</v>
      </c>
      <c r="P54" s="1572"/>
    </row>
    <row r="55" spans="1:25" s="359" customFormat="1" ht="14.85" customHeight="1">
      <c r="A55" s="1570" t="s">
        <v>308</v>
      </c>
      <c r="B55" s="1571" t="s">
        <v>1141</v>
      </c>
      <c r="P55" s="1572"/>
    </row>
    <row r="56" spans="1:25" ht="14.85" customHeight="1"/>
    <row r="57" spans="1:25" ht="14.85" customHeight="1">
      <c r="B57" s="356" t="s">
        <v>116</v>
      </c>
    </row>
    <row r="58" spans="1:25" ht="14.85" customHeight="1"/>
    <row r="59" spans="1:25" ht="14.85" customHeight="1">
      <c r="B59" s="250" t="s">
        <v>1844</v>
      </c>
    </row>
    <row r="60" spans="1:25" ht="14.85" customHeight="1">
      <c r="B60" s="250" t="s">
        <v>1845</v>
      </c>
    </row>
    <row r="61" spans="1:25" ht="14.85" customHeight="1">
      <c r="B61" s="250" t="s">
        <v>1846</v>
      </c>
    </row>
    <row r="62" spans="1:25" ht="14.85" customHeight="1">
      <c r="B62" s="250" t="s">
        <v>1847</v>
      </c>
    </row>
    <row r="63" spans="1:25" ht="14.85" customHeight="1">
      <c r="B63" s="250" t="s">
        <v>1848</v>
      </c>
    </row>
    <row r="64" spans="1:25" ht="14.85" customHeight="1">
      <c r="B64" s="250" t="s">
        <v>1849</v>
      </c>
    </row>
    <row r="65" spans="2:2" ht="14.85" customHeight="1">
      <c r="B65" s="250" t="s">
        <v>1850</v>
      </c>
    </row>
    <row r="66" spans="2:2" ht="14.85" customHeight="1"/>
    <row r="67" spans="2:2" ht="14.85" customHeight="1">
      <c r="B67" s="250" t="s">
        <v>1851</v>
      </c>
    </row>
    <row r="68" spans="2:2" ht="14.85" customHeight="1">
      <c r="B68" s="250" t="s">
        <v>1852</v>
      </c>
    </row>
    <row r="69" spans="2:2" ht="14.85" customHeight="1">
      <c r="B69" s="250" t="s">
        <v>1853</v>
      </c>
    </row>
    <row r="70" spans="2:2" ht="14.85" customHeight="1">
      <c r="B70" s="250" t="s">
        <v>1854</v>
      </c>
    </row>
    <row r="71" spans="2:2" ht="14.85" customHeight="1">
      <c r="B71" s="250" t="s">
        <v>1855</v>
      </c>
    </row>
    <row r="72" spans="2:2" ht="14.85" customHeight="1">
      <c r="B72" s="250" t="s">
        <v>1856</v>
      </c>
    </row>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0:B39">
    <cfRule type="cellIs" dxfId="65" priority="8" operator="equal">
      <formula>"(Invalid Identifier)"</formula>
    </cfRule>
  </conditionalFormatting>
  <conditionalFormatting sqref="B4:I4">
    <cfRule type="cellIs" dxfId="64" priority="7" stopIfTrue="1" operator="equal">
      <formula>"input"</formula>
    </cfRule>
  </conditionalFormatting>
  <conditionalFormatting sqref="J4">
    <cfRule type="cellIs" dxfId="63" priority="5" stopIfTrue="1" operator="equal">
      <formula>"input"</formula>
    </cfRule>
  </conditionalFormatting>
  <conditionalFormatting sqref="J4">
    <cfRule type="cellIs" dxfId="62" priority="6" stopIfTrue="1" operator="equal">
      <formula>"input"</formula>
    </cfRule>
  </conditionalFormatting>
  <conditionalFormatting sqref="K4:X4">
    <cfRule type="cellIs" dxfId="61" priority="3" stopIfTrue="1" operator="equal">
      <formula>"input"</formula>
    </cfRule>
  </conditionalFormatting>
  <conditionalFormatting sqref="K4:X4">
    <cfRule type="cellIs" dxfId="60" priority="4" stopIfTrue="1" operator="equal">
      <formula>"input"</formula>
    </cfRule>
  </conditionalFormatting>
  <conditionalFormatting sqref="Y4">
    <cfRule type="cellIs" dxfId="59" priority="1" stopIfTrue="1" operator="equal">
      <formula>"input"</formula>
    </cfRule>
  </conditionalFormatting>
  <conditionalFormatting sqref="Y4">
    <cfRule type="cellIs" dxfId="58" priority="2" stopIfTrue="1" operator="equal">
      <formula>"input"</formula>
    </cfRule>
  </conditionalFormatting>
  <pageMargins left="0.5" right="0.5" top="0.5" bottom="0.5" header="0.5" footer="0.5"/>
  <pageSetup scale="74" fitToWidth="0" fitToHeight="0" orientation="landscape" r:id="rId1"/>
  <legacyDrawing r:id="rId2"/>
  <legacyDrawingHF r:id="rId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9"/>
  <dimension ref="B1:AA764"/>
  <sheetViews>
    <sheetView showGridLines="0" view="pageBreakPreview" zoomScale="80" zoomScaleNormal="100" zoomScaleSheetLayoutView="80" workbookViewId="0"/>
  </sheetViews>
  <sheetFormatPr defaultRowHeight="12.75"/>
  <cols>
    <col min="1" max="1" width="2.83203125" style="250" customWidth="1"/>
    <col min="2" max="2" width="42.83203125" style="250" customWidth="1"/>
    <col min="3" max="3" width="2.83203125" style="250" customWidth="1"/>
    <col min="4" max="7" width="12.83203125" style="250" customWidth="1"/>
    <col min="8" max="22" width="8.5" style="250" customWidth="1"/>
    <col min="23" max="23" width="9" style="250" customWidth="1"/>
    <col min="24" max="24" width="2.83203125" style="250" customWidth="1"/>
    <col min="25" max="25" width="12.5" style="250" bestFit="1" customWidth="1"/>
    <col min="26" max="26" width="10.33203125" style="250" bestFit="1" customWidth="1"/>
    <col min="27" max="16384" width="9.33203125" style="250"/>
  </cols>
  <sheetData>
    <row r="1" spans="2:27" ht="10.7" customHeight="1" thickBot="1"/>
    <row r="2" spans="2:27" ht="16.5" customHeight="1" thickTop="1">
      <c r="B2" s="258" t="str">
        <f>'MASTER PubCo Inputs'!$C$5</f>
        <v>ABC, Inc.</v>
      </c>
      <c r="C2" s="258"/>
      <c r="D2" s="258"/>
      <c r="E2" s="258"/>
      <c r="F2" s="258"/>
      <c r="G2" s="258"/>
      <c r="H2" s="258"/>
      <c r="I2" s="258"/>
      <c r="J2" s="258"/>
      <c r="K2" s="258"/>
      <c r="L2" s="258"/>
      <c r="M2" s="258"/>
      <c r="N2" s="258"/>
      <c r="O2" s="258"/>
      <c r="P2" s="258"/>
      <c r="Q2" s="258"/>
      <c r="R2" s="258"/>
      <c r="S2" s="258"/>
      <c r="T2" s="258"/>
      <c r="U2" s="258"/>
      <c r="V2" s="258"/>
      <c r="W2" s="258"/>
    </row>
    <row r="3" spans="2:27" ht="15.75" customHeight="1">
      <c r="B3" s="259" t="str">
        <f>VLOOKUP(B4,Outline!$E$8:$G$79,COLUMNS(Outline!$E$8:$G$8),FALSE)</f>
        <v>Workpaper #6</v>
      </c>
      <c r="C3" s="259"/>
      <c r="D3" s="259"/>
      <c r="E3" s="259"/>
      <c r="F3" s="259"/>
      <c r="G3" s="259"/>
      <c r="H3" s="259"/>
      <c r="I3" s="259"/>
      <c r="J3" s="259"/>
      <c r="K3" s="259"/>
      <c r="L3" s="259"/>
      <c r="M3" s="259"/>
      <c r="N3" s="259"/>
      <c r="O3" s="259"/>
      <c r="P3" s="259"/>
      <c r="Q3" s="259"/>
      <c r="R3" s="259"/>
      <c r="S3" s="259"/>
      <c r="T3" s="259"/>
      <c r="U3" s="259"/>
      <c r="V3" s="259"/>
      <c r="W3" s="259"/>
    </row>
    <row r="4" spans="2:27" ht="16.5" customHeight="1" thickBot="1">
      <c r="B4" s="924" t="s">
        <v>2262</v>
      </c>
      <c r="C4" s="924"/>
      <c r="D4" s="924"/>
      <c r="E4" s="924"/>
      <c r="F4" s="924"/>
      <c r="G4" s="924"/>
      <c r="H4" s="924"/>
      <c r="I4" s="924"/>
      <c r="J4" s="924"/>
      <c r="K4" s="924"/>
      <c r="L4" s="924"/>
      <c r="M4" s="924"/>
      <c r="N4" s="924"/>
      <c r="O4" s="924"/>
      <c r="P4" s="924"/>
      <c r="Q4" s="924"/>
      <c r="R4" s="924"/>
      <c r="S4" s="924"/>
      <c r="T4" s="924"/>
      <c r="U4" s="924"/>
      <c r="V4" s="924"/>
      <c r="W4" s="924"/>
      <c r="Y4" s="355" t="e">
        <f>IF(OR(Y10="Check",G43="Check",H43="Check"),"Check","")</f>
        <v>#VALUE!</v>
      </c>
    </row>
    <row r="5" spans="2:27" s="467" customFormat="1" ht="14.85" customHeight="1" thickTop="1">
      <c r="B5" s="250"/>
      <c r="C5" s="250"/>
      <c r="D5" s="250"/>
      <c r="E5" s="250"/>
      <c r="F5" s="250"/>
      <c r="G5" s="250"/>
      <c r="H5" s="250"/>
      <c r="I5" s="250"/>
      <c r="J5" s="250"/>
      <c r="K5" s="250"/>
      <c r="L5" s="250"/>
      <c r="M5" s="250"/>
      <c r="N5" s="250"/>
      <c r="O5" s="250"/>
      <c r="P5" s="250"/>
      <c r="Q5" s="250"/>
      <c r="R5" s="250"/>
      <c r="S5" s="250"/>
      <c r="T5" s="250"/>
      <c r="U5" s="250"/>
      <c r="V5" s="250"/>
      <c r="W5" s="250"/>
      <c r="X5" s="250"/>
    </row>
    <row r="6" spans="2:27" s="467" customFormat="1" ht="14.85" customHeight="1">
      <c r="B6" s="439" t="s">
        <v>2233</v>
      </c>
      <c r="C6" s="250"/>
      <c r="D6" s="250"/>
      <c r="E6" s="250"/>
      <c r="F6" s="250"/>
      <c r="G6" s="250"/>
      <c r="H6" s="250"/>
      <c r="I6" s="250"/>
      <c r="J6" s="250"/>
      <c r="K6" s="250"/>
      <c r="L6" s="250"/>
      <c r="M6" s="250"/>
      <c r="N6" s="250"/>
      <c r="O6" s="250"/>
      <c r="P6" s="250"/>
      <c r="Q6" s="250"/>
      <c r="R6" s="250"/>
      <c r="S6" s="250"/>
      <c r="T6" s="250"/>
      <c r="U6" s="250"/>
      <c r="V6" s="250"/>
      <c r="W6" s="250"/>
      <c r="X6" s="250"/>
    </row>
    <row r="7" spans="2:27" s="467" customFormat="1" ht="14.85" customHeight="1">
      <c r="B7" s="250" t="s">
        <v>2210</v>
      </c>
      <c r="C7" s="250"/>
      <c r="D7" s="1959">
        <f>'OPM 1 Hybrid'!D11</f>
        <v>0.31</v>
      </c>
      <c r="E7" s="250"/>
      <c r="F7" s="250"/>
      <c r="G7" s="250"/>
      <c r="H7" s="250"/>
      <c r="I7" s="250"/>
      <c r="J7" s="250"/>
      <c r="K7" s="250"/>
      <c r="L7" s="250"/>
      <c r="M7" s="250"/>
      <c r="N7" s="250"/>
      <c r="O7" s="250"/>
      <c r="P7" s="250"/>
      <c r="Q7" s="250"/>
      <c r="R7" s="250"/>
      <c r="S7" s="250"/>
      <c r="T7" s="250"/>
      <c r="U7" s="250"/>
      <c r="V7" s="250"/>
      <c r="W7" s="250"/>
      <c r="X7" s="250"/>
    </row>
    <row r="8" spans="2:27" s="467" customFormat="1" ht="14.85" customHeight="1">
      <c r="B8" s="250"/>
      <c r="C8" s="250"/>
      <c r="D8" s="250"/>
      <c r="E8" s="250"/>
      <c r="F8" s="250"/>
      <c r="G8" s="250"/>
      <c r="H8" s="250"/>
      <c r="I8" s="250"/>
      <c r="J8" s="250"/>
      <c r="K8" s="250"/>
      <c r="L8" s="250"/>
      <c r="M8" s="250"/>
      <c r="N8" s="250"/>
      <c r="O8" s="250"/>
      <c r="P8" s="250"/>
      <c r="Q8" s="250"/>
      <c r="R8" s="250"/>
      <c r="S8" s="250"/>
      <c r="T8" s="250"/>
      <c r="U8" s="250"/>
      <c r="V8" s="250"/>
      <c r="W8" s="250"/>
      <c r="X8" s="250"/>
    </row>
    <row r="9" spans="2:27" s="467" customFormat="1" ht="14.85" customHeight="1">
      <c r="B9" s="250"/>
      <c r="C9" s="250"/>
      <c r="D9" s="250"/>
      <c r="E9" s="250"/>
      <c r="F9" s="250"/>
      <c r="G9" s="280" t="s">
        <v>2211</v>
      </c>
      <c r="H9" s="1960" t="s">
        <v>2212</v>
      </c>
      <c r="I9" s="1961" t="s">
        <v>2213</v>
      </c>
      <c r="J9" s="1961" t="s">
        <v>2214</v>
      </c>
      <c r="K9" s="1961" t="s">
        <v>2215</v>
      </c>
      <c r="L9" s="1961" t="s">
        <v>2216</v>
      </c>
      <c r="M9" s="1961" t="s">
        <v>2217</v>
      </c>
      <c r="N9" s="1961" t="s">
        <v>2218</v>
      </c>
      <c r="O9" s="1961" t="s">
        <v>2219</v>
      </c>
      <c r="P9" s="1961" t="s">
        <v>2220</v>
      </c>
      <c r="Q9" s="1961" t="s">
        <v>2221</v>
      </c>
      <c r="R9" s="1961" t="s">
        <v>2222</v>
      </c>
      <c r="S9" s="1961" t="s">
        <v>2228</v>
      </c>
      <c r="T9" s="1961" t="s">
        <v>2229</v>
      </c>
      <c r="U9" s="1961" t="s">
        <v>2230</v>
      </c>
      <c r="V9" s="1961" t="s">
        <v>2231</v>
      </c>
      <c r="W9" s="1962" t="s">
        <v>2232</v>
      </c>
      <c r="X9" s="253"/>
      <c r="Y9" s="675"/>
      <c r="Z9" s="675"/>
      <c r="AA9" s="675"/>
    </row>
    <row r="10" spans="2:27" s="467" customFormat="1" ht="14.85" customHeight="1">
      <c r="B10" s="250"/>
      <c r="C10" s="250"/>
      <c r="D10" s="250"/>
      <c r="E10" s="250"/>
      <c r="F10" s="250"/>
      <c r="G10" s="280" t="s">
        <v>2223</v>
      </c>
      <c r="H10" s="1963">
        <f>'OPM 1 Hybrid'!D262-'OPM 1 Hybrid'!E262</f>
        <v>0</v>
      </c>
      <c r="I10" s="1964">
        <f>'OPM 1 Hybrid'!E262-'OPM 1 Hybrid'!F262</f>
        <v>0</v>
      </c>
      <c r="J10" s="1964">
        <f>'OPM 1 Hybrid'!F262-'OPM 1 Hybrid'!G262</f>
        <v>0</v>
      </c>
      <c r="K10" s="1964">
        <f>'OPM 1 Hybrid'!G262-'OPM 1 Hybrid'!H262</f>
        <v>0</v>
      </c>
      <c r="L10" s="1964" t="e">
        <f>'OPM 1 Hybrid'!H262-'OPM 1 Hybrid'!I262</f>
        <v>#VALUE!</v>
      </c>
      <c r="M10" s="1964" t="e">
        <f>'OPM 1 Hybrid'!I262-'OPM 1 Hybrid'!J262</f>
        <v>#VALUE!</v>
      </c>
      <c r="N10" s="1964" t="e">
        <f>'OPM 1 Hybrid'!J262-'OPM 1 Hybrid'!K262</f>
        <v>#VALUE!</v>
      </c>
      <c r="O10" s="1964" t="e">
        <f>'OPM 1 Hybrid'!K262-'OPM 1 Hybrid'!L262</f>
        <v>#VALUE!</v>
      </c>
      <c r="P10" s="1964" t="e">
        <f>'OPM 1 Hybrid'!L262-'OPM 1 Hybrid'!M262</f>
        <v>#VALUE!</v>
      </c>
      <c r="Q10" s="1964" t="e">
        <f>'OPM 1 Hybrid'!M262-'OPM 1 Hybrid'!N262</f>
        <v>#VALUE!</v>
      </c>
      <c r="R10" s="1964" t="e">
        <f>'OPM 1 Hybrid'!N262-'OPM 1 Hybrid'!O262</f>
        <v>#VALUE!</v>
      </c>
      <c r="S10" s="1964" t="e">
        <f>'OPM 1 Hybrid'!O262-'OPM 1 Hybrid'!P262</f>
        <v>#VALUE!</v>
      </c>
      <c r="T10" s="1964" t="e">
        <f>'OPM 1 Hybrid'!P262-'OPM 1 Hybrid'!Q262</f>
        <v>#VALUE!</v>
      </c>
      <c r="U10" s="1964" t="e">
        <f>'OPM 1 Hybrid'!Q262-'OPM 1 Hybrid'!R262</f>
        <v>#VALUE!</v>
      </c>
      <c r="V10" s="1964" t="e">
        <f>'OPM 1 Hybrid'!R262-'OPM 1 Hybrid'!S262</f>
        <v>#VALUE!</v>
      </c>
      <c r="W10" s="1965" t="e">
        <f>'OPM 1 Hybrid'!S262-'OPM 1 Hybrid'!T262</f>
        <v>#VALUE!</v>
      </c>
      <c r="X10" s="250"/>
      <c r="Y10" s="355" t="e">
        <f>IF(SUM(H10:W10)&lt;&gt;1,"Check","")</f>
        <v>#VALUE!</v>
      </c>
    </row>
    <row r="11" spans="2:27" s="467" customFormat="1" ht="14.85" customHeight="1">
      <c r="B11" s="250"/>
      <c r="C11" s="250"/>
      <c r="D11" s="250"/>
      <c r="E11" s="250"/>
      <c r="F11" s="250"/>
      <c r="G11" s="280"/>
      <c r="H11" s="466"/>
      <c r="W11" s="468"/>
      <c r="X11" s="250"/>
    </row>
    <row r="12" spans="2:27" s="467" customFormat="1" ht="14.85" customHeight="1">
      <c r="B12" s="250" t="s">
        <v>2224</v>
      </c>
      <c r="C12" s="250"/>
      <c r="D12" s="250"/>
      <c r="E12" s="250"/>
      <c r="F12" s="250"/>
      <c r="G12" s="250"/>
      <c r="H12" s="466"/>
      <c r="W12" s="468"/>
      <c r="X12" s="250"/>
    </row>
    <row r="13" spans="2:27" s="467" customFormat="1" ht="14.85" customHeight="1">
      <c r="B13" s="250"/>
      <c r="C13" s="250"/>
      <c r="D13" s="1960"/>
      <c r="E13" s="1961"/>
      <c r="F13" s="1961" t="s">
        <v>2225</v>
      </c>
      <c r="G13" s="1962" t="s">
        <v>2226</v>
      </c>
      <c r="H13" s="466"/>
      <c r="W13" s="468"/>
      <c r="X13" s="250"/>
    </row>
    <row r="14" spans="2:27" s="467" customFormat="1" ht="14.85" customHeight="1">
      <c r="B14" s="250"/>
      <c r="C14" s="250"/>
      <c r="D14" s="1966" t="s">
        <v>326</v>
      </c>
      <c r="E14" s="1967" t="s">
        <v>2227</v>
      </c>
      <c r="F14" s="1967" t="s">
        <v>74</v>
      </c>
      <c r="G14" s="1968" t="s">
        <v>74</v>
      </c>
      <c r="H14" s="466"/>
      <c r="W14" s="468"/>
      <c r="X14" s="250"/>
    </row>
    <row r="15" spans="2:27" s="467" customFormat="1" ht="14.85" customHeight="1">
      <c r="B15" s="250" t="str">
        <f>'OPM 1 Hybrid'!B55</f>
        <v>Series A</v>
      </c>
      <c r="C15" s="250"/>
      <c r="D15" s="1969" t="e">
        <f>'OPM 1 Hybrid'!U172</f>
        <v>#DIV/0!</v>
      </c>
      <c r="E15" s="1970" t="e">
        <f>SUM(H15:W15)</f>
        <v>#REF!</v>
      </c>
      <c r="F15" s="1971" t="e">
        <f>E15*($D$40/D15)*$D$7</f>
        <v>#REF!</v>
      </c>
      <c r="G15" s="1972" t="e">
        <f>D15/$D$40*F15</f>
        <v>#DIV/0!</v>
      </c>
      <c r="H15" s="1973" t="e">
        <f>'OPM 1 Hybrid'!#REF!*H$10</f>
        <v>#REF!</v>
      </c>
      <c r="I15" s="1974" t="e">
        <f>'OPM 1 Hybrid'!#REF!*I$10</f>
        <v>#REF!</v>
      </c>
      <c r="J15" s="1974" t="e">
        <f>'OPM 1 Hybrid'!#REF!*J$10</f>
        <v>#REF!</v>
      </c>
      <c r="K15" s="1974" t="e">
        <f>'OPM 1 Hybrid'!#REF!*K$10</f>
        <v>#REF!</v>
      </c>
      <c r="L15" s="1974" t="e">
        <f>'OPM 1 Hybrid'!#REF!*L$10</f>
        <v>#REF!</v>
      </c>
      <c r="M15" s="1974" t="e">
        <f>'OPM 1 Hybrid'!#REF!*M$10</f>
        <v>#REF!</v>
      </c>
      <c r="N15" s="1974" t="e">
        <f>'OPM 1 Hybrid'!#REF!*N$10</f>
        <v>#REF!</v>
      </c>
      <c r="O15" s="1974" t="e">
        <f>'OPM 1 Hybrid'!#REF!*O$10</f>
        <v>#REF!</v>
      </c>
      <c r="P15" s="1974" t="e">
        <f>'OPM 1 Hybrid'!#REF!*P$10</f>
        <v>#REF!</v>
      </c>
      <c r="Q15" s="1974" t="e">
        <f>'OPM 1 Hybrid'!#REF!*Q$10</f>
        <v>#REF!</v>
      </c>
      <c r="R15" s="1974" t="e">
        <f>'OPM 1 Hybrid'!#REF!*R$10</f>
        <v>#REF!</v>
      </c>
      <c r="S15" s="1974" t="e">
        <f>'OPM 1 Hybrid'!#REF!*S$10</f>
        <v>#REF!</v>
      </c>
      <c r="T15" s="1974" t="e">
        <f>'OPM 1 Hybrid'!#REF!*T$10</f>
        <v>#REF!</v>
      </c>
      <c r="U15" s="1974" t="e">
        <f>'OPM 1 Hybrid'!#REF!*U$10</f>
        <v>#REF!</v>
      </c>
      <c r="V15" s="1974" t="e">
        <f>'OPM 1 Hybrid'!#REF!*V$10</f>
        <v>#REF!</v>
      </c>
      <c r="W15" s="1975" t="e">
        <f>'OPM 1 Hybrid'!#REF!*W$10</f>
        <v>#REF!</v>
      </c>
      <c r="X15" s="250"/>
    </row>
    <row r="16" spans="2:27" s="467" customFormat="1" ht="14.85" customHeight="1">
      <c r="B16" s="250" t="str">
        <f>'OPM 1 Hybrid'!B56</f>
        <v>Series B</v>
      </c>
      <c r="C16" s="250"/>
      <c r="D16" s="1969" t="e">
        <f>'OPM 1 Hybrid'!U173</f>
        <v>#DIV/0!</v>
      </c>
      <c r="E16" s="1970" t="e">
        <f t="shared" ref="E16:E39" si="0">SUM(H16:W16)</f>
        <v>#REF!</v>
      </c>
      <c r="F16" s="1971" t="e">
        <f t="shared" ref="F16:F39" si="1">E16*($D$40/D16)*$D$7</f>
        <v>#REF!</v>
      </c>
      <c r="G16" s="1972" t="e">
        <f t="shared" ref="G16:G39" si="2">D16/$D$40*F16</f>
        <v>#DIV/0!</v>
      </c>
      <c r="H16" s="1973" t="e">
        <f>'OPM 1 Hybrid'!#REF!*H$10</f>
        <v>#REF!</v>
      </c>
      <c r="I16" s="1974" t="e">
        <f>'OPM 1 Hybrid'!#REF!*I$10</f>
        <v>#REF!</v>
      </c>
      <c r="J16" s="1974" t="e">
        <f>'OPM 1 Hybrid'!#REF!*J$10</f>
        <v>#REF!</v>
      </c>
      <c r="K16" s="1974" t="e">
        <f>'OPM 1 Hybrid'!#REF!*K$10</f>
        <v>#REF!</v>
      </c>
      <c r="L16" s="1974" t="e">
        <f>'OPM 1 Hybrid'!#REF!*L$10</f>
        <v>#REF!</v>
      </c>
      <c r="M16" s="1974" t="e">
        <f>'OPM 1 Hybrid'!#REF!*M$10</f>
        <v>#REF!</v>
      </c>
      <c r="N16" s="1974" t="e">
        <f>'OPM 1 Hybrid'!#REF!*N$10</f>
        <v>#REF!</v>
      </c>
      <c r="O16" s="1974" t="e">
        <f>'OPM 1 Hybrid'!#REF!*O$10</f>
        <v>#REF!</v>
      </c>
      <c r="P16" s="1974" t="e">
        <f>'OPM 1 Hybrid'!#REF!*P$10</f>
        <v>#REF!</v>
      </c>
      <c r="Q16" s="1974" t="e">
        <f>'OPM 1 Hybrid'!#REF!*Q$10</f>
        <v>#REF!</v>
      </c>
      <c r="R16" s="1974" t="e">
        <f>'OPM 1 Hybrid'!#REF!*R$10</f>
        <v>#REF!</v>
      </c>
      <c r="S16" s="1974" t="e">
        <f>'OPM 1 Hybrid'!#REF!*S$10</f>
        <v>#REF!</v>
      </c>
      <c r="T16" s="1974" t="e">
        <f>'OPM 1 Hybrid'!#REF!*T$10</f>
        <v>#REF!</v>
      </c>
      <c r="U16" s="1974" t="e">
        <f>'OPM 1 Hybrid'!#REF!*U$10</f>
        <v>#REF!</v>
      </c>
      <c r="V16" s="1974" t="e">
        <f>'OPM 1 Hybrid'!#REF!*V$10</f>
        <v>#REF!</v>
      </c>
      <c r="W16" s="1975" t="e">
        <f>'OPM 1 Hybrid'!#REF!*W$10</f>
        <v>#REF!</v>
      </c>
      <c r="X16" s="250"/>
    </row>
    <row r="17" spans="2:24" s="467" customFormat="1" ht="14.85" customHeight="1">
      <c r="B17" s="250" t="str">
        <f>'OPM 1 Hybrid'!B57</f>
        <v>Series C</v>
      </c>
      <c r="C17" s="250"/>
      <c r="D17" s="1969" t="e">
        <f>'OPM 1 Hybrid'!U174</f>
        <v>#DIV/0!</v>
      </c>
      <c r="E17" s="1970" t="e">
        <f t="shared" si="0"/>
        <v>#REF!</v>
      </c>
      <c r="F17" s="1971" t="e">
        <f t="shared" si="1"/>
        <v>#REF!</v>
      </c>
      <c r="G17" s="1972" t="e">
        <f t="shared" si="2"/>
        <v>#DIV/0!</v>
      </c>
      <c r="H17" s="1973" t="e">
        <f>'OPM 1 Hybrid'!#REF!*H$10</f>
        <v>#REF!</v>
      </c>
      <c r="I17" s="1974" t="e">
        <f>'OPM 1 Hybrid'!#REF!*I$10</f>
        <v>#REF!</v>
      </c>
      <c r="J17" s="1974" t="e">
        <f>'OPM 1 Hybrid'!#REF!*J$10</f>
        <v>#REF!</v>
      </c>
      <c r="K17" s="1974" t="e">
        <f>'OPM 1 Hybrid'!#REF!*K$10</f>
        <v>#REF!</v>
      </c>
      <c r="L17" s="1974" t="e">
        <f>'OPM 1 Hybrid'!#REF!*L$10</f>
        <v>#REF!</v>
      </c>
      <c r="M17" s="1974" t="e">
        <f>'OPM 1 Hybrid'!#REF!*M$10</f>
        <v>#REF!</v>
      </c>
      <c r="N17" s="1974" t="e">
        <f>'OPM 1 Hybrid'!#REF!*N$10</f>
        <v>#REF!</v>
      </c>
      <c r="O17" s="1974" t="e">
        <f>'OPM 1 Hybrid'!#REF!*O$10</f>
        <v>#REF!</v>
      </c>
      <c r="P17" s="1974" t="e">
        <f>'OPM 1 Hybrid'!#REF!*P$10</f>
        <v>#REF!</v>
      </c>
      <c r="Q17" s="1974" t="e">
        <f>'OPM 1 Hybrid'!#REF!*Q$10</f>
        <v>#REF!</v>
      </c>
      <c r="R17" s="1974" t="e">
        <f>'OPM 1 Hybrid'!#REF!*R$10</f>
        <v>#REF!</v>
      </c>
      <c r="S17" s="1974" t="e">
        <f>'OPM 1 Hybrid'!#REF!*S$10</f>
        <v>#REF!</v>
      </c>
      <c r="T17" s="1974" t="e">
        <f>'OPM 1 Hybrid'!#REF!*T$10</f>
        <v>#REF!</v>
      </c>
      <c r="U17" s="1974" t="e">
        <f>'OPM 1 Hybrid'!#REF!*U$10</f>
        <v>#REF!</v>
      </c>
      <c r="V17" s="1974" t="e">
        <f>'OPM 1 Hybrid'!#REF!*V$10</f>
        <v>#REF!</v>
      </c>
      <c r="W17" s="1975" t="e">
        <f>'OPM 1 Hybrid'!#REF!*W$10</f>
        <v>#REF!</v>
      </c>
      <c r="X17" s="250"/>
    </row>
    <row r="18" spans="2:24" s="467" customFormat="1" ht="14.85" customHeight="1">
      <c r="B18" s="250" t="str">
        <f>'OPM 1 Hybrid'!B58</f>
        <v>Series D</v>
      </c>
      <c r="C18" s="250"/>
      <c r="D18" s="1969" t="e">
        <f>'OPM 1 Hybrid'!U175</f>
        <v>#DIV/0!</v>
      </c>
      <c r="E18" s="1970" t="e">
        <f t="shared" si="0"/>
        <v>#REF!</v>
      </c>
      <c r="F18" s="1971" t="e">
        <f t="shared" si="1"/>
        <v>#REF!</v>
      </c>
      <c r="G18" s="1972" t="e">
        <f t="shared" si="2"/>
        <v>#DIV/0!</v>
      </c>
      <c r="H18" s="1973" t="e">
        <f>'OPM 1 Hybrid'!#REF!*H$10</f>
        <v>#REF!</v>
      </c>
      <c r="I18" s="1974" t="e">
        <f>'OPM 1 Hybrid'!#REF!*I$10</f>
        <v>#REF!</v>
      </c>
      <c r="J18" s="1974" t="e">
        <f>'OPM 1 Hybrid'!#REF!*J$10</f>
        <v>#REF!</v>
      </c>
      <c r="K18" s="1974" t="e">
        <f>'OPM 1 Hybrid'!#REF!*K$10</f>
        <v>#REF!</v>
      </c>
      <c r="L18" s="1974" t="e">
        <f>'OPM 1 Hybrid'!#REF!*L$10</f>
        <v>#REF!</v>
      </c>
      <c r="M18" s="1974" t="e">
        <f>'OPM 1 Hybrid'!#REF!*M$10</f>
        <v>#REF!</v>
      </c>
      <c r="N18" s="1974" t="e">
        <f>'OPM 1 Hybrid'!#REF!*N$10</f>
        <v>#REF!</v>
      </c>
      <c r="O18" s="1974" t="e">
        <f>'OPM 1 Hybrid'!#REF!*O$10</f>
        <v>#REF!</v>
      </c>
      <c r="P18" s="1974" t="e">
        <f>'OPM 1 Hybrid'!#REF!*P$10</f>
        <v>#REF!</v>
      </c>
      <c r="Q18" s="1974" t="e">
        <f>'OPM 1 Hybrid'!#REF!*Q$10</f>
        <v>#REF!</v>
      </c>
      <c r="R18" s="1974" t="e">
        <f>'OPM 1 Hybrid'!#REF!*R$10</f>
        <v>#REF!</v>
      </c>
      <c r="S18" s="1974" t="e">
        <f>'OPM 1 Hybrid'!#REF!*S$10</f>
        <v>#REF!</v>
      </c>
      <c r="T18" s="1974" t="e">
        <f>'OPM 1 Hybrid'!#REF!*T$10</f>
        <v>#REF!</v>
      </c>
      <c r="U18" s="1974" t="e">
        <f>'OPM 1 Hybrid'!#REF!*U$10</f>
        <v>#REF!</v>
      </c>
      <c r="V18" s="1974" t="e">
        <f>'OPM 1 Hybrid'!#REF!*V$10</f>
        <v>#REF!</v>
      </c>
      <c r="W18" s="1975" t="e">
        <f>'OPM 1 Hybrid'!#REF!*W$10</f>
        <v>#REF!</v>
      </c>
      <c r="X18" s="250"/>
    </row>
    <row r="19" spans="2:24" s="467" customFormat="1" ht="14.85" customHeight="1">
      <c r="B19" s="250" t="str">
        <f>'OPM 1 Hybrid'!B59</f>
        <v>Series E</v>
      </c>
      <c r="C19" s="250"/>
      <c r="D19" s="1969" t="e">
        <f>'OPM 1 Hybrid'!U176</f>
        <v>#DIV/0!</v>
      </c>
      <c r="E19" s="1970" t="e">
        <f t="shared" si="0"/>
        <v>#REF!</v>
      </c>
      <c r="F19" s="1971" t="e">
        <f t="shared" si="1"/>
        <v>#REF!</v>
      </c>
      <c r="G19" s="1972" t="e">
        <f t="shared" si="2"/>
        <v>#DIV/0!</v>
      </c>
      <c r="H19" s="1973" t="e">
        <f>'OPM 1 Hybrid'!#REF!*H$10</f>
        <v>#REF!</v>
      </c>
      <c r="I19" s="1974" t="e">
        <f>'OPM 1 Hybrid'!#REF!*I$10</f>
        <v>#REF!</v>
      </c>
      <c r="J19" s="1974" t="e">
        <f>'OPM 1 Hybrid'!#REF!*J$10</f>
        <v>#REF!</v>
      </c>
      <c r="K19" s="1974" t="e">
        <f>'OPM 1 Hybrid'!#REF!*K$10</f>
        <v>#REF!</v>
      </c>
      <c r="L19" s="1974" t="e">
        <f>'OPM 1 Hybrid'!#REF!*L$10</f>
        <v>#REF!</v>
      </c>
      <c r="M19" s="1974" t="e">
        <f>'OPM 1 Hybrid'!#REF!*M$10</f>
        <v>#REF!</v>
      </c>
      <c r="N19" s="1974" t="e">
        <f>'OPM 1 Hybrid'!#REF!*N$10</f>
        <v>#REF!</v>
      </c>
      <c r="O19" s="1974" t="e">
        <f>'OPM 1 Hybrid'!#REF!*O$10</f>
        <v>#REF!</v>
      </c>
      <c r="P19" s="1974" t="e">
        <f>'OPM 1 Hybrid'!#REF!*P$10</f>
        <v>#REF!</v>
      </c>
      <c r="Q19" s="1974" t="e">
        <f>'OPM 1 Hybrid'!#REF!*Q$10</f>
        <v>#REF!</v>
      </c>
      <c r="R19" s="1974" t="e">
        <f>'OPM 1 Hybrid'!#REF!*R$10</f>
        <v>#REF!</v>
      </c>
      <c r="S19" s="1974" t="e">
        <f>'OPM 1 Hybrid'!#REF!*S$10</f>
        <v>#REF!</v>
      </c>
      <c r="T19" s="1974" t="e">
        <f>'OPM 1 Hybrid'!#REF!*T$10</f>
        <v>#REF!</v>
      </c>
      <c r="U19" s="1974" t="e">
        <f>'OPM 1 Hybrid'!#REF!*U$10</f>
        <v>#REF!</v>
      </c>
      <c r="V19" s="1974" t="e">
        <f>'OPM 1 Hybrid'!#REF!*V$10</f>
        <v>#REF!</v>
      </c>
      <c r="W19" s="1975" t="e">
        <f>'OPM 1 Hybrid'!#REF!*W$10</f>
        <v>#REF!</v>
      </c>
      <c r="X19" s="250"/>
    </row>
    <row r="20" spans="2:24" s="467" customFormat="1" ht="14.85" customHeight="1">
      <c r="B20" s="250" t="str">
        <f>'OPM 1 Hybrid'!B60</f>
        <v>Series F</v>
      </c>
      <c r="C20" s="250"/>
      <c r="D20" s="1969" t="e">
        <f>'OPM 1 Hybrid'!U177</f>
        <v>#DIV/0!</v>
      </c>
      <c r="E20" s="1970" t="e">
        <f t="shared" si="0"/>
        <v>#REF!</v>
      </c>
      <c r="F20" s="1971" t="e">
        <f t="shared" si="1"/>
        <v>#REF!</v>
      </c>
      <c r="G20" s="1972" t="e">
        <f t="shared" si="2"/>
        <v>#DIV/0!</v>
      </c>
      <c r="H20" s="1973" t="e">
        <f>'OPM 1 Hybrid'!#REF!*H$10</f>
        <v>#REF!</v>
      </c>
      <c r="I20" s="1974" t="e">
        <f>'OPM 1 Hybrid'!#REF!*I$10</f>
        <v>#REF!</v>
      </c>
      <c r="J20" s="1974" t="e">
        <f>'OPM 1 Hybrid'!#REF!*J$10</f>
        <v>#REF!</v>
      </c>
      <c r="K20" s="1974" t="e">
        <f>'OPM 1 Hybrid'!#REF!*K$10</f>
        <v>#REF!</v>
      </c>
      <c r="L20" s="1974" t="e">
        <f>'OPM 1 Hybrid'!#REF!*L$10</f>
        <v>#REF!</v>
      </c>
      <c r="M20" s="1974" t="e">
        <f>'OPM 1 Hybrid'!#REF!*M$10</f>
        <v>#REF!</v>
      </c>
      <c r="N20" s="1974" t="e">
        <f>'OPM 1 Hybrid'!#REF!*N$10</f>
        <v>#REF!</v>
      </c>
      <c r="O20" s="1974" t="e">
        <f>'OPM 1 Hybrid'!#REF!*O$10</f>
        <v>#REF!</v>
      </c>
      <c r="P20" s="1974" t="e">
        <f>'OPM 1 Hybrid'!#REF!*P$10</f>
        <v>#REF!</v>
      </c>
      <c r="Q20" s="1974" t="e">
        <f>'OPM 1 Hybrid'!#REF!*Q$10</f>
        <v>#REF!</v>
      </c>
      <c r="R20" s="1974" t="e">
        <f>'OPM 1 Hybrid'!#REF!*R$10</f>
        <v>#REF!</v>
      </c>
      <c r="S20" s="1974" t="e">
        <f>'OPM 1 Hybrid'!#REF!*S$10</f>
        <v>#REF!</v>
      </c>
      <c r="T20" s="1974" t="e">
        <f>'OPM 1 Hybrid'!#REF!*T$10</f>
        <v>#REF!</v>
      </c>
      <c r="U20" s="1974" t="e">
        <f>'OPM 1 Hybrid'!#REF!*U$10</f>
        <v>#REF!</v>
      </c>
      <c r="V20" s="1974" t="e">
        <f>'OPM 1 Hybrid'!#REF!*V$10</f>
        <v>#REF!</v>
      </c>
      <c r="W20" s="1975" t="e">
        <f>'OPM 1 Hybrid'!#REF!*W$10</f>
        <v>#REF!</v>
      </c>
      <c r="X20" s="250"/>
    </row>
    <row r="21" spans="2:24" s="467" customFormat="1" ht="14.85" customHeight="1">
      <c r="B21" s="250" t="str">
        <f>'OPM 1 Hybrid'!B61</f>
        <v>Series G</v>
      </c>
      <c r="C21" s="250"/>
      <c r="D21" s="1969" t="e">
        <f>'OPM 1 Hybrid'!U178</f>
        <v>#DIV/0!</v>
      </c>
      <c r="E21" s="1970" t="e">
        <f t="shared" si="0"/>
        <v>#REF!</v>
      </c>
      <c r="F21" s="1971" t="e">
        <f t="shared" si="1"/>
        <v>#REF!</v>
      </c>
      <c r="G21" s="1972" t="e">
        <f t="shared" si="2"/>
        <v>#DIV/0!</v>
      </c>
      <c r="H21" s="1973" t="e">
        <f>'OPM 1 Hybrid'!#REF!*H$10</f>
        <v>#REF!</v>
      </c>
      <c r="I21" s="1974" t="e">
        <f>'OPM 1 Hybrid'!#REF!*I$10</f>
        <v>#REF!</v>
      </c>
      <c r="J21" s="1974" t="e">
        <f>'OPM 1 Hybrid'!#REF!*J$10</f>
        <v>#REF!</v>
      </c>
      <c r="K21" s="1974" t="e">
        <f>'OPM 1 Hybrid'!#REF!*K$10</f>
        <v>#REF!</v>
      </c>
      <c r="L21" s="1974" t="e">
        <f>'OPM 1 Hybrid'!#REF!*L$10</f>
        <v>#REF!</v>
      </c>
      <c r="M21" s="1974" t="e">
        <f>'OPM 1 Hybrid'!#REF!*M$10</f>
        <v>#REF!</v>
      </c>
      <c r="N21" s="1974" t="e">
        <f>'OPM 1 Hybrid'!#REF!*N$10</f>
        <v>#REF!</v>
      </c>
      <c r="O21" s="1974" t="e">
        <f>'OPM 1 Hybrid'!#REF!*O$10</f>
        <v>#REF!</v>
      </c>
      <c r="P21" s="1974" t="e">
        <f>'OPM 1 Hybrid'!#REF!*P$10</f>
        <v>#REF!</v>
      </c>
      <c r="Q21" s="1974" t="e">
        <f>'OPM 1 Hybrid'!#REF!*Q$10</f>
        <v>#REF!</v>
      </c>
      <c r="R21" s="1974" t="e">
        <f>'OPM 1 Hybrid'!#REF!*R$10</f>
        <v>#REF!</v>
      </c>
      <c r="S21" s="1974" t="e">
        <f>'OPM 1 Hybrid'!#REF!*S$10</f>
        <v>#REF!</v>
      </c>
      <c r="T21" s="1974" t="e">
        <f>'OPM 1 Hybrid'!#REF!*T$10</f>
        <v>#REF!</v>
      </c>
      <c r="U21" s="1974" t="e">
        <f>'OPM 1 Hybrid'!#REF!*U$10</f>
        <v>#REF!</v>
      </c>
      <c r="V21" s="1974" t="e">
        <f>'OPM 1 Hybrid'!#REF!*V$10</f>
        <v>#REF!</v>
      </c>
      <c r="W21" s="1975" t="e">
        <f>'OPM 1 Hybrid'!#REF!*W$10</f>
        <v>#REF!</v>
      </c>
      <c r="X21" s="250"/>
    </row>
    <row r="22" spans="2:24" s="467" customFormat="1" ht="14.85" customHeight="1">
      <c r="B22" s="250" t="str">
        <f>'OPM 1 Hybrid'!B62</f>
        <v>Series A Warrants</v>
      </c>
      <c r="C22" s="250"/>
      <c r="D22" s="1969" t="e">
        <f>'OPM 1 Hybrid'!U179</f>
        <v>#DIV/0!</v>
      </c>
      <c r="E22" s="1970" t="e">
        <f t="shared" si="0"/>
        <v>#REF!</v>
      </c>
      <c r="F22" s="1971" t="e">
        <f t="shared" si="1"/>
        <v>#REF!</v>
      </c>
      <c r="G22" s="1972" t="e">
        <f t="shared" si="2"/>
        <v>#DIV/0!</v>
      </c>
      <c r="H22" s="1973" t="e">
        <f>'OPM 1 Hybrid'!#REF!*H$10</f>
        <v>#REF!</v>
      </c>
      <c r="I22" s="1974" t="e">
        <f>'OPM 1 Hybrid'!#REF!*I$10</f>
        <v>#REF!</v>
      </c>
      <c r="J22" s="1974" t="e">
        <f>'OPM 1 Hybrid'!#REF!*J$10</f>
        <v>#REF!</v>
      </c>
      <c r="K22" s="1974" t="e">
        <f>'OPM 1 Hybrid'!#REF!*K$10</f>
        <v>#REF!</v>
      </c>
      <c r="L22" s="1974" t="e">
        <f>'OPM 1 Hybrid'!#REF!*L$10</f>
        <v>#REF!</v>
      </c>
      <c r="M22" s="1974" t="e">
        <f>'OPM 1 Hybrid'!#REF!*M$10</f>
        <v>#REF!</v>
      </c>
      <c r="N22" s="1974" t="e">
        <f>'OPM 1 Hybrid'!#REF!*N$10</f>
        <v>#REF!</v>
      </c>
      <c r="O22" s="1974" t="e">
        <f>'OPM 1 Hybrid'!#REF!*O$10</f>
        <v>#REF!</v>
      </c>
      <c r="P22" s="1974" t="e">
        <f>'OPM 1 Hybrid'!#REF!*P$10</f>
        <v>#REF!</v>
      </c>
      <c r="Q22" s="1974" t="e">
        <f>'OPM 1 Hybrid'!#REF!*Q$10</f>
        <v>#REF!</v>
      </c>
      <c r="R22" s="1974" t="e">
        <f>'OPM 1 Hybrid'!#REF!*R$10</f>
        <v>#REF!</v>
      </c>
      <c r="S22" s="1974" t="e">
        <f>'OPM 1 Hybrid'!#REF!*S$10</f>
        <v>#REF!</v>
      </c>
      <c r="T22" s="1974" t="e">
        <f>'OPM 1 Hybrid'!#REF!*T$10</f>
        <v>#REF!</v>
      </c>
      <c r="U22" s="1974" t="e">
        <f>'OPM 1 Hybrid'!#REF!*U$10</f>
        <v>#REF!</v>
      </c>
      <c r="V22" s="1974" t="e">
        <f>'OPM 1 Hybrid'!#REF!*V$10</f>
        <v>#REF!</v>
      </c>
      <c r="W22" s="1975" t="e">
        <f>'OPM 1 Hybrid'!#REF!*W$10</f>
        <v>#REF!</v>
      </c>
      <c r="X22" s="250"/>
    </row>
    <row r="23" spans="2:24" s="467" customFormat="1" ht="14.85" customHeight="1">
      <c r="B23" s="250" t="str">
        <f>'OPM 1 Hybrid'!B63</f>
        <v>Series B Warrants</v>
      </c>
      <c r="C23" s="250"/>
      <c r="D23" s="1969" t="e">
        <f>'OPM 1 Hybrid'!U180</f>
        <v>#DIV/0!</v>
      </c>
      <c r="E23" s="1970" t="e">
        <f t="shared" si="0"/>
        <v>#REF!</v>
      </c>
      <c r="F23" s="1971" t="e">
        <f t="shared" si="1"/>
        <v>#REF!</v>
      </c>
      <c r="G23" s="1972" t="e">
        <f t="shared" si="2"/>
        <v>#DIV/0!</v>
      </c>
      <c r="H23" s="1973" t="e">
        <f>'OPM 1 Hybrid'!#REF!*H$10</f>
        <v>#REF!</v>
      </c>
      <c r="I23" s="1974" t="e">
        <f>'OPM 1 Hybrid'!#REF!*I$10</f>
        <v>#REF!</v>
      </c>
      <c r="J23" s="1974" t="e">
        <f>'OPM 1 Hybrid'!#REF!*J$10</f>
        <v>#REF!</v>
      </c>
      <c r="K23" s="1974" t="e">
        <f>'OPM 1 Hybrid'!#REF!*K$10</f>
        <v>#REF!</v>
      </c>
      <c r="L23" s="1974" t="e">
        <f>'OPM 1 Hybrid'!#REF!*L$10</f>
        <v>#REF!</v>
      </c>
      <c r="M23" s="1974" t="e">
        <f>'OPM 1 Hybrid'!#REF!*M$10</f>
        <v>#REF!</v>
      </c>
      <c r="N23" s="1974" t="e">
        <f>'OPM 1 Hybrid'!#REF!*N$10</f>
        <v>#REF!</v>
      </c>
      <c r="O23" s="1974" t="e">
        <f>'OPM 1 Hybrid'!#REF!*O$10</f>
        <v>#REF!</v>
      </c>
      <c r="P23" s="1974" t="e">
        <f>'OPM 1 Hybrid'!#REF!*P$10</f>
        <v>#REF!</v>
      </c>
      <c r="Q23" s="1974" t="e">
        <f>'OPM 1 Hybrid'!#REF!*Q$10</f>
        <v>#REF!</v>
      </c>
      <c r="R23" s="1974" t="e">
        <f>'OPM 1 Hybrid'!#REF!*R$10</f>
        <v>#REF!</v>
      </c>
      <c r="S23" s="1974" t="e">
        <f>'OPM 1 Hybrid'!#REF!*S$10</f>
        <v>#REF!</v>
      </c>
      <c r="T23" s="1974" t="e">
        <f>'OPM 1 Hybrid'!#REF!*T$10</f>
        <v>#REF!</v>
      </c>
      <c r="U23" s="1974" t="e">
        <f>'OPM 1 Hybrid'!#REF!*U$10</f>
        <v>#REF!</v>
      </c>
      <c r="V23" s="1974" t="e">
        <f>'OPM 1 Hybrid'!#REF!*V$10</f>
        <v>#REF!</v>
      </c>
      <c r="W23" s="1975" t="e">
        <f>'OPM 1 Hybrid'!#REF!*W$10</f>
        <v>#REF!</v>
      </c>
      <c r="X23" s="250"/>
    </row>
    <row r="24" spans="2:24" s="467" customFormat="1" ht="14.85" customHeight="1">
      <c r="B24" s="250" t="str">
        <f>'OPM 1 Hybrid'!B64</f>
        <v>Series C Warrants</v>
      </c>
      <c r="C24" s="250"/>
      <c r="D24" s="1969" t="e">
        <f>'OPM 1 Hybrid'!U181</f>
        <v>#DIV/0!</v>
      </c>
      <c r="E24" s="1970" t="e">
        <f t="shared" si="0"/>
        <v>#REF!</v>
      </c>
      <c r="F24" s="1971" t="e">
        <f t="shared" si="1"/>
        <v>#REF!</v>
      </c>
      <c r="G24" s="1972" t="e">
        <f t="shared" si="2"/>
        <v>#DIV/0!</v>
      </c>
      <c r="H24" s="1973" t="e">
        <f>'OPM 1 Hybrid'!#REF!*H$10</f>
        <v>#REF!</v>
      </c>
      <c r="I24" s="1974" t="e">
        <f>'OPM 1 Hybrid'!#REF!*I$10</f>
        <v>#REF!</v>
      </c>
      <c r="J24" s="1974" t="e">
        <f>'OPM 1 Hybrid'!#REF!*J$10</f>
        <v>#REF!</v>
      </c>
      <c r="K24" s="1974" t="e">
        <f>'OPM 1 Hybrid'!#REF!*K$10</f>
        <v>#REF!</v>
      </c>
      <c r="L24" s="1974" t="e">
        <f>'OPM 1 Hybrid'!#REF!*L$10</f>
        <v>#REF!</v>
      </c>
      <c r="M24" s="1974" t="e">
        <f>'OPM 1 Hybrid'!#REF!*M$10</f>
        <v>#REF!</v>
      </c>
      <c r="N24" s="1974" t="e">
        <f>'OPM 1 Hybrid'!#REF!*N$10</f>
        <v>#REF!</v>
      </c>
      <c r="O24" s="1974" t="e">
        <f>'OPM 1 Hybrid'!#REF!*O$10</f>
        <v>#REF!</v>
      </c>
      <c r="P24" s="1974" t="e">
        <f>'OPM 1 Hybrid'!#REF!*P$10</f>
        <v>#REF!</v>
      </c>
      <c r="Q24" s="1974" t="e">
        <f>'OPM 1 Hybrid'!#REF!*Q$10</f>
        <v>#REF!</v>
      </c>
      <c r="R24" s="1974" t="e">
        <f>'OPM 1 Hybrid'!#REF!*R$10</f>
        <v>#REF!</v>
      </c>
      <c r="S24" s="1974" t="e">
        <f>'OPM 1 Hybrid'!#REF!*S$10</f>
        <v>#REF!</v>
      </c>
      <c r="T24" s="1974" t="e">
        <f>'OPM 1 Hybrid'!#REF!*T$10</f>
        <v>#REF!</v>
      </c>
      <c r="U24" s="1974" t="e">
        <f>'OPM 1 Hybrid'!#REF!*U$10</f>
        <v>#REF!</v>
      </c>
      <c r="V24" s="1974" t="e">
        <f>'OPM 1 Hybrid'!#REF!*V$10</f>
        <v>#REF!</v>
      </c>
      <c r="W24" s="1975" t="e">
        <f>'OPM 1 Hybrid'!#REF!*W$10</f>
        <v>#REF!</v>
      </c>
      <c r="X24" s="250"/>
    </row>
    <row r="25" spans="2:24" s="467" customFormat="1" ht="14.85" customHeight="1">
      <c r="B25" s="250" t="str">
        <f>'OPM 1 Hybrid'!B65</f>
        <v>Series D Warrants</v>
      </c>
      <c r="C25" s="250"/>
      <c r="D25" s="1969" t="e">
        <f>'OPM 1 Hybrid'!U182</f>
        <v>#DIV/0!</v>
      </c>
      <c r="E25" s="1970" t="e">
        <f t="shared" si="0"/>
        <v>#REF!</v>
      </c>
      <c r="F25" s="1971" t="e">
        <f t="shared" si="1"/>
        <v>#REF!</v>
      </c>
      <c r="G25" s="1972" t="e">
        <f t="shared" si="2"/>
        <v>#DIV/0!</v>
      </c>
      <c r="H25" s="1973" t="e">
        <f>'OPM 1 Hybrid'!#REF!*H$10</f>
        <v>#REF!</v>
      </c>
      <c r="I25" s="1974" t="e">
        <f>'OPM 1 Hybrid'!#REF!*I$10</f>
        <v>#REF!</v>
      </c>
      <c r="J25" s="1974" t="e">
        <f>'OPM 1 Hybrid'!#REF!*J$10</f>
        <v>#REF!</v>
      </c>
      <c r="K25" s="1974" t="e">
        <f>'OPM 1 Hybrid'!#REF!*K$10</f>
        <v>#REF!</v>
      </c>
      <c r="L25" s="1974" t="e">
        <f>'OPM 1 Hybrid'!#REF!*L$10</f>
        <v>#REF!</v>
      </c>
      <c r="M25" s="1974" t="e">
        <f>'OPM 1 Hybrid'!#REF!*M$10</f>
        <v>#REF!</v>
      </c>
      <c r="N25" s="1974" t="e">
        <f>'OPM 1 Hybrid'!#REF!*N$10</f>
        <v>#REF!</v>
      </c>
      <c r="O25" s="1974" t="e">
        <f>'OPM 1 Hybrid'!#REF!*O$10</f>
        <v>#REF!</v>
      </c>
      <c r="P25" s="1974" t="e">
        <f>'OPM 1 Hybrid'!#REF!*P$10</f>
        <v>#REF!</v>
      </c>
      <c r="Q25" s="1974" t="e">
        <f>'OPM 1 Hybrid'!#REF!*Q$10</f>
        <v>#REF!</v>
      </c>
      <c r="R25" s="1974" t="e">
        <f>'OPM 1 Hybrid'!#REF!*R$10</f>
        <v>#REF!</v>
      </c>
      <c r="S25" s="1974" t="e">
        <f>'OPM 1 Hybrid'!#REF!*S$10</f>
        <v>#REF!</v>
      </c>
      <c r="T25" s="1974" t="e">
        <f>'OPM 1 Hybrid'!#REF!*T$10</f>
        <v>#REF!</v>
      </c>
      <c r="U25" s="1974" t="e">
        <f>'OPM 1 Hybrid'!#REF!*U$10</f>
        <v>#REF!</v>
      </c>
      <c r="V25" s="1974" t="e">
        <f>'OPM 1 Hybrid'!#REF!*V$10</f>
        <v>#REF!</v>
      </c>
      <c r="W25" s="1975" t="e">
        <f>'OPM 1 Hybrid'!#REF!*W$10</f>
        <v>#REF!</v>
      </c>
      <c r="X25" s="250"/>
    </row>
    <row r="26" spans="2:24" s="467" customFormat="1" ht="14.85" customHeight="1">
      <c r="B26" s="250" t="str">
        <f>'OPM 1 Hybrid'!B66</f>
        <v>Series E Warrants</v>
      </c>
      <c r="C26" s="250"/>
      <c r="D26" s="1969" t="e">
        <f>'OPM 1 Hybrid'!U183</f>
        <v>#DIV/0!</v>
      </c>
      <c r="E26" s="1970" t="e">
        <f t="shared" si="0"/>
        <v>#REF!</v>
      </c>
      <c r="F26" s="1971" t="e">
        <f t="shared" si="1"/>
        <v>#REF!</v>
      </c>
      <c r="G26" s="1972" t="e">
        <f t="shared" si="2"/>
        <v>#DIV/0!</v>
      </c>
      <c r="H26" s="1973" t="e">
        <f>'OPM 1 Hybrid'!#REF!*H$10</f>
        <v>#REF!</v>
      </c>
      <c r="I26" s="1974" t="e">
        <f>'OPM 1 Hybrid'!#REF!*I$10</f>
        <v>#REF!</v>
      </c>
      <c r="J26" s="1974" t="e">
        <f>'OPM 1 Hybrid'!#REF!*J$10</f>
        <v>#REF!</v>
      </c>
      <c r="K26" s="1974" t="e">
        <f>'OPM 1 Hybrid'!#REF!*K$10</f>
        <v>#REF!</v>
      </c>
      <c r="L26" s="1974" t="e">
        <f>'OPM 1 Hybrid'!#REF!*L$10</f>
        <v>#REF!</v>
      </c>
      <c r="M26" s="1974" t="e">
        <f>'OPM 1 Hybrid'!#REF!*M$10</f>
        <v>#REF!</v>
      </c>
      <c r="N26" s="1974" t="e">
        <f>'OPM 1 Hybrid'!#REF!*N$10</f>
        <v>#REF!</v>
      </c>
      <c r="O26" s="1974" t="e">
        <f>'OPM 1 Hybrid'!#REF!*O$10</f>
        <v>#REF!</v>
      </c>
      <c r="P26" s="1974" t="e">
        <f>'OPM 1 Hybrid'!#REF!*P$10</f>
        <v>#REF!</v>
      </c>
      <c r="Q26" s="1974" t="e">
        <f>'OPM 1 Hybrid'!#REF!*Q$10</f>
        <v>#REF!</v>
      </c>
      <c r="R26" s="1974" t="e">
        <f>'OPM 1 Hybrid'!#REF!*R$10</f>
        <v>#REF!</v>
      </c>
      <c r="S26" s="1974" t="e">
        <f>'OPM 1 Hybrid'!#REF!*S$10</f>
        <v>#REF!</v>
      </c>
      <c r="T26" s="1974" t="e">
        <f>'OPM 1 Hybrid'!#REF!*T$10</f>
        <v>#REF!</v>
      </c>
      <c r="U26" s="1974" t="e">
        <f>'OPM 1 Hybrid'!#REF!*U$10</f>
        <v>#REF!</v>
      </c>
      <c r="V26" s="1974" t="e">
        <f>'OPM 1 Hybrid'!#REF!*V$10</f>
        <v>#REF!</v>
      </c>
      <c r="W26" s="1975" t="e">
        <f>'OPM 1 Hybrid'!#REF!*W$10</f>
        <v>#REF!</v>
      </c>
      <c r="X26" s="250"/>
    </row>
    <row r="27" spans="2:24" s="467" customFormat="1" ht="14.85" customHeight="1">
      <c r="B27" s="250" t="str">
        <f>'OPM 1 Hybrid'!B67</f>
        <v>Series F Warrants</v>
      </c>
      <c r="C27" s="250"/>
      <c r="D27" s="1969" t="e">
        <f>'OPM 1 Hybrid'!U184</f>
        <v>#DIV/0!</v>
      </c>
      <c r="E27" s="1970" t="e">
        <f t="shared" si="0"/>
        <v>#REF!</v>
      </c>
      <c r="F27" s="1971" t="e">
        <f t="shared" si="1"/>
        <v>#REF!</v>
      </c>
      <c r="G27" s="1972" t="e">
        <f t="shared" si="2"/>
        <v>#DIV/0!</v>
      </c>
      <c r="H27" s="1973" t="e">
        <f>'OPM 1 Hybrid'!#REF!*H$10</f>
        <v>#REF!</v>
      </c>
      <c r="I27" s="1974" t="e">
        <f>'OPM 1 Hybrid'!#REF!*I$10</f>
        <v>#REF!</v>
      </c>
      <c r="J27" s="1974" t="e">
        <f>'OPM 1 Hybrid'!#REF!*J$10</f>
        <v>#REF!</v>
      </c>
      <c r="K27" s="1974" t="e">
        <f>'OPM 1 Hybrid'!#REF!*K$10</f>
        <v>#REF!</v>
      </c>
      <c r="L27" s="1974" t="e">
        <f>'OPM 1 Hybrid'!#REF!*L$10</f>
        <v>#REF!</v>
      </c>
      <c r="M27" s="1974" t="e">
        <f>'OPM 1 Hybrid'!#REF!*M$10</f>
        <v>#REF!</v>
      </c>
      <c r="N27" s="1974" t="e">
        <f>'OPM 1 Hybrid'!#REF!*N$10</f>
        <v>#REF!</v>
      </c>
      <c r="O27" s="1974" t="e">
        <f>'OPM 1 Hybrid'!#REF!*O$10</f>
        <v>#REF!</v>
      </c>
      <c r="P27" s="1974" t="e">
        <f>'OPM 1 Hybrid'!#REF!*P$10</f>
        <v>#REF!</v>
      </c>
      <c r="Q27" s="1974" t="e">
        <f>'OPM 1 Hybrid'!#REF!*Q$10</f>
        <v>#REF!</v>
      </c>
      <c r="R27" s="1974" t="e">
        <f>'OPM 1 Hybrid'!#REF!*R$10</f>
        <v>#REF!</v>
      </c>
      <c r="S27" s="1974" t="e">
        <f>'OPM 1 Hybrid'!#REF!*S$10</f>
        <v>#REF!</v>
      </c>
      <c r="T27" s="1974" t="e">
        <f>'OPM 1 Hybrid'!#REF!*T$10</f>
        <v>#REF!</v>
      </c>
      <c r="U27" s="1974" t="e">
        <f>'OPM 1 Hybrid'!#REF!*U$10</f>
        <v>#REF!</v>
      </c>
      <c r="V27" s="1974" t="e">
        <f>'OPM 1 Hybrid'!#REF!*V$10</f>
        <v>#REF!</v>
      </c>
      <c r="W27" s="1975" t="e">
        <f>'OPM 1 Hybrid'!#REF!*W$10</f>
        <v>#REF!</v>
      </c>
      <c r="X27" s="250"/>
    </row>
    <row r="28" spans="2:24" s="467" customFormat="1" ht="14.85" customHeight="1">
      <c r="B28" s="250" t="str">
        <f>'OPM 1 Hybrid'!B68</f>
        <v>Series G Warrants</v>
      </c>
      <c r="C28" s="250"/>
      <c r="D28" s="1969" t="e">
        <f>'OPM 1 Hybrid'!U185</f>
        <v>#DIV/0!</v>
      </c>
      <c r="E28" s="1970" t="e">
        <f t="shared" si="0"/>
        <v>#REF!</v>
      </c>
      <c r="F28" s="1971" t="e">
        <f t="shared" si="1"/>
        <v>#REF!</v>
      </c>
      <c r="G28" s="1972" t="e">
        <f t="shared" si="2"/>
        <v>#DIV/0!</v>
      </c>
      <c r="H28" s="1973" t="e">
        <f>'OPM 1 Hybrid'!#REF!*H$10</f>
        <v>#REF!</v>
      </c>
      <c r="I28" s="1974" t="e">
        <f>'OPM 1 Hybrid'!#REF!*I$10</f>
        <v>#REF!</v>
      </c>
      <c r="J28" s="1974" t="e">
        <f>'OPM 1 Hybrid'!#REF!*J$10</f>
        <v>#REF!</v>
      </c>
      <c r="K28" s="1974" t="e">
        <f>'OPM 1 Hybrid'!#REF!*K$10</f>
        <v>#REF!</v>
      </c>
      <c r="L28" s="1974" t="e">
        <f>'OPM 1 Hybrid'!#REF!*L$10</f>
        <v>#REF!</v>
      </c>
      <c r="M28" s="1974" t="e">
        <f>'OPM 1 Hybrid'!#REF!*M$10</f>
        <v>#REF!</v>
      </c>
      <c r="N28" s="1974" t="e">
        <f>'OPM 1 Hybrid'!#REF!*N$10</f>
        <v>#REF!</v>
      </c>
      <c r="O28" s="1974" t="e">
        <f>'OPM 1 Hybrid'!#REF!*O$10</f>
        <v>#REF!</v>
      </c>
      <c r="P28" s="1974" t="e">
        <f>'OPM 1 Hybrid'!#REF!*P$10</f>
        <v>#REF!</v>
      </c>
      <c r="Q28" s="1974" t="e">
        <f>'OPM 1 Hybrid'!#REF!*Q$10</f>
        <v>#REF!</v>
      </c>
      <c r="R28" s="1974" t="e">
        <f>'OPM 1 Hybrid'!#REF!*R$10</f>
        <v>#REF!</v>
      </c>
      <c r="S28" s="1974" t="e">
        <f>'OPM 1 Hybrid'!#REF!*S$10</f>
        <v>#REF!</v>
      </c>
      <c r="T28" s="1974" t="e">
        <f>'OPM 1 Hybrid'!#REF!*T$10</f>
        <v>#REF!</v>
      </c>
      <c r="U28" s="1974" t="e">
        <f>'OPM 1 Hybrid'!#REF!*U$10</f>
        <v>#REF!</v>
      </c>
      <c r="V28" s="1974" t="e">
        <f>'OPM 1 Hybrid'!#REF!*V$10</f>
        <v>#REF!</v>
      </c>
      <c r="W28" s="1975" t="e">
        <f>'OPM 1 Hybrid'!#REF!*W$10</f>
        <v>#REF!</v>
      </c>
      <c r="X28" s="250"/>
    </row>
    <row r="29" spans="2:24" s="467" customFormat="1" ht="14.85" customHeight="1">
      <c r="B29" s="250" t="str">
        <f>'OPM 1 Hybrid'!B69</f>
        <v>Options/Warrants at $2.00 Strike Price</v>
      </c>
      <c r="C29" s="250"/>
      <c r="D29" s="1969" t="e">
        <f>'OPM 1 Hybrid'!U186</f>
        <v>#DIV/0!</v>
      </c>
      <c r="E29" s="1970" t="e">
        <f t="shared" si="0"/>
        <v>#REF!</v>
      </c>
      <c r="F29" s="1971" t="e">
        <f t="shared" si="1"/>
        <v>#REF!</v>
      </c>
      <c r="G29" s="1972" t="e">
        <f t="shared" si="2"/>
        <v>#DIV/0!</v>
      </c>
      <c r="H29" s="1973" t="e">
        <f>'OPM 1 Hybrid'!#REF!*H$10</f>
        <v>#REF!</v>
      </c>
      <c r="I29" s="1974" t="e">
        <f>'OPM 1 Hybrid'!#REF!*I$10</f>
        <v>#REF!</v>
      </c>
      <c r="J29" s="1974" t="e">
        <f>'OPM 1 Hybrid'!#REF!*J$10</f>
        <v>#REF!</v>
      </c>
      <c r="K29" s="1974" t="e">
        <f>'OPM 1 Hybrid'!#REF!*K$10</f>
        <v>#REF!</v>
      </c>
      <c r="L29" s="1974" t="e">
        <f>'OPM 1 Hybrid'!#REF!*L$10</f>
        <v>#REF!</v>
      </c>
      <c r="M29" s="1974" t="e">
        <f>'OPM 1 Hybrid'!#REF!*M$10</f>
        <v>#REF!</v>
      </c>
      <c r="N29" s="1974" t="e">
        <f>'OPM 1 Hybrid'!#REF!*N$10</f>
        <v>#REF!</v>
      </c>
      <c r="O29" s="1974" t="e">
        <f>'OPM 1 Hybrid'!#REF!*O$10</f>
        <v>#REF!</v>
      </c>
      <c r="P29" s="1974" t="e">
        <f>'OPM 1 Hybrid'!#REF!*P$10</f>
        <v>#REF!</v>
      </c>
      <c r="Q29" s="1974" t="e">
        <f>'OPM 1 Hybrid'!#REF!*Q$10</f>
        <v>#REF!</v>
      </c>
      <c r="R29" s="1974" t="e">
        <f>'OPM 1 Hybrid'!#REF!*R$10</f>
        <v>#REF!</v>
      </c>
      <c r="S29" s="1974" t="e">
        <f>'OPM 1 Hybrid'!#REF!*S$10</f>
        <v>#REF!</v>
      </c>
      <c r="T29" s="1974" t="e">
        <f>'OPM 1 Hybrid'!#REF!*T$10</f>
        <v>#REF!</v>
      </c>
      <c r="U29" s="1974" t="e">
        <f>'OPM 1 Hybrid'!#REF!*U$10</f>
        <v>#REF!</v>
      </c>
      <c r="V29" s="1974" t="e">
        <f>'OPM 1 Hybrid'!#REF!*V$10</f>
        <v>#REF!</v>
      </c>
      <c r="W29" s="1975" t="e">
        <f>'OPM 1 Hybrid'!#REF!*W$10</f>
        <v>#REF!</v>
      </c>
      <c r="X29" s="250"/>
    </row>
    <row r="30" spans="2:24" s="467" customFormat="1" ht="14.85" customHeight="1">
      <c r="B30" s="250" t="str">
        <f>'OPM 1 Hybrid'!B70</f>
        <v>Options/Warrants at $0.00 Strike Price</v>
      </c>
      <c r="C30" s="250"/>
      <c r="D30" s="1969" t="e">
        <f>'OPM 1 Hybrid'!U187</f>
        <v>#DIV/0!</v>
      </c>
      <c r="E30" s="1970" t="e">
        <f t="shared" si="0"/>
        <v>#REF!</v>
      </c>
      <c r="F30" s="1971" t="e">
        <f t="shared" si="1"/>
        <v>#REF!</v>
      </c>
      <c r="G30" s="1972" t="e">
        <f t="shared" si="2"/>
        <v>#DIV/0!</v>
      </c>
      <c r="H30" s="1973" t="e">
        <f>'OPM 1 Hybrid'!#REF!*H$10</f>
        <v>#REF!</v>
      </c>
      <c r="I30" s="1974" t="e">
        <f>'OPM 1 Hybrid'!#REF!*I$10</f>
        <v>#REF!</v>
      </c>
      <c r="J30" s="1974" t="e">
        <f>'OPM 1 Hybrid'!#REF!*J$10</f>
        <v>#REF!</v>
      </c>
      <c r="K30" s="1974" t="e">
        <f>'OPM 1 Hybrid'!#REF!*K$10</f>
        <v>#REF!</v>
      </c>
      <c r="L30" s="1974" t="e">
        <f>'OPM 1 Hybrid'!#REF!*L$10</f>
        <v>#REF!</v>
      </c>
      <c r="M30" s="1974" t="e">
        <f>'OPM 1 Hybrid'!#REF!*M$10</f>
        <v>#REF!</v>
      </c>
      <c r="N30" s="1974" t="e">
        <f>'OPM 1 Hybrid'!#REF!*N$10</f>
        <v>#REF!</v>
      </c>
      <c r="O30" s="1974" t="e">
        <f>'OPM 1 Hybrid'!#REF!*O$10</f>
        <v>#REF!</v>
      </c>
      <c r="P30" s="1974" t="e">
        <f>'OPM 1 Hybrid'!#REF!*P$10</f>
        <v>#REF!</v>
      </c>
      <c r="Q30" s="1974" t="e">
        <f>'OPM 1 Hybrid'!#REF!*Q$10</f>
        <v>#REF!</v>
      </c>
      <c r="R30" s="1974" t="e">
        <f>'OPM 1 Hybrid'!#REF!*R$10</f>
        <v>#REF!</v>
      </c>
      <c r="S30" s="1974" t="e">
        <f>'OPM 1 Hybrid'!#REF!*S$10</f>
        <v>#REF!</v>
      </c>
      <c r="T30" s="1974" t="e">
        <f>'OPM 1 Hybrid'!#REF!*T$10</f>
        <v>#REF!</v>
      </c>
      <c r="U30" s="1974" t="e">
        <f>'OPM 1 Hybrid'!#REF!*U$10</f>
        <v>#REF!</v>
      </c>
      <c r="V30" s="1974" t="e">
        <f>'OPM 1 Hybrid'!#REF!*V$10</f>
        <v>#REF!</v>
      </c>
      <c r="W30" s="1975" t="e">
        <f>'OPM 1 Hybrid'!#REF!*W$10</f>
        <v>#REF!</v>
      </c>
      <c r="X30" s="250"/>
    </row>
    <row r="31" spans="2:24" s="467" customFormat="1" ht="14.85" customHeight="1">
      <c r="B31" s="250" t="str">
        <f>'OPM 1 Hybrid'!B71</f>
        <v>Options/Warrants at $0.00 Strike Price</v>
      </c>
      <c r="C31" s="250"/>
      <c r="D31" s="1969" t="e">
        <f>'OPM 1 Hybrid'!U188</f>
        <v>#DIV/0!</v>
      </c>
      <c r="E31" s="1970" t="e">
        <f t="shared" si="0"/>
        <v>#REF!</v>
      </c>
      <c r="F31" s="1971" t="e">
        <f t="shared" si="1"/>
        <v>#REF!</v>
      </c>
      <c r="G31" s="1972" t="e">
        <f t="shared" si="2"/>
        <v>#DIV/0!</v>
      </c>
      <c r="H31" s="1973" t="e">
        <f>'OPM 1 Hybrid'!#REF!*H$10</f>
        <v>#REF!</v>
      </c>
      <c r="I31" s="1974" t="e">
        <f>'OPM 1 Hybrid'!#REF!*I$10</f>
        <v>#REF!</v>
      </c>
      <c r="J31" s="1974" t="e">
        <f>'OPM 1 Hybrid'!#REF!*J$10</f>
        <v>#REF!</v>
      </c>
      <c r="K31" s="1974" t="e">
        <f>'OPM 1 Hybrid'!#REF!*K$10</f>
        <v>#REF!</v>
      </c>
      <c r="L31" s="1974" t="e">
        <f>'OPM 1 Hybrid'!#REF!*L$10</f>
        <v>#REF!</v>
      </c>
      <c r="M31" s="1974" t="e">
        <f>'OPM 1 Hybrid'!#REF!*M$10</f>
        <v>#REF!</v>
      </c>
      <c r="N31" s="1974" t="e">
        <f>'OPM 1 Hybrid'!#REF!*N$10</f>
        <v>#REF!</v>
      </c>
      <c r="O31" s="1974" t="e">
        <f>'OPM 1 Hybrid'!#REF!*O$10</f>
        <v>#REF!</v>
      </c>
      <c r="P31" s="1974" t="e">
        <f>'OPM 1 Hybrid'!#REF!*P$10</f>
        <v>#REF!</v>
      </c>
      <c r="Q31" s="1974" t="e">
        <f>'OPM 1 Hybrid'!#REF!*Q$10</f>
        <v>#REF!</v>
      </c>
      <c r="R31" s="1974" t="e">
        <f>'OPM 1 Hybrid'!#REF!*R$10</f>
        <v>#REF!</v>
      </c>
      <c r="S31" s="1974" t="e">
        <f>'OPM 1 Hybrid'!#REF!*S$10</f>
        <v>#REF!</v>
      </c>
      <c r="T31" s="1974" t="e">
        <f>'OPM 1 Hybrid'!#REF!*T$10</f>
        <v>#REF!</v>
      </c>
      <c r="U31" s="1974" t="e">
        <f>'OPM 1 Hybrid'!#REF!*U$10</f>
        <v>#REF!</v>
      </c>
      <c r="V31" s="1974" t="e">
        <f>'OPM 1 Hybrid'!#REF!*V$10</f>
        <v>#REF!</v>
      </c>
      <c r="W31" s="1975" t="e">
        <f>'OPM 1 Hybrid'!#REF!*W$10</f>
        <v>#REF!</v>
      </c>
      <c r="X31" s="250"/>
    </row>
    <row r="32" spans="2:24" s="467" customFormat="1" ht="14.85" customHeight="1">
      <c r="B32" s="250" t="str">
        <f>'OPM 1 Hybrid'!B72</f>
        <v>Options/Warrants at $0.00 Strike Price</v>
      </c>
      <c r="C32" s="250"/>
      <c r="D32" s="1969" t="e">
        <f>'OPM 1 Hybrid'!U189</f>
        <v>#DIV/0!</v>
      </c>
      <c r="E32" s="1970" t="e">
        <f t="shared" si="0"/>
        <v>#REF!</v>
      </c>
      <c r="F32" s="1971" t="e">
        <f t="shared" si="1"/>
        <v>#REF!</v>
      </c>
      <c r="G32" s="1972" t="e">
        <f t="shared" si="2"/>
        <v>#DIV/0!</v>
      </c>
      <c r="H32" s="1973" t="e">
        <f>'OPM 1 Hybrid'!#REF!*H$10</f>
        <v>#REF!</v>
      </c>
      <c r="I32" s="1974" t="e">
        <f>'OPM 1 Hybrid'!#REF!*I$10</f>
        <v>#REF!</v>
      </c>
      <c r="J32" s="1974" t="e">
        <f>'OPM 1 Hybrid'!#REF!*J$10</f>
        <v>#REF!</v>
      </c>
      <c r="K32" s="1974" t="e">
        <f>'OPM 1 Hybrid'!#REF!*K$10</f>
        <v>#REF!</v>
      </c>
      <c r="L32" s="1974" t="e">
        <f>'OPM 1 Hybrid'!#REF!*L$10</f>
        <v>#REF!</v>
      </c>
      <c r="M32" s="1974" t="e">
        <f>'OPM 1 Hybrid'!#REF!*M$10</f>
        <v>#REF!</v>
      </c>
      <c r="N32" s="1974" t="e">
        <f>'OPM 1 Hybrid'!#REF!*N$10</f>
        <v>#REF!</v>
      </c>
      <c r="O32" s="1974" t="e">
        <f>'OPM 1 Hybrid'!#REF!*O$10</f>
        <v>#REF!</v>
      </c>
      <c r="P32" s="1974" t="e">
        <f>'OPM 1 Hybrid'!#REF!*P$10</f>
        <v>#REF!</v>
      </c>
      <c r="Q32" s="1974" t="e">
        <f>'OPM 1 Hybrid'!#REF!*Q$10</f>
        <v>#REF!</v>
      </c>
      <c r="R32" s="1974" t="e">
        <f>'OPM 1 Hybrid'!#REF!*R$10</f>
        <v>#REF!</v>
      </c>
      <c r="S32" s="1974" t="e">
        <f>'OPM 1 Hybrid'!#REF!*S$10</f>
        <v>#REF!</v>
      </c>
      <c r="T32" s="1974" t="e">
        <f>'OPM 1 Hybrid'!#REF!*T$10</f>
        <v>#REF!</v>
      </c>
      <c r="U32" s="1974" t="e">
        <f>'OPM 1 Hybrid'!#REF!*U$10</f>
        <v>#REF!</v>
      </c>
      <c r="V32" s="1974" t="e">
        <f>'OPM 1 Hybrid'!#REF!*V$10</f>
        <v>#REF!</v>
      </c>
      <c r="W32" s="1975" t="e">
        <f>'OPM 1 Hybrid'!#REF!*W$10</f>
        <v>#REF!</v>
      </c>
      <c r="X32" s="250"/>
    </row>
    <row r="33" spans="2:24" s="467" customFormat="1" ht="14.85" customHeight="1">
      <c r="B33" s="250" t="str">
        <f>'OPM 1 Hybrid'!B73</f>
        <v>Options/Warrants at $0.00 Strike Price</v>
      </c>
      <c r="C33" s="250"/>
      <c r="D33" s="1969" t="e">
        <f>'OPM 1 Hybrid'!U190</f>
        <v>#DIV/0!</v>
      </c>
      <c r="E33" s="1970" t="e">
        <f t="shared" si="0"/>
        <v>#REF!</v>
      </c>
      <c r="F33" s="1971" t="e">
        <f t="shared" si="1"/>
        <v>#REF!</v>
      </c>
      <c r="G33" s="1972" t="e">
        <f t="shared" si="2"/>
        <v>#DIV/0!</v>
      </c>
      <c r="H33" s="1973" t="e">
        <f>'OPM 1 Hybrid'!#REF!*H$10</f>
        <v>#REF!</v>
      </c>
      <c r="I33" s="1974" t="e">
        <f>'OPM 1 Hybrid'!#REF!*I$10</f>
        <v>#REF!</v>
      </c>
      <c r="J33" s="1974" t="e">
        <f>'OPM 1 Hybrid'!#REF!*J$10</f>
        <v>#REF!</v>
      </c>
      <c r="K33" s="1974" t="e">
        <f>'OPM 1 Hybrid'!#REF!*K$10</f>
        <v>#REF!</v>
      </c>
      <c r="L33" s="1974" t="e">
        <f>'OPM 1 Hybrid'!#REF!*L$10</f>
        <v>#REF!</v>
      </c>
      <c r="M33" s="1974" t="e">
        <f>'OPM 1 Hybrid'!#REF!*M$10</f>
        <v>#REF!</v>
      </c>
      <c r="N33" s="1974" t="e">
        <f>'OPM 1 Hybrid'!#REF!*N$10</f>
        <v>#REF!</v>
      </c>
      <c r="O33" s="1974" t="e">
        <f>'OPM 1 Hybrid'!#REF!*O$10</f>
        <v>#REF!</v>
      </c>
      <c r="P33" s="1974" t="e">
        <f>'OPM 1 Hybrid'!#REF!*P$10</f>
        <v>#REF!</v>
      </c>
      <c r="Q33" s="1974" t="e">
        <f>'OPM 1 Hybrid'!#REF!*Q$10</f>
        <v>#REF!</v>
      </c>
      <c r="R33" s="1974" t="e">
        <f>'OPM 1 Hybrid'!#REF!*R$10</f>
        <v>#REF!</v>
      </c>
      <c r="S33" s="1974" t="e">
        <f>'OPM 1 Hybrid'!#REF!*S$10</f>
        <v>#REF!</v>
      </c>
      <c r="T33" s="1974" t="e">
        <f>'OPM 1 Hybrid'!#REF!*T$10</f>
        <v>#REF!</v>
      </c>
      <c r="U33" s="1974" t="e">
        <f>'OPM 1 Hybrid'!#REF!*U$10</f>
        <v>#REF!</v>
      </c>
      <c r="V33" s="1974" t="e">
        <f>'OPM 1 Hybrid'!#REF!*V$10</f>
        <v>#REF!</v>
      </c>
      <c r="W33" s="1975" t="e">
        <f>'OPM 1 Hybrid'!#REF!*W$10</f>
        <v>#REF!</v>
      </c>
      <c r="X33" s="250"/>
    </row>
    <row r="34" spans="2:24" s="467" customFormat="1" ht="14.85" customHeight="1">
      <c r="B34" s="250" t="str">
        <f>'OPM 1 Hybrid'!B74</f>
        <v>Options/Warrants at $0.00 Strike Price</v>
      </c>
      <c r="C34" s="250"/>
      <c r="D34" s="1969" t="e">
        <f>'OPM 1 Hybrid'!U191</f>
        <v>#DIV/0!</v>
      </c>
      <c r="E34" s="1970" t="e">
        <f t="shared" si="0"/>
        <v>#REF!</v>
      </c>
      <c r="F34" s="1971" t="e">
        <f t="shared" si="1"/>
        <v>#REF!</v>
      </c>
      <c r="G34" s="1972" t="e">
        <f t="shared" si="2"/>
        <v>#DIV/0!</v>
      </c>
      <c r="H34" s="1973" t="e">
        <f>'OPM 1 Hybrid'!#REF!*H$10</f>
        <v>#REF!</v>
      </c>
      <c r="I34" s="1974" t="e">
        <f>'OPM 1 Hybrid'!#REF!*I$10</f>
        <v>#REF!</v>
      </c>
      <c r="J34" s="1974" t="e">
        <f>'OPM 1 Hybrid'!#REF!*J$10</f>
        <v>#REF!</v>
      </c>
      <c r="K34" s="1974" t="e">
        <f>'OPM 1 Hybrid'!#REF!*K$10</f>
        <v>#REF!</v>
      </c>
      <c r="L34" s="1974" t="e">
        <f>'OPM 1 Hybrid'!#REF!*L$10</f>
        <v>#REF!</v>
      </c>
      <c r="M34" s="1974" t="e">
        <f>'OPM 1 Hybrid'!#REF!*M$10</f>
        <v>#REF!</v>
      </c>
      <c r="N34" s="1974" t="e">
        <f>'OPM 1 Hybrid'!#REF!*N$10</f>
        <v>#REF!</v>
      </c>
      <c r="O34" s="1974" t="e">
        <f>'OPM 1 Hybrid'!#REF!*O$10</f>
        <v>#REF!</v>
      </c>
      <c r="P34" s="1974" t="e">
        <f>'OPM 1 Hybrid'!#REF!*P$10</f>
        <v>#REF!</v>
      </c>
      <c r="Q34" s="1974" t="e">
        <f>'OPM 1 Hybrid'!#REF!*Q$10</f>
        <v>#REF!</v>
      </c>
      <c r="R34" s="1974" t="e">
        <f>'OPM 1 Hybrid'!#REF!*R$10</f>
        <v>#REF!</v>
      </c>
      <c r="S34" s="1974" t="e">
        <f>'OPM 1 Hybrid'!#REF!*S$10</f>
        <v>#REF!</v>
      </c>
      <c r="T34" s="1974" t="e">
        <f>'OPM 1 Hybrid'!#REF!*T$10</f>
        <v>#REF!</v>
      </c>
      <c r="U34" s="1974" t="e">
        <f>'OPM 1 Hybrid'!#REF!*U$10</f>
        <v>#REF!</v>
      </c>
      <c r="V34" s="1974" t="e">
        <f>'OPM 1 Hybrid'!#REF!*V$10</f>
        <v>#REF!</v>
      </c>
      <c r="W34" s="1975" t="e">
        <f>'OPM 1 Hybrid'!#REF!*W$10</f>
        <v>#REF!</v>
      </c>
      <c r="X34" s="250"/>
    </row>
    <row r="35" spans="2:24" s="467" customFormat="1" ht="14.85" customHeight="1">
      <c r="B35" s="250" t="str">
        <f>'OPM 1 Hybrid'!B75</f>
        <v>Options/Warrants at $0.00 Strike Price</v>
      </c>
      <c r="C35" s="250"/>
      <c r="D35" s="1969" t="e">
        <f>'OPM 1 Hybrid'!U192</f>
        <v>#DIV/0!</v>
      </c>
      <c r="E35" s="1970" t="e">
        <f t="shared" si="0"/>
        <v>#REF!</v>
      </c>
      <c r="F35" s="1971" t="e">
        <f t="shared" si="1"/>
        <v>#REF!</v>
      </c>
      <c r="G35" s="1972" t="e">
        <f t="shared" si="2"/>
        <v>#DIV/0!</v>
      </c>
      <c r="H35" s="1973" t="e">
        <f>'OPM 1 Hybrid'!#REF!*H$10</f>
        <v>#REF!</v>
      </c>
      <c r="I35" s="1974" t="e">
        <f>'OPM 1 Hybrid'!#REF!*I$10</f>
        <v>#REF!</v>
      </c>
      <c r="J35" s="1974" t="e">
        <f>'OPM 1 Hybrid'!#REF!*J$10</f>
        <v>#REF!</v>
      </c>
      <c r="K35" s="1974" t="e">
        <f>'OPM 1 Hybrid'!#REF!*K$10</f>
        <v>#REF!</v>
      </c>
      <c r="L35" s="1974" t="e">
        <f>'OPM 1 Hybrid'!#REF!*L$10</f>
        <v>#REF!</v>
      </c>
      <c r="M35" s="1974" t="e">
        <f>'OPM 1 Hybrid'!#REF!*M$10</f>
        <v>#REF!</v>
      </c>
      <c r="N35" s="1974" t="e">
        <f>'OPM 1 Hybrid'!#REF!*N$10</f>
        <v>#REF!</v>
      </c>
      <c r="O35" s="1974" t="e">
        <f>'OPM 1 Hybrid'!#REF!*O$10</f>
        <v>#REF!</v>
      </c>
      <c r="P35" s="1974" t="e">
        <f>'OPM 1 Hybrid'!#REF!*P$10</f>
        <v>#REF!</v>
      </c>
      <c r="Q35" s="1974" t="e">
        <f>'OPM 1 Hybrid'!#REF!*Q$10</f>
        <v>#REF!</v>
      </c>
      <c r="R35" s="1974" t="e">
        <f>'OPM 1 Hybrid'!#REF!*R$10</f>
        <v>#REF!</v>
      </c>
      <c r="S35" s="1974" t="e">
        <f>'OPM 1 Hybrid'!#REF!*S$10</f>
        <v>#REF!</v>
      </c>
      <c r="T35" s="1974" t="e">
        <f>'OPM 1 Hybrid'!#REF!*T$10</f>
        <v>#REF!</v>
      </c>
      <c r="U35" s="1974" t="e">
        <f>'OPM 1 Hybrid'!#REF!*U$10</f>
        <v>#REF!</v>
      </c>
      <c r="V35" s="1974" t="e">
        <f>'OPM 1 Hybrid'!#REF!*V$10</f>
        <v>#REF!</v>
      </c>
      <c r="W35" s="1975" t="e">
        <f>'OPM 1 Hybrid'!#REF!*W$10</f>
        <v>#REF!</v>
      </c>
      <c r="X35" s="250"/>
    </row>
    <row r="36" spans="2:24" s="467" customFormat="1" ht="14.85" customHeight="1">
      <c r="B36" s="250" t="str">
        <f>'OPM 1 Hybrid'!B76</f>
        <v>Options/Warrants at $0.00 Strike Price</v>
      </c>
      <c r="C36" s="250"/>
      <c r="D36" s="1969" t="e">
        <f>'OPM 1 Hybrid'!U193</f>
        <v>#DIV/0!</v>
      </c>
      <c r="E36" s="1970" t="e">
        <f t="shared" si="0"/>
        <v>#REF!</v>
      </c>
      <c r="F36" s="1971" t="e">
        <f t="shared" si="1"/>
        <v>#REF!</v>
      </c>
      <c r="G36" s="1972" t="e">
        <f t="shared" si="2"/>
        <v>#DIV/0!</v>
      </c>
      <c r="H36" s="1973" t="e">
        <f>'OPM 1 Hybrid'!#REF!*H$10</f>
        <v>#REF!</v>
      </c>
      <c r="I36" s="1974" t="e">
        <f>'OPM 1 Hybrid'!#REF!*I$10</f>
        <v>#REF!</v>
      </c>
      <c r="J36" s="1974" t="e">
        <f>'OPM 1 Hybrid'!#REF!*J$10</f>
        <v>#REF!</v>
      </c>
      <c r="K36" s="1974" t="e">
        <f>'OPM 1 Hybrid'!#REF!*K$10</f>
        <v>#REF!</v>
      </c>
      <c r="L36" s="1974" t="e">
        <f>'OPM 1 Hybrid'!#REF!*L$10</f>
        <v>#REF!</v>
      </c>
      <c r="M36" s="1974" t="e">
        <f>'OPM 1 Hybrid'!#REF!*M$10</f>
        <v>#REF!</v>
      </c>
      <c r="N36" s="1974" t="e">
        <f>'OPM 1 Hybrid'!#REF!*N$10</f>
        <v>#REF!</v>
      </c>
      <c r="O36" s="1974" t="e">
        <f>'OPM 1 Hybrid'!#REF!*O$10</f>
        <v>#REF!</v>
      </c>
      <c r="P36" s="1974" t="e">
        <f>'OPM 1 Hybrid'!#REF!*P$10</f>
        <v>#REF!</v>
      </c>
      <c r="Q36" s="1974" t="e">
        <f>'OPM 1 Hybrid'!#REF!*Q$10</f>
        <v>#REF!</v>
      </c>
      <c r="R36" s="1974" t="e">
        <f>'OPM 1 Hybrid'!#REF!*R$10</f>
        <v>#REF!</v>
      </c>
      <c r="S36" s="1974" t="e">
        <f>'OPM 1 Hybrid'!#REF!*S$10</f>
        <v>#REF!</v>
      </c>
      <c r="T36" s="1974" t="e">
        <f>'OPM 1 Hybrid'!#REF!*T$10</f>
        <v>#REF!</v>
      </c>
      <c r="U36" s="1974" t="e">
        <f>'OPM 1 Hybrid'!#REF!*U$10</f>
        <v>#REF!</v>
      </c>
      <c r="V36" s="1974" t="e">
        <f>'OPM 1 Hybrid'!#REF!*V$10</f>
        <v>#REF!</v>
      </c>
      <c r="W36" s="1975" t="e">
        <f>'OPM 1 Hybrid'!#REF!*W$10</f>
        <v>#REF!</v>
      </c>
      <c r="X36" s="250"/>
    </row>
    <row r="37" spans="2:24" s="467" customFormat="1" ht="14.85" customHeight="1">
      <c r="B37" s="250" t="str">
        <f>'OPM 1 Hybrid'!B77</f>
        <v>Options/Warrants at $0.00 Strike Price</v>
      </c>
      <c r="C37" s="250"/>
      <c r="D37" s="1969" t="e">
        <f>'OPM 1 Hybrid'!U194</f>
        <v>#DIV/0!</v>
      </c>
      <c r="E37" s="1970" t="e">
        <f t="shared" si="0"/>
        <v>#REF!</v>
      </c>
      <c r="F37" s="1971" t="e">
        <f t="shared" si="1"/>
        <v>#REF!</v>
      </c>
      <c r="G37" s="1972" t="e">
        <f t="shared" si="2"/>
        <v>#DIV/0!</v>
      </c>
      <c r="H37" s="1973" t="e">
        <f>'OPM 1 Hybrid'!#REF!*H$10</f>
        <v>#REF!</v>
      </c>
      <c r="I37" s="1974" t="e">
        <f>'OPM 1 Hybrid'!#REF!*I$10</f>
        <v>#REF!</v>
      </c>
      <c r="J37" s="1974" t="e">
        <f>'OPM 1 Hybrid'!#REF!*J$10</f>
        <v>#REF!</v>
      </c>
      <c r="K37" s="1974" t="e">
        <f>'OPM 1 Hybrid'!#REF!*K$10</f>
        <v>#REF!</v>
      </c>
      <c r="L37" s="1974" t="e">
        <f>'OPM 1 Hybrid'!#REF!*L$10</f>
        <v>#REF!</v>
      </c>
      <c r="M37" s="1974" t="e">
        <f>'OPM 1 Hybrid'!#REF!*M$10</f>
        <v>#REF!</v>
      </c>
      <c r="N37" s="1974" t="e">
        <f>'OPM 1 Hybrid'!#REF!*N$10</f>
        <v>#REF!</v>
      </c>
      <c r="O37" s="1974" t="e">
        <f>'OPM 1 Hybrid'!#REF!*O$10</f>
        <v>#REF!</v>
      </c>
      <c r="P37" s="1974" t="e">
        <f>'OPM 1 Hybrid'!#REF!*P$10</f>
        <v>#REF!</v>
      </c>
      <c r="Q37" s="1974" t="e">
        <f>'OPM 1 Hybrid'!#REF!*Q$10</f>
        <v>#REF!</v>
      </c>
      <c r="R37" s="1974" t="e">
        <f>'OPM 1 Hybrid'!#REF!*R$10</f>
        <v>#REF!</v>
      </c>
      <c r="S37" s="1974" t="e">
        <f>'OPM 1 Hybrid'!#REF!*S$10</f>
        <v>#REF!</v>
      </c>
      <c r="T37" s="1974" t="e">
        <f>'OPM 1 Hybrid'!#REF!*T$10</f>
        <v>#REF!</v>
      </c>
      <c r="U37" s="1974" t="e">
        <f>'OPM 1 Hybrid'!#REF!*U$10</f>
        <v>#REF!</v>
      </c>
      <c r="V37" s="1974" t="e">
        <f>'OPM 1 Hybrid'!#REF!*V$10</f>
        <v>#REF!</v>
      </c>
      <c r="W37" s="1975" t="e">
        <f>'OPM 1 Hybrid'!#REF!*W$10</f>
        <v>#REF!</v>
      </c>
      <c r="X37" s="250"/>
    </row>
    <row r="38" spans="2:24" s="467" customFormat="1" ht="14.85" customHeight="1">
      <c r="B38" s="250" t="str">
        <f>'OPM 1 Hybrid'!B78</f>
        <v>Expected Options Grant</v>
      </c>
      <c r="C38" s="250"/>
      <c r="D38" s="1969" t="e">
        <f>'OPM 1 Hybrid'!U195</f>
        <v>#DIV/0!</v>
      </c>
      <c r="E38" s="1970" t="e">
        <f t="shared" si="0"/>
        <v>#REF!</v>
      </c>
      <c r="F38" s="1971" t="e">
        <f t="shared" si="1"/>
        <v>#REF!</v>
      </c>
      <c r="G38" s="1972" t="e">
        <f t="shared" si="2"/>
        <v>#DIV/0!</v>
      </c>
      <c r="H38" s="1973" t="e">
        <f>'OPM 1 Hybrid'!#REF!*H$10</f>
        <v>#REF!</v>
      </c>
      <c r="I38" s="1974" t="e">
        <f>'OPM 1 Hybrid'!#REF!*I$10</f>
        <v>#REF!</v>
      </c>
      <c r="J38" s="1974" t="e">
        <f>'OPM 1 Hybrid'!#REF!*J$10</f>
        <v>#REF!</v>
      </c>
      <c r="K38" s="1974" t="e">
        <f>'OPM 1 Hybrid'!#REF!*K$10</f>
        <v>#REF!</v>
      </c>
      <c r="L38" s="1974" t="e">
        <f>'OPM 1 Hybrid'!#REF!*L$10</f>
        <v>#REF!</v>
      </c>
      <c r="M38" s="1974" t="e">
        <f>'OPM 1 Hybrid'!#REF!*M$10</f>
        <v>#REF!</v>
      </c>
      <c r="N38" s="1974" t="e">
        <f>'OPM 1 Hybrid'!#REF!*N$10</f>
        <v>#REF!</v>
      </c>
      <c r="O38" s="1974" t="e">
        <f>'OPM 1 Hybrid'!#REF!*O$10</f>
        <v>#REF!</v>
      </c>
      <c r="P38" s="1974" t="e">
        <f>'OPM 1 Hybrid'!#REF!*P$10</f>
        <v>#REF!</v>
      </c>
      <c r="Q38" s="1974" t="e">
        <f>'OPM 1 Hybrid'!#REF!*Q$10</f>
        <v>#REF!</v>
      </c>
      <c r="R38" s="1974" t="e">
        <f>'OPM 1 Hybrid'!#REF!*R$10</f>
        <v>#REF!</v>
      </c>
      <c r="S38" s="1974" t="e">
        <f>'OPM 1 Hybrid'!#REF!*S$10</f>
        <v>#REF!</v>
      </c>
      <c r="T38" s="1974" t="e">
        <f>'OPM 1 Hybrid'!#REF!*T$10</f>
        <v>#REF!</v>
      </c>
      <c r="U38" s="1974" t="e">
        <f>'OPM 1 Hybrid'!#REF!*U$10</f>
        <v>#REF!</v>
      </c>
      <c r="V38" s="1974" t="e">
        <f>'OPM 1 Hybrid'!#REF!*V$10</f>
        <v>#REF!</v>
      </c>
      <c r="W38" s="1975" t="e">
        <f>'OPM 1 Hybrid'!#REF!*W$10</f>
        <v>#REF!</v>
      </c>
      <c r="X38" s="250"/>
    </row>
    <row r="39" spans="2:24" s="467" customFormat="1" ht="14.85" customHeight="1">
      <c r="B39" s="250" t="str">
        <f>'OPM 1 Hybrid'!B79</f>
        <v>Common Stock</v>
      </c>
      <c r="C39" s="250"/>
      <c r="D39" s="1969" t="e">
        <f>'OPM 1 Hybrid'!U196</f>
        <v>#DIV/0!</v>
      </c>
      <c r="E39" s="1970" t="e">
        <f t="shared" si="0"/>
        <v>#REF!</v>
      </c>
      <c r="F39" s="1971" t="e">
        <f t="shared" si="1"/>
        <v>#REF!</v>
      </c>
      <c r="G39" s="1972" t="e">
        <f t="shared" si="2"/>
        <v>#DIV/0!</v>
      </c>
      <c r="H39" s="1976" t="e">
        <f>'OPM 1 Hybrid'!#REF!*H$10</f>
        <v>#REF!</v>
      </c>
      <c r="I39" s="1938" t="e">
        <f>'OPM 1 Hybrid'!#REF!*I$10</f>
        <v>#REF!</v>
      </c>
      <c r="J39" s="1938" t="e">
        <f>'OPM 1 Hybrid'!#REF!*J$10</f>
        <v>#REF!</v>
      </c>
      <c r="K39" s="1938" t="e">
        <f>'OPM 1 Hybrid'!#REF!*K$10</f>
        <v>#REF!</v>
      </c>
      <c r="L39" s="1938" t="e">
        <f>'OPM 1 Hybrid'!#REF!*L$10</f>
        <v>#REF!</v>
      </c>
      <c r="M39" s="1938" t="e">
        <f>'OPM 1 Hybrid'!#REF!*M$10</f>
        <v>#REF!</v>
      </c>
      <c r="N39" s="1938" t="e">
        <f>'OPM 1 Hybrid'!#REF!*N$10</f>
        <v>#REF!</v>
      </c>
      <c r="O39" s="1938" t="e">
        <f>'OPM 1 Hybrid'!#REF!*O$10</f>
        <v>#REF!</v>
      </c>
      <c r="P39" s="1938" t="e">
        <f>'OPM 1 Hybrid'!#REF!*P$10</f>
        <v>#REF!</v>
      </c>
      <c r="Q39" s="1938" t="e">
        <f>'OPM 1 Hybrid'!#REF!*Q$10</f>
        <v>#REF!</v>
      </c>
      <c r="R39" s="1938" t="e">
        <f>'OPM 1 Hybrid'!#REF!*R$10</f>
        <v>#REF!</v>
      </c>
      <c r="S39" s="1938" t="e">
        <f>'OPM 1 Hybrid'!#REF!*S$10</f>
        <v>#REF!</v>
      </c>
      <c r="T39" s="1938" t="e">
        <f>'OPM 1 Hybrid'!#REF!*T$10</f>
        <v>#REF!</v>
      </c>
      <c r="U39" s="1938" t="e">
        <f>'OPM 1 Hybrid'!#REF!*U$10</f>
        <v>#REF!</v>
      </c>
      <c r="V39" s="1938" t="e">
        <f>'OPM 1 Hybrid'!#REF!*V$10</f>
        <v>#REF!</v>
      </c>
      <c r="W39" s="1977" t="e">
        <f>'OPM 1 Hybrid'!#REF!*W$10</f>
        <v>#REF!</v>
      </c>
      <c r="X39" s="250"/>
    </row>
    <row r="40" spans="2:24" s="467" customFormat="1" ht="14.85" customHeight="1">
      <c r="B40" s="253" t="s">
        <v>169</v>
      </c>
      <c r="C40" s="250"/>
      <c r="D40" s="1978" t="e">
        <f>SUM(D15:D39)</f>
        <v>#DIV/0!</v>
      </c>
      <c r="E40" s="1979" t="e">
        <f>SUM(E15:E39)</f>
        <v>#REF!</v>
      </c>
      <c r="F40" s="1980" t="e">
        <f>E40*($D$40/D40)*$D$7</f>
        <v>#REF!</v>
      </c>
      <c r="G40" s="1981" t="e">
        <f>SUM(G15:G39)</f>
        <v>#DIV/0!</v>
      </c>
      <c r="H40" s="250"/>
      <c r="I40" s="250"/>
      <c r="J40" s="250"/>
      <c r="K40" s="250"/>
      <c r="L40" s="250"/>
      <c r="M40" s="250"/>
      <c r="N40" s="250"/>
      <c r="O40" s="250"/>
      <c r="P40" s="250"/>
      <c r="Q40" s="250"/>
      <c r="R40" s="250"/>
      <c r="S40" s="250"/>
      <c r="T40" s="250"/>
      <c r="U40" s="250"/>
      <c r="V40" s="250"/>
      <c r="W40" s="250"/>
      <c r="X40" s="250"/>
    </row>
    <row r="41" spans="2:24" s="467" customFormat="1" ht="14.85" customHeight="1">
      <c r="B41" s="250"/>
      <c r="C41" s="250"/>
      <c r="D41" s="250"/>
      <c r="E41" s="250"/>
      <c r="F41" s="250"/>
      <c r="G41" s="250"/>
      <c r="H41" s="250"/>
      <c r="I41" s="250"/>
      <c r="J41" s="250"/>
      <c r="K41" s="250"/>
      <c r="L41" s="250"/>
      <c r="M41" s="250"/>
      <c r="N41" s="250"/>
      <c r="O41" s="250"/>
      <c r="P41" s="250"/>
      <c r="Q41" s="250"/>
      <c r="R41" s="250"/>
      <c r="S41" s="250"/>
      <c r="T41" s="250"/>
      <c r="U41" s="250"/>
      <c r="V41" s="250"/>
      <c r="W41" s="250"/>
      <c r="X41" s="250"/>
    </row>
    <row r="42" spans="2:24" ht="14.85" customHeight="1"/>
    <row r="43" spans="2:24" ht="14.85" customHeight="1">
      <c r="B43" s="467"/>
      <c r="C43" s="467"/>
      <c r="D43" s="1982"/>
      <c r="E43" s="467"/>
      <c r="F43" s="467" t="s">
        <v>2535</v>
      </c>
      <c r="G43" s="355" t="e">
        <f>IF(F40&lt;&gt;G40,"Check","")</f>
        <v>#REF!</v>
      </c>
      <c r="H43" s="355" t="e">
        <f>IF(SUM(H15:W39)&lt;&gt;1,"Check","")</f>
        <v>#REF!</v>
      </c>
      <c r="I43" s="467"/>
      <c r="J43" s="467"/>
      <c r="K43" s="467"/>
      <c r="L43" s="467"/>
      <c r="M43" s="467"/>
      <c r="N43" s="467"/>
      <c r="O43" s="467"/>
      <c r="P43" s="467"/>
      <c r="Q43" s="467"/>
      <c r="R43" s="467"/>
      <c r="S43" s="467"/>
      <c r="T43" s="467"/>
      <c r="U43" s="467"/>
      <c r="V43" s="467"/>
      <c r="W43" s="467"/>
    </row>
    <row r="44" spans="2:24" ht="14.85" customHeight="1">
      <c r="B44" s="467"/>
      <c r="C44" s="467"/>
      <c r="D44" s="467"/>
      <c r="E44" s="467"/>
      <c r="F44" s="467"/>
      <c r="G44" s="467"/>
      <c r="H44" s="467"/>
      <c r="I44" s="467"/>
      <c r="J44" s="467"/>
      <c r="K44" s="467"/>
      <c r="L44" s="467"/>
      <c r="M44" s="467"/>
      <c r="N44" s="467"/>
      <c r="O44" s="467"/>
      <c r="P44" s="467"/>
      <c r="Q44" s="467"/>
      <c r="R44" s="467"/>
      <c r="S44" s="467"/>
      <c r="T44" s="467"/>
      <c r="U44" s="467"/>
      <c r="V44" s="467"/>
      <c r="W44" s="467"/>
    </row>
    <row r="45" spans="2:24" s="272" customFormat="1" ht="14.85" customHeight="1">
      <c r="B45" s="467"/>
      <c r="C45" s="467"/>
      <c r="D45" s="467"/>
      <c r="E45" s="467"/>
      <c r="F45" s="467"/>
      <c r="G45" s="484"/>
      <c r="H45" s="1314"/>
      <c r="I45" s="1314"/>
      <c r="J45" s="1314"/>
      <c r="K45" s="1314"/>
      <c r="L45" s="1314"/>
      <c r="M45" s="1314"/>
      <c r="N45" s="1314"/>
      <c r="O45" s="1314"/>
      <c r="P45" s="1314"/>
      <c r="Q45" s="1314"/>
      <c r="R45" s="1314"/>
      <c r="S45" s="1314"/>
      <c r="T45" s="1314"/>
      <c r="U45" s="1314"/>
      <c r="V45" s="1314"/>
      <c r="W45" s="1314"/>
    </row>
    <row r="46" spans="2:24" ht="14.85" customHeight="1">
      <c r="B46" s="467"/>
      <c r="C46" s="467"/>
      <c r="D46" s="467"/>
      <c r="E46" s="467"/>
      <c r="F46" s="467"/>
      <c r="G46" s="484"/>
      <c r="H46" s="1983"/>
      <c r="I46" s="1983"/>
      <c r="J46" s="1983"/>
      <c r="K46" s="1983"/>
      <c r="L46" s="1983"/>
      <c r="M46" s="1983"/>
      <c r="N46" s="1983"/>
      <c r="O46" s="1983"/>
      <c r="P46" s="1983"/>
      <c r="Q46" s="1983"/>
      <c r="R46" s="1983"/>
      <c r="S46" s="1983"/>
      <c r="T46" s="1983"/>
      <c r="U46" s="1983"/>
      <c r="V46" s="1983"/>
      <c r="W46" s="1983"/>
    </row>
    <row r="47" spans="2:24" ht="14.85" customHeight="1">
      <c r="B47" s="467"/>
      <c r="C47" s="467"/>
      <c r="D47" s="467"/>
      <c r="E47" s="467"/>
      <c r="F47" s="467"/>
      <c r="G47" s="484"/>
      <c r="H47" s="467"/>
      <c r="I47" s="467"/>
      <c r="J47" s="467"/>
      <c r="K47" s="467"/>
      <c r="L47" s="467"/>
      <c r="M47" s="467"/>
      <c r="N47" s="467"/>
      <c r="O47" s="467"/>
      <c r="P47" s="467"/>
      <c r="Q47" s="467"/>
      <c r="R47" s="467"/>
      <c r="S47" s="467"/>
      <c r="T47" s="467"/>
      <c r="U47" s="467"/>
      <c r="V47" s="467"/>
      <c r="W47" s="467"/>
    </row>
    <row r="48" spans="2:24" ht="14.85" customHeight="1">
      <c r="B48" s="467"/>
      <c r="C48" s="467"/>
      <c r="D48" s="467"/>
      <c r="E48" s="467"/>
      <c r="F48" s="467"/>
      <c r="G48" s="467"/>
      <c r="H48" s="467"/>
      <c r="I48" s="467"/>
      <c r="J48" s="467"/>
      <c r="K48" s="467"/>
      <c r="L48" s="467"/>
      <c r="M48" s="467"/>
      <c r="N48" s="467"/>
      <c r="O48" s="467"/>
      <c r="P48" s="467"/>
      <c r="Q48" s="467"/>
      <c r="R48" s="467"/>
      <c r="S48" s="467"/>
      <c r="T48" s="467"/>
      <c r="U48" s="467"/>
      <c r="V48" s="467"/>
      <c r="W48" s="467"/>
    </row>
    <row r="49" spans="2:23" ht="14.85" customHeight="1">
      <c r="B49" s="467"/>
      <c r="C49" s="467"/>
      <c r="D49" s="1314"/>
      <c r="E49" s="1314"/>
      <c r="F49" s="1314"/>
      <c r="G49" s="1314"/>
      <c r="H49" s="467"/>
      <c r="I49" s="467"/>
      <c r="J49" s="467"/>
      <c r="K49" s="467"/>
      <c r="L49" s="467"/>
      <c r="M49" s="467"/>
      <c r="N49" s="467"/>
      <c r="O49" s="467"/>
      <c r="P49" s="467"/>
      <c r="Q49" s="467"/>
      <c r="R49" s="467"/>
      <c r="S49" s="467"/>
      <c r="T49" s="467"/>
      <c r="U49" s="467"/>
      <c r="V49" s="467"/>
      <c r="W49" s="467"/>
    </row>
    <row r="50" spans="2:23" ht="14.85" customHeight="1">
      <c r="B50" s="467"/>
      <c r="C50" s="467"/>
      <c r="D50" s="1314"/>
      <c r="E50" s="1314"/>
      <c r="F50" s="1314"/>
      <c r="G50" s="1314"/>
      <c r="H50" s="467"/>
      <c r="I50" s="467"/>
      <c r="J50" s="467"/>
      <c r="K50" s="467"/>
      <c r="L50" s="467"/>
      <c r="M50" s="467"/>
      <c r="N50" s="467"/>
      <c r="O50" s="467"/>
      <c r="P50" s="467"/>
      <c r="Q50" s="467"/>
      <c r="R50" s="467"/>
      <c r="S50" s="467"/>
      <c r="T50" s="467"/>
      <c r="U50" s="467"/>
      <c r="V50" s="467"/>
      <c r="W50" s="467"/>
    </row>
    <row r="51" spans="2:23" ht="14.85" customHeight="1">
      <c r="B51" s="467"/>
      <c r="C51" s="467"/>
      <c r="D51" s="1268"/>
      <c r="E51" s="1970"/>
      <c r="F51" s="1971"/>
      <c r="G51" s="1971"/>
      <c r="H51" s="1970"/>
      <c r="I51" s="1970"/>
      <c r="J51" s="1970"/>
      <c r="K51" s="1970"/>
      <c r="L51" s="1970"/>
      <c r="M51" s="1970"/>
      <c r="N51" s="1970"/>
      <c r="O51" s="1970"/>
      <c r="P51" s="1970"/>
      <c r="Q51" s="1970"/>
      <c r="R51" s="1970"/>
      <c r="S51" s="1970"/>
      <c r="T51" s="1970"/>
      <c r="U51" s="1970"/>
      <c r="V51" s="1970"/>
      <c r="W51" s="1970"/>
    </row>
    <row r="52" spans="2:23" ht="14.85" customHeight="1">
      <c r="B52" s="467"/>
      <c r="C52" s="467"/>
      <c r="D52" s="1268"/>
      <c r="E52" s="1970"/>
      <c r="F52" s="1971"/>
      <c r="G52" s="1971"/>
      <c r="H52" s="1970"/>
      <c r="I52" s="1970"/>
      <c r="J52" s="1970"/>
      <c r="K52" s="1970"/>
      <c r="L52" s="1970"/>
      <c r="M52" s="1970"/>
      <c r="N52" s="1970"/>
      <c r="O52" s="1970"/>
      <c r="P52" s="1970"/>
      <c r="Q52" s="1970"/>
      <c r="R52" s="1970"/>
      <c r="S52" s="1970"/>
      <c r="T52" s="1970"/>
      <c r="U52" s="1970"/>
      <c r="V52" s="1970"/>
      <c r="W52" s="1970"/>
    </row>
    <row r="53" spans="2:23" ht="14.85" customHeight="1">
      <c r="B53" s="467"/>
      <c r="C53" s="467"/>
      <c r="D53" s="1268"/>
      <c r="E53" s="1970"/>
      <c r="F53" s="1971"/>
      <c r="G53" s="1971"/>
      <c r="H53" s="1970"/>
      <c r="I53" s="1970"/>
      <c r="J53" s="1970"/>
      <c r="K53" s="1970"/>
      <c r="L53" s="1970"/>
      <c r="M53" s="1970"/>
      <c r="N53" s="1970"/>
      <c r="O53" s="1970"/>
      <c r="P53" s="1970"/>
      <c r="Q53" s="1970"/>
      <c r="R53" s="1970"/>
      <c r="S53" s="1970"/>
      <c r="T53" s="1970"/>
      <c r="U53" s="1970"/>
      <c r="V53" s="1970"/>
      <c r="W53" s="1970"/>
    </row>
    <row r="54" spans="2:23" ht="14.85" customHeight="1">
      <c r="B54" s="467"/>
      <c r="C54" s="467"/>
      <c r="D54" s="1268"/>
      <c r="E54" s="1970"/>
      <c r="F54" s="1971"/>
      <c r="G54" s="1971"/>
      <c r="H54" s="1970"/>
      <c r="I54" s="1970"/>
      <c r="J54" s="1970"/>
      <c r="K54" s="1970"/>
      <c r="L54" s="1970"/>
      <c r="M54" s="1970"/>
      <c r="N54" s="1970"/>
      <c r="O54" s="1970"/>
      <c r="P54" s="1970"/>
      <c r="Q54" s="1970"/>
      <c r="R54" s="1970"/>
      <c r="S54" s="1970"/>
      <c r="T54" s="1970"/>
      <c r="U54" s="1970"/>
      <c r="V54" s="1970"/>
      <c r="W54" s="1970"/>
    </row>
    <row r="55" spans="2:23" ht="14.85" customHeight="1">
      <c r="B55" s="467"/>
      <c r="C55" s="467"/>
      <c r="D55" s="1268"/>
      <c r="E55" s="1970"/>
      <c r="F55" s="1971"/>
      <c r="G55" s="1971"/>
      <c r="H55" s="1970"/>
      <c r="I55" s="1970"/>
      <c r="J55" s="1970"/>
      <c r="K55" s="1970"/>
      <c r="L55" s="1970"/>
      <c r="M55" s="1970"/>
      <c r="N55" s="1970"/>
      <c r="O55" s="1970"/>
      <c r="P55" s="1970"/>
      <c r="Q55" s="1970"/>
      <c r="R55" s="1970"/>
      <c r="S55" s="1970"/>
      <c r="T55" s="1970"/>
      <c r="U55" s="1970"/>
      <c r="V55" s="1970"/>
      <c r="W55" s="1970"/>
    </row>
    <row r="56" spans="2:23" ht="14.85" customHeight="1">
      <c r="B56" s="467"/>
      <c r="C56" s="467"/>
      <c r="D56" s="1268"/>
      <c r="E56" s="1970"/>
      <c r="F56" s="1971"/>
      <c r="G56" s="1971"/>
      <c r="H56" s="1970"/>
      <c r="I56" s="1970"/>
      <c r="J56" s="1970"/>
      <c r="K56" s="1970"/>
      <c r="L56" s="1970"/>
      <c r="M56" s="1970"/>
      <c r="N56" s="1970"/>
      <c r="O56" s="1970"/>
      <c r="P56" s="1970"/>
      <c r="Q56" s="1970"/>
      <c r="R56" s="1970"/>
      <c r="S56" s="1970"/>
      <c r="T56" s="1970"/>
      <c r="U56" s="1970"/>
      <c r="V56" s="1970"/>
      <c r="W56" s="1970"/>
    </row>
    <row r="57" spans="2:23" ht="14.85" customHeight="1">
      <c r="B57" s="467"/>
      <c r="C57" s="467"/>
      <c r="D57" s="1268"/>
      <c r="E57" s="1970"/>
      <c r="F57" s="1971"/>
      <c r="G57" s="1971"/>
      <c r="H57" s="1970"/>
      <c r="I57" s="1970"/>
      <c r="J57" s="1970"/>
      <c r="K57" s="1970"/>
      <c r="L57" s="1970"/>
      <c r="M57" s="1970"/>
      <c r="N57" s="1970"/>
      <c r="O57" s="1970"/>
      <c r="P57" s="1970"/>
      <c r="Q57" s="1970"/>
      <c r="R57" s="1970"/>
      <c r="S57" s="1970"/>
      <c r="T57" s="1970"/>
      <c r="U57" s="1970"/>
      <c r="V57" s="1970"/>
      <c r="W57" s="1970"/>
    </row>
    <row r="58" spans="2:23" ht="14.85" customHeight="1">
      <c r="B58" s="467"/>
      <c r="C58" s="467"/>
      <c r="D58" s="1268"/>
      <c r="E58" s="1970"/>
      <c r="F58" s="1971"/>
      <c r="G58" s="1971"/>
      <c r="H58" s="1970"/>
      <c r="I58" s="1970"/>
      <c r="J58" s="1970"/>
      <c r="K58" s="1970"/>
      <c r="L58" s="1970"/>
      <c r="M58" s="1970"/>
      <c r="N58" s="1970"/>
      <c r="O58" s="1970"/>
      <c r="P58" s="1970"/>
      <c r="Q58" s="1970"/>
      <c r="R58" s="1970"/>
      <c r="S58" s="1970"/>
      <c r="T58" s="1970"/>
      <c r="U58" s="1970"/>
      <c r="V58" s="1970"/>
      <c r="W58" s="1970"/>
    </row>
    <row r="59" spans="2:23" ht="14.85" customHeight="1">
      <c r="B59" s="467"/>
      <c r="C59" s="467"/>
      <c r="D59" s="1268"/>
      <c r="E59" s="1970"/>
      <c r="F59" s="1971"/>
      <c r="G59" s="1971"/>
      <c r="H59" s="1970"/>
      <c r="I59" s="1970"/>
      <c r="J59" s="1970"/>
      <c r="K59" s="1970"/>
      <c r="L59" s="1970"/>
      <c r="M59" s="1970"/>
      <c r="N59" s="1970"/>
      <c r="O59" s="1970"/>
      <c r="P59" s="1970"/>
      <c r="Q59" s="1970"/>
      <c r="R59" s="1970"/>
      <c r="S59" s="1970"/>
      <c r="T59" s="1970"/>
      <c r="U59" s="1970"/>
      <c r="V59" s="1970"/>
      <c r="W59" s="1970"/>
    </row>
    <row r="60" spans="2:23" ht="14.85" customHeight="1">
      <c r="B60" s="467"/>
      <c r="C60" s="467"/>
      <c r="D60" s="1268"/>
      <c r="E60" s="1970"/>
      <c r="F60" s="1971"/>
      <c r="G60" s="1971"/>
      <c r="H60" s="1970"/>
      <c r="I60" s="1970"/>
      <c r="J60" s="1970"/>
      <c r="K60" s="1970"/>
      <c r="L60" s="1970"/>
      <c r="M60" s="1970"/>
      <c r="N60" s="1970"/>
      <c r="O60" s="1970"/>
      <c r="P60" s="1970"/>
      <c r="Q60" s="1970"/>
      <c r="R60" s="1970"/>
      <c r="S60" s="1970"/>
      <c r="T60" s="1970"/>
      <c r="U60" s="1970"/>
      <c r="V60" s="1970"/>
      <c r="W60" s="1970"/>
    </row>
    <row r="61" spans="2:23" ht="14.85" customHeight="1">
      <c r="B61" s="467"/>
      <c r="C61" s="467"/>
      <c r="D61" s="1268"/>
      <c r="E61" s="1970"/>
      <c r="F61" s="1971"/>
      <c r="G61" s="1971"/>
      <c r="H61" s="1970"/>
      <c r="I61" s="1970"/>
      <c r="J61" s="1970"/>
      <c r="K61" s="1970"/>
      <c r="L61" s="1970"/>
      <c r="M61" s="1970"/>
      <c r="N61" s="1970"/>
      <c r="O61" s="1970"/>
      <c r="P61" s="1970"/>
      <c r="Q61" s="1970"/>
      <c r="R61" s="1970"/>
      <c r="S61" s="1970"/>
      <c r="T61" s="1970"/>
      <c r="U61" s="1970"/>
      <c r="V61" s="1970"/>
      <c r="W61" s="1970"/>
    </row>
    <row r="62" spans="2:23" ht="14.85" customHeight="1">
      <c r="B62" s="467"/>
      <c r="C62" s="467"/>
      <c r="D62" s="1268"/>
      <c r="E62" s="1970"/>
      <c r="F62" s="1971"/>
      <c r="G62" s="1971"/>
      <c r="H62" s="1970"/>
      <c r="I62" s="1970"/>
      <c r="J62" s="1970"/>
      <c r="K62" s="1970"/>
      <c r="L62" s="1970"/>
      <c r="M62" s="1970"/>
      <c r="N62" s="1970"/>
      <c r="O62" s="1970"/>
      <c r="P62" s="1970"/>
      <c r="Q62" s="1970"/>
      <c r="R62" s="1970"/>
      <c r="S62" s="1970"/>
      <c r="T62" s="1970"/>
      <c r="U62" s="1970"/>
      <c r="V62" s="1970"/>
      <c r="W62" s="1970"/>
    </row>
    <row r="63" spans="2:23" ht="14.85" customHeight="1">
      <c r="B63" s="467"/>
      <c r="C63" s="467"/>
      <c r="D63" s="1268"/>
      <c r="E63" s="1970"/>
      <c r="F63" s="1971"/>
      <c r="G63" s="1971"/>
      <c r="H63" s="1970"/>
      <c r="I63" s="1970"/>
      <c r="J63" s="1970"/>
      <c r="K63" s="1970"/>
      <c r="L63" s="1970"/>
      <c r="M63" s="1970"/>
      <c r="N63" s="1970"/>
      <c r="O63" s="1970"/>
      <c r="P63" s="1970"/>
      <c r="Q63" s="1970"/>
      <c r="R63" s="1970"/>
      <c r="S63" s="1970"/>
      <c r="T63" s="1970"/>
      <c r="U63" s="1970"/>
      <c r="V63" s="1970"/>
      <c r="W63" s="1970"/>
    </row>
    <row r="64" spans="2:23" ht="14.85" customHeight="1">
      <c r="B64" s="467"/>
      <c r="C64" s="467"/>
      <c r="D64" s="1268"/>
      <c r="E64" s="1970"/>
      <c r="F64" s="1971"/>
      <c r="G64" s="1971"/>
      <c r="H64" s="1970"/>
      <c r="I64" s="1970"/>
      <c r="J64" s="1970"/>
      <c r="K64" s="1970"/>
      <c r="L64" s="1970"/>
      <c r="M64" s="1970"/>
      <c r="N64" s="1970"/>
      <c r="O64" s="1970"/>
      <c r="P64" s="1970"/>
      <c r="Q64" s="1970"/>
      <c r="R64" s="1970"/>
      <c r="S64" s="1970"/>
      <c r="T64" s="1970"/>
      <c r="U64" s="1970"/>
      <c r="V64" s="1970"/>
      <c r="W64" s="1970"/>
    </row>
    <row r="65" spans="2:23" ht="14.85" customHeight="1">
      <c r="B65" s="467"/>
      <c r="C65" s="467"/>
      <c r="D65" s="1268"/>
      <c r="E65" s="1970"/>
      <c r="F65" s="1971"/>
      <c r="G65" s="1971"/>
      <c r="H65" s="1970"/>
      <c r="I65" s="1970"/>
      <c r="J65" s="1970"/>
      <c r="K65" s="1970"/>
      <c r="L65" s="1970"/>
      <c r="M65" s="1970"/>
      <c r="N65" s="1970"/>
      <c r="O65" s="1970"/>
      <c r="P65" s="1970"/>
      <c r="Q65" s="1970"/>
      <c r="R65" s="1970"/>
      <c r="S65" s="1970"/>
      <c r="T65" s="1970"/>
      <c r="U65" s="1970"/>
      <c r="V65" s="1970"/>
      <c r="W65" s="1970"/>
    </row>
    <row r="66" spans="2:23" ht="14.85" customHeight="1">
      <c r="B66" s="467"/>
      <c r="C66" s="467"/>
      <c r="D66" s="1268"/>
      <c r="E66" s="1970"/>
      <c r="F66" s="1971"/>
      <c r="G66" s="1971"/>
      <c r="H66" s="1970"/>
      <c r="I66" s="1970"/>
      <c r="J66" s="1970"/>
      <c r="K66" s="1970"/>
      <c r="L66" s="1970"/>
      <c r="M66" s="1970"/>
      <c r="N66" s="1970"/>
      <c r="O66" s="1970"/>
      <c r="P66" s="1970"/>
      <c r="Q66" s="1970"/>
      <c r="R66" s="1970"/>
      <c r="S66" s="1970"/>
      <c r="T66" s="1970"/>
      <c r="U66" s="1970"/>
      <c r="V66" s="1970"/>
      <c r="W66" s="1970"/>
    </row>
    <row r="67" spans="2:23" ht="14.85" customHeight="1">
      <c r="B67" s="467"/>
      <c r="C67" s="467"/>
      <c r="D67" s="1268"/>
      <c r="E67" s="1970"/>
      <c r="F67" s="1971"/>
      <c r="G67" s="1971"/>
      <c r="H67" s="1970"/>
      <c r="I67" s="1970"/>
      <c r="J67" s="1970"/>
      <c r="K67" s="1970"/>
      <c r="L67" s="1970"/>
      <c r="M67" s="1970"/>
      <c r="N67" s="1970"/>
      <c r="O67" s="1970"/>
      <c r="P67" s="1970"/>
      <c r="Q67" s="1970"/>
      <c r="R67" s="1970"/>
      <c r="S67" s="1970"/>
      <c r="T67" s="1970"/>
      <c r="U67" s="1970"/>
      <c r="V67" s="1970"/>
      <c r="W67" s="1970"/>
    </row>
    <row r="68" spans="2:23" ht="14.85" customHeight="1">
      <c r="B68" s="467"/>
      <c r="C68" s="467"/>
      <c r="D68" s="1268"/>
      <c r="E68" s="1970"/>
      <c r="F68" s="1971"/>
      <c r="G68" s="1971"/>
      <c r="H68" s="1970"/>
      <c r="I68" s="1970"/>
      <c r="J68" s="1970"/>
      <c r="K68" s="1970"/>
      <c r="L68" s="1970"/>
      <c r="M68" s="1970"/>
      <c r="N68" s="1970"/>
      <c r="O68" s="1970"/>
      <c r="P68" s="1970"/>
      <c r="Q68" s="1970"/>
      <c r="R68" s="1970"/>
      <c r="S68" s="1970"/>
      <c r="T68" s="1970"/>
      <c r="U68" s="1970"/>
      <c r="V68" s="1970"/>
      <c r="W68" s="1970"/>
    </row>
    <row r="69" spans="2:23" ht="14.85" customHeight="1">
      <c r="B69" s="467"/>
      <c r="C69" s="467"/>
      <c r="D69" s="1268"/>
      <c r="E69" s="1970"/>
      <c r="F69" s="1971"/>
      <c r="G69" s="1971"/>
      <c r="H69" s="1970"/>
      <c r="I69" s="1970"/>
      <c r="J69" s="1970"/>
      <c r="K69" s="1970"/>
      <c r="L69" s="1970"/>
      <c r="M69" s="1970"/>
      <c r="N69" s="1970"/>
      <c r="O69" s="1970"/>
      <c r="P69" s="1970"/>
      <c r="Q69" s="1970"/>
      <c r="R69" s="1970"/>
      <c r="S69" s="1970"/>
      <c r="T69" s="1970"/>
      <c r="U69" s="1970"/>
      <c r="V69" s="1970"/>
      <c r="W69" s="1970"/>
    </row>
    <row r="70" spans="2:23" ht="14.85" customHeight="1">
      <c r="B70" s="675"/>
      <c r="C70" s="467"/>
      <c r="D70" s="885"/>
      <c r="E70" s="1984"/>
      <c r="F70" s="1985"/>
      <c r="G70" s="1985"/>
      <c r="H70" s="467"/>
      <c r="I70" s="467"/>
      <c r="J70" s="467"/>
      <c r="K70" s="467"/>
      <c r="L70" s="467"/>
      <c r="M70" s="467"/>
      <c r="N70" s="467"/>
      <c r="O70" s="467"/>
      <c r="P70" s="467"/>
      <c r="Q70" s="467"/>
      <c r="R70" s="467"/>
      <c r="S70" s="467"/>
      <c r="T70" s="467"/>
      <c r="U70" s="467"/>
      <c r="V70" s="467"/>
      <c r="W70" s="467"/>
    </row>
    <row r="71" spans="2:23" ht="14.85" customHeight="1">
      <c r="B71" s="467"/>
      <c r="C71" s="467"/>
      <c r="D71" s="467"/>
      <c r="E71" s="467"/>
      <c r="F71" s="467"/>
      <c r="G71" s="467"/>
      <c r="H71" s="467"/>
      <c r="I71" s="467"/>
      <c r="J71" s="467"/>
      <c r="K71" s="467"/>
      <c r="L71" s="467"/>
      <c r="M71" s="467"/>
      <c r="N71" s="467"/>
      <c r="O71" s="467"/>
      <c r="P71" s="467"/>
      <c r="Q71" s="467"/>
      <c r="R71" s="467"/>
      <c r="S71" s="467"/>
      <c r="T71" s="467"/>
      <c r="U71" s="467"/>
      <c r="V71" s="467"/>
      <c r="W71" s="467"/>
    </row>
    <row r="72" spans="2:23" ht="14.85" customHeight="1">
      <c r="B72" s="467"/>
      <c r="C72" s="467"/>
      <c r="D72" s="467"/>
      <c r="E72" s="467"/>
      <c r="F72" s="467"/>
      <c r="G72" s="467"/>
      <c r="H72" s="467"/>
      <c r="I72" s="467"/>
      <c r="J72" s="467"/>
      <c r="K72" s="467"/>
      <c r="L72" s="467"/>
      <c r="M72" s="467"/>
      <c r="N72" s="467"/>
      <c r="O72" s="467"/>
      <c r="P72" s="467"/>
      <c r="Q72" s="467"/>
      <c r="R72" s="467"/>
      <c r="S72" s="467"/>
      <c r="T72" s="467"/>
      <c r="U72" s="467"/>
      <c r="V72" s="467"/>
      <c r="W72" s="467"/>
    </row>
    <row r="73" spans="2:23" ht="14.85" customHeight="1">
      <c r="B73" s="467"/>
      <c r="C73" s="467"/>
      <c r="D73" s="467"/>
      <c r="E73" s="467"/>
      <c r="F73" s="467"/>
      <c r="G73" s="467"/>
      <c r="H73" s="467"/>
      <c r="I73" s="467"/>
      <c r="J73" s="467"/>
      <c r="K73" s="467"/>
      <c r="L73" s="467"/>
      <c r="M73" s="467"/>
      <c r="N73" s="467"/>
      <c r="O73" s="467"/>
      <c r="P73" s="467"/>
      <c r="Q73" s="467"/>
      <c r="R73" s="467"/>
      <c r="S73" s="467"/>
      <c r="T73" s="467"/>
      <c r="U73" s="467"/>
      <c r="V73" s="467"/>
      <c r="W73" s="467"/>
    </row>
    <row r="74" spans="2:23" ht="14.85" customHeight="1">
      <c r="B74" s="467"/>
      <c r="C74" s="467"/>
      <c r="D74" s="467"/>
      <c r="E74" s="467"/>
      <c r="F74" s="467"/>
      <c r="G74" s="467"/>
      <c r="H74" s="467"/>
      <c r="I74" s="467"/>
      <c r="J74" s="467"/>
      <c r="K74" s="467"/>
      <c r="L74" s="467"/>
      <c r="M74" s="467"/>
      <c r="N74" s="467"/>
      <c r="O74" s="467"/>
      <c r="P74" s="467"/>
      <c r="Q74" s="467"/>
      <c r="R74" s="467"/>
      <c r="S74" s="467"/>
      <c r="T74" s="467"/>
      <c r="U74" s="467"/>
      <c r="V74" s="467"/>
      <c r="W74" s="467"/>
    </row>
    <row r="75" spans="2:23" ht="14.85" customHeight="1">
      <c r="B75" s="467"/>
      <c r="C75" s="467"/>
      <c r="D75" s="467"/>
      <c r="E75" s="467"/>
      <c r="F75" s="467"/>
      <c r="G75" s="467"/>
      <c r="H75" s="467"/>
      <c r="I75" s="467"/>
      <c r="J75" s="467"/>
      <c r="K75" s="467"/>
      <c r="L75" s="467"/>
      <c r="M75" s="467"/>
      <c r="N75" s="467"/>
      <c r="O75" s="467"/>
      <c r="P75" s="467"/>
      <c r="Q75" s="467"/>
      <c r="R75" s="467"/>
      <c r="S75" s="467"/>
      <c r="T75" s="467"/>
      <c r="U75" s="467"/>
      <c r="V75" s="467"/>
      <c r="W75" s="467"/>
    </row>
    <row r="76" spans="2:23" ht="14.85" customHeight="1">
      <c r="B76" s="467"/>
      <c r="C76" s="467"/>
      <c r="D76" s="467"/>
      <c r="E76" s="467"/>
      <c r="F76" s="467"/>
      <c r="G76" s="467"/>
      <c r="H76" s="467"/>
      <c r="I76" s="467"/>
      <c r="J76" s="467"/>
      <c r="K76" s="467"/>
      <c r="L76" s="467"/>
      <c r="M76" s="467"/>
      <c r="N76" s="467"/>
      <c r="O76" s="467"/>
      <c r="P76" s="467"/>
      <c r="Q76" s="467"/>
      <c r="R76" s="467"/>
      <c r="S76" s="467"/>
      <c r="T76" s="467"/>
      <c r="U76" s="467"/>
      <c r="V76" s="467"/>
      <c r="W76" s="467"/>
    </row>
    <row r="77" spans="2:23" ht="14.85" customHeight="1">
      <c r="B77" s="467"/>
      <c r="C77" s="467"/>
      <c r="D77" s="467"/>
      <c r="E77" s="467"/>
      <c r="F77" s="467"/>
      <c r="G77" s="467"/>
      <c r="H77" s="467"/>
      <c r="I77" s="467"/>
      <c r="J77" s="467"/>
      <c r="K77" s="467"/>
      <c r="L77" s="467"/>
      <c r="M77" s="467"/>
      <c r="N77" s="467"/>
      <c r="O77" s="467"/>
      <c r="P77" s="467"/>
      <c r="Q77" s="467"/>
      <c r="R77" s="467"/>
      <c r="S77" s="467"/>
      <c r="T77" s="467"/>
      <c r="U77" s="467"/>
      <c r="V77" s="467"/>
      <c r="W77" s="467"/>
    </row>
    <row r="78" spans="2:23" ht="14.85" customHeight="1">
      <c r="B78" s="467"/>
      <c r="C78" s="467"/>
      <c r="D78" s="467"/>
      <c r="E78" s="467"/>
      <c r="F78" s="467"/>
      <c r="G78" s="467"/>
      <c r="H78" s="467"/>
      <c r="I78" s="467"/>
      <c r="J78" s="467"/>
      <c r="K78" s="467"/>
      <c r="L78" s="467"/>
      <c r="M78" s="467"/>
      <c r="N78" s="467"/>
      <c r="O78" s="467"/>
      <c r="P78" s="467"/>
      <c r="Q78" s="467"/>
      <c r="R78" s="467"/>
      <c r="S78" s="467"/>
      <c r="T78" s="467"/>
      <c r="U78" s="467"/>
      <c r="V78" s="467"/>
      <c r="W78" s="467"/>
    </row>
    <row r="79" spans="2:23" ht="14.85" customHeight="1">
      <c r="B79" s="467"/>
      <c r="C79" s="467"/>
      <c r="D79" s="467"/>
      <c r="E79" s="467"/>
      <c r="F79" s="467"/>
      <c r="G79" s="467"/>
      <c r="H79" s="467"/>
      <c r="I79" s="467"/>
      <c r="J79" s="467"/>
      <c r="K79" s="467"/>
      <c r="L79" s="467"/>
      <c r="M79" s="467"/>
      <c r="N79" s="467"/>
      <c r="O79" s="467"/>
      <c r="P79" s="467"/>
      <c r="Q79" s="467"/>
      <c r="R79" s="467"/>
      <c r="S79" s="467"/>
      <c r="T79" s="467"/>
      <c r="U79" s="467"/>
      <c r="V79" s="467"/>
      <c r="W79" s="467"/>
    </row>
    <row r="80" spans="2:23"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J4">
    <cfRule type="cellIs" dxfId="57" priority="3" stopIfTrue="1" operator="equal">
      <formula>"input"</formula>
    </cfRule>
  </conditionalFormatting>
  <conditionalFormatting sqref="K4:V4">
    <cfRule type="cellIs" dxfId="56" priority="2" stopIfTrue="1" operator="equal">
      <formula>"input"</formula>
    </cfRule>
  </conditionalFormatting>
  <conditionalFormatting sqref="W4">
    <cfRule type="cellIs" dxfId="55" priority="1" stopIfTrue="1" operator="equal">
      <formula>"input"</formula>
    </cfRule>
  </conditionalFormatting>
  <pageMargins left="0.5" right="0.5" top="0.5" bottom="0.5" header="0.5" footer="0.5"/>
  <pageSetup scale="65" fitToWidth="0" fitToHeight="0" orientation="landscape" r:id="rId1"/>
  <legacyDrawingHF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49"/>
  <dimension ref="B1:AG764"/>
  <sheetViews>
    <sheetView showGridLines="0" view="pageBreakPreview" zoomScale="80" zoomScaleNormal="100" zoomScaleSheetLayoutView="80" workbookViewId="0"/>
  </sheetViews>
  <sheetFormatPr defaultRowHeight="12.75" outlineLevelCol="1"/>
  <cols>
    <col min="1" max="1" width="2.83203125" style="250" customWidth="1"/>
    <col min="2" max="2" width="40.83203125" style="250" customWidth="1"/>
    <col min="3" max="3" width="2.83203125" style="250" customWidth="1"/>
    <col min="4" max="4" width="12.6640625" style="250" customWidth="1"/>
    <col min="5" max="5" width="12.33203125" style="250" customWidth="1"/>
    <col min="6" max="11" width="11.83203125" style="250" hidden="1" customWidth="1" outlineLevel="1"/>
    <col min="12" max="12" width="11.83203125" style="250" customWidth="1" collapsed="1"/>
    <col min="13" max="13" width="2.83203125" style="250" customWidth="1"/>
    <col min="14" max="14" width="13.6640625" style="250" customWidth="1"/>
    <col min="15" max="15" width="12.33203125" style="250" customWidth="1"/>
    <col min="16" max="17" width="12.83203125" style="250" hidden="1" customWidth="1" outlineLevel="1"/>
    <col min="18" max="18" width="21.5" style="250" hidden="1" customWidth="1" outlineLevel="1"/>
    <col min="19" max="21" width="12.83203125" style="250" hidden="1" customWidth="1" outlineLevel="1"/>
    <col min="22" max="22" width="12.5" style="250" customWidth="1" collapsed="1"/>
    <col min="23" max="23" width="2.83203125" style="250" customWidth="1"/>
    <col min="24" max="26" width="12.83203125" style="250" customWidth="1"/>
    <col min="27" max="28" width="2.83203125" style="250" customWidth="1"/>
    <col min="29" max="29" width="18.83203125" style="250" bestFit="1" customWidth="1"/>
    <col min="30" max="30" width="19.83203125" style="250" customWidth="1"/>
    <col min="31" max="31" width="17.83203125" style="250" bestFit="1" customWidth="1"/>
    <col min="32" max="32" width="20.5" style="250" customWidth="1"/>
    <col min="33" max="33" width="17" style="250" customWidth="1"/>
    <col min="34" max="16384" width="9.33203125" style="250"/>
  </cols>
  <sheetData>
    <row r="1" spans="2:33" ht="10.7" customHeight="1" thickBot="1"/>
    <row r="2" spans="2:33" ht="16.5" customHeight="1" thickTop="1">
      <c r="B2" s="258" t="str">
        <f>'MASTER PubCo Inputs'!$C$5</f>
        <v>ABC, Inc.</v>
      </c>
      <c r="C2" s="258"/>
      <c r="D2" s="258"/>
      <c r="E2" s="258"/>
      <c r="F2" s="258"/>
      <c r="G2" s="258"/>
      <c r="H2" s="258"/>
      <c r="I2" s="258"/>
      <c r="J2" s="258"/>
      <c r="K2" s="258"/>
      <c r="L2" s="258"/>
      <c r="M2" s="258"/>
      <c r="N2" s="258"/>
      <c r="O2" s="258"/>
      <c r="P2" s="258"/>
      <c r="Q2" s="258"/>
      <c r="R2" s="258"/>
      <c r="S2" s="258"/>
      <c r="T2" s="258"/>
      <c r="U2" s="258"/>
      <c r="V2" s="258"/>
      <c r="W2" s="258"/>
      <c r="X2" s="258"/>
      <c r="Y2" s="258"/>
      <c r="Z2" s="258"/>
      <c r="AC2" s="1986" t="s">
        <v>776</v>
      </c>
      <c r="AD2" s="1987">
        <f>'Capital IQ Sheet-GPC'!B8</f>
        <v>42376</v>
      </c>
      <c r="AF2" s="1986" t="s">
        <v>476</v>
      </c>
      <c r="AG2" s="1987">
        <f>'Capital IQ Sheet-GPC'!L2</f>
        <v>42704</v>
      </c>
    </row>
    <row r="3" spans="2:33" ht="15.75" customHeight="1">
      <c r="B3" s="259" t="str">
        <f>VLOOKUP(B4,Outline!$E$8:$G$79,COLUMNS(Outline!$E$8:$G$8),FALSE)</f>
        <v>Workpaper #7</v>
      </c>
      <c r="C3" s="259"/>
      <c r="D3" s="259"/>
      <c r="E3" s="259"/>
      <c r="F3" s="259"/>
      <c r="G3" s="259"/>
      <c r="H3" s="259"/>
      <c r="I3" s="259"/>
      <c r="J3" s="259"/>
      <c r="K3" s="259"/>
      <c r="L3" s="259"/>
      <c r="M3" s="259"/>
      <c r="N3" s="259"/>
      <c r="O3" s="259"/>
      <c r="P3" s="259"/>
      <c r="Q3" s="259"/>
      <c r="R3" s="259"/>
      <c r="S3" s="259"/>
      <c r="T3" s="259"/>
      <c r="U3" s="259"/>
      <c r="V3" s="259"/>
      <c r="W3" s="259"/>
      <c r="X3" s="259"/>
      <c r="Y3" s="259"/>
      <c r="Z3" s="259"/>
      <c r="AC3" s="466" t="s">
        <v>489</v>
      </c>
      <c r="AD3" s="1269" t="str">
        <f>'Capital IQ Sheet-GPC'!L3</f>
        <v>F</v>
      </c>
      <c r="AF3" s="466" t="s">
        <v>489</v>
      </c>
      <c r="AG3" s="1269" t="str">
        <f>AD3</f>
        <v>F</v>
      </c>
    </row>
    <row r="4" spans="2:33" ht="16.5" customHeight="1" thickBot="1">
      <c r="B4" s="924" t="s">
        <v>3472</v>
      </c>
      <c r="C4" s="924"/>
      <c r="D4" s="924"/>
      <c r="E4" s="925"/>
      <c r="F4" s="925"/>
      <c r="G4" s="925"/>
      <c r="H4" s="925"/>
      <c r="I4" s="925"/>
      <c r="J4" s="925"/>
      <c r="K4" s="925"/>
      <c r="L4" s="925"/>
      <c r="M4" s="925"/>
      <c r="N4" s="925"/>
      <c r="O4" s="925"/>
      <c r="P4" s="925"/>
      <c r="Q4" s="925"/>
      <c r="R4" s="925"/>
      <c r="S4" s="925"/>
      <c r="T4" s="925"/>
      <c r="U4" s="925"/>
      <c r="V4" s="925"/>
      <c r="W4" s="925"/>
      <c r="X4" s="925"/>
      <c r="Y4" s="925"/>
      <c r="Z4" s="925" t="str">
        <f>+'MASTER PubCo Inputs'!$C$25</f>
        <v>(in millions of USD, except stock price)</v>
      </c>
      <c r="AC4" s="466" t="s">
        <v>490</v>
      </c>
      <c r="AD4" s="1269" t="str">
        <f>'Capital IQ Sheet-GPC'!L4</f>
        <v>LFR</v>
      </c>
      <c r="AF4" s="466" t="s">
        <v>490</v>
      </c>
      <c r="AG4" s="1269" t="str">
        <f>AD4</f>
        <v>LFR</v>
      </c>
    </row>
    <row r="5" spans="2:33" ht="14.85" customHeight="1" thickTop="1">
      <c r="B5" s="1229"/>
      <c r="C5" s="1229"/>
      <c r="D5" s="1229"/>
      <c r="N5" s="1229"/>
      <c r="AC5" s="518" t="s">
        <v>89</v>
      </c>
      <c r="AD5" s="1988" t="str">
        <f>'Capital IQ Sheet-GPC'!L6</f>
        <v>H</v>
      </c>
      <c r="AF5" s="518" t="s">
        <v>89</v>
      </c>
      <c r="AG5" s="1988" t="str">
        <f>AD5</f>
        <v>H</v>
      </c>
    </row>
    <row r="6" spans="2:33" ht="14.85" customHeight="1">
      <c r="D6" s="1574" t="s">
        <v>816</v>
      </c>
      <c r="E6" s="1574"/>
      <c r="F6" s="1574"/>
      <c r="G6" s="1574"/>
      <c r="H6" s="1574"/>
      <c r="I6" s="1574"/>
      <c r="J6" s="1574"/>
      <c r="K6" s="1574"/>
      <c r="L6" s="1574"/>
      <c r="N6" s="1574" t="s">
        <v>817</v>
      </c>
      <c r="O6" s="1244"/>
      <c r="P6" s="1244"/>
      <c r="Q6" s="1244"/>
      <c r="R6" s="1244"/>
      <c r="S6" s="1244"/>
      <c r="T6" s="1244"/>
      <c r="U6" s="1244"/>
      <c r="V6" s="1244"/>
    </row>
    <row r="7" spans="2:33" ht="14.85" customHeight="1">
      <c r="D7" s="1989" t="str">
        <f>"As of "&amp;TEXT($AD$2,"MM/DD/YY")</f>
        <v>As of 01/07/16</v>
      </c>
      <c r="E7" s="1990"/>
      <c r="F7" s="1990"/>
      <c r="G7" s="1990"/>
      <c r="H7" s="1990"/>
      <c r="I7" s="1990"/>
      <c r="J7" s="1990"/>
      <c r="K7" s="1990"/>
      <c r="L7" s="1077"/>
      <c r="N7" s="1989" t="str">
        <f>"As of "&amp;TEXT($AG$2,"MM/DD/YY")</f>
        <v>As of 11/30/16</v>
      </c>
      <c r="O7" s="1990"/>
      <c r="P7" s="1990"/>
      <c r="Q7" s="1990"/>
      <c r="R7" s="1990"/>
      <c r="S7" s="1990"/>
      <c r="T7" s="1990"/>
      <c r="U7" s="1990"/>
      <c r="V7" s="1077"/>
      <c r="W7" s="424"/>
      <c r="X7" s="1991" t="s">
        <v>3471</v>
      </c>
      <c r="Y7" s="1990"/>
      <c r="Z7" s="1077"/>
      <c r="AC7" s="325" t="s">
        <v>1137</v>
      </c>
      <c r="AD7" s="1992">
        <v>1</v>
      </c>
      <c r="AE7" s="325" t="s">
        <v>1138</v>
      </c>
      <c r="AF7" s="1992">
        <v>-0.3</v>
      </c>
    </row>
    <row r="8" spans="2:33" s="272" customFormat="1" ht="35.25" customHeight="1">
      <c r="B8" s="1993" t="s">
        <v>815</v>
      </c>
      <c r="C8" s="1994"/>
      <c r="D8" s="1995" t="s">
        <v>774</v>
      </c>
      <c r="E8" s="1996" t="s">
        <v>94</v>
      </c>
      <c r="F8" s="1996" t="s">
        <v>95</v>
      </c>
      <c r="G8" s="1996" t="s">
        <v>96</v>
      </c>
      <c r="H8" s="1996" t="s">
        <v>97</v>
      </c>
      <c r="I8" s="1996" t="s">
        <v>98</v>
      </c>
      <c r="J8" s="1996" t="s">
        <v>99</v>
      </c>
      <c r="K8" s="1996" t="s">
        <v>100</v>
      </c>
      <c r="L8" s="1997" t="s">
        <v>101</v>
      </c>
      <c r="M8" s="347"/>
      <c r="N8" s="1520" t="s">
        <v>774</v>
      </c>
      <c r="O8" s="1996" t="s">
        <v>94</v>
      </c>
      <c r="P8" s="1996" t="s">
        <v>95</v>
      </c>
      <c r="Q8" s="1996" t="s">
        <v>96</v>
      </c>
      <c r="R8" s="1996" t="s">
        <v>97</v>
      </c>
      <c r="S8" s="1996" t="s">
        <v>98</v>
      </c>
      <c r="T8" s="1996" t="s">
        <v>99</v>
      </c>
      <c r="U8" s="1996" t="s">
        <v>100</v>
      </c>
      <c r="V8" s="1997" t="s">
        <v>101</v>
      </c>
      <c r="W8" s="1998"/>
      <c r="X8" s="1995" t="s">
        <v>775</v>
      </c>
      <c r="Y8" s="1996" t="s">
        <v>94</v>
      </c>
      <c r="Z8" s="1997" t="s">
        <v>101</v>
      </c>
      <c r="AA8" s="347"/>
      <c r="AB8" s="347"/>
      <c r="AC8" s="1170" t="s">
        <v>108</v>
      </c>
    </row>
    <row r="9" spans="2:33" ht="14.85" customHeight="1">
      <c r="B9" s="1999"/>
      <c r="C9" s="1999"/>
      <c r="D9" s="1999"/>
      <c r="N9" s="1999"/>
      <c r="AC9" s="1179"/>
    </row>
    <row r="10" spans="2:33" s="1180" customFormat="1" ht="14.85" customHeight="1">
      <c r="B10" s="516"/>
      <c r="C10" s="723"/>
      <c r="D10" s="723"/>
      <c r="E10" s="250"/>
      <c r="F10" s="250"/>
      <c r="G10" s="250"/>
      <c r="H10" s="250"/>
      <c r="I10" s="250"/>
      <c r="J10" s="250"/>
      <c r="K10" s="250"/>
      <c r="L10" s="250"/>
      <c r="N10" s="723"/>
      <c r="O10" s="250"/>
      <c r="P10" s="250"/>
      <c r="Q10" s="250"/>
      <c r="R10" s="250"/>
      <c r="S10" s="250"/>
      <c r="T10" s="250"/>
      <c r="U10" s="250"/>
      <c r="V10" s="250"/>
      <c r="Y10" s="1345"/>
    </row>
    <row r="11" spans="2:33" ht="14.85" customHeight="1">
      <c r="B11" s="1065" t="str">
        <f>'Capital IQ Sheet-GPC'!C13</f>
        <v>Spark Therapeutics, Inc.</v>
      </c>
      <c r="C11" s="2000"/>
      <c r="D11" s="1432">
        <f>'Capital IQ Sheet-GPC'!BE13</f>
        <v>34.299999999999997</v>
      </c>
      <c r="E11" s="1432">
        <f>'Capital IQ Sheet-GPC'!BF13</f>
        <v>919.13576</v>
      </c>
      <c r="F11" s="1432">
        <f>'Capital IQ Sheet-GPC'!BG13</f>
        <v>0</v>
      </c>
      <c r="G11" s="1432">
        <f>'Capital IQ Sheet-GPC'!BH13</f>
        <v>0</v>
      </c>
      <c r="H11" s="1432">
        <f>'Capital IQ Sheet-GPC'!BI13</f>
        <v>0</v>
      </c>
      <c r="I11" s="1432">
        <f>SUM(F11:H11)</f>
        <v>0</v>
      </c>
      <c r="J11" s="1432">
        <f>SUM(E11:H11)</f>
        <v>919.13576</v>
      </c>
      <c r="K11" s="1432">
        <f>'Capital IQ Sheet-GPC'!BJ13</f>
        <v>212.1592</v>
      </c>
      <c r="L11" s="1432">
        <f>IF(ISERROR(J11-K11), "n/a", J11-K11)</f>
        <v>706.97656000000006</v>
      </c>
      <c r="M11" s="893"/>
      <c r="N11" s="1432">
        <f>'Capital IQ Sheet-GPC'!I13</f>
        <v>55.01</v>
      </c>
      <c r="O11" s="1432">
        <f>'Capital IQ Sheet-GPC'!J13</f>
        <v>1692.82537</v>
      </c>
      <c r="P11" s="1432">
        <f>'Capital IQ Sheet-GPC'!K13</f>
        <v>1.57541</v>
      </c>
      <c r="Q11" s="1432">
        <f>'Capital IQ Sheet-GPC'!L13</f>
        <v>0</v>
      </c>
      <c r="R11" s="1432">
        <f>'Capital IQ Sheet-GPC'!M13</f>
        <v>0</v>
      </c>
      <c r="S11" s="1432">
        <f>SUM(P11:R11)</f>
        <v>1.57541</v>
      </c>
      <c r="T11" s="1432">
        <f>SUM(O11:R11)</f>
        <v>1694.4007799999999</v>
      </c>
      <c r="U11" s="1432">
        <f>'Capital IQ Sheet-GPC'!N13</f>
        <v>306.64877999999999</v>
      </c>
      <c r="V11" s="1432">
        <f>IF(ISERROR(T11-U11), "n/a", T11-U11)</f>
        <v>1387.752</v>
      </c>
      <c r="X11" s="1345">
        <f>IFERROR(IF(OR(N11/D11-1&gt;$AD$7,N11/D11-1&lt;$AF$7),"NM",N11/D11-1),"n/a")</f>
        <v>0.60379008746355689</v>
      </c>
      <c r="Y11" s="1345">
        <f>IFERROR(IF(OR(O11/E11-1&gt;$AD$7,O11/E11-1&lt;$AF$7),"NM",O11/E11-1),"n/a")</f>
        <v>0.84175770726187382</v>
      </c>
      <c r="Z11" s="1345">
        <f>IFERROR(IF(OR(V11/L11-1&gt;$AD$7,V11/L11-1&lt;$AF$7),"NM",V11/L11-1),"n/a")</f>
        <v>0.9629391956078428</v>
      </c>
      <c r="AC11" s="1177" t="str">
        <f>IF('MASTER PubCo Inputs'!C28="","",'MASTER PubCo Inputs'!C28)</f>
        <v>IQ249341857</v>
      </c>
      <c r="AD11" s="250" t="str">
        <f>'Capital IQ Sheet-GPC'!AP13</f>
        <v>Spark Therapeutics, Inc. focuses on the development of gene therapy products for patients suffering from debilitating genetic diseases. Its products include voretigene neparvovec, which is in Phase III clinical trial for the treatment of genetic blinding conditions called inherited retinal diseases caused by non sex-linked, autosomal recessive, or biallelic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a form of Batten disease and Huntington's disease; RhoNova for the treatment of rhodopsin-linked autosomal dominant retinitis pigmentosa; and SPK-LHON for treating Leber hereditary optic neuropathy, as well as preclinical programs in development for the treatment of rare genetic blinding conditions, hematologic disorders,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2" spans="2:33" ht="14.85" customHeight="1">
      <c r="B12" s="1065" t="str">
        <f>'Capital IQ Sheet-GPC'!C14</f>
        <v>CRISPR Therapeutics AG</v>
      </c>
      <c r="C12" s="2000"/>
      <c r="D12" s="1432">
        <f>'Capital IQ Sheet-GPC'!BE14</f>
        <v>0</v>
      </c>
      <c r="E12" s="1432">
        <f>'Capital IQ Sheet-GPC'!BF14</f>
        <v>0</v>
      </c>
      <c r="F12" s="1432">
        <f>'Capital IQ Sheet-GPC'!BG14</f>
        <v>0</v>
      </c>
      <c r="G12" s="1432">
        <f>'Capital IQ Sheet-GPC'!BH14</f>
        <v>0</v>
      </c>
      <c r="H12" s="1432">
        <f>'Capital IQ Sheet-GPC'!BI14</f>
        <v>0</v>
      </c>
      <c r="I12" s="1432">
        <f t="shared" ref="I12:I34" si="0">SUM(F12:H12)</f>
        <v>0</v>
      </c>
      <c r="J12" s="1432">
        <f t="shared" ref="J12:J34" si="1">SUM(E12:H12)</f>
        <v>0</v>
      </c>
      <c r="K12" s="1432">
        <f>'Capital IQ Sheet-GPC'!BJ14</f>
        <v>0</v>
      </c>
      <c r="L12" s="1432">
        <f t="shared" ref="L12:L34" si="2">IF(ISERROR(J12-K12), "n/a", J12-K12)</f>
        <v>0</v>
      </c>
      <c r="M12" s="893"/>
      <c r="N12" s="1432">
        <f>'Capital IQ Sheet-GPC'!I14</f>
        <v>21.82</v>
      </c>
      <c r="O12" s="1432">
        <f>'Capital IQ Sheet-GPC'!J14</f>
        <v>868.62804000000006</v>
      </c>
      <c r="P12" s="1432">
        <f>'Capital IQ Sheet-GPC'!K14</f>
        <v>0</v>
      </c>
      <c r="Q12" s="1432">
        <f>'Capital IQ Sheet-GPC'!L14</f>
        <v>185.565</v>
      </c>
      <c r="R12" s="1432">
        <f>'Capital IQ Sheet-GPC'!M14</f>
        <v>-5.0999999999999997E-2</v>
      </c>
      <c r="S12" s="1432">
        <f t="shared" ref="S12:S34" si="3">SUM(P12:R12)</f>
        <v>185.51400000000001</v>
      </c>
      <c r="T12" s="1432">
        <f t="shared" ref="T12:T34" si="4">SUM(O12:R12)</f>
        <v>1054.1420400000002</v>
      </c>
      <c r="U12" s="1432">
        <f>'Capital IQ Sheet-GPC'!N14</f>
        <v>228.613</v>
      </c>
      <c r="V12" s="1432">
        <f t="shared" ref="V12:V34" si="5">IF(ISERROR(T12-U12), "n/a", T12-U12)</f>
        <v>825.52904000000012</v>
      </c>
      <c r="X12" s="1345" t="str">
        <f t="shared" ref="X12:X40" si="6">IFERROR(IF(OR(N12/D12-1&gt;$AD$7,N12/D12-1&lt;$AF$7),"NM",N12/D12-1),"n/a")</f>
        <v>n/a</v>
      </c>
      <c r="Y12" s="1345" t="str">
        <f t="shared" ref="Y12:Y40" si="7">IFERROR(IF(OR(O12/E12-1&gt;$AD$7,O12/E12-1&lt;$AF$7),"NM",O12/E12-1),"n/a")</f>
        <v>n/a</v>
      </c>
      <c r="Z12" s="1345" t="str">
        <f t="shared" ref="Z12:Z40" si="8">IFERROR(IF(OR(V12/L12-1&gt;$AD$7,V12/L12-1&lt;$AF$7),"NM",V12/L12-1),"n/a")</f>
        <v>n/a</v>
      </c>
      <c r="AC12" s="1177" t="str">
        <f>IF('MASTER PubCo Inputs'!C29="","",'MASTER PubCo Inputs'!C29)</f>
        <v>IQ262549448</v>
      </c>
      <c r="AD12" s="250" t="str">
        <f>'Capital IQ Sheet-GPC'!AP14</f>
        <v>CRISPR Therapeutics AG, a gene editing company, focuses on developing transformative gene-based medicines for the treatment of serious human diseases using its proprietary clustered, regularly interspaced short palindromic repeats associated protein-9 (CRISPR/Cas9 )gene-editing platform in Switzerland. The CRISPR/Cas9 technology allows for changes to genomic DNA. It has a collaboration agreement with Vertex Pharmaceuticals, Incorporated to develop, manufacture, commercialize, sell, and use therapeutics; and license agreement with Anagenesis Biotechnologies SAS. CRISPR Therapeutics AG is headquartered in Basel, Switzerland.</v>
      </c>
    </row>
    <row r="13" spans="2:33" ht="14.85" customHeight="1">
      <c r="B13" s="1065" t="str">
        <f>'Capital IQ Sheet-GPC'!C15</f>
        <v>WAVE Life Sciences Ltd.</v>
      </c>
      <c r="C13" s="2000"/>
      <c r="D13" s="1432">
        <f>'Capital IQ Sheet-GPC'!BE15</f>
        <v>14.06</v>
      </c>
      <c r="E13" s="1432">
        <f>'Capital IQ Sheet-GPC'!BF15</f>
        <v>303.01301000000001</v>
      </c>
      <c r="F13" s="1432">
        <f>'Capital IQ Sheet-GPC'!BG15</f>
        <v>0.156</v>
      </c>
      <c r="G13" s="1432">
        <f>'Capital IQ Sheet-GPC'!BH15</f>
        <v>70.516999999999996</v>
      </c>
      <c r="H13" s="1432">
        <f>'Capital IQ Sheet-GPC'!BI15</f>
        <v>0</v>
      </c>
      <c r="I13" s="1432">
        <f t="shared" si="0"/>
        <v>70.673000000000002</v>
      </c>
      <c r="J13" s="1432">
        <f t="shared" si="1"/>
        <v>373.68601000000001</v>
      </c>
      <c r="K13" s="1432">
        <f>'Capital IQ Sheet-GPC'!BJ15</f>
        <v>66.040000000000006</v>
      </c>
      <c r="L13" s="1432">
        <f t="shared" si="2"/>
        <v>307.64600999999999</v>
      </c>
      <c r="M13" s="893"/>
      <c r="N13" s="1432">
        <f>'Capital IQ Sheet-GPC'!I15</f>
        <v>35.6</v>
      </c>
      <c r="O13" s="1432">
        <f>'Capital IQ Sheet-GPC'!J15</f>
        <v>835.72670000000005</v>
      </c>
      <c r="P13" s="1432">
        <f>'Capital IQ Sheet-GPC'!K15</f>
        <v>9.2999999999999999E-2</v>
      </c>
      <c r="Q13" s="1432">
        <f>'Capital IQ Sheet-GPC'!L15</f>
        <v>7.8739999999999997</v>
      </c>
      <c r="R13" s="1432">
        <f>'Capital IQ Sheet-GPC'!M15</f>
        <v>0</v>
      </c>
      <c r="S13" s="1432">
        <f t="shared" si="3"/>
        <v>7.9669999999999996</v>
      </c>
      <c r="T13" s="1432">
        <f t="shared" si="4"/>
        <v>843.69370000000004</v>
      </c>
      <c r="U13" s="1432">
        <f>'Capital IQ Sheet-GPC'!N15</f>
        <v>169.01499999999999</v>
      </c>
      <c r="V13" s="1432">
        <f t="shared" si="5"/>
        <v>674.67870000000005</v>
      </c>
      <c r="X13" s="1345" t="str">
        <f t="shared" si="6"/>
        <v>NM</v>
      </c>
      <c r="Y13" s="1345" t="str">
        <f t="shared" si="7"/>
        <v>NM</v>
      </c>
      <c r="Z13" s="1345" t="str">
        <f t="shared" si="8"/>
        <v>NM</v>
      </c>
      <c r="AC13" s="1177" t="str">
        <f>IF('MASTER PubCo Inputs'!C30="","",'MASTER PubCo Inputs'!C30)</f>
        <v>IQ256557334</v>
      </c>
      <c r="AD13" s="250" t="str">
        <f>'Capital IQ Sheet-GPC'!AP15</f>
        <v>WAVE Life Sciences Ltd., a genetic medicines company, designs, develops, and commercializes nucleic acid therapeutic candidates for genetically defined diseases by utilizing proprietary synthetic chemistry drug development platform. The company is primarily developing oligonucleotides that target genetic defects to either reduce the expression of disease-promoting proteins or transform the production of dysfunctional mutant proteins into the production of functional proteins. It focuses on proprietary programs in neurology in the central nervous system and neuromuscular system. The company has a research, license, and option agreement with Pfizer Inc. for the discovery, development, and commercialization of stereopure oligonucleotide therapeutics. WAVE Life Sciences Ltd. was founded in 2012 and is based in Cambridge, Massachusetts.</v>
      </c>
    </row>
    <row r="14" spans="2:33" ht="14.85" customHeight="1">
      <c r="B14" s="1065" t="str">
        <f>'Capital IQ Sheet-GPC'!C16</f>
        <v>Regenxbio Inc.</v>
      </c>
      <c r="C14" s="2000"/>
      <c r="D14" s="1432">
        <f>'Capital IQ Sheet-GPC'!BE16</f>
        <v>14.67</v>
      </c>
      <c r="E14" s="1432">
        <f>'Capital IQ Sheet-GPC'!BF16</f>
        <v>386.01862</v>
      </c>
      <c r="F14" s="1432">
        <f>'Capital IQ Sheet-GPC'!BG16</f>
        <v>0</v>
      </c>
      <c r="G14" s="1432">
        <f>'Capital IQ Sheet-GPC'!BH16</f>
        <v>0</v>
      </c>
      <c r="H14" s="1432">
        <f>'Capital IQ Sheet-GPC'!BI16</f>
        <v>0</v>
      </c>
      <c r="I14" s="1432">
        <f t="shared" si="0"/>
        <v>0</v>
      </c>
      <c r="J14" s="1432">
        <f t="shared" si="1"/>
        <v>386.01862</v>
      </c>
      <c r="K14" s="1432">
        <f>'Capital IQ Sheet-GPC'!BJ16</f>
        <v>213.34899999999999</v>
      </c>
      <c r="L14" s="1432">
        <f t="shared" si="2"/>
        <v>172.66962000000001</v>
      </c>
      <c r="M14" s="893"/>
      <c r="N14" s="1432">
        <f>'Capital IQ Sheet-GPC'!I16</f>
        <v>22.25</v>
      </c>
      <c r="O14" s="1432">
        <f>'Capital IQ Sheet-GPC'!J16</f>
        <v>589.07718</v>
      </c>
      <c r="P14" s="1432">
        <f>'Capital IQ Sheet-GPC'!K16</f>
        <v>0</v>
      </c>
      <c r="Q14" s="1432">
        <f>'Capital IQ Sheet-GPC'!L16</f>
        <v>0</v>
      </c>
      <c r="R14" s="1432">
        <f>'Capital IQ Sheet-GPC'!M16</f>
        <v>0</v>
      </c>
      <c r="S14" s="1432">
        <f t="shared" si="3"/>
        <v>0</v>
      </c>
      <c r="T14" s="1432">
        <f t="shared" si="4"/>
        <v>589.07718</v>
      </c>
      <c r="U14" s="1432">
        <f>'Capital IQ Sheet-GPC'!N16</f>
        <v>91.77</v>
      </c>
      <c r="V14" s="1432">
        <f t="shared" si="5"/>
        <v>497.30718000000002</v>
      </c>
      <c r="X14" s="1345">
        <f t="shared" si="6"/>
        <v>0.51670074982958414</v>
      </c>
      <c r="Y14" s="1345">
        <f t="shared" si="7"/>
        <v>0.52603307063270677</v>
      </c>
      <c r="Z14" s="1345" t="str">
        <f t="shared" si="8"/>
        <v>NM</v>
      </c>
      <c r="AC14" s="1177" t="str">
        <f>IF('MASTER PubCo Inputs'!C31="","",'MASTER PubCo Inputs'!C31)</f>
        <v>IQ130641748</v>
      </c>
      <c r="AD14" s="250" t="str">
        <f>'Capital IQ Sheet-GPC'!AP16</f>
        <v>REGENXBIO Inc., a clinical-stage biotechnology company, provides gene therapy product candidates to deliver genes to cells to address genetic defects or to enable cells in the body to produce therapeutic proteins that are intended to impact disease. Its gene therapy product candidates are based on NAV Technology Platform, a proprietary adeno-associated virus (AAV) gene delivery platform. The company’s lead product candidate is RGX-314 for the treatment of wet age-related macular degeneration. It is also developing RGX-501, a product candidate for the treatment of homozygous familial hypercholesterolemia, which uses the AAV8 vector to deliver the human low-density lipoprotein receptor gene to liver cells; and RGX-111, a product candidate to treat the neurological symptoms of Mucopolysaccharidosis Type I that uses the AAV9 vector to deliver the human a-l-iduronidase gene to the central nervous system (CNS). In addition, the company engages in the development of RGX-121, a product candidate for the treatment of Mucopolysaccharidosis Type II, which uses the AAV9 vector to deliver the human iduronate-2-sulfatase gene to the CNS. Further, it licenses its NAV vectors to various other biotechnology companies. The company was formerly known as REGENX Biosciences, LLC and changed its name to REGENXBIO Inc. in September 2014. REGENXBIO Inc. was founded in 2008 and is headquartered in Rockville, Maryland.</v>
      </c>
    </row>
    <row r="15" spans="2:33" ht="14.85" customHeight="1">
      <c r="B15" s="1065" t="str">
        <f>'Capital IQ Sheet-GPC'!C17</f>
        <v>Inovio Pharmaceuticals, Inc.</v>
      </c>
      <c r="C15" s="2000"/>
      <c r="D15" s="1432">
        <f>'Capital IQ Sheet-GPC'!BE17</f>
        <v>5.75</v>
      </c>
      <c r="E15" s="1432">
        <f>'Capital IQ Sheet-GPC'!BF17</f>
        <v>415.05225000000002</v>
      </c>
      <c r="F15" s="1432">
        <f>'Capital IQ Sheet-GPC'!BG17</f>
        <v>0</v>
      </c>
      <c r="G15" s="1432">
        <f>'Capital IQ Sheet-GPC'!BH17</f>
        <v>0</v>
      </c>
      <c r="H15" s="1432">
        <f>'Capital IQ Sheet-GPC'!BI17</f>
        <v>0.24582999999999999</v>
      </c>
      <c r="I15" s="1432">
        <f t="shared" si="0"/>
        <v>0.24582999999999999</v>
      </c>
      <c r="J15" s="1432">
        <f t="shared" si="1"/>
        <v>415.29808000000003</v>
      </c>
      <c r="K15" s="1432">
        <f>'Capital IQ Sheet-GPC'!BJ17</f>
        <v>170.78235000000001</v>
      </c>
      <c r="L15" s="1432">
        <f t="shared" si="2"/>
        <v>244.51573000000002</v>
      </c>
      <c r="M15" s="893"/>
      <c r="N15" s="1432">
        <f>'Capital IQ Sheet-GPC'!I17</f>
        <v>7.08</v>
      </c>
      <c r="O15" s="1432">
        <f>'Capital IQ Sheet-GPC'!J17</f>
        <v>524.34855000000005</v>
      </c>
      <c r="P15" s="1432">
        <f>'Capital IQ Sheet-GPC'!K17</f>
        <v>0</v>
      </c>
      <c r="Q15" s="1432">
        <f>'Capital IQ Sheet-GPC'!L17</f>
        <v>0</v>
      </c>
      <c r="R15" s="1432">
        <f>'Capital IQ Sheet-GPC'!M17</f>
        <v>9.6269999999999994E-2</v>
      </c>
      <c r="S15" s="1432">
        <f t="shared" si="3"/>
        <v>9.6269999999999994E-2</v>
      </c>
      <c r="T15" s="1432">
        <f t="shared" si="4"/>
        <v>524.44482000000005</v>
      </c>
      <c r="U15" s="1432">
        <f>'Capital IQ Sheet-GPC'!N17</f>
        <v>119.68635</v>
      </c>
      <c r="V15" s="1432">
        <f t="shared" si="5"/>
        <v>404.75847000000005</v>
      </c>
      <c r="X15" s="1345">
        <f t="shared" si="6"/>
        <v>0.231304347826087</v>
      </c>
      <c r="Y15" s="1345">
        <f t="shared" si="7"/>
        <v>0.26333142393517939</v>
      </c>
      <c r="Z15" s="1345">
        <f t="shared" si="8"/>
        <v>0.65534736763152224</v>
      </c>
      <c r="AC15" s="1177" t="str">
        <f>IF('MASTER PubCo Inputs'!C32="","",'MASTER PubCo Inputs'!C32)</f>
        <v>IQ28922</v>
      </c>
      <c r="AD15" s="250" t="str">
        <f>'Capital IQ Sheet-GPC'!AP17</f>
        <v>Inovio Pharmaceuticals, Inc., a clinical stage biopharmaceutical company, develops active DNA immunotherapies and vaccines in combination with proprietary electroporation delivery devices to prevent and treat cancers and infectious diseases. Its SynCon immunotherapy design has the ability to break the immune system’s tolerance of cancerous cells; and SynCon product design is also intended to facilitate cross-strain protection against known, as well as new unmatched strains of pathogens, such as influenza. It has completed, current or planned clinical programs of its proprietary SynCon immunotherapies for HPV-caused pre-cancers and cancers, influenza, prostate cancer, breast/lung/pancreatic cancer, hepatitis C virus, hepatitis B virus, HIV, Ebola, Middle East Respiratory Syndrome, and Zika virus. The company’s partners and collaborators include MedImmune, LLC, the Wistar Institute, University of Pennsylvania, Defense Advanced Research Projects Agency, GeneOne Life Science, Plumbline Life Sciences, ApolloBio Corporation, Drexel University, the National Institutes of Health, HIV Vaccines Trial Network, National Cancer Institute, and U.S. Military HIV Research Program. Inovio Pharmaceuticals, Inc. was founded in 1979 and is headquartered in Plymouth Meeting, Pennsylvania.</v>
      </c>
    </row>
    <row r="16" spans="2:33" ht="14.85" customHeight="1">
      <c r="B16" s="1065" t="str">
        <f>'Capital IQ Sheet-GPC'!C18</f>
        <v>Enanta Pharmaceuticals, Inc.</v>
      </c>
      <c r="C16" s="2000"/>
      <c r="D16" s="1432">
        <f>'Capital IQ Sheet-GPC'!BE18</f>
        <v>30.58</v>
      </c>
      <c r="E16" s="1432">
        <f>'Capital IQ Sheet-GPC'!BF18</f>
        <v>574.75327000000004</v>
      </c>
      <c r="F16" s="1432">
        <f>'Capital IQ Sheet-GPC'!BG18</f>
        <v>0.76100000000000001</v>
      </c>
      <c r="G16" s="1432">
        <f>'Capital IQ Sheet-GPC'!BH18</f>
        <v>1.276</v>
      </c>
      <c r="H16" s="1432">
        <f>'Capital IQ Sheet-GPC'!BI18</f>
        <v>0</v>
      </c>
      <c r="I16" s="1432">
        <f t="shared" si="0"/>
        <v>2.0369999999999999</v>
      </c>
      <c r="J16" s="1432">
        <f t="shared" si="1"/>
        <v>576.79026999999996</v>
      </c>
      <c r="K16" s="1432">
        <f>'Capital IQ Sheet-GPC'!BJ18</f>
        <v>145.20500000000001</v>
      </c>
      <c r="L16" s="1432">
        <f t="shared" si="2"/>
        <v>431.58526999999992</v>
      </c>
      <c r="M16" s="893"/>
      <c r="N16" s="1432">
        <f>'Capital IQ Sheet-GPC'!I18</f>
        <v>31.44</v>
      </c>
      <c r="O16" s="1432">
        <f>'Capital IQ Sheet-GPC'!J18</f>
        <v>598.48901000000001</v>
      </c>
      <c r="P16" s="1432">
        <f>'Capital IQ Sheet-GPC'!K18</f>
        <v>0.70699999999999996</v>
      </c>
      <c r="Q16" s="1432">
        <f>'Capital IQ Sheet-GPC'!L18</f>
        <v>1.2370000000000001</v>
      </c>
      <c r="R16" s="1432">
        <f>'Capital IQ Sheet-GPC'!M18</f>
        <v>0</v>
      </c>
      <c r="S16" s="1432">
        <f t="shared" si="3"/>
        <v>1.944</v>
      </c>
      <c r="T16" s="1432">
        <f t="shared" si="4"/>
        <v>600.43300999999997</v>
      </c>
      <c r="U16" s="1432">
        <f>'Capital IQ Sheet-GPC'!N18</f>
        <v>218.465</v>
      </c>
      <c r="V16" s="1432">
        <f t="shared" si="5"/>
        <v>381.96800999999994</v>
      </c>
      <c r="X16" s="1345">
        <f t="shared" si="6"/>
        <v>2.8122956180510306E-2</v>
      </c>
      <c r="Y16" s="1345">
        <f t="shared" si="7"/>
        <v>4.1297268304362866E-2</v>
      </c>
      <c r="Z16" s="1345">
        <f t="shared" si="8"/>
        <v>-0.11496513771195205</v>
      </c>
      <c r="AC16" s="1177" t="str">
        <f>IF('MASTER PubCo Inputs'!C33="","",'MASTER PubCo Inputs'!C33)</f>
        <v>IQ345286</v>
      </c>
      <c r="AD16" s="250" t="str">
        <f>'Capital IQ Sheet-GPC'!AP18</f>
        <v>Enanta Pharmaceuticals, Inc., a research and development-focused biotechnology company focuses on discovering and developing small molecule drugs for the treatment of viral infections and liver diseases. The company’s research and development focuses on four disease targets: Hepatitis C virus (HCV), Hepatitis B virus (HBV), Non-alcoholic Steatohepatitis (NASH), and Respiratory Syncytial Virus (RSV). Its lead product is paritaprevir, a protease inhibitor designed for use against HCV. The company also develops HCV protease inhibitor in phase III development with AbbVie, as well as a HCV program using a different class of molecules known as cyclophilin inhibitors. In addition, it has a program in non-alcoholic steatohepatitis; and discovers programs in other areas of viral infection and liver disease. Enanta Pharmaceuticals, Inc. has a collaborative development and license agreement with AbbVie to develop and commercialize HCV NS3 and NS3/4A protease inhibitors. The company was founded in 1995 and is headquartered in Watertown, Massachusetts.</v>
      </c>
    </row>
    <row r="17" spans="2:30" ht="14.85" customHeight="1">
      <c r="B17" s="1065" t="str">
        <f>'Capital IQ Sheet-GPC'!C19</f>
        <v>Editas Medicine, Inc.</v>
      </c>
      <c r="C17" s="2000"/>
      <c r="D17" s="1432">
        <f>'Capital IQ Sheet-GPC'!BE19</f>
        <v>0</v>
      </c>
      <c r="E17" s="1432">
        <f>'Capital IQ Sheet-GPC'!BF19</f>
        <v>0</v>
      </c>
      <c r="F17" s="1432">
        <f>'Capital IQ Sheet-GPC'!BG19</f>
        <v>1.8260000000000001</v>
      </c>
      <c r="G17" s="1432">
        <f>'Capital IQ Sheet-GPC'!BH19</f>
        <v>199.816</v>
      </c>
      <c r="H17" s="1432">
        <f>'Capital IQ Sheet-GPC'!BI19</f>
        <v>0</v>
      </c>
      <c r="I17" s="1432">
        <f t="shared" si="0"/>
        <v>201.642</v>
      </c>
      <c r="J17" s="1432">
        <f t="shared" si="1"/>
        <v>201.642</v>
      </c>
      <c r="K17" s="1432">
        <f>'Capital IQ Sheet-GPC'!BJ19</f>
        <v>155.30099999999999</v>
      </c>
      <c r="L17" s="1432">
        <f t="shared" si="2"/>
        <v>46.341000000000008</v>
      </c>
      <c r="M17" s="893"/>
      <c r="N17" s="1432">
        <f>'Capital IQ Sheet-GPC'!I19</f>
        <v>14.27</v>
      </c>
      <c r="O17" s="1432">
        <f>'Capital IQ Sheet-GPC'!J19</f>
        <v>508.51056999999997</v>
      </c>
      <c r="P17" s="1432">
        <f>'Capital IQ Sheet-GPC'!K19</f>
        <v>32.048000000000002</v>
      </c>
      <c r="Q17" s="1432">
        <f>'Capital IQ Sheet-GPC'!L19</f>
        <v>0</v>
      </c>
      <c r="R17" s="1432">
        <f>'Capital IQ Sheet-GPC'!M19</f>
        <v>0</v>
      </c>
      <c r="S17" s="1432">
        <f t="shared" si="3"/>
        <v>32.048000000000002</v>
      </c>
      <c r="T17" s="1432">
        <f t="shared" si="4"/>
        <v>540.55856999999992</v>
      </c>
      <c r="U17" s="1432">
        <f>'Capital IQ Sheet-GPC'!N19</f>
        <v>199.874</v>
      </c>
      <c r="V17" s="1432">
        <f t="shared" si="5"/>
        <v>340.68456999999989</v>
      </c>
      <c r="X17" s="1345" t="str">
        <f t="shared" si="6"/>
        <v>n/a</v>
      </c>
      <c r="Y17" s="1345" t="str">
        <f t="shared" si="7"/>
        <v>n/a</v>
      </c>
      <c r="Z17" s="1345" t="str">
        <f t="shared" si="8"/>
        <v>NM</v>
      </c>
      <c r="AC17" s="1177" t="str">
        <f>IF('MASTER PubCo Inputs'!C34="","",'MASTER PubCo Inputs'!C34)</f>
        <v>IQ252050056</v>
      </c>
      <c r="AD17" s="250" t="str">
        <f>'Capital IQ Sheet-GPC'!AP19</f>
        <v>Editas Medicine, Inc. operates as a genome editing company. It focuses on treating patients with genetically defined diseases by correcting their disease causing genes. It is developing a proprietary genome editing platform based on CRISPR technology to target genetically defined diseases with an initial focus on debilitating illnesses where there are no approved treatments. Editas Medicine, Inc. has a collaboration and license agreement with Juno Therapeutics, Inc. for the research and development of engineered T cells with chimeric antigen receptors and T cell receptors; and collaboration, option, and license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based in Cambridge, Massachusetts.</v>
      </c>
    </row>
    <row r="18" spans="2:30" ht="14.85" customHeight="1">
      <c r="B18" s="1065" t="str">
        <f>'Capital IQ Sheet-GPC'!C20</f>
        <v>NantKwest, Inc.</v>
      </c>
      <c r="C18" s="2000"/>
      <c r="D18" s="1432">
        <f>'Capital IQ Sheet-GPC'!BE20</f>
        <v>12.96</v>
      </c>
      <c r="E18" s="1432">
        <f>'Capital IQ Sheet-GPC'!BF20</f>
        <v>1052.61609</v>
      </c>
      <c r="F18" s="1432">
        <f>'Capital IQ Sheet-GPC'!BG20</f>
        <v>0</v>
      </c>
      <c r="G18" s="1432">
        <f>'Capital IQ Sheet-GPC'!BH20</f>
        <v>0</v>
      </c>
      <c r="H18" s="1432">
        <f>'Capital IQ Sheet-GPC'!BI20</f>
        <v>0</v>
      </c>
      <c r="I18" s="1432">
        <f t="shared" si="0"/>
        <v>0</v>
      </c>
      <c r="J18" s="1432">
        <f t="shared" si="1"/>
        <v>1052.61609</v>
      </c>
      <c r="K18" s="1432">
        <f>'Capital IQ Sheet-GPC'!BJ20</f>
        <v>358.61599999999999</v>
      </c>
      <c r="L18" s="1432">
        <f t="shared" si="2"/>
        <v>694.00009</v>
      </c>
      <c r="M18" s="893"/>
      <c r="N18" s="1432">
        <f>'Capital IQ Sheet-GPC'!I20</f>
        <v>6.54</v>
      </c>
      <c r="O18" s="1432">
        <f>'Capital IQ Sheet-GPC'!J20</f>
        <v>538.73569999999995</v>
      </c>
      <c r="P18" s="1432">
        <f>'Capital IQ Sheet-GPC'!K20</f>
        <v>7.7030000000000003</v>
      </c>
      <c r="Q18" s="1432">
        <f>'Capital IQ Sheet-GPC'!L20</f>
        <v>0</v>
      </c>
      <c r="R18" s="1432">
        <f>'Capital IQ Sheet-GPC'!M20</f>
        <v>0</v>
      </c>
      <c r="S18" s="1432">
        <f t="shared" si="3"/>
        <v>7.7030000000000003</v>
      </c>
      <c r="T18" s="1432">
        <f t="shared" si="4"/>
        <v>546.43869999999993</v>
      </c>
      <c r="U18" s="1432">
        <f>'Capital IQ Sheet-GPC'!N20</f>
        <v>209.256</v>
      </c>
      <c r="V18" s="1432">
        <f t="shared" si="5"/>
        <v>337.18269999999995</v>
      </c>
      <c r="X18" s="1345" t="str">
        <f t="shared" si="6"/>
        <v>NM</v>
      </c>
      <c r="Y18" s="1345" t="str">
        <f t="shared" si="7"/>
        <v>NM</v>
      </c>
      <c r="Z18" s="1345" t="str">
        <f t="shared" si="8"/>
        <v>NM</v>
      </c>
      <c r="AC18" s="1177" t="str">
        <f>IF('MASTER PubCo Inputs'!C35="","",'MASTER PubCo Inputs'!C35)</f>
        <v>IQ262241549</v>
      </c>
      <c r="AD18" s="250" t="str">
        <f>'Capital IQ Sheet-GPC'!AP20</f>
        <v>NantKwest, Inc., a clinical-stage immunotherapy biotechnology company, develops immunotherapeutic treatments for cancer, infectious diseases, and inflammatory diseases in the United States. The company develops activated natural killer product candidates for the treatment of virally-induced cancers, such as polyoma virus induced merkel cell carcinoma, human papilloma virus induced cervical, and head and neck cancers; infectious diseases, including Ebola; and other serious viral, fungal, and bacterial infections. It is also develops high-affinity natural killer product candidates primarily for the treatment of solid tumors, breast cancer, head and neck/squamous, lymphoma, and various cancer;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19" spans="2:30" ht="14.85" customHeight="1">
      <c r="B19" s="1065" t="str">
        <f>'Capital IQ Sheet-GPC'!C21</f>
        <v>Cocrystal Pharma, Inc.</v>
      </c>
      <c r="C19" s="2000"/>
      <c r="D19" s="1432">
        <f>'Capital IQ Sheet-GPC'!BE21</f>
        <v>0.64</v>
      </c>
      <c r="E19" s="1432">
        <f>'Capital IQ Sheet-GPC'!BF21</f>
        <v>444.3999</v>
      </c>
      <c r="F19" s="1432">
        <f>'Capital IQ Sheet-GPC'!BG21</f>
        <v>0</v>
      </c>
      <c r="G19" s="1432">
        <f>'Capital IQ Sheet-GPC'!BH21</f>
        <v>0</v>
      </c>
      <c r="H19" s="1432">
        <f>'Capital IQ Sheet-GPC'!BI21</f>
        <v>0</v>
      </c>
      <c r="I19" s="1432">
        <f t="shared" si="0"/>
        <v>0</v>
      </c>
      <c r="J19" s="1432">
        <f t="shared" si="1"/>
        <v>444.3999</v>
      </c>
      <c r="K19" s="1432">
        <f>'Capital IQ Sheet-GPC'!BJ21</f>
        <v>12.413</v>
      </c>
      <c r="L19" s="1432">
        <f t="shared" si="2"/>
        <v>431.98689999999999</v>
      </c>
      <c r="M19" s="893"/>
      <c r="N19" s="1432">
        <f>'Capital IQ Sheet-GPC'!I21</f>
        <v>0.44424999999999998</v>
      </c>
      <c r="O19" s="1432">
        <f>'Capital IQ Sheet-GPC'!J21</f>
        <v>317.20850000000002</v>
      </c>
      <c r="P19" s="1432">
        <f>'Capital IQ Sheet-GPC'!K21</f>
        <v>0</v>
      </c>
      <c r="Q19" s="1432">
        <f>'Capital IQ Sheet-GPC'!L21</f>
        <v>0</v>
      </c>
      <c r="R19" s="1432">
        <f>'Capital IQ Sheet-GPC'!M21</f>
        <v>0</v>
      </c>
      <c r="S19" s="1432">
        <f t="shared" si="3"/>
        <v>0</v>
      </c>
      <c r="T19" s="1432">
        <f t="shared" si="4"/>
        <v>317.20850000000002</v>
      </c>
      <c r="U19" s="1432">
        <f>'Capital IQ Sheet-GPC'!N21</f>
        <v>5.9059999999999997</v>
      </c>
      <c r="V19" s="1432">
        <f t="shared" si="5"/>
        <v>311.30250000000001</v>
      </c>
      <c r="X19" s="1345" t="str">
        <f t="shared" si="6"/>
        <v>NM</v>
      </c>
      <c r="Y19" s="1345">
        <f t="shared" si="7"/>
        <v>-0.28620933533063353</v>
      </c>
      <c r="Z19" s="1345">
        <f t="shared" si="8"/>
        <v>-0.27937050868903657</v>
      </c>
      <c r="AC19" s="1177" t="str">
        <f>IF('MASTER PubCo Inputs'!C36="","",'MASTER PubCo Inputs'!C36)</f>
        <v>IQ49062639</v>
      </c>
      <c r="AD19" s="250" t="str">
        <f>'Capital IQ Sheet-GPC'!AP21</f>
        <v>Cocrystal Pharma, Inc., a preclinical-stage biopharmaceutical company, focuses on developing antiviral therapeutics for human diseases. The company focuses on developing inhibitors that target viral replication enzymes and viral replication protein. It is developing antiviral therapeutics for human diseases, including hepatitis C virus (HCV), influenza virus, and norovirus. The company also develops targeted in-house chemical libraries consisting of nucleosides, non-nucleoside inhibitors, metal-binding inhibitors, and fragments. Cocrystal Pharma, Inc. was founded in 2007 and is headquartered in Tucker, Georgia.</v>
      </c>
    </row>
    <row r="20" spans="2:30" ht="14.85" customHeight="1">
      <c r="B20" s="1065" t="str">
        <f>'Capital IQ Sheet-GPC'!C22</f>
        <v>Intellia Therapeutics Inc.</v>
      </c>
      <c r="C20" s="2000"/>
      <c r="D20" s="1432">
        <f>'Capital IQ Sheet-GPC'!BE22</f>
        <v>0</v>
      </c>
      <c r="E20" s="1432">
        <f>'Capital IQ Sheet-GPC'!BF22</f>
        <v>0</v>
      </c>
      <c r="F20" s="1432">
        <f>'Capital IQ Sheet-GPC'!BG22</f>
        <v>0</v>
      </c>
      <c r="G20" s="1432">
        <f>'Capital IQ Sheet-GPC'!BH22</f>
        <v>88.516000000000005</v>
      </c>
      <c r="H20" s="1432">
        <f>'Capital IQ Sheet-GPC'!BI22</f>
        <v>0</v>
      </c>
      <c r="I20" s="1432">
        <f t="shared" si="0"/>
        <v>88.516000000000005</v>
      </c>
      <c r="J20" s="1432">
        <f t="shared" si="1"/>
        <v>88.516000000000005</v>
      </c>
      <c r="K20" s="1432">
        <f>'Capital IQ Sheet-GPC'!BJ22</f>
        <v>82.611999999999995</v>
      </c>
      <c r="L20" s="1432">
        <f t="shared" si="2"/>
        <v>5.9040000000000106</v>
      </c>
      <c r="M20" s="893"/>
      <c r="N20" s="1432">
        <f>'Capital IQ Sheet-GPC'!I22</f>
        <v>15.75</v>
      </c>
      <c r="O20" s="1432">
        <f>'Capital IQ Sheet-GPC'!J22</f>
        <v>566.92646000000002</v>
      </c>
      <c r="P20" s="1432">
        <f>'Capital IQ Sheet-GPC'!K22</f>
        <v>0</v>
      </c>
      <c r="Q20" s="1432">
        <f>'Capital IQ Sheet-GPC'!L22</f>
        <v>0</v>
      </c>
      <c r="R20" s="1432">
        <f>'Capital IQ Sheet-GPC'!M22</f>
        <v>0</v>
      </c>
      <c r="S20" s="1432">
        <f t="shared" si="3"/>
        <v>0</v>
      </c>
      <c r="T20" s="1432">
        <f t="shared" si="4"/>
        <v>566.92646000000002</v>
      </c>
      <c r="U20" s="1432">
        <f>'Capital IQ Sheet-GPC'!N22</f>
        <v>290.61799999999999</v>
      </c>
      <c r="V20" s="1432">
        <f t="shared" si="5"/>
        <v>276.30846000000003</v>
      </c>
      <c r="X20" s="1345" t="str">
        <f t="shared" si="6"/>
        <v>n/a</v>
      </c>
      <c r="Y20" s="1345" t="str">
        <f t="shared" si="7"/>
        <v>n/a</v>
      </c>
      <c r="Z20" s="1345" t="str">
        <f t="shared" si="8"/>
        <v>NM</v>
      </c>
      <c r="AC20" s="1177" t="str">
        <f>IF('MASTER PubCo Inputs'!C37="","",'MASTER PubCo Inputs'!C37)</f>
        <v>IQ277799796</v>
      </c>
      <c r="AD20" s="250" t="str">
        <f>'Capital IQ Sheet-GPC'!AP22</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and partnered programs focuses on chimeric antigen receptor T cells and hematopoietic stem cells. Intellia Therapeutics Inc. has collaboration agreement with Novartis; Regeneron Pharmaceuticals, Inc.; and Caribou Biosciences, Inc. The company was formerly known as AZRN, Inc. and changed its name to Intellia Therapeutics Inc. in July 2014. Intellia Therapeutics Inc. was founded in 2014 and is headquartered in Cambridge, Massachusetts.</v>
      </c>
    </row>
    <row r="21" spans="2:30" ht="14.85" customHeight="1">
      <c r="B21" s="1065" t="str">
        <f>'Capital IQ Sheet-GPC'!C23</f>
        <v>GenSight Biologics S.A.</v>
      </c>
      <c r="C21" s="2000"/>
      <c r="D21" s="1432">
        <f>'Capital IQ Sheet-GPC'!BE23</f>
        <v>0</v>
      </c>
      <c r="E21" s="1432">
        <f>'Capital IQ Sheet-GPC'!BF23</f>
        <v>0</v>
      </c>
      <c r="F21" s="1432">
        <f>'Capital IQ Sheet-GPC'!BG23</f>
        <v>0.70787</v>
      </c>
      <c r="G21" s="1432">
        <f>'Capital IQ Sheet-GPC'!BH23</f>
        <v>0</v>
      </c>
      <c r="H21" s="1432">
        <f>'Capital IQ Sheet-GPC'!BI23</f>
        <v>0</v>
      </c>
      <c r="I21" s="1432">
        <f t="shared" si="0"/>
        <v>0.70787</v>
      </c>
      <c r="J21" s="1432">
        <f t="shared" si="1"/>
        <v>0.70787</v>
      </c>
      <c r="K21" s="1432">
        <f>'Capital IQ Sheet-GPC'!BJ23</f>
        <v>6.68248</v>
      </c>
      <c r="L21" s="1432">
        <f t="shared" si="2"/>
        <v>-5.9746100000000002</v>
      </c>
      <c r="M21" s="893"/>
      <c r="N21" s="1432">
        <f>'Capital IQ Sheet-GPC'!I23</f>
        <v>8.2980999999999998</v>
      </c>
      <c r="O21" s="1432">
        <f>'Capital IQ Sheet-GPC'!J23</f>
        <v>256.04862000000003</v>
      </c>
      <c r="P21" s="1432">
        <f>'Capital IQ Sheet-GPC'!K23</f>
        <v>0.67574000000000001</v>
      </c>
      <c r="Q21" s="1432">
        <f>'Capital IQ Sheet-GPC'!L23</f>
        <v>0</v>
      </c>
      <c r="R21" s="1432">
        <f>'Capital IQ Sheet-GPC'!M23</f>
        <v>0</v>
      </c>
      <c r="S21" s="1432">
        <f t="shared" si="3"/>
        <v>0.67574000000000001</v>
      </c>
      <c r="T21" s="1432">
        <f t="shared" si="4"/>
        <v>256.72436000000005</v>
      </c>
      <c r="U21" s="1432">
        <f>'Capital IQ Sheet-GPC'!N23</f>
        <v>32.647199999999998</v>
      </c>
      <c r="V21" s="1432">
        <f t="shared" si="5"/>
        <v>224.07716000000005</v>
      </c>
      <c r="X21" s="1345" t="str">
        <f t="shared" si="6"/>
        <v>n/a</v>
      </c>
      <c r="Y21" s="1345" t="str">
        <f t="shared" si="7"/>
        <v>n/a</v>
      </c>
      <c r="Z21" s="1345" t="str">
        <f t="shared" si="8"/>
        <v>NM</v>
      </c>
      <c r="AC21" s="1177" t="str">
        <f>IF('MASTER PubCo Inputs'!C38="","",'MASTER PubCo Inputs'!C38)</f>
        <v>IQ235063288</v>
      </c>
      <c r="AD21" s="250" t="str">
        <f>'Capital IQ Sheet-GPC'!AP23</f>
        <v>GenSight Biologics S.A., a clinical-stage biotechnology company, engages in the discovery and development of therapies for mitochondrial and neurodegenerative diseases of the eye and central nervous system. The company develops its products through gene therapy-based approach with technology platforms of mitochondrial targeting sequence and optogenetics. Its lead product candidates include GS010, an AAV2 containing the human wild-type ND4 gene, which is in Phase III clinical trials for the treatment of Leber Hereditary Optic Neuropathy associated with mutation in the ND4 gene; and GS030 that comprises a gene encoding a photoactivatable channelrhodopsin for the treatment of reinitis pigmentosa and geographic atrophy in dry age-related macular degeneration. It is also developing products in preclinical development targeting ophthalmic and neurodegenerative diseases. GenSight Biologics S.A. was founded in 2012 and is based in Paris, France.</v>
      </c>
    </row>
    <row r="22" spans="2:30" ht="14.85" customHeight="1">
      <c r="B22" s="1065" t="str">
        <f>'Capital IQ Sheet-GPC'!C24</f>
        <v>Advaxis, Inc.</v>
      </c>
      <c r="C22" s="2000"/>
      <c r="D22" s="1432">
        <f>'Capital IQ Sheet-GPC'!BE24</f>
        <v>8.09</v>
      </c>
      <c r="E22" s="1432">
        <f>'Capital IQ Sheet-GPC'!BF24</f>
        <v>269.92955999999998</v>
      </c>
      <c r="F22" s="1432">
        <f>'Capital IQ Sheet-GPC'!BG24</f>
        <v>2.955E-2</v>
      </c>
      <c r="G22" s="1432">
        <f>'Capital IQ Sheet-GPC'!BH24</f>
        <v>0</v>
      </c>
      <c r="H22" s="1432">
        <f>'Capital IQ Sheet-GPC'!BI24</f>
        <v>0</v>
      </c>
      <c r="I22" s="1432">
        <f t="shared" si="0"/>
        <v>2.955E-2</v>
      </c>
      <c r="J22" s="1432">
        <f t="shared" si="1"/>
        <v>269.95910999999995</v>
      </c>
      <c r="K22" s="1432">
        <f>'Capital IQ Sheet-GPC'!BJ24</f>
        <v>97.142340000000004</v>
      </c>
      <c r="L22" s="1432">
        <f t="shared" si="2"/>
        <v>172.81676999999996</v>
      </c>
      <c r="M22" s="893"/>
      <c r="N22" s="1432">
        <f>'Capital IQ Sheet-GPC'!I24</f>
        <v>8.31</v>
      </c>
      <c r="O22" s="1432">
        <f>'Capital IQ Sheet-GPC'!J24</f>
        <v>331.10462000000001</v>
      </c>
      <c r="P22" s="1432">
        <f>'Capital IQ Sheet-GPC'!K24</f>
        <v>0</v>
      </c>
      <c r="Q22" s="1432">
        <f>'Capital IQ Sheet-GPC'!L24</f>
        <v>0</v>
      </c>
      <c r="R22" s="1432">
        <f>'Capital IQ Sheet-GPC'!M24</f>
        <v>0</v>
      </c>
      <c r="S22" s="1432">
        <f t="shared" si="3"/>
        <v>0</v>
      </c>
      <c r="T22" s="1432">
        <f t="shared" si="4"/>
        <v>331.10462000000001</v>
      </c>
      <c r="U22" s="1432">
        <f>'Capital IQ Sheet-GPC'!N24</f>
        <v>78.717920000000007</v>
      </c>
      <c r="V22" s="1432">
        <f t="shared" si="5"/>
        <v>252.38670000000002</v>
      </c>
      <c r="X22" s="1345">
        <f t="shared" si="6"/>
        <v>2.7194066749073098E-2</v>
      </c>
      <c r="Y22" s="1345">
        <f t="shared" si="7"/>
        <v>0.22663342243806128</v>
      </c>
      <c r="Z22" s="1345">
        <f t="shared" si="8"/>
        <v>0.46042944790601092</v>
      </c>
      <c r="AC22" s="1177" t="str">
        <f>IF('MASTER PubCo Inputs'!C39="","",'MASTER PubCo Inputs'!C39)</f>
        <v>IQ7924894</v>
      </c>
      <c r="AD22" s="250" t="str">
        <f>'Capital IQ Sheet-GPC'!AP24</f>
        <v>Advaxis, Inc., a clinical stage biotechnology company, focuses on the discovery, development, and commercialization of Lm-LLO cancer immunotherapies in the United States. Its lead product Axalimogene filolisbac, an Lm-LLO immunotherapy product candidate, which completed its Phase II study for the treatment of human papilloma virus associated cancers, including cervical, head and neck, and anal cancer. The company is also developing ADXS-PSA, an Lm-LLO immunotherapy product candidate, which is in Phase I/II clinical trials designed to target the prostate specific antigen associated with prostate cancer; and ADXS-HER2, an Lm-LLO immunotherapy product candidate that is in Phase Ib clinical trials used for the treatment of human epidermal growth factor receptor 2 expressing cancers, including human and canine osteosarcoma. It has clinical trial collaboration agreements with Merck &amp; Co., Inc. for the Phase I/II dose-escalation and safety study of ADXS31-142; and MedImmune, LLC to initiate a Phase I/II clinical study in the United States to evaluate MEDI4736, an investigational anti-PD-L1 immune checkpoint inhibitor. The company also has a licensing agreement with Global BioPharma Inc.; co-development and commercialization agreement with Especificos Stendhal SA de CV; and collaboration agreement with Amgen Inc. for the development and commercialization of ADXS-NEO, a preclinical investigational cancer immunotherapy treatment that activates patient’s immune system to respond against mutations or neoepitopes. Advaxis, Inc. was founded in 2002 and is based in Princeton, New Jersey.</v>
      </c>
    </row>
    <row r="23" spans="2:30" ht="14.85" customHeight="1">
      <c r="B23" s="1065" t="str">
        <f>'Capital IQ Sheet-GPC'!C25</f>
        <v>Audentes Therapeutics, Inc.</v>
      </c>
      <c r="C23" s="2000"/>
      <c r="D23" s="1432">
        <f>'Capital IQ Sheet-GPC'!BE25</f>
        <v>0</v>
      </c>
      <c r="E23" s="1432">
        <f>'Capital IQ Sheet-GPC'!BF25</f>
        <v>0</v>
      </c>
      <c r="F23" s="1432">
        <f>'Capital IQ Sheet-GPC'!BG25</f>
        <v>0.13900000000000001</v>
      </c>
      <c r="G23" s="1432">
        <f>'Capital IQ Sheet-GPC'!BH25</f>
        <v>72.97</v>
      </c>
      <c r="H23" s="1432">
        <f>'Capital IQ Sheet-GPC'!BI25</f>
        <v>0</v>
      </c>
      <c r="I23" s="1432">
        <f t="shared" si="0"/>
        <v>73.108999999999995</v>
      </c>
      <c r="J23" s="1432">
        <f t="shared" si="1"/>
        <v>73.108999999999995</v>
      </c>
      <c r="K23" s="1432">
        <f>'Capital IQ Sheet-GPC'!BJ25</f>
        <v>41.110999999999997</v>
      </c>
      <c r="L23" s="1432">
        <f t="shared" si="2"/>
        <v>31.997999999999998</v>
      </c>
      <c r="M23" s="893"/>
      <c r="N23" s="1432">
        <f>'Capital IQ Sheet-GPC'!I25</f>
        <v>16.43</v>
      </c>
      <c r="O23" s="1432">
        <f>'Capital IQ Sheet-GPC'!J25</f>
        <v>356.94443000000001</v>
      </c>
      <c r="P23" s="1432">
        <f>'Capital IQ Sheet-GPC'!K25</f>
        <v>0</v>
      </c>
      <c r="Q23" s="1432">
        <f>'Capital IQ Sheet-GPC'!L25</f>
        <v>0</v>
      </c>
      <c r="R23" s="1432">
        <f>'Capital IQ Sheet-GPC'!M25</f>
        <v>0</v>
      </c>
      <c r="S23" s="1432">
        <f t="shared" si="3"/>
        <v>0</v>
      </c>
      <c r="T23" s="1432">
        <f t="shared" si="4"/>
        <v>356.94443000000001</v>
      </c>
      <c r="U23" s="1432">
        <f>'Capital IQ Sheet-GPC'!N25</f>
        <v>119.18</v>
      </c>
      <c r="V23" s="1432">
        <f t="shared" si="5"/>
        <v>237.76443</v>
      </c>
      <c r="X23" s="1345" t="str">
        <f t="shared" si="6"/>
        <v>n/a</v>
      </c>
      <c r="Y23" s="1345" t="str">
        <f t="shared" si="7"/>
        <v>n/a</v>
      </c>
      <c r="Z23" s="1345" t="str">
        <f t="shared" si="8"/>
        <v>NM</v>
      </c>
      <c r="AC23" s="1177" t="str">
        <f>IF('MASTER PubCo Inputs'!C40="","",'MASTER PubCo Inputs'!C40)</f>
        <v>IQ243223852</v>
      </c>
      <c r="AD23" s="250" t="str">
        <f>'Capital IQ Sheet-GPC'!AP25</f>
        <v>Audentes Therapeutics, Inc., a biotechnology company, focuses on developing and commercializing gene therapy products for patients suffering from diseases caused by single gene defects in the United States. The company is developing AT132 for the treatment of X-linked myotubular myopathy; AT342 for the treatment of crigler-najjar syndrome type 1; AT982 for the treatment of pompe disease; and AT307 for the treatment of the CASQ2 subtype of catecholaminergic polymorphic ventricular tachycardia. Audentes Therapeutics, Inc. has a collaboration with the University of Pennsylvania for the treatment of Crigler-Najjar. The company was founded in 2012 and is headquartered in San Francisco, California.</v>
      </c>
    </row>
    <row r="24" spans="2:30" ht="14.85" customHeight="1">
      <c r="B24" s="1065" t="str">
        <f>'Capital IQ Sheet-GPC'!C26</f>
        <v>Syros Pharmaceuticals, Inc.</v>
      </c>
      <c r="C24" s="2000"/>
      <c r="D24" s="1432">
        <f>'Capital IQ Sheet-GPC'!BE26</f>
        <v>0</v>
      </c>
      <c r="E24" s="1432">
        <f>'Capital IQ Sheet-GPC'!BF26</f>
        <v>0</v>
      </c>
      <c r="F24" s="1432">
        <f>'Capital IQ Sheet-GPC'!BG26</f>
        <v>0</v>
      </c>
      <c r="G24" s="1432">
        <f>'Capital IQ Sheet-GPC'!BH26</f>
        <v>0</v>
      </c>
      <c r="H24" s="1432">
        <f>'Capital IQ Sheet-GPC'!BI26</f>
        <v>0</v>
      </c>
      <c r="I24" s="1432">
        <f t="shared" si="0"/>
        <v>0</v>
      </c>
      <c r="J24" s="1432">
        <f t="shared" si="1"/>
        <v>0</v>
      </c>
      <c r="K24" s="1432">
        <f>'Capital IQ Sheet-GPC'!BJ26</f>
        <v>0</v>
      </c>
      <c r="L24" s="1432">
        <f t="shared" si="2"/>
        <v>0</v>
      </c>
      <c r="M24" s="893"/>
      <c r="N24" s="1432">
        <f>'Capital IQ Sheet-GPC'!I26</f>
        <v>13.58</v>
      </c>
      <c r="O24" s="1432">
        <f>'Capital IQ Sheet-GPC'!J26</f>
        <v>317.50677000000002</v>
      </c>
      <c r="P24" s="1432">
        <f>'Capital IQ Sheet-GPC'!K26</f>
        <v>0.26100000000000001</v>
      </c>
      <c r="Q24" s="1432">
        <f>'Capital IQ Sheet-GPC'!L26</f>
        <v>0</v>
      </c>
      <c r="R24" s="1432">
        <f>'Capital IQ Sheet-GPC'!M26</f>
        <v>0</v>
      </c>
      <c r="S24" s="1432">
        <f t="shared" si="3"/>
        <v>0.26100000000000001</v>
      </c>
      <c r="T24" s="1432">
        <f t="shared" si="4"/>
        <v>317.76777000000004</v>
      </c>
      <c r="U24" s="1432">
        <f>'Capital IQ Sheet-GPC'!N26</f>
        <v>93.494</v>
      </c>
      <c r="V24" s="1432">
        <f t="shared" si="5"/>
        <v>224.27377000000004</v>
      </c>
      <c r="X24" s="1345" t="str">
        <f t="shared" si="6"/>
        <v>n/a</v>
      </c>
      <c r="Y24" s="1345" t="str">
        <f t="shared" si="7"/>
        <v>n/a</v>
      </c>
      <c r="Z24" s="1345" t="str">
        <f t="shared" si="8"/>
        <v>n/a</v>
      </c>
      <c r="AC24" s="1177" t="str">
        <f>IF('MASTER PubCo Inputs'!C41="","",'MASTER PubCo Inputs'!C41)</f>
        <v>IQ236291486</v>
      </c>
      <c r="AD24" s="250" t="str">
        <f>'Capital IQ Sheet-GPC'!AP26</f>
        <v>Syros Pharmaceuticals, Inc., a biopharmaceutical company, focuses on developing treatments for cancer and immune-mediated diseases, and building a pipeline of gene control medicines. Its lead drug candidates are SY-1425, a selective RARa agonist in a Phase 2 clinical trial for genomically defined subsets of patients with acute myeloid leukemia and myelodysplastic syndrome; and SY-1365, a selective CDK7 inhibitor with potential in a range of solid tumors and blood cancers. The company was formerly known as LS22, Inc. and changed its name to Syros Pharmaceuticals, Inc. in August 2012. Syros Pharmaceuticals, Inc. was founded in 2011 and is based in Cambridge, Massachusetts.</v>
      </c>
    </row>
    <row r="25" spans="2:30" ht="14.85" customHeight="1">
      <c r="B25" s="1065" t="str">
        <f>'Capital IQ Sheet-GPC'!C27</f>
        <v>Abeona Therapeutics Inc.</v>
      </c>
      <c r="C25" s="2000"/>
      <c r="D25" s="1432">
        <f>'Capital IQ Sheet-GPC'!BE27</f>
        <v>2.93</v>
      </c>
      <c r="E25" s="1432">
        <f>'Capital IQ Sheet-GPC'!BF27</f>
        <v>95.907049999999998</v>
      </c>
      <c r="F25" s="1432">
        <f>'Capital IQ Sheet-GPC'!BG27</f>
        <v>0</v>
      </c>
      <c r="G25" s="1432">
        <f>'Capital IQ Sheet-GPC'!BH27</f>
        <v>0</v>
      </c>
      <c r="H25" s="1432">
        <f>'Capital IQ Sheet-GPC'!BI27</f>
        <v>0</v>
      </c>
      <c r="I25" s="1432">
        <f t="shared" si="0"/>
        <v>0</v>
      </c>
      <c r="J25" s="1432">
        <f t="shared" si="1"/>
        <v>95.907049999999998</v>
      </c>
      <c r="K25" s="1432">
        <f>'Capital IQ Sheet-GPC'!BJ27</f>
        <v>43.281999999999996</v>
      </c>
      <c r="L25" s="1432">
        <f t="shared" si="2"/>
        <v>52.625050000000002</v>
      </c>
      <c r="M25" s="893"/>
      <c r="N25" s="1432">
        <f>'Capital IQ Sheet-GPC'!I27</f>
        <v>6.25</v>
      </c>
      <c r="O25" s="1432">
        <f>'Capital IQ Sheet-GPC'!J27</f>
        <v>249.7473</v>
      </c>
      <c r="P25" s="1432">
        <f>'Capital IQ Sheet-GPC'!K27</f>
        <v>0</v>
      </c>
      <c r="Q25" s="1432">
        <f>'Capital IQ Sheet-GPC'!L27</f>
        <v>0</v>
      </c>
      <c r="R25" s="1432">
        <f>'Capital IQ Sheet-GPC'!M27</f>
        <v>0</v>
      </c>
      <c r="S25" s="1432">
        <f t="shared" si="3"/>
        <v>0</v>
      </c>
      <c r="T25" s="1432">
        <f t="shared" si="4"/>
        <v>249.7473</v>
      </c>
      <c r="U25" s="1432">
        <f>'Capital IQ Sheet-GPC'!N27</f>
        <v>31.184999999999999</v>
      </c>
      <c r="V25" s="1432">
        <f t="shared" si="5"/>
        <v>218.56229999999999</v>
      </c>
      <c r="X25" s="1345" t="str">
        <f t="shared" si="6"/>
        <v>NM</v>
      </c>
      <c r="Y25" s="1345" t="str">
        <f t="shared" si="7"/>
        <v>NM</v>
      </c>
      <c r="Z25" s="1345" t="str">
        <f t="shared" si="8"/>
        <v>NM</v>
      </c>
      <c r="AC25" s="1177" t="str">
        <f>IF('MASTER PubCo Inputs'!C42="","",'MASTER PubCo Inputs'!C42)</f>
        <v>IQ360935</v>
      </c>
      <c r="AD25" s="250" t="str">
        <f>'Capital IQ Sheet-GPC'!AP27</f>
        <v>Abeona Therapeutics Inc. focuses on developing and delivering gene therapy and plasma-based products for severe and life-threatening rare diseases. The company’s lead programs are ABO-101 and ABO-102, which are adeno-associated virus -based gene therapies for Sanfilippo syndrome. It is also developing EB-201 for epidermolysis bullosa (EB); ABO-201 gene therapy for juvenile Batten disease; ABO-202 gene therapy for treatment of infantile Batten disease; ABO-301 for Fanconi anemia disorder; and ABO-302 using a novel CRISPR/Cas9-based gene editing approach to gene therapy program for rare blood diseases. In addition, the company is developing plasma-based protein therapies, including SDF Alpha, an alpha-1 protease inhibitor for inherited COPD using its proprietary salt diafiltration ethanol-free process.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The company was formerly known as PlasmaTech Biopharmaceuticals, Inc. and changed its name to Abeona Therapeutics Inc. in June 2015. Abeona Therapeutics Inc. was incorporated in 1989 and is based in Dallas, Texas.</v>
      </c>
    </row>
    <row r="26" spans="2:30" ht="14.85" customHeight="1">
      <c r="B26" s="1065" t="str">
        <f>'Capital IQ Sheet-GPC'!C28</f>
        <v>Idera Pharmaceuticals, Inc.</v>
      </c>
      <c r="C26" s="2000"/>
      <c r="D26" s="1432">
        <f>'Capital IQ Sheet-GPC'!BE28</f>
        <v>2.63</v>
      </c>
      <c r="E26" s="1432">
        <f>'Capital IQ Sheet-GPC'!BF28</f>
        <v>311.26049999999998</v>
      </c>
      <c r="F26" s="1432">
        <f>'Capital IQ Sheet-GPC'!BG28</f>
        <v>0.82299999999999995</v>
      </c>
      <c r="G26" s="1432">
        <f>'Capital IQ Sheet-GPC'!BH28</f>
        <v>0</v>
      </c>
      <c r="H26" s="1432">
        <f>'Capital IQ Sheet-GPC'!BI28</f>
        <v>0</v>
      </c>
      <c r="I26" s="1432">
        <f t="shared" si="0"/>
        <v>0.82299999999999995</v>
      </c>
      <c r="J26" s="1432">
        <f t="shared" si="1"/>
        <v>312.08349999999996</v>
      </c>
      <c r="K26" s="1432">
        <f>'Capital IQ Sheet-GPC'!BJ28</f>
        <v>66.024000000000001</v>
      </c>
      <c r="L26" s="1432">
        <f t="shared" si="2"/>
        <v>246.05949999999996</v>
      </c>
      <c r="M26" s="893"/>
      <c r="N26" s="1432">
        <f>'Capital IQ Sheet-GPC'!I28</f>
        <v>1.69</v>
      </c>
      <c r="O26" s="1432">
        <f>'Capital IQ Sheet-GPC'!J28</f>
        <v>249.53377</v>
      </c>
      <c r="P26" s="1432">
        <f>'Capital IQ Sheet-GPC'!K28</f>
        <v>0.56899999999999995</v>
      </c>
      <c r="Q26" s="1432">
        <f>'Capital IQ Sheet-GPC'!L28</f>
        <v>0</v>
      </c>
      <c r="R26" s="1432">
        <f>'Capital IQ Sheet-GPC'!M28</f>
        <v>0</v>
      </c>
      <c r="S26" s="1432">
        <f t="shared" si="3"/>
        <v>0.56899999999999995</v>
      </c>
      <c r="T26" s="1432">
        <f t="shared" si="4"/>
        <v>250.10276999999999</v>
      </c>
      <c r="U26" s="1432">
        <f>'Capital IQ Sheet-GPC'!N28</f>
        <v>52.01</v>
      </c>
      <c r="V26" s="1432">
        <f t="shared" si="5"/>
        <v>198.09277</v>
      </c>
      <c r="X26" s="1345" t="str">
        <f t="shared" si="6"/>
        <v>NM</v>
      </c>
      <c r="Y26" s="1345">
        <f t="shared" si="7"/>
        <v>-0.19831212119751773</v>
      </c>
      <c r="Z26" s="1345">
        <f t="shared" si="8"/>
        <v>-0.19493955730219714</v>
      </c>
      <c r="AC26" s="1177" t="str">
        <f>IF('MASTER PubCo Inputs'!C43="","",'MASTER PubCo Inputs'!C43)</f>
        <v>IQ29643</v>
      </c>
      <c r="AD26" s="250" t="str">
        <f>'Capital IQ Sheet-GPC'!AP28</f>
        <v>Idera Pharmaceuticals, Inc., a clinical-stage biopharmaceutical company, focuses on the discovery, development, and commercialization of oligonucleotide therapeutics for oncology and rare diseases in the United States. It uses two drug discovery technology platforms to design and develop drug candidates, including toll-like receptor targeting technology and third-generation antisense (3GA) technology. The company’s drug candidates include IMO-2125, an agonist that is in Phase I/II clinical trials in combination with ipilimumab and pembrolizumab for the treatment of anti-PD-1 refractory metastatic melanoma and refractory solid tumors; IMO-8400, an antagonist, which is in Phase II clinical trial for the treatment of dermatomyositis. It also develops IDRA-008 for undisclosed liver target for rare disorder; 3GA compound for renal target; and IMO-9200, a drug candidate for potential use in selected autoimmune disease indications. In addition, the company is developing drug candidates to turn off the messenger RNA associated with disease causing genes. Idera Pharmaceuticals, Inc. has collaboration and license agreement with GSK to research, develop, and commercialize selected molecules from its 3GA technology for the treatment of selected targets in renal disease; collaboration with Abbott Molecular Inc. for the development of an in vitro companion diagnostic; and Merck &amp; Co to research, develop, and commercialize vaccine products. The company was founded in 1989 and is based in Cambridge, Massachusetts.</v>
      </c>
    </row>
    <row r="27" spans="2:30" ht="14.85" customHeight="1">
      <c r="B27" s="1065" t="str">
        <f>'Capital IQ Sheet-GPC'!C29</f>
        <v>Achillion Pharmaceuticals, Inc.</v>
      </c>
      <c r="C27" s="2000"/>
      <c r="D27" s="1432">
        <f>'Capital IQ Sheet-GPC'!BE29</f>
        <v>9</v>
      </c>
      <c r="E27" s="1432">
        <f>'Capital IQ Sheet-GPC'!BF29</f>
        <v>1228.905</v>
      </c>
      <c r="F27" s="1432">
        <f>'Capital IQ Sheet-GPC'!BG29</f>
        <v>0.50700000000000001</v>
      </c>
      <c r="G27" s="1432">
        <f>'Capital IQ Sheet-GPC'!BH29</f>
        <v>0</v>
      </c>
      <c r="H27" s="1432">
        <f>'Capital IQ Sheet-GPC'!BI29</f>
        <v>0</v>
      </c>
      <c r="I27" s="1432">
        <f t="shared" si="0"/>
        <v>0.50700000000000001</v>
      </c>
      <c r="J27" s="1432">
        <f t="shared" si="1"/>
        <v>1229.412</v>
      </c>
      <c r="K27" s="1432">
        <f>'Capital IQ Sheet-GPC'!BJ29</f>
        <v>462.70800000000003</v>
      </c>
      <c r="L27" s="1432">
        <f t="shared" si="2"/>
        <v>766.70399999999995</v>
      </c>
      <c r="M27" s="893"/>
      <c r="N27" s="1432">
        <f>'Capital IQ Sheet-GPC'!I29</f>
        <v>4.1399999999999997</v>
      </c>
      <c r="O27" s="1432">
        <f>'Capital IQ Sheet-GPC'!J29</f>
        <v>565.85888</v>
      </c>
      <c r="P27" s="1432">
        <f>'Capital IQ Sheet-GPC'!K29</f>
        <v>0.28899999999999998</v>
      </c>
      <c r="Q27" s="1432">
        <f>'Capital IQ Sheet-GPC'!L29</f>
        <v>0</v>
      </c>
      <c r="R27" s="1432">
        <f>'Capital IQ Sheet-GPC'!M29</f>
        <v>0</v>
      </c>
      <c r="S27" s="1432">
        <f t="shared" si="3"/>
        <v>0.28899999999999998</v>
      </c>
      <c r="T27" s="1432">
        <f t="shared" si="4"/>
        <v>566.14787999999999</v>
      </c>
      <c r="U27" s="1432">
        <f>'Capital IQ Sheet-GPC'!N29</f>
        <v>408.70499999999998</v>
      </c>
      <c r="V27" s="1432">
        <f t="shared" si="5"/>
        <v>157.44288</v>
      </c>
      <c r="X27" s="1345" t="str">
        <f t="shared" si="6"/>
        <v>NM</v>
      </c>
      <c r="Y27" s="1345" t="str">
        <f t="shared" si="7"/>
        <v>NM</v>
      </c>
      <c r="Z27" s="1345" t="str">
        <f t="shared" si="8"/>
        <v>NM</v>
      </c>
      <c r="AC27" s="1177" t="str">
        <f>IF('MASTER PubCo Inputs'!C44="","",'MASTER PubCo Inputs'!C44)</f>
        <v>IQ120199</v>
      </c>
      <c r="AD27" s="250" t="str">
        <f>'Capital IQ Sheet-GPC'!AP29</f>
        <v>Achillion Pharmaceuticals, Inc., a biopharmaceutical company, discovers, develops, and commercializes small molecule drug therapies for infectious diseases and immune system disorders in the United States and internationally. Its drug candidates for treating chronic hepatitis C virus (HCV) infection comprise Odalasvir, a NS5A inhibitor, which has completed Phase IIa clinical trials; ACH-3422, a NS5B nucleotide polymerase inhibitor; and Sovaprevir, a NS3 protease inhibitor that has completed Phase II clinical trial. The company is also developing ACH-4471, a complement factor D inhibitor, which is in Phase I clinical trial to treat patients with paroxysmal nocturnal hemoglobinuria and C3G, a disease resulting from alternative pathway over-activation; and other factor D inhibitors. It has a license and development agreement with Ora, Inc. for the development and commercialization of ACH-702, a drug candidate that is delivered topically or locally; and collaboration arrangement with Janssen Pharmaceuticals Inc. to develop and commercialize antiviral drug candidates for treating HCV infection. The company was founded in 1998 and is headquartered in New Haven, Connecticut.</v>
      </c>
    </row>
    <row r="28" spans="2:30" ht="14.85" customHeight="1">
      <c r="B28" s="1065" t="str">
        <f>'Capital IQ Sheet-GPC'!C30</f>
        <v>ContraVir Pharmaceuticals, Inc.</v>
      </c>
      <c r="C28" s="2000"/>
      <c r="D28" s="1432">
        <f>'Capital IQ Sheet-GPC'!BE30</f>
        <v>1.3</v>
      </c>
      <c r="E28" s="1432">
        <f>'Capital IQ Sheet-GPC'!BF30</f>
        <v>35.483580000000003</v>
      </c>
      <c r="F28" s="1432">
        <f>'Capital IQ Sheet-GPC'!BG30</f>
        <v>0</v>
      </c>
      <c r="G28" s="1432">
        <f>'Capital IQ Sheet-GPC'!BH30</f>
        <v>13.7</v>
      </c>
      <c r="H28" s="1432">
        <f>'Capital IQ Sheet-GPC'!BI30</f>
        <v>0</v>
      </c>
      <c r="I28" s="1432">
        <f t="shared" si="0"/>
        <v>13.7</v>
      </c>
      <c r="J28" s="1432">
        <f t="shared" si="1"/>
        <v>49.183580000000006</v>
      </c>
      <c r="K28" s="1432">
        <f>'Capital IQ Sheet-GPC'!BJ30</f>
        <v>1.79111</v>
      </c>
      <c r="L28" s="1432">
        <f t="shared" si="2"/>
        <v>47.392470000000003</v>
      </c>
      <c r="M28" s="893"/>
      <c r="N28" s="1432">
        <f>'Capital IQ Sheet-GPC'!I30</f>
        <v>1.98</v>
      </c>
      <c r="O28" s="1432">
        <f>'Capital IQ Sheet-GPC'!J30</f>
        <v>118.69085</v>
      </c>
      <c r="P28" s="1432">
        <f>'Capital IQ Sheet-GPC'!K30</f>
        <v>0</v>
      </c>
      <c r="Q28" s="1432">
        <f>'Capital IQ Sheet-GPC'!L30</f>
        <v>1.83091</v>
      </c>
      <c r="R28" s="1432">
        <f>'Capital IQ Sheet-GPC'!M30</f>
        <v>0</v>
      </c>
      <c r="S28" s="1432">
        <f t="shared" si="3"/>
        <v>1.83091</v>
      </c>
      <c r="T28" s="1432">
        <f t="shared" si="4"/>
        <v>120.52176</v>
      </c>
      <c r="U28" s="1432">
        <f>'Capital IQ Sheet-GPC'!N30</f>
        <v>3.0281600000000002</v>
      </c>
      <c r="V28" s="1432">
        <f t="shared" si="5"/>
        <v>117.4936</v>
      </c>
      <c r="X28" s="1345">
        <f t="shared" si="6"/>
        <v>0.52307692307692299</v>
      </c>
      <c r="Y28" s="1345" t="str">
        <f t="shared" si="7"/>
        <v>NM</v>
      </c>
      <c r="Z28" s="1345" t="str">
        <f t="shared" si="8"/>
        <v>NM</v>
      </c>
      <c r="AC28" s="1177" t="str">
        <f>IF('MASTER PubCo Inputs'!C45="","",'MASTER PubCo Inputs'!C45)</f>
        <v>IQ244424098</v>
      </c>
      <c r="AD28" s="250" t="str">
        <f>'Capital IQ Sheet-GPC'!AP30</f>
        <v>ContraVir Pharmaceuticals, Inc. operates as a biopharmaceutical company focused on the development of antiviral drugs with a primary emphasis on the treatment of Hepatitis B virus (HBV) infections. The company is developing CMX157 and CRV431 to treat HBV infection; and FV-100, an orally available, small molecule compound for the prevention of post-herpetic neuralgia, and treatment of herpes zoster infection and acute zoster-associated pain. ContraVir Pharmaceuticals, Inc. was founded in 2013 and is headquartered in Edison, New Jersey.</v>
      </c>
    </row>
    <row r="29" spans="2:30" ht="14.85" customHeight="1">
      <c r="B29" s="1065" t="str">
        <f>'Capital IQ Sheet-GPC'!C31</f>
        <v>Sangamo Therapeutics, Inc.</v>
      </c>
      <c r="C29" s="2000"/>
      <c r="D29" s="1432">
        <f>'Capital IQ Sheet-GPC'!BE31</f>
        <v>7.65</v>
      </c>
      <c r="E29" s="1432">
        <f>'Capital IQ Sheet-GPC'!BF31</f>
        <v>535.85955000000001</v>
      </c>
      <c r="F29" s="1432">
        <f>'Capital IQ Sheet-GPC'!BG31</f>
        <v>0</v>
      </c>
      <c r="G29" s="1432">
        <f>'Capital IQ Sheet-GPC'!BH31</f>
        <v>0</v>
      </c>
      <c r="H29" s="1432">
        <f>'Capital IQ Sheet-GPC'!BI31</f>
        <v>0</v>
      </c>
      <c r="I29" s="1432">
        <f t="shared" si="0"/>
        <v>0</v>
      </c>
      <c r="J29" s="1432">
        <f t="shared" si="1"/>
        <v>535.85955000000001</v>
      </c>
      <c r="K29" s="1432">
        <f>'Capital IQ Sheet-GPC'!BJ31</f>
        <v>219.32900000000001</v>
      </c>
      <c r="L29" s="1432">
        <f t="shared" si="2"/>
        <v>316.53055000000001</v>
      </c>
      <c r="M29" s="893"/>
      <c r="N29" s="1432">
        <f>'Capital IQ Sheet-GPC'!I31</f>
        <v>3.2</v>
      </c>
      <c r="O29" s="1432">
        <f>'Capital IQ Sheet-GPC'!J31</f>
        <v>225.99635000000001</v>
      </c>
      <c r="P29" s="1432">
        <f>'Capital IQ Sheet-GPC'!K31</f>
        <v>0</v>
      </c>
      <c r="Q29" s="1432">
        <f>'Capital IQ Sheet-GPC'!L31</f>
        <v>0</v>
      </c>
      <c r="R29" s="1432">
        <f>'Capital IQ Sheet-GPC'!M31</f>
        <v>0</v>
      </c>
      <c r="S29" s="1432">
        <f t="shared" si="3"/>
        <v>0</v>
      </c>
      <c r="T29" s="1432">
        <f t="shared" si="4"/>
        <v>225.99635000000001</v>
      </c>
      <c r="U29" s="1432">
        <f>'Capital IQ Sheet-GPC'!N31</f>
        <v>145.58099999999999</v>
      </c>
      <c r="V29" s="1432">
        <f t="shared" si="5"/>
        <v>80.415350000000018</v>
      </c>
      <c r="X29" s="1345" t="str">
        <f t="shared" si="6"/>
        <v>NM</v>
      </c>
      <c r="Y29" s="1345" t="str">
        <f t="shared" si="7"/>
        <v>NM</v>
      </c>
      <c r="Z29" s="1345" t="str">
        <f t="shared" si="8"/>
        <v>NM</v>
      </c>
      <c r="AC29" s="1177" t="str">
        <f>IF('MASTER PubCo Inputs'!C46="","",'MASTER PubCo Inputs'!C46)</f>
        <v>IQ412674</v>
      </c>
      <c r="AD29" s="250" t="str">
        <f>'Capital IQ Sheet-GPC'!AP31</f>
        <v>Sangamo Therapeutics, Inc., a clinical stage biopharmaceutical company, focuses on translating ground-breaking science into genomic therapies that transform patients' lives using platform technologies in genome editing, gene therapy, gene regulation, and cell therapy. The company’s proprietary zinc finger DNA-binding protein (ZFP) technology enables specific genome editing and gene regulation. The ZFPs could be engineered to make ZFP nucleases (ZFNs), proteins that could be used to specifically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Phase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proprietary preclinical programs in other LSDs; and research stage programs in certain central nervous system disorders and cancer immunotherapies. It has collaborative partnerships with Biogen Inc. to develop therapeutic genome editing products in hemoglobinopathies; and with Shire International GmbH to develop the preclinical development program in Huntington’s disease, as well as license agreement with Sigma-Aldrich Corporation to develop ZFP-based laboratory research reagents and Dow AgroSciences, LLC to modify the genomes or alter protein expression of plant cells, plants, or plant cell cultures. The company was formerly known as Sangamo BioSciences, Inc. and changed its name to Sangamo Therapeutics, Inc. in January 2017. Sangamo Therapeutics, Inc. was founded in 1995 and is headquartered in Richmond, California.</v>
      </c>
    </row>
    <row r="30" spans="2:30" ht="14.85" customHeight="1">
      <c r="B30" s="1065" t="str">
        <f>'Capital IQ Sheet-GPC'!C32</f>
        <v>Immune Design Corp.</v>
      </c>
      <c r="C30" s="2000"/>
      <c r="D30" s="1432">
        <f>'Capital IQ Sheet-GPC'!BE32</f>
        <v>15.53</v>
      </c>
      <c r="E30" s="1432">
        <f>'Capital IQ Sheet-GPC'!BF32</f>
        <v>312.82413000000003</v>
      </c>
      <c r="F30" s="1432">
        <f>'Capital IQ Sheet-GPC'!BG32</f>
        <v>0</v>
      </c>
      <c r="G30" s="1432">
        <f>'Capital IQ Sheet-GPC'!BH32</f>
        <v>0</v>
      </c>
      <c r="H30" s="1432">
        <f>'Capital IQ Sheet-GPC'!BI32</f>
        <v>0</v>
      </c>
      <c r="I30" s="1432">
        <f t="shared" si="0"/>
        <v>0</v>
      </c>
      <c r="J30" s="1432">
        <f t="shared" si="1"/>
        <v>312.82413000000003</v>
      </c>
      <c r="K30" s="1432">
        <f>'Capital IQ Sheet-GPC'!BJ32</f>
        <v>120.49</v>
      </c>
      <c r="L30" s="1432">
        <f t="shared" si="2"/>
        <v>192.33413000000002</v>
      </c>
      <c r="M30" s="893"/>
      <c r="N30" s="1432">
        <f>'Capital IQ Sheet-GPC'!I32</f>
        <v>7.35</v>
      </c>
      <c r="O30" s="1432">
        <f>'Capital IQ Sheet-GPC'!J32</f>
        <v>186.75745000000001</v>
      </c>
      <c r="P30" s="1432">
        <f>'Capital IQ Sheet-GPC'!K32</f>
        <v>0</v>
      </c>
      <c r="Q30" s="1432">
        <f>'Capital IQ Sheet-GPC'!L32</f>
        <v>0</v>
      </c>
      <c r="R30" s="1432">
        <f>'Capital IQ Sheet-GPC'!M32</f>
        <v>0</v>
      </c>
      <c r="S30" s="1432">
        <f t="shared" si="3"/>
        <v>0</v>
      </c>
      <c r="T30" s="1432">
        <f t="shared" si="4"/>
        <v>186.75745000000001</v>
      </c>
      <c r="U30" s="1432">
        <f>'Capital IQ Sheet-GPC'!N32</f>
        <v>112.471</v>
      </c>
      <c r="V30" s="1432">
        <f t="shared" si="5"/>
        <v>74.286450000000002</v>
      </c>
      <c r="X30" s="1345" t="str">
        <f t="shared" si="6"/>
        <v>NM</v>
      </c>
      <c r="Y30" s="1345" t="str">
        <f t="shared" si="7"/>
        <v>NM</v>
      </c>
      <c r="Z30" s="1345" t="str">
        <f t="shared" si="8"/>
        <v>NM</v>
      </c>
      <c r="AC30" s="1177" t="str">
        <f>IF('MASTER PubCo Inputs'!C47="","",'MASTER PubCo Inputs'!C47)</f>
        <v>IQ46099827</v>
      </c>
      <c r="AD30" s="250" t="str">
        <f>'Capital IQ Sheet-GPC'!AP32</f>
        <v>Immune Design Corp., a clinical-stage immunotherapy company, engages in the research and development of in vivo treatments for cancer. It primarily develops oncology product candidates based on its ZVex and GLAAS product discovery platforms. The company’s products include CMB305, which is in Phase 2 trial for the treatment of NY-ESO-1 tumor antigen; LV305 that is in Phase 1 trial for the treatment of patients with relapsed or metastatic melanoma, sarcoma, ovarian cancer, or non-small cell lung cancer that express NY-ESO-1; and G100, an intratumoral immune activation product candidate for the treatment of patients with Merkel cell carcinoma and non-Hodgkin Lymphoma. In addition, its technologies are also used in the fields of infectious diseases and allergies. The company has license agreements with California Institute of Technology, University of North Carolina at Chapel Hill, TheraVectys SA, Infectious Disease Research Institute, MedImmune LLC, and Sanofi; and a collaboration agreement with Sanofi Pasteur. Immune Design Corp. was founded in 2008 and is headquartered in Seattle, Washington.</v>
      </c>
    </row>
    <row r="31" spans="2:30" ht="14.85" customHeight="1">
      <c r="B31" s="1065" t="str">
        <f>'Capital IQ Sheet-GPC'!C33</f>
        <v>Fate Therapeutics, Inc.</v>
      </c>
      <c r="C31" s="2000"/>
      <c r="D31" s="1432">
        <f>'Capital IQ Sheet-GPC'!BE33</f>
        <v>2.85</v>
      </c>
      <c r="E31" s="1432">
        <f>'Capital IQ Sheet-GPC'!BF33</f>
        <v>81.843450000000004</v>
      </c>
      <c r="F31" s="1432">
        <f>'Capital IQ Sheet-GPC'!BG33</f>
        <v>19.129000000000001</v>
      </c>
      <c r="G31" s="1432">
        <f>'Capital IQ Sheet-GPC'!BH33</f>
        <v>0</v>
      </c>
      <c r="H31" s="1432">
        <f>'Capital IQ Sheet-GPC'!BI33</f>
        <v>0</v>
      </c>
      <c r="I31" s="1432">
        <f t="shared" si="0"/>
        <v>19.129000000000001</v>
      </c>
      <c r="J31" s="1432">
        <f t="shared" si="1"/>
        <v>100.97245000000001</v>
      </c>
      <c r="K31" s="1432">
        <f>'Capital IQ Sheet-GPC'!BJ33</f>
        <v>72.856999999999999</v>
      </c>
      <c r="L31" s="1432">
        <f t="shared" si="2"/>
        <v>28.11545000000001</v>
      </c>
      <c r="M31" s="893"/>
      <c r="N31" s="1432">
        <f>'Capital IQ Sheet-GPC'!I33</f>
        <v>2.94</v>
      </c>
      <c r="O31" s="1432">
        <f>'Capital IQ Sheet-GPC'!J33</f>
        <v>100.39557000000001</v>
      </c>
      <c r="P31" s="1432">
        <f>'Capital IQ Sheet-GPC'!K33</f>
        <v>12.635</v>
      </c>
      <c r="Q31" s="1432">
        <f>'Capital IQ Sheet-GPC'!L33</f>
        <v>0</v>
      </c>
      <c r="R31" s="1432">
        <f>'Capital IQ Sheet-GPC'!M33</f>
        <v>0</v>
      </c>
      <c r="S31" s="1432">
        <f t="shared" si="3"/>
        <v>12.635</v>
      </c>
      <c r="T31" s="1432">
        <f t="shared" si="4"/>
        <v>113.03057000000001</v>
      </c>
      <c r="U31" s="1432">
        <f>'Capital IQ Sheet-GPC'!N33</f>
        <v>46.619</v>
      </c>
      <c r="V31" s="1432">
        <f t="shared" si="5"/>
        <v>66.411570000000012</v>
      </c>
      <c r="X31" s="1345">
        <f t="shared" si="6"/>
        <v>3.1578947368420929E-2</v>
      </c>
      <c r="Y31" s="1345">
        <f t="shared" si="7"/>
        <v>0.22667812757160166</v>
      </c>
      <c r="Z31" s="1345" t="str">
        <f t="shared" si="8"/>
        <v>NM</v>
      </c>
      <c r="AC31" s="1177" t="str">
        <f>IF('MASTER PubCo Inputs'!C48="","",'MASTER PubCo Inputs'!C48)</f>
        <v>IQ39268712</v>
      </c>
      <c r="AD31" s="250" t="str">
        <f>'Capital IQ Sheet-GPC'!AP33</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engineered hnCD16 induced pluripotent stem cells (iPSC)-derived natural killer cell therapy candidates for hematologic/solid tumors; and engineered chimeric antigen receptor iPSC-derived T cell therapy product candidates for hematologic/solid tumors. The company’s immuno-regulation product candidates comprise ProTmune, an investigational programmed cellular immunotherapy for use as a next-generation allogeneic hematopoietic cell transplantation cell graft; and ToleraCyte for the treatment of autoimmune and inflammatory diseases; engineered iPSC-derived CD34+ cell therapy for immune disorders. Fate Therapeutics, Inc. has a research collaboration and license agreement with Memorial Sloan Kettering Cancer Center to develop off-the-shelf T-cell immunotherapies; and strategic research collaboration and license agreement with Juno Therapeutics, Inc. to identify small molecule modulators that enhance the function of T cells. Fate Therapeutics, Inc. was founded in 2007 and is headquartered in San Diego, California.</v>
      </c>
    </row>
    <row r="32" spans="2:30" ht="14.85" customHeight="1">
      <c r="B32" s="1065" t="str">
        <f>'Capital IQ Sheet-GPC'!C34</f>
        <v>Arrowhead Pharmaceuticals, Inc.</v>
      </c>
      <c r="C32" s="2000"/>
      <c r="D32" s="1432">
        <f>'Capital IQ Sheet-GPC'!BE34</f>
        <v>5.3</v>
      </c>
      <c r="E32" s="1432">
        <f>'Capital IQ Sheet-GPC'!BF34</f>
        <v>315.63979</v>
      </c>
      <c r="F32" s="1432">
        <f>'Capital IQ Sheet-GPC'!BG34</f>
        <v>0.75834000000000001</v>
      </c>
      <c r="G32" s="1432">
        <f>'Capital IQ Sheet-GPC'!BH34</f>
        <v>2.0000000000000002E-5</v>
      </c>
      <c r="H32" s="1432">
        <f>'Capital IQ Sheet-GPC'!BI34</f>
        <v>-0.55518999999999996</v>
      </c>
      <c r="I32" s="1432">
        <f t="shared" si="0"/>
        <v>0.20317000000000007</v>
      </c>
      <c r="J32" s="1432">
        <f t="shared" si="1"/>
        <v>315.84296000000001</v>
      </c>
      <c r="K32" s="1432">
        <f>'Capital IQ Sheet-GPC'!BJ34</f>
        <v>98.754260000000002</v>
      </c>
      <c r="L32" s="1432">
        <f t="shared" si="2"/>
        <v>217.08870000000002</v>
      </c>
      <c r="M32" s="893"/>
      <c r="N32" s="1432">
        <f>'Capital IQ Sheet-GPC'!I34</f>
        <v>1.44</v>
      </c>
      <c r="O32" s="1432">
        <f>'Capital IQ Sheet-GPC'!J34</f>
        <v>102.94919</v>
      </c>
      <c r="P32" s="1432">
        <f>'Capital IQ Sheet-GPC'!K34</f>
        <v>3.32328</v>
      </c>
      <c r="Q32" s="1432">
        <f>'Capital IQ Sheet-GPC'!L34</f>
        <v>2.0000000000000002E-5</v>
      </c>
      <c r="R32" s="1432">
        <f>'Capital IQ Sheet-GPC'!M34</f>
        <v>-0.55518999999999996</v>
      </c>
      <c r="S32" s="1432">
        <f t="shared" si="3"/>
        <v>2.7681100000000001</v>
      </c>
      <c r="T32" s="1432">
        <f t="shared" si="4"/>
        <v>105.71730000000001</v>
      </c>
      <c r="U32" s="1432">
        <f>'Capital IQ Sheet-GPC'!N34</f>
        <v>44.647100000000002</v>
      </c>
      <c r="V32" s="1432">
        <f t="shared" si="5"/>
        <v>61.070200000000007</v>
      </c>
      <c r="X32" s="1345" t="str">
        <f t="shared" si="6"/>
        <v>NM</v>
      </c>
      <c r="Y32" s="1345" t="str">
        <f t="shared" si="7"/>
        <v>NM</v>
      </c>
      <c r="Z32" s="1345" t="str">
        <f t="shared" si="8"/>
        <v>NM</v>
      </c>
      <c r="AC32" s="1177" t="str">
        <f>IF('MASTER PubCo Inputs'!C49="","",'MASTER PubCo Inputs'!C49)</f>
        <v>IQ203142</v>
      </c>
      <c r="AD32" s="250" t="str">
        <f>'Capital IQ Sheet-GPC'!AP34</f>
        <v>Arrowhead Pharmaceuticals, Inc. develops novel drugs to treat intractable diseases in the United States. Its pre-clinical stage drug candidates include ARO-HBV to treat chronic hepatitis B virus infection; ARO-AAT to treat liver disease associated with alpha-1 antitrypsin deficiency; ARO-LPA to reduce production of apolipoprotein A; ARO-AMG1, which is developed against an undisclosed genetically validated cardiovascular target; and ARO-F12, a potential treatment for factor 12 mediated diseases, such as hereditary angioedema and thromboembolic disorders. The company also develops ARO-HIF2, a drug candidate for the treatment of clear cell renal cell carcinoma. Arrowhead Pharmaceuticals, Inc. has collaboration and license agreements with Amgen, Inc. The company was formerly known as Arrowhead Research Corporation and changed its name to Arrowhead Pharmaceuticals, Inc. in April 2016. Arrowhead Pharmaceuticals, Inc. was incorporated in 1989 and is headquartered in Pasadena, California.</v>
      </c>
    </row>
    <row r="33" spans="2:30" ht="14.85" customHeight="1">
      <c r="B33" s="1065" t="str">
        <f>'Capital IQ Sheet-GPC'!C35</f>
        <v>Regulus Therapeutics Inc.</v>
      </c>
      <c r="C33" s="2000"/>
      <c r="D33" s="1432">
        <f>'Capital IQ Sheet-GPC'!BE35</f>
        <v>7.66</v>
      </c>
      <c r="E33" s="1432">
        <f>'Capital IQ Sheet-GPC'!BF35</f>
        <v>400.94738000000001</v>
      </c>
      <c r="F33" s="1432">
        <f>'Capital IQ Sheet-GPC'!BG35</f>
        <v>0</v>
      </c>
      <c r="G33" s="1432">
        <f>'Capital IQ Sheet-GPC'!BH35</f>
        <v>0</v>
      </c>
      <c r="H33" s="1432">
        <f>'Capital IQ Sheet-GPC'!BI35</f>
        <v>0</v>
      </c>
      <c r="I33" s="1432">
        <f t="shared" si="0"/>
        <v>0</v>
      </c>
      <c r="J33" s="1432">
        <f t="shared" si="1"/>
        <v>400.94738000000001</v>
      </c>
      <c r="K33" s="1432">
        <f>'Capital IQ Sheet-GPC'!BJ35</f>
        <v>130.32599999999999</v>
      </c>
      <c r="L33" s="1432">
        <f t="shared" si="2"/>
        <v>270.62138000000004</v>
      </c>
      <c r="M33" s="893"/>
      <c r="N33" s="1432">
        <f>'Capital IQ Sheet-GPC'!I35</f>
        <v>2.4500000000000002</v>
      </c>
      <c r="O33" s="1432">
        <f>'Capital IQ Sheet-GPC'!J35</f>
        <v>129.66210000000001</v>
      </c>
      <c r="P33" s="1432">
        <f>'Capital IQ Sheet-GPC'!K35</f>
        <v>19.786999999999999</v>
      </c>
      <c r="Q33" s="1432">
        <f>'Capital IQ Sheet-GPC'!L35</f>
        <v>0</v>
      </c>
      <c r="R33" s="1432">
        <f>'Capital IQ Sheet-GPC'!M35</f>
        <v>0</v>
      </c>
      <c r="S33" s="1432">
        <f t="shared" si="3"/>
        <v>19.786999999999999</v>
      </c>
      <c r="T33" s="1432">
        <f t="shared" si="4"/>
        <v>149.44910000000002</v>
      </c>
      <c r="U33" s="1432">
        <f>'Capital IQ Sheet-GPC'!N35</f>
        <v>91.582999999999998</v>
      </c>
      <c r="V33" s="1432">
        <f t="shared" si="5"/>
        <v>57.866100000000017</v>
      </c>
      <c r="X33" s="1345" t="str">
        <f t="shared" si="6"/>
        <v>NM</v>
      </c>
      <c r="Y33" s="1345" t="str">
        <f t="shared" si="7"/>
        <v>NM</v>
      </c>
      <c r="Z33" s="1345" t="str">
        <f t="shared" si="8"/>
        <v>NM</v>
      </c>
      <c r="AC33" s="1177" t="str">
        <f>IF('MASTER PubCo Inputs'!C50="","",'MASTER PubCo Inputs'!C50)</f>
        <v>IQ36742485</v>
      </c>
      <c r="AD33" s="250" t="str">
        <f>'Capital IQ Sheet-GPC'!AP35</f>
        <v>Regulus Therapeutics Inc., a biopharmaceutical company, focuses on the discovery and development of drugs that target microRNAs to treat a range of diseases in the United States. The company uses its microRNA product platform to develop anti-miRs, which are chemically modified and single-stranded oligonucleotides. Its clinical development products include RG-101, a GalNAc-conjugated anti-miR targeting miR-122 to treat patients with hepatitis C virus infection; RG-012, an anti-miR targeting microRNA-21 for the treatment of Alport syndrome; RG-125, a GalNAc-conjugated anti-miR targeting microRNA-103/107 for the treatment of non-alcoholic fatty liver disease; RGLS5040, an anti-miR targeting microRNA-27 for the treatment of cholestatic disease; and RGLS4326, an anti-miR targeting microRNA-17 for the treatment of autosomal dominant polycystic kidney disease. The company has strategic alliance with AstraZeneca AB and Sanofi to discover, develop, and commercialize microRNA therapeutics; and Biogen Inc. on microRNA biomarkers for multiple sclerosis, as well as a clinical trial collaboration agreement with GSK LLC. Regulus Therapeutics Inc. was founded in 2007 and is headquartered in San Diego, California.</v>
      </c>
    </row>
    <row r="34" spans="2:30" ht="14.85" customHeight="1">
      <c r="B34" s="1065" t="str">
        <f>'Capital IQ Sheet-GPC'!C36</f>
        <v>CEL-SCI Corporation</v>
      </c>
      <c r="C34" s="2000"/>
      <c r="D34" s="1432">
        <f>'Capital IQ Sheet-GPC'!BE36</f>
        <v>0.42</v>
      </c>
      <c r="E34" s="1432">
        <f>'Capital IQ Sheet-GPC'!BF36</f>
        <v>54.588299999999997</v>
      </c>
      <c r="F34" s="1432">
        <f>'Capital IQ Sheet-GPC'!BG36</f>
        <v>1.2582100000000001</v>
      </c>
      <c r="G34" s="1432">
        <f>'Capital IQ Sheet-GPC'!BH36</f>
        <v>0</v>
      </c>
      <c r="H34" s="1432">
        <f>'Capital IQ Sheet-GPC'!BI36</f>
        <v>0</v>
      </c>
      <c r="I34" s="1432">
        <f t="shared" si="0"/>
        <v>1.2582100000000001</v>
      </c>
      <c r="J34" s="1432">
        <f t="shared" si="1"/>
        <v>55.846509999999995</v>
      </c>
      <c r="K34" s="1432">
        <f>'Capital IQ Sheet-GPC'!BJ36</f>
        <v>5.72668</v>
      </c>
      <c r="L34" s="1432">
        <f t="shared" si="2"/>
        <v>50.119829999999993</v>
      </c>
      <c r="M34" s="893"/>
      <c r="N34" s="1432">
        <f>'Capital IQ Sheet-GPC'!I36</f>
        <v>0.21110000000000001</v>
      </c>
      <c r="O34" s="1432">
        <f>'Capital IQ Sheet-GPC'!J36</f>
        <v>32.817689999999999</v>
      </c>
      <c r="P34" s="1432">
        <f>'Capital IQ Sheet-GPC'!K36</f>
        <v>2.31E-3</v>
      </c>
      <c r="Q34" s="1432">
        <f>'Capital IQ Sheet-GPC'!L36</f>
        <v>0</v>
      </c>
      <c r="R34" s="1432">
        <f>'Capital IQ Sheet-GPC'!M36</f>
        <v>0</v>
      </c>
      <c r="S34" s="1432">
        <f t="shared" si="3"/>
        <v>2.31E-3</v>
      </c>
      <c r="T34" s="1432">
        <f t="shared" si="4"/>
        <v>32.82</v>
      </c>
      <c r="U34" s="1432">
        <f>'Capital IQ Sheet-GPC'!N36</f>
        <v>5.21896</v>
      </c>
      <c r="V34" s="1432">
        <f t="shared" si="5"/>
        <v>27.601040000000001</v>
      </c>
      <c r="X34" s="1345" t="str">
        <f t="shared" si="6"/>
        <v>NM</v>
      </c>
      <c r="Y34" s="1345" t="str">
        <f t="shared" si="7"/>
        <v>NM</v>
      </c>
      <c r="Z34" s="1345" t="str">
        <f t="shared" si="8"/>
        <v>NM</v>
      </c>
      <c r="AC34" s="1177" t="str">
        <f>IF('MASTER PubCo Inputs'!C51="","",'MASTER PubCo Inputs'!C51)</f>
        <v>IQ258746</v>
      </c>
      <c r="AD34" s="250" t="str">
        <f>'Capital IQ Sheet-GPC'!AP36</f>
        <v>CEL-SCI Corporation engages in the research and development of drugs and vaccines. Its lead investigational immunotherapy is Multikine, which is under pivotal phase III clinical trial for the treatment of primary head and neck cancer. The company’s Multikine is also used in a Phase I study with the Naval Medical Center, San Diego under a cooperative research and development agreement in HIV/HPV co-infected men and women with peri-anal warts. Its Ligand Epitope Antigen Presentation System, a pre-clinical patented T-cell modulation process that stimulates the human immune system to fight bacterial, viral, and parasitic infections, as well as autoimmune diseases, allergies, transplantation rejections, and cancer. The company also develops LEAPS-H1N1-DC, a product candidate for the treatment of pandemic influenza in hospitalized patients; and CEL-2000 and CEL-4000 vaccine product candidates for the treatment of rheumatoid arthritis. CEL-SCI Corporation was founded in 1983 and is headquartered in Vienna, Virginia.</v>
      </c>
    </row>
    <row r="35" spans="2:30" ht="14.85" customHeight="1">
      <c r="B35" s="1065" t="str">
        <f>'Capital IQ Sheet-GPC'!C37</f>
        <v>PhaseRx, Inc.</v>
      </c>
      <c r="C35" s="2000"/>
      <c r="D35" s="1432">
        <f>'Capital IQ Sheet-GPC'!BE37</f>
        <v>0</v>
      </c>
      <c r="E35" s="1432">
        <f>'Capital IQ Sheet-GPC'!BF37</f>
        <v>0</v>
      </c>
      <c r="F35" s="1432">
        <f>'Capital IQ Sheet-GPC'!BG37</f>
        <v>0</v>
      </c>
      <c r="G35" s="1432">
        <f>'Capital IQ Sheet-GPC'!BH37</f>
        <v>0</v>
      </c>
      <c r="H35" s="1432">
        <f>'Capital IQ Sheet-GPC'!BI37</f>
        <v>0</v>
      </c>
      <c r="I35" s="1432">
        <f t="shared" ref="I35:I40" si="9">SUM(F35:H35)</f>
        <v>0</v>
      </c>
      <c r="J35" s="1432">
        <f t="shared" ref="J35:J40" si="10">SUM(E35:H35)</f>
        <v>0</v>
      </c>
      <c r="K35" s="1432">
        <f>'Capital IQ Sheet-GPC'!BJ37</f>
        <v>0</v>
      </c>
      <c r="L35" s="1432">
        <f t="shared" ref="L35:L40" si="11">IF(ISERROR(J35-K35), "n/a", J35-K35)</f>
        <v>0</v>
      </c>
      <c r="M35" s="893"/>
      <c r="N35" s="1432">
        <f>'Capital IQ Sheet-GPC'!I37</f>
        <v>2.1</v>
      </c>
      <c r="O35" s="1432">
        <f>'Capital IQ Sheet-GPC'!J37</f>
        <v>24.549689999999998</v>
      </c>
      <c r="P35" s="1432">
        <f>'Capital IQ Sheet-GPC'!K37</f>
        <v>5.6109999999999998</v>
      </c>
      <c r="Q35" s="1432">
        <f>'Capital IQ Sheet-GPC'!L37</f>
        <v>0</v>
      </c>
      <c r="R35" s="1432">
        <f>'Capital IQ Sheet-GPC'!M37</f>
        <v>0</v>
      </c>
      <c r="S35" s="1432">
        <f t="shared" ref="S35:S40" si="12">SUM(P35:R35)</f>
        <v>5.6109999999999998</v>
      </c>
      <c r="T35" s="1432">
        <f t="shared" ref="T35:T40" si="13">SUM(O35:R35)</f>
        <v>30.160689999999999</v>
      </c>
      <c r="U35" s="1432">
        <f>'Capital IQ Sheet-GPC'!N37</f>
        <v>18.635000000000002</v>
      </c>
      <c r="V35" s="1432">
        <f t="shared" ref="V35:V40" si="14">IF(ISERROR(T35-U35), "n/a", T35-U35)</f>
        <v>11.525689999999997</v>
      </c>
      <c r="X35" s="1345" t="str">
        <f t="shared" si="6"/>
        <v>n/a</v>
      </c>
      <c r="Y35" s="1345" t="str">
        <f t="shared" si="7"/>
        <v>n/a</v>
      </c>
      <c r="Z35" s="1345" t="str">
        <f t="shared" si="8"/>
        <v>n/a</v>
      </c>
      <c r="AC35" s="1177" t="str">
        <f>IF('MASTER PubCo Inputs'!C52="","",'MASTER PubCo Inputs'!C52)</f>
        <v>IQ41693120</v>
      </c>
      <c r="AD35" s="250" t="str">
        <f>'Capital IQ Sheet-GPC'!AP37</f>
        <v>PhaseRx, Inc., a biopharmaceutical company, engages in developing a portfolio of products for the treatment of inherited enzyme deficiencies in the liver using intracellular enzyme replacement therapy. The company develops its products based on its proprietary Hybrid mRNA technology platform, which allows the synthesis of missing enzyme inside the cell. Its therapeutic urea cycle disorder programs under development include PRX-OTC to treat ornithine transcarbamylase deficiency; PRX-ASL to treat argininosuccinate lyase deficiency; and PRX-ASS1 to treat argininosuccinate synthetase deficiency. The company was incorporated in 2006 and is headquartered in Seattle, Washington.</v>
      </c>
    </row>
    <row r="36" spans="2:30" ht="14.85" customHeight="1">
      <c r="B36" s="1065" t="str">
        <f>'Capital IQ Sheet-GPC'!C38</f>
        <v>Marina Biotech, Inc.</v>
      </c>
      <c r="C36" s="2000"/>
      <c r="D36" s="1432">
        <f>'Capital IQ Sheet-GPC'!BE38</f>
        <v>0</v>
      </c>
      <c r="E36" s="1432">
        <f>'Capital IQ Sheet-GPC'!BF38</f>
        <v>0</v>
      </c>
      <c r="F36" s="1432">
        <f>'Capital IQ Sheet-GPC'!BG38</f>
        <v>0</v>
      </c>
      <c r="G36" s="1432">
        <f>'Capital IQ Sheet-GPC'!BH38</f>
        <v>0</v>
      </c>
      <c r="H36" s="1432">
        <f>'Capital IQ Sheet-GPC'!BI38</f>
        <v>0</v>
      </c>
      <c r="I36" s="1432">
        <f t="shared" si="9"/>
        <v>0</v>
      </c>
      <c r="J36" s="1432">
        <f t="shared" si="10"/>
        <v>0</v>
      </c>
      <c r="K36" s="1432">
        <f>'Capital IQ Sheet-GPC'!BJ38</f>
        <v>0</v>
      </c>
      <c r="L36" s="1432">
        <f t="shared" si="11"/>
        <v>0</v>
      </c>
      <c r="M36" s="893"/>
      <c r="N36" s="1432">
        <f>'Capital IQ Sheet-GPC'!I38</f>
        <v>0.11</v>
      </c>
      <c r="O36" s="1432">
        <f>'Capital IQ Sheet-GPC'!J38</f>
        <v>9.8748500000000003</v>
      </c>
      <c r="P36" s="1432">
        <f>'Capital IQ Sheet-GPC'!K38</f>
        <v>0</v>
      </c>
      <c r="Q36" s="1432">
        <f>'Capital IQ Sheet-GPC'!L38</f>
        <v>0</v>
      </c>
      <c r="R36" s="1432">
        <f>'Capital IQ Sheet-GPC'!M38</f>
        <v>0</v>
      </c>
      <c r="S36" s="1432">
        <f t="shared" si="12"/>
        <v>0</v>
      </c>
      <c r="T36" s="1432">
        <f t="shared" si="13"/>
        <v>9.8748500000000003</v>
      </c>
      <c r="U36" s="1432">
        <f>'Capital IQ Sheet-GPC'!N38</f>
        <v>0</v>
      </c>
      <c r="V36" s="1432">
        <f t="shared" si="14"/>
        <v>9.8748500000000003</v>
      </c>
      <c r="X36" s="1345" t="str">
        <f t="shared" si="6"/>
        <v>n/a</v>
      </c>
      <c r="Y36" s="1345" t="str">
        <f t="shared" si="7"/>
        <v>n/a</v>
      </c>
      <c r="Z36" s="1345" t="str">
        <f t="shared" si="8"/>
        <v>n/a</v>
      </c>
      <c r="AC36" s="1177" t="str">
        <f>IF('MASTER PubCo Inputs'!C53="","",'MASTER PubCo Inputs'!C53)</f>
        <v>IQ280596151</v>
      </c>
      <c r="AD36" s="250" t="str">
        <f>'Capital IQ Sheet-GPC'!AP38</f>
        <v>Marina Biotech, Inc., a biopharmaceutical company, engages in the discovery, acquisition, development, and commercialization of proprietary drug therapeutics for addressing unmet medical needs in the United States, Europe, and internationally. The company has three clinical development programs, such as IT-102 and IT-103, a celecoxib program drug candidates for the treatment of combined arthritis pain/hypertension and the treatment of pain requiring a high dose of celecoxib; CEQ508, an oral delivery of small interfering RNA against beta-catenin, combined with IT-102 to suppress polyps in the precancerous syndrome and orphan indication of familial adenomatous polyposis; and CEQ508 combined with IT-103 to treat colorectal cancer. Its preclinical pipeline includes oligotherapeutics for the treatment of bladder cancer, inflammatory bowel, and duchenne muscular dystrophy diseases. The company is based in City of Industry, California.</v>
      </c>
    </row>
    <row r="37" spans="2:30" ht="14.85" customHeight="1">
      <c r="B37" s="1065" t="str">
        <f>'Capital IQ Sheet-GPC'!C39</f>
        <v>RXi Pharmaceuticals Corporation</v>
      </c>
      <c r="C37" s="2000"/>
      <c r="D37" s="1432">
        <f>'Capital IQ Sheet-GPC'!BE39</f>
        <v>3.6520000000000001</v>
      </c>
      <c r="E37" s="1432">
        <f>'Capital IQ Sheet-GPC'!BF39</f>
        <v>23.865459999999999</v>
      </c>
      <c r="F37" s="1432">
        <f>'Capital IQ Sheet-GPC'!BG39</f>
        <v>0</v>
      </c>
      <c r="G37" s="1432">
        <f>'Capital IQ Sheet-GPC'!BH39</f>
        <v>0</v>
      </c>
      <c r="H37" s="1432">
        <f>'Capital IQ Sheet-GPC'!BI39</f>
        <v>0</v>
      </c>
      <c r="I37" s="1432">
        <f t="shared" si="9"/>
        <v>0</v>
      </c>
      <c r="J37" s="1432">
        <f t="shared" si="10"/>
        <v>23.865459999999999</v>
      </c>
      <c r="K37" s="1432">
        <f>'Capital IQ Sheet-GPC'!BJ39</f>
        <v>12.035</v>
      </c>
      <c r="L37" s="1432">
        <f t="shared" si="11"/>
        <v>11.830459999999999</v>
      </c>
      <c r="M37" s="893"/>
      <c r="N37" s="1432">
        <f>'Capital IQ Sheet-GPC'!I39</f>
        <v>1.51</v>
      </c>
      <c r="O37" s="1432">
        <f>'Capital IQ Sheet-GPC'!J39</f>
        <v>9.9657699999999991</v>
      </c>
      <c r="P37" s="1432">
        <f>'Capital IQ Sheet-GPC'!K39</f>
        <v>0</v>
      </c>
      <c r="Q37" s="1432">
        <f>'Capital IQ Sheet-GPC'!L39</f>
        <v>0</v>
      </c>
      <c r="R37" s="1432">
        <f>'Capital IQ Sheet-GPC'!M39</f>
        <v>0</v>
      </c>
      <c r="S37" s="1432">
        <f t="shared" si="12"/>
        <v>0</v>
      </c>
      <c r="T37" s="1432">
        <f t="shared" si="13"/>
        <v>9.9657699999999991</v>
      </c>
      <c r="U37" s="1432">
        <f>'Capital IQ Sheet-GPC'!N39</f>
        <v>4.3789999999999996</v>
      </c>
      <c r="V37" s="1432">
        <f t="shared" si="14"/>
        <v>5.5867699999999996</v>
      </c>
      <c r="X37" s="1345" t="str">
        <f t="shared" si="6"/>
        <v>NM</v>
      </c>
      <c r="Y37" s="1345" t="str">
        <f t="shared" si="7"/>
        <v>NM</v>
      </c>
      <c r="Z37" s="1345" t="str">
        <f t="shared" si="8"/>
        <v>NM</v>
      </c>
      <c r="AC37" s="1177" t="str">
        <f>IF('MASTER PubCo Inputs'!C54="","",'MASTER PubCo Inputs'!C54)</f>
        <v>IQ140969529</v>
      </c>
      <c r="AD37" s="250" t="str">
        <f>'Capital IQ Sheet-GPC'!AP39</f>
        <v>RXi Pharmaceuticals Corporation, a clinical-stage company, focuses on developing therapeutics for unmet medical needs. It develops therapies based on its self-delivering RNAi (sd-rxRNA) platform; and Samcyprone topical immunomodulatory. The company’s clinical development programs include RXI-109, an sd-rxRNA compound, which is in Phase II clinical trial for preventing or reducing dermal scarring following scar revision surgery of an existing hypertrophic scar; and in Phase I/II clinical trial for treating retinal scarring, as well as in discovery stage for the treatment of corneal scarring. Its clinical development programs also comprise RXI-231, an sd-rxRNA compound targeting tyrosinase, which is in development stage as a cosmetic ingredient for treating uneven skin tone and pigmentation; and RXI-185, an sd-rxRNA compound targeting collagenase that is in development stage as a cosmetic ingredient for treating wrinkles and skin laxity. The company is also developing Samcyprone, a formulation of the small molecule diphenylcyclopropenone, which is in Phase IIa clinical trial for the clearance of common warts. In addition, it is developing cell-based cancer immunotherapies. RXi Pharmaceuticals Corporation was incorporated in 2011 and is headquartered in Marlborough, Massachusetts.</v>
      </c>
    </row>
    <row r="38" spans="2:30" ht="14.85" customHeight="1">
      <c r="B38" s="1065" t="str">
        <f>'Capital IQ Sheet-GPC'!C40</f>
        <v>Benitec Biopharma Limited</v>
      </c>
      <c r="C38" s="2000"/>
      <c r="D38" s="1432">
        <f>'Capital IQ Sheet-GPC'!BE40</f>
        <v>0.193</v>
      </c>
      <c r="E38" s="1432">
        <f>'Capital IQ Sheet-GPC'!BF40</f>
        <v>28.280519999999999</v>
      </c>
      <c r="F38" s="1432">
        <f>'Capital IQ Sheet-GPC'!BG40</f>
        <v>0</v>
      </c>
      <c r="G38" s="1432">
        <f>'Capital IQ Sheet-GPC'!BH40</f>
        <v>0</v>
      </c>
      <c r="H38" s="1432">
        <f>'Capital IQ Sheet-GPC'!BI40</f>
        <v>0</v>
      </c>
      <c r="I38" s="1432">
        <f t="shared" si="9"/>
        <v>0</v>
      </c>
      <c r="J38" s="1432">
        <f t="shared" si="10"/>
        <v>28.280519999999999</v>
      </c>
      <c r="K38" s="1432">
        <f>'Capital IQ Sheet-GPC'!BJ40</f>
        <v>16.767620000000001</v>
      </c>
      <c r="L38" s="1432">
        <f t="shared" si="11"/>
        <v>11.512899999999998</v>
      </c>
      <c r="M38" s="893"/>
      <c r="N38" s="1432">
        <f>'Capital IQ Sheet-GPC'!I40</f>
        <v>7.0860000000000006E-2</v>
      </c>
      <c r="O38" s="1432">
        <f>'Capital IQ Sheet-GPC'!J40</f>
        <v>12.459519999999999</v>
      </c>
      <c r="P38" s="1432">
        <f>'Capital IQ Sheet-GPC'!K40</f>
        <v>0</v>
      </c>
      <c r="Q38" s="1432">
        <f>'Capital IQ Sheet-GPC'!L40</f>
        <v>0</v>
      </c>
      <c r="R38" s="1432">
        <f>'Capital IQ Sheet-GPC'!M40</f>
        <v>0</v>
      </c>
      <c r="S38" s="1432">
        <f t="shared" si="12"/>
        <v>0</v>
      </c>
      <c r="T38" s="1432">
        <f t="shared" si="13"/>
        <v>12.459519999999999</v>
      </c>
      <c r="U38" s="1432">
        <f>'Capital IQ Sheet-GPC'!N40</f>
        <v>10.266360000000001</v>
      </c>
      <c r="V38" s="1432">
        <f t="shared" si="14"/>
        <v>2.1931599999999989</v>
      </c>
      <c r="X38" s="1345" t="str">
        <f t="shared" si="6"/>
        <v>NM</v>
      </c>
      <c r="Y38" s="1345" t="str">
        <f t="shared" si="7"/>
        <v>NM</v>
      </c>
      <c r="Z38" s="1345" t="str">
        <f t="shared" si="8"/>
        <v>NM</v>
      </c>
      <c r="AC38" s="1177" t="str">
        <f>IF('MASTER PubCo Inputs'!C55="","",'MASTER PubCo Inputs'!C55)</f>
        <v>IQ4492928</v>
      </c>
      <c r="AD38" s="250" t="str">
        <f>'Capital IQ Sheet-GPC'!AP40</f>
        <v>Benitec Biopharma Limited, a biotechnology company, develops treatments for chronic and life-threatening human diseases based on its gene silencing therapy, DNA-directed RNA interference (ddRNAi) in Australia, the United Kingdom, and the United States. Its in-house development programs include TT-034, which is in Phase I/IIa clinical trials for the treatment of hepatitis C; BB-HB-331 for the treatment of the hepatitis B virus; and ddRNAi-based therapies, such as BB-AMD-211 and BB-AMD-233 for the treatment of wet age-related macular degeneration (AMD), as well as BB-AMD-231 for the treatment of wet and dry AMD. The company also engages in developing a ddRNAi-based gene therapy for the treatment of oculopharyngeal muscular dystrophy, an autosomal-dominant inherited, slow-progressing, and late-onset degenerative muscle disorder that occurs at the age of 40 or 50 years in patients. In addition, it licenses its ddRNAi technology to other biopharmaceutical companies for the progress of HIV/AIDS, retinitis pigmentosa, cancer immunotherapy, Huntington’s disease, and neuropathic pain programs. The company has a strategic partnership with Nant Capital, LLC for a scientific collaboration in clinical programs; and a research collaboration agreement with Nant Capital LLC for the clinical development of BB-401, a recombinant DNA construct that produces an antisense RNA with specificity against epidermal growth factor receptor. Benitec Biopharma Limited was founded in 1995 and is headquartered in North Sydney, Australia.</v>
      </c>
    </row>
    <row r="39" spans="2:30" ht="14.85" customHeight="1">
      <c r="B39" s="1065" t="str">
        <f>'Capital IQ Sheet-GPC'!C41</f>
        <v>GenVec, Inc.</v>
      </c>
      <c r="C39" s="2000"/>
      <c r="D39" s="1432">
        <f>'Capital IQ Sheet-GPC'!BE41</f>
        <v>16.7</v>
      </c>
      <c r="E39" s="1432">
        <f>'Capital IQ Sheet-GPC'!BF41</f>
        <v>28.831469999999999</v>
      </c>
      <c r="F39" s="1432">
        <f>'Capital IQ Sheet-GPC'!BG41</f>
        <v>0</v>
      </c>
      <c r="G39" s="1432">
        <f>'Capital IQ Sheet-GPC'!BH41</f>
        <v>0</v>
      </c>
      <c r="H39" s="1432">
        <f>'Capital IQ Sheet-GPC'!BI41</f>
        <v>0</v>
      </c>
      <c r="I39" s="1432">
        <f t="shared" si="9"/>
        <v>0</v>
      </c>
      <c r="J39" s="1432">
        <f t="shared" si="10"/>
        <v>28.831469999999999</v>
      </c>
      <c r="K39" s="1432">
        <f>'Capital IQ Sheet-GPC'!BJ41</f>
        <v>9.9049999999999994</v>
      </c>
      <c r="L39" s="1432">
        <f t="shared" si="11"/>
        <v>18.926470000000002</v>
      </c>
      <c r="M39" s="893"/>
      <c r="N39" s="1432">
        <f>'Capital IQ Sheet-GPC'!I41</f>
        <v>3.2240000000000002</v>
      </c>
      <c r="O39" s="1432">
        <f>'Capital IQ Sheet-GPC'!J41</f>
        <v>7.33019</v>
      </c>
      <c r="P39" s="1432">
        <f>'Capital IQ Sheet-GPC'!K41</f>
        <v>0</v>
      </c>
      <c r="Q39" s="1432">
        <f>'Capital IQ Sheet-GPC'!L41</f>
        <v>0</v>
      </c>
      <c r="R39" s="1432">
        <f>'Capital IQ Sheet-GPC'!M41</f>
        <v>0</v>
      </c>
      <c r="S39" s="1432">
        <f t="shared" si="12"/>
        <v>0</v>
      </c>
      <c r="T39" s="1432">
        <f t="shared" si="13"/>
        <v>7.33019</v>
      </c>
      <c r="U39" s="1432">
        <f>'Capital IQ Sheet-GPC'!N41</f>
        <v>8.3960000000000008</v>
      </c>
      <c r="V39" s="1432">
        <f t="shared" si="14"/>
        <v>-1.0658100000000008</v>
      </c>
      <c r="X39" s="1345" t="str">
        <f t="shared" si="6"/>
        <v>NM</v>
      </c>
      <c r="Y39" s="1345" t="str">
        <f t="shared" si="7"/>
        <v>NM</v>
      </c>
      <c r="Z39" s="1345" t="str">
        <f t="shared" si="8"/>
        <v>NM</v>
      </c>
      <c r="AC39" s="1177" t="str">
        <f>IF('MASTER PubCo Inputs'!C56="","",'MASTER PubCo Inputs'!C56)</f>
        <v>IQ28949</v>
      </c>
      <c r="AD39" s="250" t="str">
        <f>'Capital IQ Sheet-GPC'!AP41</f>
        <v>GenVec, Inc., a clinical-stage biopharmaceutical company, focuses on developing a pipeline of therapeutics and vaccines through its proprietary AdenoVerse gene delivery platform in the United States. It designs, tests, and manufactures adenoviral-based product candidates. The company’s lead product candidate is CGF166, which is in Phase I/II clinical trial for the treatment of hearing loss and balance disorders. It is also developing GV2311 vaccine for respiratory syncytial virus; and GV2207 vaccine for the treatment of herpes simplex virus. The company has a collaboration agreement with Novartis AG to develop CGF166. It also has collaboration agreement with TheraBiologics, Inc. to develop cancer therapeutics; National Institute of Allergy and Infectious Diseases to generate vaccine candidates for the prevention of malaria; Laboratory of Malaria Immunology and Vaccinology to create and test various malaria vaccine candidates; and Merial to develop and commercialize vaccine and anti-viral candidates for the prevention and containment of foot-and-mouth diseases in livestock and other animals. The company was founded in 1992 and is based in Gaithersburg, Maryland.</v>
      </c>
    </row>
    <row r="40" spans="2:30" ht="14.85" customHeight="1">
      <c r="B40" s="1065" t="str">
        <f>'Capital IQ Sheet-GPC'!C42</f>
        <v>Arbutus Biopharma Corporation</v>
      </c>
      <c r="C40" s="2000"/>
      <c r="D40" s="1432">
        <f>'Capital IQ Sheet-GPC'!BE42</f>
        <v>4.0999999999999996</v>
      </c>
      <c r="E40" s="1432">
        <f>'Capital IQ Sheet-GPC'!BF42</f>
        <v>223.73614000000001</v>
      </c>
      <c r="F40" s="1432">
        <f>'Capital IQ Sheet-GPC'!BG42</f>
        <v>0</v>
      </c>
      <c r="G40" s="1432">
        <f>'Capital IQ Sheet-GPC'!BH42</f>
        <v>0</v>
      </c>
      <c r="H40" s="1432">
        <f>'Capital IQ Sheet-GPC'!BI42</f>
        <v>0</v>
      </c>
      <c r="I40" s="1432">
        <f t="shared" si="9"/>
        <v>0</v>
      </c>
      <c r="J40" s="1432">
        <f t="shared" si="10"/>
        <v>223.73614000000001</v>
      </c>
      <c r="K40" s="1432">
        <f>'Capital IQ Sheet-GPC'!BJ42</f>
        <v>196.095</v>
      </c>
      <c r="L40" s="1432">
        <f t="shared" si="11"/>
        <v>27.641140000000007</v>
      </c>
      <c r="M40" s="893"/>
      <c r="N40" s="1432">
        <f>'Capital IQ Sheet-GPC'!I42</f>
        <v>2.65</v>
      </c>
      <c r="O40" s="1432">
        <f>'Capital IQ Sheet-GPC'!J42</f>
        <v>145.32996</v>
      </c>
      <c r="P40" s="1432">
        <f>'Capital IQ Sheet-GPC'!K42</f>
        <v>0</v>
      </c>
      <c r="Q40" s="1432">
        <f>'Capital IQ Sheet-GPC'!L42</f>
        <v>0</v>
      </c>
      <c r="R40" s="1432">
        <f>'Capital IQ Sheet-GPC'!M42</f>
        <v>0</v>
      </c>
      <c r="S40" s="1432">
        <f t="shared" si="12"/>
        <v>0</v>
      </c>
      <c r="T40" s="1432">
        <f t="shared" si="13"/>
        <v>145.32996</v>
      </c>
      <c r="U40" s="1432">
        <f>'Capital IQ Sheet-GPC'!N42</f>
        <v>149.68199999999999</v>
      </c>
      <c r="V40" s="1432">
        <f t="shared" si="14"/>
        <v>-4.3520399999999881</v>
      </c>
      <c r="X40" s="1345" t="str">
        <f t="shared" si="6"/>
        <v>NM</v>
      </c>
      <c r="Y40" s="1345" t="str">
        <f t="shared" si="7"/>
        <v>NM</v>
      </c>
      <c r="Z40" s="1345" t="str">
        <f t="shared" si="8"/>
        <v>NM</v>
      </c>
      <c r="AC40" s="1177" t="str">
        <f>IF('MASTER PubCo Inputs'!C57="","",'MASTER PubCo Inputs'!C57)</f>
        <v>IQ34160168</v>
      </c>
      <c r="AD40" s="250" t="str">
        <f>'Capital IQ Sheet-GPC'!AP42</f>
        <v>Arbutus Biopharma Corporation, a biopharmaceutical company, engages in discovering, developing, and commercializing a cure for patients suffering from chronic Hepatitis B virus (HBV) infection in Canada and the United States. It also develops a pipeline of products based on RNA interference therapeutics (RNAi). The company’s lead candidate is ARB-1467, which is in a Phase II trial to eliminate HBV surface antigen expression in patients chronically infected with HBV. Its product candidates also comprise ARB-1740, a pan-genotypic second-generation siRNA therapeutic in Phase II multi-dose study in Hepatitis B e antigen-chronic HBV patients; and AB-423, a core protein/capsid assembly inhibitor in Phase I clinical trial as an oral therapeutic for the treatment of chronic HBV infection. In addition, the company has various research programs for the discovery and development of proprietary HBV candidates, including oral surface antigen inhibitors, cccDNA targeting agents, and immunomodulators. Further, its partnered programs consist of Patisiran (ALN-TTR02), an RNAi therapeutic targeting transthyretin (TTR) in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DCR-PH1 for the treatment of primary hyperoxaluria type 1. The company was formerly known as Tekmira Pharmaceuticals Corporation and changed its name to Arbutus Biopharma Corporation in July 2015. Arbutus Biopharma Corporation is headquartered in Burnaby, Canada.</v>
      </c>
    </row>
    <row r="41" spans="2:30" ht="14.85" customHeight="1"/>
    <row r="42" spans="2:30" ht="14.85" customHeight="1">
      <c r="B42" s="2001" t="s">
        <v>111</v>
      </c>
      <c r="C42" s="2002"/>
      <c r="D42" s="2003">
        <f>MAX(D11:D40)</f>
        <v>34.299999999999997</v>
      </c>
      <c r="E42" s="2003">
        <f t="shared" ref="E42:Z42" si="15">MAX(E11:E40)</f>
        <v>1228.905</v>
      </c>
      <c r="F42" s="2003">
        <f t="shared" si="15"/>
        <v>19.129000000000001</v>
      </c>
      <c r="G42" s="2003">
        <f t="shared" si="15"/>
        <v>199.816</v>
      </c>
      <c r="H42" s="2003">
        <f t="shared" si="15"/>
        <v>0.24582999999999999</v>
      </c>
      <c r="I42" s="2003">
        <f t="shared" si="15"/>
        <v>201.642</v>
      </c>
      <c r="J42" s="2003">
        <f t="shared" si="15"/>
        <v>1229.412</v>
      </c>
      <c r="K42" s="2003">
        <f t="shared" si="15"/>
        <v>462.70800000000003</v>
      </c>
      <c r="L42" s="2003">
        <f t="shared" si="15"/>
        <v>766.70399999999995</v>
      </c>
      <c r="M42" s="1897"/>
      <c r="N42" s="2003">
        <f t="shared" si="15"/>
        <v>55.01</v>
      </c>
      <c r="O42" s="2003">
        <f t="shared" si="15"/>
        <v>1692.82537</v>
      </c>
      <c r="P42" s="2003">
        <f t="shared" si="15"/>
        <v>32.048000000000002</v>
      </c>
      <c r="Q42" s="2003">
        <f t="shared" si="15"/>
        <v>185.565</v>
      </c>
      <c r="R42" s="2003">
        <f t="shared" si="15"/>
        <v>9.6269999999999994E-2</v>
      </c>
      <c r="S42" s="2003">
        <f t="shared" si="15"/>
        <v>185.51400000000001</v>
      </c>
      <c r="T42" s="2003">
        <f t="shared" si="15"/>
        <v>1694.4007799999999</v>
      </c>
      <c r="U42" s="2003">
        <f t="shared" si="15"/>
        <v>408.70499999999998</v>
      </c>
      <c r="V42" s="2003">
        <f t="shared" si="15"/>
        <v>1387.752</v>
      </c>
      <c r="W42" s="2003"/>
      <c r="X42" s="2004">
        <f t="shared" si="15"/>
        <v>0.60379008746355689</v>
      </c>
      <c r="Y42" s="2004">
        <f t="shared" si="15"/>
        <v>0.84175770726187382</v>
      </c>
      <c r="Z42" s="2005">
        <f t="shared" si="15"/>
        <v>0.9629391956078428</v>
      </c>
    </row>
    <row r="43" spans="2:30" ht="14.85" customHeight="1">
      <c r="B43" s="1187" t="s">
        <v>115</v>
      </c>
      <c r="C43" s="1188"/>
      <c r="D43" s="1190">
        <f>QUARTILE(D11:D40,3)</f>
        <v>8.7725000000000009</v>
      </c>
      <c r="E43" s="1190">
        <f t="shared" ref="E43:Z43" si="16">QUARTILE(E11:E40,3)</f>
        <v>397.21519000000001</v>
      </c>
      <c r="F43" s="1190">
        <f t="shared" si="16"/>
        <v>0.41925000000000001</v>
      </c>
      <c r="G43" s="1190">
        <f t="shared" si="16"/>
        <v>0</v>
      </c>
      <c r="H43" s="1190">
        <f t="shared" si="16"/>
        <v>0</v>
      </c>
      <c r="I43" s="1190">
        <f t="shared" si="16"/>
        <v>1.1494075000000001</v>
      </c>
      <c r="J43" s="1190">
        <f t="shared" si="16"/>
        <v>397.21519000000001</v>
      </c>
      <c r="K43" s="1190">
        <f t="shared" si="16"/>
        <v>152.77699999999999</v>
      </c>
      <c r="L43" s="1190">
        <f t="shared" si="16"/>
        <v>264.48090999999999</v>
      </c>
      <c r="M43" s="1190"/>
      <c r="N43" s="1190">
        <f t="shared" si="16"/>
        <v>14.0975</v>
      </c>
      <c r="O43" s="1190">
        <f t="shared" si="16"/>
        <v>535.13891249999995</v>
      </c>
      <c r="P43" s="1190">
        <f t="shared" si="16"/>
        <v>0.69918499999999995</v>
      </c>
      <c r="Q43" s="1190">
        <f t="shared" si="16"/>
        <v>0</v>
      </c>
      <c r="R43" s="1190">
        <f t="shared" si="16"/>
        <v>0</v>
      </c>
      <c r="S43" s="1190">
        <f t="shared" si="16"/>
        <v>2.5620824999999998</v>
      </c>
      <c r="T43" s="1190">
        <f t="shared" si="16"/>
        <v>544.96866749999992</v>
      </c>
      <c r="U43" s="1190">
        <f t="shared" si="16"/>
        <v>164.18174999999999</v>
      </c>
      <c r="V43" s="1190">
        <f t="shared" si="16"/>
        <v>330.71264999999994</v>
      </c>
      <c r="W43" s="1190"/>
      <c r="X43" s="1328">
        <f t="shared" si="16"/>
        <v>0.51988883645325357</v>
      </c>
      <c r="Y43" s="1328">
        <f t="shared" si="16"/>
        <v>0.32900683560956123</v>
      </c>
      <c r="Z43" s="1329">
        <f t="shared" si="16"/>
        <v>0.60661788770014446</v>
      </c>
    </row>
    <row r="44" spans="2:30" ht="14.85" customHeight="1">
      <c r="B44" s="1187" t="s">
        <v>113</v>
      </c>
      <c r="C44" s="1188"/>
      <c r="D44" s="1190">
        <f>AVERAGE(D11:D40)</f>
        <v>6.6988333333333339</v>
      </c>
      <c r="E44" s="1190">
        <f t="shared" ref="E44:Z44" si="17">AVERAGE(E11:E40)</f>
        <v>268.09635933333334</v>
      </c>
      <c r="F44" s="1190">
        <f t="shared" si="17"/>
        <v>0.86983233333333343</v>
      </c>
      <c r="G44" s="1190">
        <f t="shared" si="17"/>
        <v>14.893167333333334</v>
      </c>
      <c r="H44" s="1190">
        <f t="shared" si="17"/>
        <v>-1.0311999999999998E-2</v>
      </c>
      <c r="I44" s="1190">
        <f t="shared" si="17"/>
        <v>15.752687666666667</v>
      </c>
      <c r="J44" s="1190">
        <f t="shared" si="17"/>
        <v>283.84904699999998</v>
      </c>
      <c r="K44" s="1190">
        <f t="shared" si="17"/>
        <v>100.58346800000002</v>
      </c>
      <c r="L44" s="1190">
        <f t="shared" si="17"/>
        <v>183.26557899999997</v>
      </c>
      <c r="M44" s="1188"/>
      <c r="N44" s="1190">
        <f t="shared" si="17"/>
        <v>9.9379436666666656</v>
      </c>
      <c r="O44" s="1190">
        <f t="shared" si="17"/>
        <v>349.13332166666657</v>
      </c>
      <c r="P44" s="1190">
        <f t="shared" si="17"/>
        <v>2.8426580000000001</v>
      </c>
      <c r="Q44" s="1190">
        <f t="shared" si="17"/>
        <v>6.5502309999999992</v>
      </c>
      <c r="R44" s="1190">
        <f t="shared" si="17"/>
        <v>-1.699733333333333E-2</v>
      </c>
      <c r="S44" s="1190">
        <f t="shared" si="17"/>
        <v>9.3758916666666661</v>
      </c>
      <c r="T44" s="1190">
        <f t="shared" si="17"/>
        <v>358.50921333333332</v>
      </c>
      <c r="U44" s="1190">
        <f t="shared" si="17"/>
        <v>109.87659433333336</v>
      </c>
      <c r="V44" s="1190">
        <f t="shared" si="17"/>
        <v>248.63261900000001</v>
      </c>
      <c r="W44" s="1190"/>
      <c r="X44" s="1186">
        <f t="shared" si="17"/>
        <v>0.28025258264202219</v>
      </c>
      <c r="Y44" s="1186">
        <f t="shared" si="17"/>
        <v>0.20515119545195434</v>
      </c>
      <c r="Z44" s="2006">
        <f t="shared" si="17"/>
        <v>0.24824013457369834</v>
      </c>
    </row>
    <row r="45" spans="2:30" ht="14.85" customHeight="1">
      <c r="B45" s="1187" t="s">
        <v>44</v>
      </c>
      <c r="C45" s="1188"/>
      <c r="D45" s="1190">
        <f>MEDIAN(D11:D40)</f>
        <v>3.2910000000000004</v>
      </c>
      <c r="E45" s="1190">
        <f t="shared" ref="E45:Z45" si="18">MEDIAN(E11:E40)</f>
        <v>159.821595</v>
      </c>
      <c r="F45" s="1190">
        <f t="shared" si="18"/>
        <v>0</v>
      </c>
      <c r="G45" s="1190">
        <f t="shared" si="18"/>
        <v>0</v>
      </c>
      <c r="H45" s="1190">
        <f t="shared" si="18"/>
        <v>0</v>
      </c>
      <c r="I45" s="1190">
        <f t="shared" si="18"/>
        <v>0</v>
      </c>
      <c r="J45" s="1190">
        <f t="shared" si="18"/>
        <v>212.68907000000002</v>
      </c>
      <c r="K45" s="1190">
        <f t="shared" si="18"/>
        <v>69.448499999999996</v>
      </c>
      <c r="L45" s="1190">
        <f t="shared" si="18"/>
        <v>51.372439999999997</v>
      </c>
      <c r="M45" s="1188"/>
      <c r="N45" s="1190">
        <f t="shared" si="18"/>
        <v>5.1950000000000003</v>
      </c>
      <c r="O45" s="1190">
        <f t="shared" si="18"/>
        <v>252.89796000000001</v>
      </c>
      <c r="P45" s="1190">
        <f t="shared" si="18"/>
        <v>0</v>
      </c>
      <c r="Q45" s="1190">
        <f t="shared" si="18"/>
        <v>0</v>
      </c>
      <c r="R45" s="1190">
        <f t="shared" si="18"/>
        <v>0</v>
      </c>
      <c r="S45" s="1190">
        <f t="shared" si="18"/>
        <v>0.17863499999999999</v>
      </c>
      <c r="T45" s="1190">
        <f t="shared" si="18"/>
        <v>253.41356500000001</v>
      </c>
      <c r="U45" s="1190">
        <f t="shared" si="18"/>
        <v>91.676500000000004</v>
      </c>
      <c r="V45" s="1190">
        <f t="shared" si="18"/>
        <v>208.32753500000001</v>
      </c>
      <c r="W45" s="1190"/>
      <c r="X45" s="1186">
        <f t="shared" si="18"/>
        <v>0.231304347826087</v>
      </c>
      <c r="Y45" s="1186">
        <f t="shared" si="18"/>
        <v>0.22665577500483147</v>
      </c>
      <c r="Z45" s="2006">
        <f t="shared" si="18"/>
        <v>0.17273215509702944</v>
      </c>
    </row>
    <row r="46" spans="2:30" ht="14.85" customHeight="1">
      <c r="B46" s="1187" t="s">
        <v>114</v>
      </c>
      <c r="C46" s="1188"/>
      <c r="D46" s="1190">
        <f>QUARTILE(D11:D40,1)</f>
        <v>4.8250000000000001E-2</v>
      </c>
      <c r="E46" s="1190">
        <f t="shared" ref="E46:Z46" si="19">QUARTILE(E11:E40,1)</f>
        <v>5.9663649999999997</v>
      </c>
      <c r="F46" s="1190">
        <f t="shared" si="19"/>
        <v>0</v>
      </c>
      <c r="G46" s="1190">
        <f t="shared" si="19"/>
        <v>0</v>
      </c>
      <c r="H46" s="1190">
        <f t="shared" si="19"/>
        <v>0</v>
      </c>
      <c r="I46" s="1190">
        <f t="shared" si="19"/>
        <v>0</v>
      </c>
      <c r="J46" s="1190">
        <f t="shared" si="19"/>
        <v>33.919497499999999</v>
      </c>
      <c r="K46" s="1190">
        <f t="shared" si="19"/>
        <v>10.4375</v>
      </c>
      <c r="L46" s="1190">
        <f t="shared" si="19"/>
        <v>13.6044625</v>
      </c>
      <c r="M46" s="1188"/>
      <c r="N46" s="1190">
        <f t="shared" si="19"/>
        <v>2.0099999999999998</v>
      </c>
      <c r="O46" s="1190">
        <f t="shared" si="19"/>
        <v>106.88460499999999</v>
      </c>
      <c r="P46" s="1190">
        <f t="shared" si="19"/>
        <v>0</v>
      </c>
      <c r="Q46" s="1190">
        <f t="shared" si="19"/>
        <v>0</v>
      </c>
      <c r="R46" s="1190">
        <f t="shared" si="19"/>
        <v>0</v>
      </c>
      <c r="S46" s="1190">
        <f t="shared" si="19"/>
        <v>0</v>
      </c>
      <c r="T46" s="1190">
        <f t="shared" si="19"/>
        <v>114.9033675</v>
      </c>
      <c r="U46" s="1190">
        <f t="shared" si="19"/>
        <v>21.772500000000001</v>
      </c>
      <c r="V46" s="1190">
        <f t="shared" si="19"/>
        <v>58.667125000000013</v>
      </c>
      <c r="W46" s="1190"/>
      <c r="X46" s="1186">
        <f t="shared" si="19"/>
        <v>2.9850951774465617E-2</v>
      </c>
      <c r="Y46" s="1186">
        <f t="shared" si="19"/>
        <v>-1.8605079071107283E-2</v>
      </c>
      <c r="Z46" s="2006">
        <f t="shared" si="19"/>
        <v>-0.17494595240463587</v>
      </c>
    </row>
    <row r="47" spans="2:30" ht="14.85" customHeight="1">
      <c r="B47" s="1192" t="s">
        <v>112</v>
      </c>
      <c r="C47" s="858"/>
      <c r="D47" s="867">
        <f>MIN(D11:D40)</f>
        <v>0</v>
      </c>
      <c r="E47" s="867">
        <f t="shared" ref="E47:Z47" si="20">MIN(E11:E40)</f>
        <v>0</v>
      </c>
      <c r="F47" s="867">
        <f t="shared" si="20"/>
        <v>0</v>
      </c>
      <c r="G47" s="867">
        <f t="shared" si="20"/>
        <v>0</v>
      </c>
      <c r="H47" s="867">
        <f t="shared" si="20"/>
        <v>-0.55518999999999996</v>
      </c>
      <c r="I47" s="867">
        <f t="shared" si="20"/>
        <v>0</v>
      </c>
      <c r="J47" s="867">
        <f t="shared" si="20"/>
        <v>0</v>
      </c>
      <c r="K47" s="867">
        <f t="shared" si="20"/>
        <v>0</v>
      </c>
      <c r="L47" s="867">
        <f t="shared" si="20"/>
        <v>-5.9746100000000002</v>
      </c>
      <c r="M47" s="1388"/>
      <c r="N47" s="867">
        <f t="shared" si="20"/>
        <v>7.0860000000000006E-2</v>
      </c>
      <c r="O47" s="867">
        <f t="shared" si="20"/>
        <v>7.33019</v>
      </c>
      <c r="P47" s="867">
        <f t="shared" si="20"/>
        <v>0</v>
      </c>
      <c r="Q47" s="867">
        <f t="shared" si="20"/>
        <v>0</v>
      </c>
      <c r="R47" s="867">
        <f t="shared" si="20"/>
        <v>-0.55518999999999996</v>
      </c>
      <c r="S47" s="867">
        <f t="shared" si="20"/>
        <v>0</v>
      </c>
      <c r="T47" s="867">
        <f t="shared" si="20"/>
        <v>7.33019</v>
      </c>
      <c r="U47" s="867">
        <f t="shared" si="20"/>
        <v>0</v>
      </c>
      <c r="V47" s="867">
        <f t="shared" si="20"/>
        <v>-4.3520399999999881</v>
      </c>
      <c r="W47" s="1388"/>
      <c r="X47" s="1330">
        <f t="shared" si="20"/>
        <v>2.7194066749073098E-2</v>
      </c>
      <c r="Y47" s="1330">
        <f t="shared" si="20"/>
        <v>-0.28620933533063353</v>
      </c>
      <c r="Z47" s="1331">
        <f t="shared" si="20"/>
        <v>-0.27937050868903657</v>
      </c>
    </row>
    <row r="48" spans="2:30" ht="14.85" customHeight="1"/>
    <row r="49" spans="2:14" ht="14.85" customHeight="1">
      <c r="B49" s="356" t="s">
        <v>116</v>
      </c>
      <c r="C49" s="356"/>
      <c r="D49" s="356"/>
      <c r="N49" s="356"/>
    </row>
    <row r="50" spans="2:14" ht="14.85" customHeight="1"/>
    <row r="51" spans="2:14" ht="14.85" customHeight="1"/>
    <row r="52" spans="2:14" ht="14.85" customHeight="1"/>
    <row r="53" spans="2:14" ht="14.85" customHeight="1"/>
    <row r="54" spans="2:14" ht="14.85" customHeight="1"/>
    <row r="55" spans="2:14" ht="14.85" customHeight="1"/>
    <row r="56" spans="2:14" ht="14.85" customHeight="1"/>
    <row r="57" spans="2:14" ht="14.85" customHeight="1"/>
    <row r="58" spans="2:14" ht="14.85" customHeight="1"/>
    <row r="59" spans="2:14" ht="14.85" customHeight="1"/>
    <row r="60" spans="2:14" ht="14.85" customHeight="1"/>
    <row r="61" spans="2:14" ht="14.85" customHeight="1"/>
    <row r="62" spans="2:14" ht="14.85" customHeight="1"/>
    <row r="63" spans="2:14" ht="14.85" customHeight="1"/>
    <row r="64" spans="2:1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Y4">
    <cfRule type="cellIs" dxfId="54" priority="20" stopIfTrue="1" operator="equal">
      <formula>"input"</formula>
    </cfRule>
  </conditionalFormatting>
  <conditionalFormatting sqref="B11:C40 N11:N40">
    <cfRule type="cellIs" dxfId="53" priority="19" operator="equal">
      <formula>"(Invalid Identifier)"</formula>
    </cfRule>
  </conditionalFormatting>
  <conditionalFormatting sqref="Z4">
    <cfRule type="cellIs" dxfId="52" priority="17" stopIfTrue="1" operator="equal">
      <formula>"input"</formula>
    </cfRule>
  </conditionalFormatting>
  <conditionalFormatting sqref="Z4">
    <cfRule type="cellIs" dxfId="51" priority="18" stopIfTrue="1" operator="equal">
      <formula>"input"</formula>
    </cfRule>
  </conditionalFormatting>
  <conditionalFormatting sqref="D11:D40">
    <cfRule type="cellIs" dxfId="50" priority="16" operator="equal">
      <formula>"(Invalid Identifier)"</formula>
    </cfRule>
  </conditionalFormatting>
  <conditionalFormatting sqref="E11:E40">
    <cfRule type="cellIs" dxfId="49" priority="10" operator="equal">
      <formula>"(Invalid Identifier)"</formula>
    </cfRule>
  </conditionalFormatting>
  <conditionalFormatting sqref="F11:F40">
    <cfRule type="cellIs" dxfId="48" priority="9" operator="equal">
      <formula>"(Invalid Identifier)"</formula>
    </cfRule>
  </conditionalFormatting>
  <conditionalFormatting sqref="G11:G40">
    <cfRule type="cellIs" dxfId="47" priority="8" operator="equal">
      <formula>"(Invalid Identifier)"</formula>
    </cfRule>
  </conditionalFormatting>
  <conditionalFormatting sqref="H11:H40">
    <cfRule type="cellIs" dxfId="46" priority="7" operator="equal">
      <formula>"(Invalid Identifier)"</formula>
    </cfRule>
  </conditionalFormatting>
  <conditionalFormatting sqref="K11:K40">
    <cfRule type="cellIs" dxfId="45" priority="6" operator="equal">
      <formula>"(Invalid Identifier)"</formula>
    </cfRule>
  </conditionalFormatting>
  <conditionalFormatting sqref="O11:O40">
    <cfRule type="cellIs" dxfId="44" priority="5" operator="equal">
      <formula>"(Invalid Identifier)"</formula>
    </cfRule>
  </conditionalFormatting>
  <conditionalFormatting sqref="P11:P40">
    <cfRule type="cellIs" dxfId="43" priority="4" operator="equal">
      <formula>"(Invalid Identifier)"</formula>
    </cfRule>
  </conditionalFormatting>
  <conditionalFormatting sqref="Q11:Q40">
    <cfRule type="cellIs" dxfId="42" priority="3" operator="equal">
      <formula>"(Invalid Identifier)"</formula>
    </cfRule>
  </conditionalFormatting>
  <conditionalFormatting sqref="R11:R40">
    <cfRule type="cellIs" dxfId="41" priority="2" operator="equal">
      <formula>"(Invalid Identifier)"</formula>
    </cfRule>
  </conditionalFormatting>
  <conditionalFormatting sqref="U11:U40">
    <cfRule type="cellIs" dxfId="40" priority="1" operator="equal">
      <formula>"(Invalid Identifier)"</formula>
    </cfRule>
  </conditionalFormatting>
  <pageMargins left="0.5" right="0.5" top="0.5" bottom="0.5" header="0.5" footer="0.5"/>
  <pageSetup scale="71" fitToWidth="0" fitToHeight="0" orientation="landscape" r:id="rId1"/>
  <legacyDrawingHF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
  <dimension ref="B1:I764"/>
  <sheetViews>
    <sheetView showGridLines="0" view="pageBreakPreview" zoomScale="80" zoomScaleNormal="100" zoomScaleSheetLayoutView="80" workbookViewId="0">
      <selection activeCell="B1" sqref="B1"/>
    </sheetView>
  </sheetViews>
  <sheetFormatPr defaultRowHeight="12.75" outlineLevelRow="1" outlineLevelCol="1"/>
  <cols>
    <col min="1" max="1" width="2.83203125" style="250" customWidth="1"/>
    <col min="2" max="2" width="60.1640625" style="275" customWidth="1"/>
    <col min="3" max="4" width="23.83203125" style="275" customWidth="1"/>
    <col min="5" max="6" width="19.1640625" style="275" hidden="1" customWidth="1" outlineLevel="1"/>
    <col min="7" max="7" width="23.83203125" style="275" customWidth="1" collapsed="1"/>
    <col min="8" max="8" width="2.83203125" style="275" customWidth="1"/>
    <col min="9" max="9" width="9.33203125" style="275"/>
    <col min="10" max="16384" width="9.33203125" style="250"/>
  </cols>
  <sheetData>
    <row r="1" spans="2:9" ht="10.7" customHeight="1" thickBot="1">
      <c r="B1" s="250"/>
      <c r="C1" s="250"/>
      <c r="D1" s="250"/>
      <c r="E1" s="250"/>
      <c r="F1" s="250"/>
      <c r="G1" s="250"/>
    </row>
    <row r="2" spans="2:9" ht="16.5" customHeight="1" thickTop="1">
      <c r="B2" s="258" t="str">
        <f>'MASTER PubCo Inputs'!$C$5</f>
        <v>ABC, Inc.</v>
      </c>
      <c r="C2" s="258"/>
      <c r="D2" s="258"/>
      <c r="E2" s="258"/>
      <c r="F2" s="258"/>
      <c r="G2" s="258"/>
    </row>
    <row r="3" spans="2:9" ht="15.75" customHeight="1">
      <c r="B3" s="259" t="str">
        <f>VLOOKUP(B4,Outline!$E$8:$G$79,COLUMNS(Outline!$E$8:$G$8),FALSE)</f>
        <v>Workpaper #9</v>
      </c>
      <c r="C3" s="259"/>
      <c r="D3" s="259"/>
      <c r="E3" s="259"/>
      <c r="F3" s="259"/>
      <c r="G3" s="259"/>
    </row>
    <row r="4" spans="2:9" ht="16.5" customHeight="1" thickBot="1">
      <c r="B4" s="924" t="s">
        <v>769</v>
      </c>
      <c r="C4" s="924"/>
      <c r="D4" s="924"/>
      <c r="E4" s="924"/>
      <c r="F4" s="924"/>
      <c r="G4" s="925" t="str">
        <f>+'MASTER PubCo Inputs'!$C$19</f>
        <v>(in thousands of USD, except price per share)</v>
      </c>
    </row>
    <row r="5" spans="2:9" ht="14.85" customHeight="1" thickTop="1">
      <c r="B5" s="492"/>
      <c r="C5" s="492"/>
      <c r="D5" s="492"/>
      <c r="E5" s="492"/>
      <c r="F5" s="492"/>
      <c r="G5" s="250"/>
    </row>
    <row r="6" spans="2:9" s="467" customFormat="1" ht="14.85" customHeight="1">
      <c r="B6" s="250"/>
      <c r="C6" s="250"/>
      <c r="D6" s="1065"/>
      <c r="E6" s="1065"/>
      <c r="F6" s="250"/>
      <c r="G6" s="250"/>
      <c r="H6" s="718"/>
      <c r="I6" s="718"/>
    </row>
    <row r="7" spans="2:9" ht="14.85" customHeight="1">
      <c r="B7" s="250" t="s">
        <v>432</v>
      </c>
      <c r="C7" s="2007">
        <f>'MASTER PubCo Inputs'!C6</f>
        <v>42735</v>
      </c>
      <c r="D7" s="402">
        <f>'Market Trends since Prior Val'!AD2</f>
        <v>42376</v>
      </c>
      <c r="E7" s="2008">
        <v>41639</v>
      </c>
      <c r="F7" s="275" t="s">
        <v>686</v>
      </c>
      <c r="G7" s="275" t="s">
        <v>687</v>
      </c>
    </row>
    <row r="8" spans="2:9" ht="14.85" customHeight="1" outlineLevel="1">
      <c r="B8" s="250" t="s">
        <v>688</v>
      </c>
      <c r="C8" s="2009" t="s">
        <v>689</v>
      </c>
      <c r="D8" s="2010" t="s">
        <v>690</v>
      </c>
      <c r="E8" s="2010" t="s">
        <v>691</v>
      </c>
      <c r="F8" s="347"/>
    </row>
    <row r="9" spans="2:9" ht="14.85" customHeight="1">
      <c r="B9" s="250"/>
      <c r="D9" s="1064"/>
      <c r="E9" s="1064"/>
    </row>
    <row r="10" spans="2:9" ht="14.85" customHeight="1" outlineLevel="1">
      <c r="B10" s="591" t="s">
        <v>692</v>
      </c>
      <c r="D10" s="1064"/>
      <c r="E10" s="1064"/>
    </row>
    <row r="11" spans="2:9" ht="14.85" customHeight="1">
      <c r="B11" s="253" t="s">
        <v>145</v>
      </c>
      <c r="D11" s="1064"/>
      <c r="E11" s="1064"/>
    </row>
    <row r="12" spans="2:9" ht="14.85" customHeight="1">
      <c r="B12" s="250" t="s">
        <v>153</v>
      </c>
      <c r="C12" s="2011">
        <f ca="1">IFERROR('Val Summ'!H17,"n/a")</f>
        <v>61230</v>
      </c>
      <c r="D12" s="2012">
        <v>15000</v>
      </c>
      <c r="E12" s="2012"/>
      <c r="F12" s="2013">
        <f ca="1">IF(ISERROR(C12-D12)=TRUE,"NA",C12-D12)</f>
        <v>46230</v>
      </c>
      <c r="G12" s="1066">
        <f ca="1">IFERROR(C12/D12-1,"n/a")</f>
        <v>3.0819999999999999</v>
      </c>
    </row>
    <row r="13" spans="2:9" ht="14.85" customHeight="1">
      <c r="B13" s="250" t="s">
        <v>95</v>
      </c>
      <c r="C13" s="2011">
        <f ca="1">IFERROR('Hist BS'!I65,"n/a")</f>
        <v>2038</v>
      </c>
      <c r="D13" s="2012"/>
      <c r="E13" s="2012"/>
      <c r="F13" s="2013">
        <f ca="1">IF(ISERROR(C13-D13)=TRUE,"NA",C13-D13)</f>
        <v>2038</v>
      </c>
      <c r="G13" s="1066" t="str">
        <f ca="1">IFERROR(C13/D13-1,"n/a")</f>
        <v>n/a</v>
      </c>
    </row>
    <row r="14" spans="2:9" ht="14.85" customHeight="1">
      <c r="B14" s="250" t="s">
        <v>719</v>
      </c>
      <c r="C14" s="2011">
        <f ca="1">IFERROR('Hist BS'!I13,"n/a")</f>
        <v>582</v>
      </c>
      <c r="D14" s="2012">
        <v>1000</v>
      </c>
      <c r="E14" s="2012"/>
      <c r="F14" s="2013">
        <f ca="1">IF(ISERROR(C14-D14)=TRUE,"NA",C14-D14)</f>
        <v>-418</v>
      </c>
      <c r="G14" s="1066">
        <f ca="1">IFERROR(C14/D14-1,"n/a")</f>
        <v>-0.41800000000000004</v>
      </c>
    </row>
    <row r="15" spans="2:9" ht="14.85" customHeight="1">
      <c r="B15" s="250" t="s">
        <v>155</v>
      </c>
      <c r="C15" s="2013">
        <f ca="1">C12+C14-C13</f>
        <v>59774</v>
      </c>
      <c r="D15" s="2012"/>
      <c r="E15" s="2012"/>
      <c r="F15" s="2013">
        <f ca="1">IF(ISERROR(C15-D15)=TRUE,"NA",C15-D15)</f>
        <v>59774</v>
      </c>
      <c r="G15" s="1066" t="str">
        <f ca="1">IFERROR(C15/D15-1,"n/a")</f>
        <v>n/a</v>
      </c>
    </row>
    <row r="16" spans="2:9" ht="14.85" customHeight="1">
      <c r="B16" s="250" t="s">
        <v>720</v>
      </c>
      <c r="C16" s="2011">
        <f>IFERROR((SUM('Econ Rights'!D13:J13)),"n/a")</f>
        <v>1693</v>
      </c>
      <c r="D16" s="2012"/>
      <c r="E16" s="2012"/>
      <c r="F16" s="2013"/>
      <c r="G16" s="1066" t="str">
        <f>IFERROR(C16/D16-1,"n/a")</f>
        <v>n/a</v>
      </c>
    </row>
    <row r="17" spans="2:7" ht="14.85" customHeight="1">
      <c r="B17" s="250"/>
      <c r="D17" s="1064"/>
      <c r="E17" s="1064"/>
      <c r="F17" s="2013"/>
    </row>
    <row r="18" spans="2:7" ht="14.85" customHeight="1">
      <c r="B18" s="253" t="s">
        <v>1735</v>
      </c>
      <c r="D18" s="1064"/>
      <c r="E18" s="1064"/>
      <c r="F18" s="2013"/>
    </row>
    <row r="19" spans="2:7" ht="14.85" customHeight="1">
      <c r="B19" s="250" t="s">
        <v>1736</v>
      </c>
      <c r="C19" s="2014">
        <f ca="1">IFERROR('Val Summ'!F30,"n/a")</f>
        <v>0</v>
      </c>
      <c r="D19" s="2015"/>
      <c r="E19" s="2015"/>
      <c r="F19" s="2013">
        <f ca="1">IF(ISERROR(C19-D19)=TRUE,"NA",C19-D19)</f>
        <v>0</v>
      </c>
      <c r="G19" s="1066" t="str">
        <f ca="1">IFERROR(C19/D19-1,"n/a")</f>
        <v>n/a</v>
      </c>
    </row>
    <row r="20" spans="2:7" ht="14.85" customHeight="1">
      <c r="B20" s="250" t="s">
        <v>1763</v>
      </c>
      <c r="C20" s="2016">
        <f ca="1">+'Val Summ'!F38</f>
        <v>0</v>
      </c>
      <c r="D20" s="2017"/>
      <c r="E20" s="2017"/>
      <c r="F20" s="2013" t="s">
        <v>640</v>
      </c>
      <c r="G20" s="1066" t="str">
        <f ca="1">IFERROR(C20/D20-1,"n/a")</f>
        <v>n/a</v>
      </c>
    </row>
    <row r="21" spans="2:7" ht="14.85" customHeight="1">
      <c r="B21" s="250"/>
      <c r="D21" s="1064"/>
      <c r="E21" s="1064"/>
      <c r="F21" s="2013"/>
    </row>
    <row r="22" spans="2:7" ht="14.85" customHeight="1">
      <c r="B22" s="253" t="s">
        <v>1737</v>
      </c>
      <c r="D22" s="1064"/>
      <c r="E22" s="1064"/>
      <c r="F22" s="2013"/>
    </row>
    <row r="23" spans="2:7" ht="14.85" customHeight="1">
      <c r="B23" s="250" t="s">
        <v>1738</v>
      </c>
      <c r="C23" s="347" t="str">
        <f>IF('Val Summ'!H28="Primary",'Val Summ'!$B$28,'Val Summ'!$B$27)</f>
        <v>Probability-Weighted Expected Return Method</v>
      </c>
      <c r="D23" s="1064"/>
      <c r="E23" s="1064"/>
      <c r="F23" s="2013" t="s">
        <v>640</v>
      </c>
      <c r="G23" s="1066" t="str">
        <f>IFERROR(C23/D23-1,"n/a")</f>
        <v>n/a</v>
      </c>
    </row>
    <row r="24" spans="2:7" ht="14.85" customHeight="1">
      <c r="B24" s="250" t="s">
        <v>1739</v>
      </c>
      <c r="C24" s="275" t="str">
        <f>IF('Val Summ'!H27="Confirming",'Val Summ'!$B$27,'Val Summ'!$B$28)</f>
        <v>Option Pricing Method</v>
      </c>
      <c r="D24" s="1064"/>
      <c r="E24" s="1064"/>
      <c r="F24" s="2013" t="s">
        <v>640</v>
      </c>
      <c r="G24" s="1066" t="str">
        <f>IFERROR(C24/D24-1,"n/a")</f>
        <v>n/a</v>
      </c>
    </row>
    <row r="25" spans="2:7" ht="14.85" customHeight="1">
      <c r="B25" s="250"/>
      <c r="D25" s="1064"/>
      <c r="E25" s="1064"/>
      <c r="F25" s="2013"/>
    </row>
    <row r="26" spans="2:7" ht="14.85" customHeight="1" outlineLevel="1">
      <c r="B26" s="2018" t="s">
        <v>694</v>
      </c>
      <c r="D26" s="1064"/>
      <c r="E26" s="1064"/>
      <c r="F26" s="2013"/>
    </row>
    <row r="27" spans="2:7" ht="14.85" customHeight="1">
      <c r="B27" s="250" t="s">
        <v>1737</v>
      </c>
      <c r="D27" s="1064"/>
      <c r="E27" s="1064"/>
      <c r="F27" s="2013"/>
    </row>
    <row r="28" spans="2:7" ht="14.85" customHeight="1">
      <c r="B28" s="253" t="s">
        <v>695</v>
      </c>
      <c r="D28" s="1064"/>
      <c r="E28" s="1064"/>
      <c r="F28" s="2013"/>
    </row>
    <row r="29" spans="2:7" ht="14.85" customHeight="1">
      <c r="B29" s="250" t="s">
        <v>1764</v>
      </c>
      <c r="C29" s="2019">
        <f>'OPM 1'!D10</f>
        <v>2</v>
      </c>
      <c r="D29" s="2020">
        <v>1</v>
      </c>
      <c r="E29" s="2020"/>
      <c r="F29" s="2013">
        <f>C29-D29</f>
        <v>1</v>
      </c>
      <c r="G29" s="1066">
        <f>IFERROR(C29/D29-1,"n/a")</f>
        <v>1</v>
      </c>
    </row>
    <row r="30" spans="2:7" ht="14.85" customHeight="1">
      <c r="B30" s="250" t="s">
        <v>1765</v>
      </c>
      <c r="C30" s="2021">
        <f>'MASTER PubCo Inputs'!C6+'Comparative Sheet'!C29*365.25</f>
        <v>43465.5</v>
      </c>
      <c r="D30" s="402">
        <v>42735</v>
      </c>
      <c r="E30" s="2008"/>
      <c r="F30" s="2013">
        <f>IF(ISERROR(YEARFRAC(D30,C30,3))=TRUE,"NA",YEARFRAC(D30,C30,3))</f>
        <v>2</v>
      </c>
      <c r="G30" s="1066" t="s">
        <v>13</v>
      </c>
    </row>
    <row r="31" spans="2:7" ht="14.85" customHeight="1">
      <c r="B31" s="250" t="s">
        <v>117</v>
      </c>
      <c r="C31" s="2016">
        <f>'OPM 1'!D11</f>
        <v>0.31</v>
      </c>
      <c r="D31" s="2017">
        <v>0.05</v>
      </c>
      <c r="E31" s="2017"/>
      <c r="F31" s="2013">
        <f>IF(ISERROR(C31-D31)=TRUE,"NA",C31-D31)</f>
        <v>0.26</v>
      </c>
      <c r="G31" s="1066">
        <f>IFERROR(C31-D31,"n/a")</f>
        <v>0.26</v>
      </c>
    </row>
    <row r="32" spans="2:7" ht="14.85" customHeight="1">
      <c r="B32" s="250" t="s">
        <v>696</v>
      </c>
      <c r="C32" s="2016">
        <f ca="1">'Asset Vol_OPM'!Y48</f>
        <v>0.29990839422607651</v>
      </c>
      <c r="D32" s="2017">
        <v>0.05</v>
      </c>
      <c r="E32" s="2017"/>
      <c r="F32" s="2013">
        <f ca="1">IF(ISERROR(C32-D32)=TRUE,"NA",C32-D32)</f>
        <v>0.24990839422607652</v>
      </c>
      <c r="G32" s="1066">
        <f ca="1">IFERROR(C32-D32,"n/a")</f>
        <v>0.24990839422607652</v>
      </c>
    </row>
    <row r="33" spans="2:7" ht="14.85" customHeight="1">
      <c r="B33" s="250" t="s">
        <v>697</v>
      </c>
      <c r="C33" s="2022" t="s">
        <v>43</v>
      </c>
      <c r="D33" s="1064"/>
      <c r="E33" s="1064"/>
      <c r="F33" s="2013"/>
      <c r="G33" s="1066" t="str">
        <f>IFERROR(C33/D33-1,"n/a")</f>
        <v>n/a</v>
      </c>
    </row>
    <row r="34" spans="2:7" ht="14.85" customHeight="1">
      <c r="B34" s="250"/>
      <c r="D34" s="1064"/>
      <c r="E34" s="1064"/>
      <c r="F34" s="2013"/>
    </row>
    <row r="35" spans="2:7" ht="14.85" customHeight="1">
      <c r="B35" s="253" t="s">
        <v>1740</v>
      </c>
      <c r="D35" s="1064"/>
      <c r="E35" s="1064"/>
      <c r="F35" s="2013"/>
      <c r="G35" s="280" t="s">
        <v>1142</v>
      </c>
    </row>
    <row r="36" spans="2:7" ht="14.85" customHeight="1">
      <c r="B36" s="250" t="s">
        <v>698</v>
      </c>
      <c r="C36" s="2021">
        <v>41639</v>
      </c>
      <c r="D36" s="402">
        <v>42004</v>
      </c>
      <c r="E36" s="2008"/>
      <c r="F36" s="2013">
        <f>IF(ISERROR(YEARFRAC(D36,C36,3))=TRUE,"NA",YEARFRAC(D36,C36,3))</f>
        <v>1</v>
      </c>
      <c r="G36" s="1437">
        <f>IFERROR(YEARFRAC(D36,C36,3)*12,"n/a")</f>
        <v>12</v>
      </c>
    </row>
    <row r="37" spans="2:7" ht="14.85" customHeight="1">
      <c r="B37" s="250" t="s">
        <v>699</v>
      </c>
      <c r="C37" s="2021">
        <v>41639</v>
      </c>
      <c r="D37" s="402">
        <v>42004</v>
      </c>
      <c r="E37" s="2008"/>
      <c r="F37" s="2013">
        <f t="shared" ref="F37:F42" si="0">IF(ISERROR(YEARFRAC(D37,C37,3))=TRUE,"NA",YEARFRAC(D37,C37,3))</f>
        <v>1</v>
      </c>
      <c r="G37" s="1437">
        <f t="shared" ref="G37:G42" si="1">IFERROR(YEARFRAC(D37,C37,3)*12,"n/a")</f>
        <v>12</v>
      </c>
    </row>
    <row r="38" spans="2:7" ht="14.85" customHeight="1">
      <c r="B38" s="250" t="s">
        <v>700</v>
      </c>
      <c r="C38" s="2021">
        <v>41639</v>
      </c>
      <c r="D38" s="402">
        <v>42004</v>
      </c>
      <c r="E38" s="2008"/>
      <c r="F38" s="2013">
        <f t="shared" si="0"/>
        <v>1</v>
      </c>
      <c r="G38" s="1437">
        <f t="shared" si="1"/>
        <v>12</v>
      </c>
    </row>
    <row r="39" spans="2:7" ht="14.85" customHeight="1">
      <c r="B39" s="250" t="s">
        <v>701</v>
      </c>
      <c r="C39" s="2021">
        <v>41639</v>
      </c>
      <c r="D39" s="402">
        <v>42004</v>
      </c>
      <c r="E39" s="2008"/>
      <c r="F39" s="2013">
        <f t="shared" si="0"/>
        <v>1</v>
      </c>
      <c r="G39" s="1437">
        <f t="shared" si="1"/>
        <v>12</v>
      </c>
    </row>
    <row r="40" spans="2:7" ht="14.85" customHeight="1">
      <c r="B40" s="250" t="s">
        <v>702</v>
      </c>
      <c r="C40" s="2021">
        <v>41639</v>
      </c>
      <c r="D40" s="402">
        <v>42004</v>
      </c>
      <c r="E40" s="2008"/>
      <c r="F40" s="2013">
        <f t="shared" si="0"/>
        <v>1</v>
      </c>
      <c r="G40" s="1437">
        <f t="shared" si="1"/>
        <v>12</v>
      </c>
    </row>
    <row r="41" spans="2:7" ht="14.85" customHeight="1">
      <c r="B41" s="250" t="s">
        <v>639</v>
      </c>
      <c r="C41" s="2021">
        <v>41639</v>
      </c>
      <c r="D41" s="402">
        <v>42004</v>
      </c>
      <c r="E41" s="2008"/>
      <c r="F41" s="2013">
        <f t="shared" si="0"/>
        <v>1</v>
      </c>
      <c r="G41" s="1437">
        <f t="shared" si="1"/>
        <v>12</v>
      </c>
    </row>
    <row r="42" spans="2:7" ht="14.85" customHeight="1">
      <c r="B42" s="250" t="s">
        <v>703</v>
      </c>
      <c r="C42" s="2021">
        <v>41639</v>
      </c>
      <c r="D42" s="402">
        <v>42004</v>
      </c>
      <c r="E42" s="2008"/>
      <c r="F42" s="2013">
        <f t="shared" si="0"/>
        <v>1</v>
      </c>
      <c r="G42" s="1437">
        <f t="shared" si="1"/>
        <v>12</v>
      </c>
    </row>
    <row r="43" spans="2:7" ht="14.85" customHeight="1">
      <c r="B43" s="250"/>
      <c r="D43" s="1064"/>
      <c r="E43" s="1064"/>
      <c r="F43" s="2013"/>
    </row>
    <row r="44" spans="2:7" ht="14.85" customHeight="1">
      <c r="B44" s="253" t="s">
        <v>704</v>
      </c>
      <c r="D44" s="1064"/>
      <c r="E44" s="1064"/>
      <c r="F44" s="2013"/>
    </row>
    <row r="45" spans="2:7" ht="14.85" customHeight="1">
      <c r="B45" s="250" t="s">
        <v>698</v>
      </c>
      <c r="C45" s="2023">
        <v>10000</v>
      </c>
      <c r="D45" s="2024">
        <v>8000</v>
      </c>
      <c r="E45" s="2024"/>
      <c r="F45" s="2013">
        <f t="shared" ref="F45:F51" si="2">IF(ISERROR(C45-D45)=TRUE,"NA",C45-D45)</f>
        <v>2000</v>
      </c>
      <c r="G45" s="1066">
        <f t="shared" ref="G45:G51" si="3">IFERROR(C45/D45-1,"n/a")</f>
        <v>0.25</v>
      </c>
    </row>
    <row r="46" spans="2:7" ht="14.85" customHeight="1">
      <c r="B46" s="250" t="s">
        <v>699</v>
      </c>
      <c r="C46" s="2023">
        <v>10000</v>
      </c>
      <c r="D46" s="2024">
        <v>8000</v>
      </c>
      <c r="E46" s="2024"/>
      <c r="F46" s="2013">
        <f t="shared" si="2"/>
        <v>2000</v>
      </c>
      <c r="G46" s="1066">
        <f t="shared" si="3"/>
        <v>0.25</v>
      </c>
    </row>
    <row r="47" spans="2:7" ht="14.85" customHeight="1">
      <c r="B47" s="250" t="s">
        <v>700</v>
      </c>
      <c r="C47" s="2023">
        <v>10000</v>
      </c>
      <c r="D47" s="2024">
        <v>8000</v>
      </c>
      <c r="E47" s="2024"/>
      <c r="F47" s="2013">
        <f t="shared" si="2"/>
        <v>2000</v>
      </c>
      <c r="G47" s="1066">
        <f t="shared" si="3"/>
        <v>0.25</v>
      </c>
    </row>
    <row r="48" spans="2:7" ht="14.85" customHeight="1">
      <c r="B48" s="250" t="s">
        <v>701</v>
      </c>
      <c r="C48" s="2023">
        <v>10000</v>
      </c>
      <c r="D48" s="2024">
        <v>8000</v>
      </c>
      <c r="E48" s="2024"/>
      <c r="F48" s="2013">
        <f t="shared" si="2"/>
        <v>2000</v>
      </c>
      <c r="G48" s="1066">
        <f t="shared" si="3"/>
        <v>0.25</v>
      </c>
    </row>
    <row r="49" spans="2:7" ht="14.85" customHeight="1">
      <c r="B49" s="250" t="s">
        <v>702</v>
      </c>
      <c r="C49" s="2023">
        <v>10000</v>
      </c>
      <c r="D49" s="2024">
        <v>8000</v>
      </c>
      <c r="E49" s="2024"/>
      <c r="F49" s="2013">
        <f t="shared" si="2"/>
        <v>2000</v>
      </c>
      <c r="G49" s="1066">
        <f t="shared" si="3"/>
        <v>0.25</v>
      </c>
    </row>
    <row r="50" spans="2:7" ht="14.85" customHeight="1">
      <c r="B50" s="250" t="s">
        <v>639</v>
      </c>
      <c r="C50" s="2023">
        <v>10000</v>
      </c>
      <c r="D50" s="2024">
        <v>8000</v>
      </c>
      <c r="E50" s="2024"/>
      <c r="F50" s="2013">
        <f t="shared" si="2"/>
        <v>2000</v>
      </c>
      <c r="G50" s="1066">
        <f t="shared" si="3"/>
        <v>0.25</v>
      </c>
    </row>
    <row r="51" spans="2:7" ht="14.85" customHeight="1">
      <c r="B51" s="250" t="s">
        <v>703</v>
      </c>
      <c r="C51" s="2023">
        <v>10000</v>
      </c>
      <c r="D51" s="2024">
        <v>8000</v>
      </c>
      <c r="E51" s="2024"/>
      <c r="F51" s="2013">
        <f t="shared" si="2"/>
        <v>2000</v>
      </c>
      <c r="G51" s="1066">
        <f t="shared" si="3"/>
        <v>0.25</v>
      </c>
    </row>
    <row r="52" spans="2:7" ht="14.85" customHeight="1">
      <c r="B52" s="250"/>
      <c r="D52" s="1064"/>
      <c r="E52" s="1064"/>
      <c r="F52" s="2013"/>
    </row>
    <row r="53" spans="2:7" ht="14.85" customHeight="1">
      <c r="B53" s="253" t="s">
        <v>705</v>
      </c>
      <c r="C53" s="1345"/>
      <c r="D53" s="2017"/>
      <c r="E53" s="2017"/>
      <c r="F53" s="2013"/>
      <c r="G53" s="1345"/>
    </row>
    <row r="54" spans="2:7" ht="14.85" customHeight="1">
      <c r="B54" s="250" t="s">
        <v>698</v>
      </c>
      <c r="C54" s="1909">
        <v>0.02</v>
      </c>
      <c r="D54" s="2017">
        <v>0.02</v>
      </c>
      <c r="E54" s="2017"/>
      <c r="F54" s="2013">
        <f t="shared" ref="F54:F60" si="4">IF(ISERROR(C54-D54)=TRUE,"NA",C54-D54)</f>
        <v>0</v>
      </c>
      <c r="G54" s="1066">
        <f t="shared" ref="G54:G60" si="5">IFERROR(C54-D54,"n/a")</f>
        <v>0</v>
      </c>
    </row>
    <row r="55" spans="2:7" ht="14.85" customHeight="1">
      <c r="B55" s="250" t="s">
        <v>699</v>
      </c>
      <c r="C55" s="1909">
        <v>0.1</v>
      </c>
      <c r="D55" s="2017">
        <v>0.1</v>
      </c>
      <c r="E55" s="2017"/>
      <c r="F55" s="2013">
        <f t="shared" si="4"/>
        <v>0</v>
      </c>
      <c r="G55" s="1066">
        <f t="shared" si="5"/>
        <v>0</v>
      </c>
    </row>
    <row r="56" spans="2:7" ht="14.85" customHeight="1">
      <c r="B56" s="250" t="s">
        <v>700</v>
      </c>
      <c r="C56" s="1909">
        <v>0.1</v>
      </c>
      <c r="D56" s="2017">
        <v>0.1</v>
      </c>
      <c r="E56" s="2017"/>
      <c r="F56" s="2013">
        <f t="shared" si="4"/>
        <v>0</v>
      </c>
      <c r="G56" s="1066">
        <f t="shared" si="5"/>
        <v>0</v>
      </c>
    </row>
    <row r="57" spans="2:7" ht="14.85" customHeight="1">
      <c r="B57" s="250" t="s">
        <v>701</v>
      </c>
      <c r="C57" s="1909">
        <v>0.1</v>
      </c>
      <c r="D57" s="2017">
        <v>0.1</v>
      </c>
      <c r="E57" s="2017"/>
      <c r="F57" s="2013">
        <f t="shared" si="4"/>
        <v>0</v>
      </c>
      <c r="G57" s="1066">
        <f t="shared" si="5"/>
        <v>0</v>
      </c>
    </row>
    <row r="58" spans="2:7" ht="14.85" customHeight="1">
      <c r="B58" s="250" t="s">
        <v>702</v>
      </c>
      <c r="C58" s="1909">
        <v>0.1</v>
      </c>
      <c r="D58" s="2017">
        <v>0.1</v>
      </c>
      <c r="E58" s="2017"/>
      <c r="F58" s="2013">
        <f t="shared" si="4"/>
        <v>0</v>
      </c>
      <c r="G58" s="1066">
        <f t="shared" si="5"/>
        <v>0</v>
      </c>
    </row>
    <row r="59" spans="2:7" ht="14.85" customHeight="1">
      <c r="B59" s="250" t="s">
        <v>639</v>
      </c>
      <c r="C59" s="1909">
        <v>0.1</v>
      </c>
      <c r="D59" s="2017">
        <v>0.1</v>
      </c>
      <c r="E59" s="2017"/>
      <c r="F59" s="2013">
        <f t="shared" si="4"/>
        <v>0</v>
      </c>
      <c r="G59" s="1066">
        <f t="shared" si="5"/>
        <v>0</v>
      </c>
    </row>
    <row r="60" spans="2:7" ht="14.85" customHeight="1">
      <c r="B60" s="250" t="s">
        <v>703</v>
      </c>
      <c r="C60" s="1909">
        <v>0.1</v>
      </c>
      <c r="D60" s="2017">
        <v>0.1</v>
      </c>
      <c r="E60" s="2017"/>
      <c r="F60" s="2013">
        <f t="shared" si="4"/>
        <v>0</v>
      </c>
      <c r="G60" s="1066">
        <f t="shared" si="5"/>
        <v>0</v>
      </c>
    </row>
    <row r="61" spans="2:7" ht="14.85" customHeight="1">
      <c r="B61" s="250"/>
      <c r="D61" s="1064"/>
      <c r="E61" s="1064"/>
      <c r="F61" s="2013"/>
    </row>
    <row r="62" spans="2:7" ht="14.85" customHeight="1">
      <c r="B62" s="253" t="s">
        <v>1741</v>
      </c>
      <c r="D62" s="1064"/>
      <c r="E62" s="1064"/>
      <c r="F62" s="2013"/>
    </row>
    <row r="63" spans="2:7" ht="14.85" customHeight="1">
      <c r="B63" s="253" t="s">
        <v>706</v>
      </c>
      <c r="D63" s="1064"/>
      <c r="E63" s="1064"/>
      <c r="F63" s="2013" t="s">
        <v>640</v>
      </c>
    </row>
    <row r="64" spans="2:7" ht="14.85" customHeight="1">
      <c r="B64" s="253" t="s">
        <v>707</v>
      </c>
      <c r="D64" s="1064"/>
      <c r="E64" s="1064"/>
      <c r="F64" s="2013"/>
    </row>
    <row r="65" spans="2:7" ht="14.85" customHeight="1">
      <c r="B65" s="250" t="s">
        <v>708</v>
      </c>
      <c r="C65" s="741">
        <v>3280</v>
      </c>
      <c r="D65" s="1064"/>
      <c r="E65" s="1064"/>
      <c r="F65" s="2013">
        <f t="shared" ref="F65:F71" si="6">IF(ISERROR(C65-D65)=TRUE,"NA",C65-D65)</f>
        <v>3280</v>
      </c>
      <c r="G65" s="1066" t="str">
        <f t="shared" ref="G65:G71" si="7">IFERROR(C65/D65-1,"n/a")</f>
        <v>n/a</v>
      </c>
    </row>
    <row r="66" spans="2:7" ht="14.85" customHeight="1">
      <c r="B66" s="250" t="s">
        <v>709</v>
      </c>
      <c r="C66" s="741">
        <v>3090</v>
      </c>
      <c r="D66" s="1064"/>
      <c r="E66" s="1064"/>
      <c r="F66" s="2013">
        <f t="shared" si="6"/>
        <v>3090</v>
      </c>
      <c r="G66" s="1066" t="str">
        <f t="shared" si="7"/>
        <v>n/a</v>
      </c>
    </row>
    <row r="67" spans="2:7" ht="14.85" customHeight="1">
      <c r="B67" s="250" t="s">
        <v>710</v>
      </c>
      <c r="C67" s="741">
        <v>14780</v>
      </c>
      <c r="D67" s="1064"/>
      <c r="E67" s="1064"/>
      <c r="F67" s="2013">
        <f t="shared" si="6"/>
        <v>14780</v>
      </c>
      <c r="G67" s="1066" t="str">
        <f t="shared" si="7"/>
        <v>n/a</v>
      </c>
    </row>
    <row r="68" spans="2:7" ht="14.85" customHeight="1">
      <c r="B68" s="250" t="s">
        <v>711</v>
      </c>
      <c r="C68" s="741">
        <v>14780</v>
      </c>
      <c r="D68" s="1064"/>
      <c r="E68" s="1064"/>
      <c r="F68" s="2013">
        <f t="shared" si="6"/>
        <v>14780</v>
      </c>
      <c r="G68" s="1066" t="str">
        <f t="shared" si="7"/>
        <v>n/a</v>
      </c>
    </row>
    <row r="69" spans="2:7" ht="14.85" customHeight="1">
      <c r="B69" s="250" t="s">
        <v>712</v>
      </c>
      <c r="C69" s="741"/>
      <c r="D69" s="1064"/>
      <c r="E69" s="1064"/>
      <c r="F69" s="2013">
        <f t="shared" si="6"/>
        <v>0</v>
      </c>
      <c r="G69" s="1066" t="str">
        <f t="shared" si="7"/>
        <v>n/a</v>
      </c>
    </row>
    <row r="70" spans="2:7" ht="14.85" customHeight="1">
      <c r="B70" s="250" t="s">
        <v>713</v>
      </c>
      <c r="C70" s="741">
        <v>7780</v>
      </c>
      <c r="D70" s="1064"/>
      <c r="E70" s="1064"/>
      <c r="F70" s="2013">
        <f t="shared" si="6"/>
        <v>7780</v>
      </c>
      <c r="G70" s="1066" t="str">
        <f t="shared" si="7"/>
        <v>n/a</v>
      </c>
    </row>
    <row r="71" spans="2:7" ht="14.85" customHeight="1">
      <c r="B71" s="250" t="s">
        <v>714</v>
      </c>
      <c r="C71" s="741">
        <v>83940</v>
      </c>
      <c r="D71" s="1064"/>
      <c r="E71" s="1064"/>
      <c r="F71" s="2013">
        <f t="shared" si="6"/>
        <v>83940</v>
      </c>
      <c r="G71" s="1066" t="str">
        <f t="shared" si="7"/>
        <v>n/a</v>
      </c>
    </row>
    <row r="72" spans="2:7" ht="14.85" customHeight="1">
      <c r="B72" s="250"/>
      <c r="D72" s="1064"/>
      <c r="E72" s="1064"/>
      <c r="F72" s="2013"/>
    </row>
    <row r="73" spans="2:7" ht="14.85" customHeight="1">
      <c r="B73" s="253" t="s">
        <v>715</v>
      </c>
      <c r="D73" s="1064"/>
      <c r="E73" s="1064"/>
      <c r="F73" s="2013"/>
    </row>
    <row r="74" spans="2:7" ht="14.85" customHeight="1">
      <c r="B74" s="250" t="s">
        <v>708</v>
      </c>
      <c r="C74" s="2025">
        <f>AVERAGE('GCM SUMM'!F31:H31)</f>
        <v>0.72790983050847458</v>
      </c>
      <c r="D74" s="2026">
        <v>2</v>
      </c>
      <c r="E74" s="2024"/>
      <c r="F74" s="2013">
        <f t="shared" ref="F74:F80" si="8">IF(ISERROR(C74-D74)=TRUE,"NA",C74-D74)</f>
        <v>-1.2720901694915254</v>
      </c>
      <c r="G74" s="1066">
        <f t="shared" ref="G74:G80" si="9">IFERROR(C74/D74-1,"n/a")</f>
        <v>-0.63604508474576271</v>
      </c>
    </row>
    <row r="75" spans="2:7" ht="14.85" customHeight="1">
      <c r="B75" s="250" t="s">
        <v>709</v>
      </c>
      <c r="C75" s="2025">
        <f>AVERAGE('GTM SUMM'!F23:H23)</f>
        <v>0.72790983050847458</v>
      </c>
      <c r="D75" s="2026">
        <v>3</v>
      </c>
      <c r="E75" s="2024"/>
      <c r="F75" s="2013">
        <f t="shared" si="8"/>
        <v>-2.2720901694915252</v>
      </c>
      <c r="G75" s="1066">
        <f t="shared" si="9"/>
        <v>-0.75736338983050844</v>
      </c>
    </row>
    <row r="76" spans="2:7" ht="14.85" customHeight="1">
      <c r="B76" s="250" t="s">
        <v>710</v>
      </c>
      <c r="C76" s="2025">
        <v>2</v>
      </c>
      <c r="D76" s="2026">
        <v>3</v>
      </c>
      <c r="E76" s="2024"/>
      <c r="F76" s="2013">
        <f t="shared" si="8"/>
        <v>-1</v>
      </c>
      <c r="G76" s="1066">
        <f t="shared" si="9"/>
        <v>-0.33333333333333337</v>
      </c>
    </row>
    <row r="77" spans="2:7" ht="14.85" customHeight="1">
      <c r="B77" s="250" t="s">
        <v>711</v>
      </c>
      <c r="C77" s="2025">
        <v>2</v>
      </c>
      <c r="D77" s="2026"/>
      <c r="E77" s="2024"/>
      <c r="F77" s="2013">
        <f t="shared" si="8"/>
        <v>2</v>
      </c>
      <c r="G77" s="1066" t="str">
        <f t="shared" si="9"/>
        <v>n/a</v>
      </c>
    </row>
    <row r="78" spans="2:7" ht="14.85" customHeight="1">
      <c r="B78" s="250" t="s">
        <v>712</v>
      </c>
      <c r="C78" s="2025">
        <v>2</v>
      </c>
      <c r="D78" s="2026"/>
      <c r="E78" s="2024"/>
      <c r="F78" s="2013">
        <f t="shared" si="8"/>
        <v>2</v>
      </c>
      <c r="G78" s="1066" t="str">
        <f t="shared" si="9"/>
        <v>n/a</v>
      </c>
    </row>
    <row r="79" spans="2:7" ht="14.85" customHeight="1">
      <c r="B79" s="250" t="s">
        <v>713</v>
      </c>
      <c r="C79" s="2025">
        <v>2</v>
      </c>
      <c r="D79" s="2026"/>
      <c r="E79" s="2024"/>
      <c r="F79" s="2013">
        <f t="shared" si="8"/>
        <v>2</v>
      </c>
      <c r="G79" s="1066" t="str">
        <f t="shared" si="9"/>
        <v>n/a</v>
      </c>
    </row>
    <row r="80" spans="2:7" ht="14.85" customHeight="1">
      <c r="B80" s="250" t="s">
        <v>714</v>
      </c>
      <c r="C80" s="2025">
        <v>2</v>
      </c>
      <c r="D80" s="2026"/>
      <c r="E80" s="2024"/>
      <c r="F80" s="2013">
        <f t="shared" si="8"/>
        <v>2</v>
      </c>
      <c r="G80" s="1066" t="str">
        <f t="shared" si="9"/>
        <v>n/a</v>
      </c>
    </row>
    <row r="81" spans="2:7" ht="14.85" customHeight="1">
      <c r="B81" s="250"/>
      <c r="D81" s="1064"/>
      <c r="E81" s="1064"/>
      <c r="F81" s="2013"/>
    </row>
    <row r="82" spans="2:7" ht="14.85" customHeight="1">
      <c r="B82" s="253" t="s">
        <v>716</v>
      </c>
      <c r="D82" s="1064"/>
      <c r="E82" s="1064"/>
      <c r="F82" s="2013"/>
    </row>
    <row r="83" spans="2:7" ht="14.85" customHeight="1">
      <c r="B83" s="250" t="s">
        <v>708</v>
      </c>
      <c r="C83" s="2016">
        <f>'Val Summ'!J13</f>
        <v>0.25</v>
      </c>
      <c r="D83" s="2017">
        <v>0.33</v>
      </c>
      <c r="E83" s="2017"/>
      <c r="F83" s="2013">
        <f t="shared" ref="F83:F89" si="10">IF(ISERROR(C83-D83)=TRUE,"NA",C83-D83)</f>
        <v>-8.0000000000000016E-2</v>
      </c>
      <c r="G83" s="1066">
        <f t="shared" ref="G83:G89" si="11">IFERROR(C83-D83,"n/a")</f>
        <v>-8.0000000000000016E-2</v>
      </c>
    </row>
    <row r="84" spans="2:7" ht="14.85" customHeight="1">
      <c r="B84" s="250" t="s">
        <v>709</v>
      </c>
      <c r="C84" s="2016">
        <f>'Val Summ'!J15</f>
        <v>0.25</v>
      </c>
      <c r="D84" s="2017">
        <v>0.33</v>
      </c>
      <c r="E84" s="2017"/>
      <c r="F84" s="2013">
        <f t="shared" si="10"/>
        <v>-8.0000000000000016E-2</v>
      </c>
      <c r="G84" s="1066">
        <f t="shared" si="11"/>
        <v>-8.0000000000000016E-2</v>
      </c>
    </row>
    <row r="85" spans="2:7" ht="14.85" customHeight="1">
      <c r="B85" s="250" t="s">
        <v>710</v>
      </c>
      <c r="C85" s="2016">
        <f>'Val Summ'!J10</f>
        <v>0.5</v>
      </c>
      <c r="D85" s="2017">
        <v>0.33</v>
      </c>
      <c r="E85" s="2017"/>
      <c r="F85" s="2013">
        <f t="shared" si="10"/>
        <v>0.16999999999999998</v>
      </c>
      <c r="G85" s="1066">
        <f t="shared" si="11"/>
        <v>0.16999999999999998</v>
      </c>
    </row>
    <row r="86" spans="2:7" ht="14.85" customHeight="1">
      <c r="B86" s="250" t="s">
        <v>711</v>
      </c>
      <c r="C86" s="2016">
        <f>'Val Summ'!J10</f>
        <v>0.5</v>
      </c>
      <c r="D86" s="2017">
        <v>0.33</v>
      </c>
      <c r="E86" s="2017"/>
      <c r="F86" s="2013">
        <f t="shared" si="10"/>
        <v>0.16999999999999998</v>
      </c>
      <c r="G86" s="1066">
        <f t="shared" si="11"/>
        <v>0.16999999999999998</v>
      </c>
    </row>
    <row r="87" spans="2:7" ht="14.85" customHeight="1">
      <c r="B87" s="250" t="s">
        <v>712</v>
      </c>
      <c r="C87" s="1909">
        <v>0.1</v>
      </c>
      <c r="D87" s="2017">
        <v>0.33</v>
      </c>
      <c r="E87" s="2017"/>
      <c r="F87" s="2013">
        <f t="shared" si="10"/>
        <v>-0.23</v>
      </c>
      <c r="G87" s="1066">
        <f t="shared" si="11"/>
        <v>-0.23</v>
      </c>
    </row>
    <row r="88" spans="2:7" ht="14.85" customHeight="1">
      <c r="B88" s="250" t="s">
        <v>713</v>
      </c>
      <c r="C88" s="1909">
        <v>0.1</v>
      </c>
      <c r="D88" s="2017">
        <v>0.33</v>
      </c>
      <c r="E88" s="2017"/>
      <c r="F88" s="2013">
        <f t="shared" si="10"/>
        <v>-0.23</v>
      </c>
      <c r="G88" s="1066">
        <f t="shared" si="11"/>
        <v>-0.23</v>
      </c>
    </row>
    <row r="89" spans="2:7" ht="14.85" customHeight="1">
      <c r="B89" s="250" t="s">
        <v>714</v>
      </c>
      <c r="C89" s="1909">
        <v>0.1</v>
      </c>
      <c r="D89" s="2017">
        <v>0.33</v>
      </c>
      <c r="E89" s="2017"/>
      <c r="F89" s="2013">
        <f t="shared" si="10"/>
        <v>-0.23</v>
      </c>
      <c r="G89" s="1066">
        <f t="shared" si="11"/>
        <v>-0.23</v>
      </c>
    </row>
    <row r="90" spans="2:7" ht="14.85" customHeight="1">
      <c r="B90" s="250"/>
      <c r="D90" s="1064"/>
      <c r="E90" s="1064"/>
      <c r="F90" s="2013"/>
    </row>
    <row r="91" spans="2:7" ht="14.85" customHeight="1">
      <c r="B91" s="253" t="s">
        <v>1742</v>
      </c>
      <c r="D91" s="1064"/>
      <c r="E91" s="1064"/>
      <c r="F91" s="2013"/>
    </row>
    <row r="92" spans="2:7" ht="14.85" customHeight="1">
      <c r="B92" s="250" t="s">
        <v>1743</v>
      </c>
      <c r="C92" s="2022" t="s">
        <v>777</v>
      </c>
      <c r="D92" s="1064"/>
      <c r="E92" s="1064"/>
      <c r="F92" s="2013"/>
      <c r="G92" s="1066" t="str">
        <f t="shared" ref="G92:G95" si="12">IFERROR(C92/D92-1,"n/a")</f>
        <v>n/a</v>
      </c>
    </row>
    <row r="93" spans="2:7" ht="14.85" customHeight="1">
      <c r="B93" s="250" t="s">
        <v>1744</v>
      </c>
      <c r="C93" s="2016">
        <f>'WACC CAPM'!H14</f>
        <v>0.25</v>
      </c>
      <c r="D93" s="2017"/>
      <c r="E93" s="2017"/>
      <c r="F93" s="2013">
        <f t="shared" ref="F93:F98" si="13">IF(ISERROR(C93-D93)=TRUE,"NA",C93-D93)</f>
        <v>0.25</v>
      </c>
      <c r="G93" s="1066">
        <f>IFERROR(C93-D93,"n/a")</f>
        <v>0.25</v>
      </c>
    </row>
    <row r="94" spans="2:7" ht="14.85" customHeight="1">
      <c r="B94" s="250" t="s">
        <v>1745</v>
      </c>
      <c r="C94" s="2016">
        <f>'WACC CAPM'!H27</f>
        <v>6.0400000000000002E-2</v>
      </c>
      <c r="D94" s="2017"/>
      <c r="E94" s="2017"/>
      <c r="F94" s="2013">
        <f t="shared" si="13"/>
        <v>6.0400000000000002E-2</v>
      </c>
      <c r="G94" s="1066" t="str">
        <f t="shared" si="12"/>
        <v>n/a</v>
      </c>
    </row>
    <row r="95" spans="2:7" ht="14.85" customHeight="1">
      <c r="B95" s="250" t="s">
        <v>294</v>
      </c>
      <c r="C95" s="1125">
        <f>'WACC CAPM'!H25</f>
        <v>1.1548960391368028</v>
      </c>
      <c r="D95" s="1127"/>
      <c r="E95" s="1127"/>
      <c r="F95" s="2013">
        <f t="shared" si="13"/>
        <v>1.1548960391368028</v>
      </c>
      <c r="G95" s="1066" t="str">
        <f t="shared" si="12"/>
        <v>n/a</v>
      </c>
    </row>
    <row r="96" spans="2:7" ht="14.85" customHeight="1">
      <c r="B96" s="250" t="s">
        <v>1746</v>
      </c>
      <c r="C96" s="2016">
        <f>'WACC CAPM'!H29</f>
        <v>6.9767879604342012E-2</v>
      </c>
      <c r="D96" s="2017"/>
      <c r="E96" s="2017"/>
      <c r="F96" s="2013">
        <f t="shared" si="13"/>
        <v>6.9767879604342012E-2</v>
      </c>
      <c r="G96" s="1066">
        <f>IFERROR(C96-D96,"n/a")</f>
        <v>6.9767879604342012E-2</v>
      </c>
    </row>
    <row r="97" spans="2:7" ht="14.85" customHeight="1">
      <c r="B97" s="250" t="s">
        <v>1747</v>
      </c>
      <c r="C97" s="2016">
        <f>'WACC CAPM'!H31</f>
        <v>5.3699999999999998E-2</v>
      </c>
      <c r="D97" s="2017"/>
      <c r="E97" s="2017"/>
      <c r="F97" s="2013">
        <f t="shared" si="13"/>
        <v>5.3699999999999998E-2</v>
      </c>
      <c r="G97" s="1066">
        <f>IFERROR(C97-D97,"n/a")</f>
        <v>5.3699999999999998E-2</v>
      </c>
    </row>
    <row r="98" spans="2:7" ht="14.85" customHeight="1">
      <c r="B98" s="250" t="s">
        <v>1748</v>
      </c>
      <c r="C98" s="2016">
        <f>'WACC CAPM'!H32</f>
        <v>0.1</v>
      </c>
      <c r="D98" s="2017"/>
      <c r="E98" s="2017"/>
      <c r="F98" s="2013">
        <f t="shared" si="13"/>
        <v>0.1</v>
      </c>
      <c r="G98" s="1066">
        <f>IFERROR(C98-D98,"n/a")</f>
        <v>0.1</v>
      </c>
    </row>
    <row r="99" spans="2:7" ht="14.85" customHeight="1">
      <c r="B99" s="250"/>
      <c r="D99" s="1064"/>
      <c r="E99" s="1064"/>
      <c r="F99" s="2013"/>
    </row>
    <row r="100" spans="2:7" ht="14.85" customHeight="1">
      <c r="B100" s="253" t="s">
        <v>398</v>
      </c>
      <c r="D100" s="1064"/>
      <c r="E100" s="1064"/>
      <c r="F100" s="2013"/>
    </row>
    <row r="101" spans="2:7" ht="14.85" customHeight="1">
      <c r="B101" s="250" t="s">
        <v>693</v>
      </c>
      <c r="C101" s="2027" t="s">
        <v>44</v>
      </c>
      <c r="D101" s="2028"/>
      <c r="E101" s="2028"/>
      <c r="F101" s="2013"/>
      <c r="G101" s="1066" t="str">
        <f>IFERROR(C101/D101-1,"n/a")</f>
        <v>n/a</v>
      </c>
    </row>
    <row r="102" spans="2:7" ht="14.85" customHeight="1">
      <c r="B102" s="250" t="s">
        <v>503</v>
      </c>
      <c r="C102" s="2016" t="e">
        <f>DLOM!#REF!</f>
        <v>#REF!</v>
      </c>
      <c r="D102" s="2017"/>
      <c r="E102" s="2017"/>
      <c r="F102" s="2013" t="str">
        <f>IF(ISERROR(C102-D102)=TRUE,"NA",C102-D102)</f>
        <v>NA</v>
      </c>
      <c r="G102" s="1066" t="str">
        <f>IFERROR(C102-D102,"n/a")</f>
        <v>n/a</v>
      </c>
    </row>
    <row r="103" spans="2:7" ht="14.85" customHeight="1">
      <c r="B103" s="250"/>
      <c r="C103" s="1345"/>
      <c r="D103" s="2017"/>
      <c r="E103" s="2017"/>
      <c r="F103" s="2013"/>
      <c r="G103" s="1345"/>
    </row>
    <row r="104" spans="2:7" ht="14.85" customHeight="1">
      <c r="B104" s="253" t="s">
        <v>496</v>
      </c>
      <c r="C104" s="1345"/>
      <c r="D104" s="2017"/>
      <c r="E104" s="2017"/>
      <c r="F104" s="2013"/>
      <c r="G104" s="1345"/>
    </row>
    <row r="105" spans="2:7" ht="14.85" customHeight="1">
      <c r="B105" s="250" t="s">
        <v>1749</v>
      </c>
      <c r="C105" s="2016">
        <f>'WACC PWERM'!J11</f>
        <v>0.125</v>
      </c>
      <c r="D105" s="2017"/>
      <c r="E105" s="2017"/>
      <c r="F105" s="2013"/>
      <c r="G105" s="1066">
        <f t="shared" ref="G105:G108" si="14">IFERROR(C105-D105,"n/a")</f>
        <v>0.125</v>
      </c>
    </row>
    <row r="106" spans="2:7" ht="14.85" customHeight="1">
      <c r="B106" s="250" t="s">
        <v>1750</v>
      </c>
      <c r="C106" s="2016">
        <f>'WACC PWERM'!J13</f>
        <v>0.27500000000000002</v>
      </c>
      <c r="D106" s="2017"/>
      <c r="E106" s="2017"/>
      <c r="F106" s="2013"/>
      <c r="G106" s="1066">
        <f t="shared" si="14"/>
        <v>0.27500000000000002</v>
      </c>
    </row>
    <row r="107" spans="2:7" ht="14.85" customHeight="1">
      <c r="B107" s="250" t="s">
        <v>1751</v>
      </c>
      <c r="C107" s="2016">
        <f>'WACC PWERM'!J15</f>
        <v>0.45</v>
      </c>
      <c r="D107" s="2017"/>
      <c r="E107" s="2017"/>
      <c r="F107" s="2013"/>
      <c r="G107" s="1066">
        <f t="shared" si="14"/>
        <v>0.45</v>
      </c>
    </row>
    <row r="108" spans="2:7" ht="14.85" customHeight="1">
      <c r="B108" s="250" t="s">
        <v>1752</v>
      </c>
      <c r="C108" s="2016">
        <f>'WACC PWERM'!J23</f>
        <v>0.2</v>
      </c>
      <c r="D108" s="2017"/>
      <c r="E108" s="2017"/>
      <c r="F108" s="2013"/>
      <c r="G108" s="1066">
        <f t="shared" si="14"/>
        <v>0.2</v>
      </c>
    </row>
    <row r="109" spans="2:7" ht="14.85" customHeight="1">
      <c r="B109" s="250"/>
      <c r="C109" s="1345"/>
      <c r="D109" s="2017"/>
      <c r="E109" s="2017"/>
      <c r="F109" s="2013"/>
      <c r="G109" s="1345"/>
    </row>
    <row r="110" spans="2:7" ht="14.85" customHeight="1" outlineLevel="1">
      <c r="B110" s="2018" t="s">
        <v>717</v>
      </c>
      <c r="D110" s="1064"/>
      <c r="E110" s="1064"/>
      <c r="F110" s="2013"/>
    </row>
    <row r="111" spans="2:7" ht="14.85" customHeight="1">
      <c r="B111" s="253" t="s">
        <v>1753</v>
      </c>
      <c r="D111" s="1064"/>
      <c r="E111" s="1064"/>
      <c r="F111" s="2013"/>
    </row>
    <row r="112" spans="2:7" ht="14.85" customHeight="1">
      <c r="B112" s="250" t="s">
        <v>168</v>
      </c>
      <c r="C112" s="741">
        <f ca="1">'Hist IS'!J13</f>
        <v>4443</v>
      </c>
      <c r="D112" s="2024"/>
      <c r="E112" s="2024"/>
      <c r="F112" s="2013">
        <f ca="1">IF(ISERROR(C112-D112)=TRUE,"NA",C112-D112)</f>
        <v>4443</v>
      </c>
      <c r="G112" s="1066" t="str">
        <f ca="1">IFERROR(C112/D112-1,"n/a")</f>
        <v>n/a</v>
      </c>
    </row>
    <row r="113" spans="2:7" ht="14.85" customHeight="1">
      <c r="B113" s="250" t="s">
        <v>172</v>
      </c>
      <c r="C113" s="741">
        <f ca="1">'Hist IS'!J17</f>
        <v>2309</v>
      </c>
      <c r="D113" s="2024"/>
      <c r="E113" s="2024"/>
      <c r="F113" s="2013">
        <f ca="1">IF(ISERROR(C113-D113)=TRUE,"NA",C113-D113)</f>
        <v>2309</v>
      </c>
      <c r="G113" s="1066" t="str">
        <f ca="1">IFERROR(C113/D113-1,"n/a")</f>
        <v>n/a</v>
      </c>
    </row>
    <row r="114" spans="2:7" ht="14.85" customHeight="1">
      <c r="B114" s="250" t="s">
        <v>182</v>
      </c>
      <c r="C114" s="741">
        <f ca="1">'Hist IS'!J28</f>
        <v>435</v>
      </c>
      <c r="D114" s="2024"/>
      <c r="E114" s="2024"/>
      <c r="F114" s="2013">
        <f ca="1">IF(ISERROR(C114-D114)=TRUE,"NA",C114-D114)</f>
        <v>435</v>
      </c>
      <c r="G114" s="1066" t="str">
        <f ca="1">IFERROR(C114/D114-1,"n/a")</f>
        <v>n/a</v>
      </c>
    </row>
    <row r="115" spans="2:7" ht="14.85" customHeight="1">
      <c r="B115" s="250" t="s">
        <v>181</v>
      </c>
      <c r="C115" s="741">
        <f ca="1">'Hist IS'!J43</f>
        <v>580</v>
      </c>
      <c r="D115" s="2024"/>
      <c r="E115" s="2024"/>
      <c r="F115" s="2013">
        <f ca="1">IF(ISERROR(C115-D115)=TRUE,"NA",C115-D115)</f>
        <v>580</v>
      </c>
      <c r="G115" s="1066" t="str">
        <f ca="1">IFERROR(C115/D115-1,"n/a")</f>
        <v>n/a</v>
      </c>
    </row>
    <row r="116" spans="2:7" ht="14.85" customHeight="1">
      <c r="B116" s="250" t="s">
        <v>359</v>
      </c>
      <c r="C116" s="741">
        <f ca="1">'Hist IS'!J38</f>
        <v>1854</v>
      </c>
      <c r="D116" s="2024"/>
      <c r="E116" s="2024"/>
      <c r="F116" s="2013">
        <f ca="1">IF(ISERROR(C116-D116)=TRUE,"NA",C116-D116)</f>
        <v>1854</v>
      </c>
      <c r="G116" s="1066" t="str">
        <f ca="1">IFERROR(C116/D116-1,"n/a")</f>
        <v>n/a</v>
      </c>
    </row>
    <row r="117" spans="2:7" ht="14.85" customHeight="1">
      <c r="B117" s="250"/>
      <c r="C117" s="1432"/>
      <c r="D117" s="2024"/>
      <c r="E117" s="2024"/>
      <c r="F117" s="2013"/>
      <c r="G117" s="1345"/>
    </row>
    <row r="118" spans="2:7" ht="14.85" customHeight="1">
      <c r="B118" s="253" t="s">
        <v>1754</v>
      </c>
      <c r="C118" s="1432"/>
      <c r="D118" s="2024"/>
      <c r="E118" s="2024"/>
      <c r="F118" s="2013"/>
      <c r="G118" s="1432"/>
    </row>
    <row r="119" spans="2:7" ht="14.85" customHeight="1">
      <c r="B119" s="250" t="s">
        <v>168</v>
      </c>
      <c r="C119" s="2023">
        <v>10000</v>
      </c>
      <c r="D119" s="2024"/>
      <c r="E119" s="2024"/>
      <c r="F119" s="2013">
        <f>IF(ISERROR(C119-D119)=TRUE,"NA",C119-D119)</f>
        <v>10000</v>
      </c>
      <c r="G119" s="1066" t="str">
        <f>IFERROR(C119/D119-1,"n/a")</f>
        <v>n/a</v>
      </c>
    </row>
    <row r="120" spans="2:7" ht="14.85" customHeight="1">
      <c r="B120" s="250" t="s">
        <v>172</v>
      </c>
      <c r="C120" s="2023">
        <v>10000</v>
      </c>
      <c r="D120" s="2024"/>
      <c r="E120" s="2024"/>
      <c r="F120" s="2013">
        <f>IF(ISERROR(C120-D120)=TRUE,"NA",C120-D120)</f>
        <v>10000</v>
      </c>
      <c r="G120" s="1066" t="str">
        <f>IFERROR(C120/D120-1,"n/a")</f>
        <v>n/a</v>
      </c>
    </row>
    <row r="121" spans="2:7" ht="14.85" customHeight="1">
      <c r="B121" s="250" t="s">
        <v>182</v>
      </c>
      <c r="C121" s="2023">
        <v>10000</v>
      </c>
      <c r="D121" s="2024"/>
      <c r="E121" s="2024"/>
      <c r="F121" s="2013">
        <f>IF(ISERROR(C121-D121)=TRUE,"NA",C121-D121)</f>
        <v>10000</v>
      </c>
      <c r="G121" s="1066" t="str">
        <f>IFERROR(C121/D121-1,"n/a")</f>
        <v>n/a</v>
      </c>
    </row>
    <row r="122" spans="2:7" ht="14.85" customHeight="1">
      <c r="B122" s="250" t="s">
        <v>181</v>
      </c>
      <c r="C122" s="2023">
        <v>10000</v>
      </c>
      <c r="D122" s="2024"/>
      <c r="E122" s="2024"/>
      <c r="F122" s="2013">
        <f>IF(ISERROR(C122-D122)=TRUE,"NA",C122-D122)</f>
        <v>10000</v>
      </c>
      <c r="G122" s="1066" t="str">
        <f>IFERROR(C122/D122-1,"n/a")</f>
        <v>n/a</v>
      </c>
    </row>
    <row r="123" spans="2:7" ht="14.85" customHeight="1">
      <c r="B123" s="250" t="s">
        <v>359</v>
      </c>
      <c r="C123" s="2023">
        <v>10000</v>
      </c>
      <c r="D123" s="2024"/>
      <c r="E123" s="2024"/>
      <c r="F123" s="2013">
        <f>IF(ISERROR(C123-D123)=TRUE,"NA",C123-D123)</f>
        <v>10000</v>
      </c>
      <c r="G123" s="1066" t="str">
        <f>IFERROR(C123/D123-1,"n/a")</f>
        <v>n/a</v>
      </c>
    </row>
    <row r="124" spans="2:7" ht="14.85" customHeight="1">
      <c r="B124" s="250"/>
      <c r="D124" s="1064"/>
      <c r="E124" s="1064"/>
      <c r="F124" s="2013"/>
    </row>
    <row r="125" spans="2:7" ht="14.85" customHeight="1">
      <c r="B125" s="382" t="s">
        <v>718</v>
      </c>
      <c r="D125" s="1064"/>
      <c r="E125" s="1064"/>
      <c r="F125" s="2013"/>
    </row>
    <row r="126" spans="2:7" ht="14.85" customHeight="1">
      <c r="B126" s="1571">
        <v>2006</v>
      </c>
      <c r="C126" s="2023">
        <v>10000</v>
      </c>
      <c r="D126" s="2024"/>
      <c r="E126" s="2024"/>
      <c r="F126" s="2013">
        <f>IF(ISERROR(C126-D126)=TRUE,"NA",C126-D126)</f>
        <v>10000</v>
      </c>
      <c r="G126" s="1066" t="str">
        <f t="shared" ref="G126:G139" si="15">IFERROR(C126/D126-1,"n/a")</f>
        <v>n/a</v>
      </c>
    </row>
    <row r="127" spans="2:7" ht="14.85" customHeight="1">
      <c r="B127" s="1571">
        <v>2007</v>
      </c>
      <c r="C127" s="2023">
        <v>10000</v>
      </c>
      <c r="D127" s="2024"/>
      <c r="E127" s="2024"/>
      <c r="F127" s="2013">
        <f t="shared" ref="F127:F139" si="16">IF(ISERROR(C127-D127)=TRUE,"NA",C127-D127)</f>
        <v>10000</v>
      </c>
      <c r="G127" s="1066" t="str">
        <f t="shared" si="15"/>
        <v>n/a</v>
      </c>
    </row>
    <row r="128" spans="2:7" ht="14.85" customHeight="1">
      <c r="B128" s="1571">
        <v>2008</v>
      </c>
      <c r="C128" s="2023">
        <v>10000</v>
      </c>
      <c r="D128" s="2024"/>
      <c r="E128" s="2024"/>
      <c r="F128" s="2013">
        <f t="shared" si="16"/>
        <v>10000</v>
      </c>
      <c r="G128" s="1066" t="str">
        <f t="shared" si="15"/>
        <v>n/a</v>
      </c>
    </row>
    <row r="129" spans="2:7" ht="14.85" customHeight="1">
      <c r="B129" s="1571">
        <v>2009</v>
      </c>
      <c r="C129" s="2023">
        <v>10000</v>
      </c>
      <c r="D129" s="2024"/>
      <c r="E129" s="2024"/>
      <c r="F129" s="2013">
        <f t="shared" si="16"/>
        <v>10000</v>
      </c>
      <c r="G129" s="1066" t="str">
        <f t="shared" si="15"/>
        <v>n/a</v>
      </c>
    </row>
    <row r="130" spans="2:7" ht="14.85" customHeight="1">
      <c r="B130" s="1571">
        <v>2010</v>
      </c>
      <c r="C130" s="2023">
        <v>10000</v>
      </c>
      <c r="D130" s="2024"/>
      <c r="E130" s="2024"/>
      <c r="F130" s="2013">
        <f t="shared" si="16"/>
        <v>10000</v>
      </c>
      <c r="G130" s="1066" t="str">
        <f t="shared" si="15"/>
        <v>n/a</v>
      </c>
    </row>
    <row r="131" spans="2:7" ht="14.85" customHeight="1">
      <c r="B131" s="1571">
        <v>2011</v>
      </c>
      <c r="C131" s="2023">
        <v>10000</v>
      </c>
      <c r="D131" s="2024"/>
      <c r="E131" s="2024"/>
      <c r="F131" s="2013">
        <f t="shared" si="16"/>
        <v>10000</v>
      </c>
      <c r="G131" s="1066" t="str">
        <f t="shared" si="15"/>
        <v>n/a</v>
      </c>
    </row>
    <row r="132" spans="2:7" ht="14.85" customHeight="1">
      <c r="B132" s="1571">
        <v>2012</v>
      </c>
      <c r="C132" s="2023">
        <v>10000</v>
      </c>
      <c r="D132" s="2024"/>
      <c r="E132" s="2024"/>
      <c r="F132" s="2013">
        <f t="shared" si="16"/>
        <v>10000</v>
      </c>
      <c r="G132" s="1066" t="str">
        <f t="shared" si="15"/>
        <v>n/a</v>
      </c>
    </row>
    <row r="133" spans="2:7" ht="14.85" customHeight="1">
      <c r="B133" s="1571">
        <v>2013</v>
      </c>
      <c r="C133" s="2023">
        <v>10000</v>
      </c>
      <c r="D133" s="2024"/>
      <c r="E133" s="2024"/>
      <c r="F133" s="2013">
        <f t="shared" si="16"/>
        <v>10000</v>
      </c>
      <c r="G133" s="1066" t="str">
        <f t="shared" si="15"/>
        <v>n/a</v>
      </c>
    </row>
    <row r="134" spans="2:7" ht="14.85" customHeight="1">
      <c r="B134" s="1571">
        <v>2014</v>
      </c>
      <c r="C134" s="2023">
        <v>10000</v>
      </c>
      <c r="D134" s="2024"/>
      <c r="E134" s="2024"/>
      <c r="F134" s="2013">
        <f t="shared" si="16"/>
        <v>10000</v>
      </c>
      <c r="G134" s="1066" t="str">
        <f t="shared" si="15"/>
        <v>n/a</v>
      </c>
    </row>
    <row r="135" spans="2:7" ht="14.85" customHeight="1">
      <c r="B135" s="1571">
        <v>2015</v>
      </c>
      <c r="C135" s="2023">
        <v>10000</v>
      </c>
      <c r="D135" s="2024"/>
      <c r="E135" s="2024"/>
      <c r="F135" s="2013">
        <f t="shared" si="16"/>
        <v>10000</v>
      </c>
      <c r="G135" s="1066" t="str">
        <f t="shared" si="15"/>
        <v>n/a</v>
      </c>
    </row>
    <row r="136" spans="2:7" ht="14.85" customHeight="1">
      <c r="B136" s="1571">
        <v>2016</v>
      </c>
      <c r="C136" s="2023">
        <v>10000</v>
      </c>
      <c r="D136" s="2024"/>
      <c r="E136" s="2024"/>
      <c r="F136" s="2013">
        <f t="shared" si="16"/>
        <v>10000</v>
      </c>
      <c r="G136" s="1066" t="str">
        <f t="shared" si="15"/>
        <v>n/a</v>
      </c>
    </row>
    <row r="137" spans="2:7" ht="14.85" customHeight="1">
      <c r="B137" s="1571">
        <v>2017</v>
      </c>
      <c r="C137" s="2023">
        <v>10000</v>
      </c>
      <c r="D137" s="2024"/>
      <c r="E137" s="2024"/>
      <c r="F137" s="2013">
        <f t="shared" si="16"/>
        <v>10000</v>
      </c>
      <c r="G137" s="1066" t="str">
        <f t="shared" si="15"/>
        <v>n/a</v>
      </c>
    </row>
    <row r="138" spans="2:7" ht="14.85" customHeight="1">
      <c r="B138" s="1571">
        <v>2018</v>
      </c>
      <c r="C138" s="2023">
        <v>10000</v>
      </c>
      <c r="D138" s="2024"/>
      <c r="E138" s="2024"/>
      <c r="F138" s="2013">
        <f t="shared" si="16"/>
        <v>10000</v>
      </c>
      <c r="G138" s="1066" t="str">
        <f t="shared" si="15"/>
        <v>n/a</v>
      </c>
    </row>
    <row r="139" spans="2:7" ht="14.85" customHeight="1">
      <c r="B139" s="1571">
        <v>2019</v>
      </c>
      <c r="C139" s="2023">
        <v>10000</v>
      </c>
      <c r="D139" s="2024"/>
      <c r="E139" s="2024"/>
      <c r="F139" s="2013">
        <f t="shared" si="16"/>
        <v>10000</v>
      </c>
      <c r="G139" s="1066" t="str">
        <f t="shared" si="15"/>
        <v>n/a</v>
      </c>
    </row>
    <row r="140" spans="2:7" ht="14.85" customHeight="1">
      <c r="B140" s="274"/>
      <c r="D140" s="1064"/>
      <c r="E140" s="1064"/>
      <c r="F140" s="2013"/>
    </row>
    <row r="141" spans="2:7" ht="14.85" customHeight="1">
      <c r="B141" s="382" t="s">
        <v>181</v>
      </c>
      <c r="D141" s="1064"/>
      <c r="E141" s="1064"/>
      <c r="F141" s="2013"/>
    </row>
    <row r="142" spans="2:7" ht="14.85" customHeight="1">
      <c r="B142" s="1571">
        <v>2006</v>
      </c>
      <c r="C142" s="2023">
        <v>10000</v>
      </c>
      <c r="D142" s="2024"/>
      <c r="E142" s="2024"/>
      <c r="F142" s="2013">
        <f t="shared" ref="F142:F155" si="17">IF(ISERROR(C142-D142)=TRUE,"NA",C142-D142)</f>
        <v>10000</v>
      </c>
      <c r="G142" s="1066" t="str">
        <f t="shared" ref="G142:G155" si="18">IFERROR(C142/D142-1,"n/a")</f>
        <v>n/a</v>
      </c>
    </row>
    <row r="143" spans="2:7" ht="14.85" customHeight="1">
      <c r="B143" s="1571">
        <v>2007</v>
      </c>
      <c r="C143" s="2023">
        <v>10000</v>
      </c>
      <c r="D143" s="2024"/>
      <c r="E143" s="2024"/>
      <c r="F143" s="2013">
        <f t="shared" si="17"/>
        <v>10000</v>
      </c>
      <c r="G143" s="1066" t="str">
        <f t="shared" si="18"/>
        <v>n/a</v>
      </c>
    </row>
    <row r="144" spans="2:7" ht="14.85" customHeight="1">
      <c r="B144" s="1571">
        <v>2008</v>
      </c>
      <c r="C144" s="2023">
        <v>10000</v>
      </c>
      <c r="D144" s="2024"/>
      <c r="E144" s="2024"/>
      <c r="F144" s="2013">
        <f t="shared" si="17"/>
        <v>10000</v>
      </c>
      <c r="G144" s="1066" t="str">
        <f t="shared" si="18"/>
        <v>n/a</v>
      </c>
    </row>
    <row r="145" spans="2:7" ht="14.85" customHeight="1">
      <c r="B145" s="1571">
        <v>2009</v>
      </c>
      <c r="C145" s="2023">
        <v>10000</v>
      </c>
      <c r="D145" s="2024"/>
      <c r="E145" s="2024"/>
      <c r="F145" s="2013">
        <f t="shared" si="17"/>
        <v>10000</v>
      </c>
      <c r="G145" s="1066" t="str">
        <f t="shared" si="18"/>
        <v>n/a</v>
      </c>
    </row>
    <row r="146" spans="2:7" ht="14.85" customHeight="1">
      <c r="B146" s="1571">
        <v>2010</v>
      </c>
      <c r="C146" s="2023">
        <v>10000</v>
      </c>
      <c r="D146" s="2024"/>
      <c r="E146" s="2024"/>
      <c r="F146" s="2013">
        <f t="shared" si="17"/>
        <v>10000</v>
      </c>
      <c r="G146" s="1066" t="str">
        <f t="shared" si="18"/>
        <v>n/a</v>
      </c>
    </row>
    <row r="147" spans="2:7" ht="14.85" customHeight="1">
      <c r="B147" s="1571">
        <v>2011</v>
      </c>
      <c r="C147" s="2023">
        <v>10000</v>
      </c>
      <c r="D147" s="2024"/>
      <c r="E147" s="2024"/>
      <c r="F147" s="2013">
        <f t="shared" si="17"/>
        <v>10000</v>
      </c>
      <c r="G147" s="1066" t="str">
        <f t="shared" si="18"/>
        <v>n/a</v>
      </c>
    </row>
    <row r="148" spans="2:7" ht="14.85" customHeight="1">
      <c r="B148" s="1571">
        <v>2012</v>
      </c>
      <c r="C148" s="2023">
        <v>10000</v>
      </c>
      <c r="D148" s="2024"/>
      <c r="E148" s="2024"/>
      <c r="F148" s="2013">
        <f t="shared" si="17"/>
        <v>10000</v>
      </c>
      <c r="G148" s="1066" t="str">
        <f t="shared" si="18"/>
        <v>n/a</v>
      </c>
    </row>
    <row r="149" spans="2:7" ht="14.85" customHeight="1">
      <c r="B149" s="1571">
        <v>2013</v>
      </c>
      <c r="C149" s="2023">
        <v>10000</v>
      </c>
      <c r="D149" s="2024"/>
      <c r="E149" s="2024"/>
      <c r="F149" s="2013">
        <f t="shared" si="17"/>
        <v>10000</v>
      </c>
      <c r="G149" s="1066" t="str">
        <f t="shared" si="18"/>
        <v>n/a</v>
      </c>
    </row>
    <row r="150" spans="2:7" ht="14.85" customHeight="1">
      <c r="B150" s="1571">
        <v>2014</v>
      </c>
      <c r="C150" s="2023">
        <v>10000</v>
      </c>
      <c r="D150" s="2024"/>
      <c r="E150" s="2024"/>
      <c r="F150" s="2013">
        <f t="shared" si="17"/>
        <v>10000</v>
      </c>
      <c r="G150" s="1066" t="str">
        <f t="shared" si="18"/>
        <v>n/a</v>
      </c>
    </row>
    <row r="151" spans="2:7" ht="14.85" customHeight="1">
      <c r="B151" s="1571">
        <v>2015</v>
      </c>
      <c r="C151" s="2023">
        <v>10000</v>
      </c>
      <c r="D151" s="2024"/>
      <c r="E151" s="2024"/>
      <c r="F151" s="2013">
        <f t="shared" si="17"/>
        <v>10000</v>
      </c>
      <c r="G151" s="1066" t="str">
        <f t="shared" si="18"/>
        <v>n/a</v>
      </c>
    </row>
    <row r="152" spans="2:7" ht="14.85" customHeight="1">
      <c r="B152" s="1571">
        <v>2016</v>
      </c>
      <c r="C152" s="2023">
        <v>10000</v>
      </c>
      <c r="D152" s="2024"/>
      <c r="E152" s="2024"/>
      <c r="F152" s="2013">
        <f t="shared" si="17"/>
        <v>10000</v>
      </c>
      <c r="G152" s="1066" t="str">
        <f t="shared" si="18"/>
        <v>n/a</v>
      </c>
    </row>
    <row r="153" spans="2:7" ht="14.85" customHeight="1">
      <c r="B153" s="1571">
        <v>2017</v>
      </c>
      <c r="C153" s="2023">
        <v>10000</v>
      </c>
      <c r="D153" s="2024"/>
      <c r="E153" s="2024"/>
      <c r="F153" s="2013">
        <f t="shared" si="17"/>
        <v>10000</v>
      </c>
      <c r="G153" s="1066" t="str">
        <f t="shared" si="18"/>
        <v>n/a</v>
      </c>
    </row>
    <row r="154" spans="2:7" ht="14.85" customHeight="1">
      <c r="B154" s="1571">
        <v>2018</v>
      </c>
      <c r="C154" s="2023">
        <v>10000</v>
      </c>
      <c r="D154" s="2024"/>
      <c r="E154" s="2024"/>
      <c r="F154" s="2013">
        <f t="shared" si="17"/>
        <v>10000</v>
      </c>
      <c r="G154" s="1066" t="str">
        <f t="shared" si="18"/>
        <v>n/a</v>
      </c>
    </row>
    <row r="155" spans="2:7" ht="14.85" customHeight="1">
      <c r="B155" s="1571">
        <v>2019</v>
      </c>
      <c r="C155" s="2023">
        <v>10000</v>
      </c>
      <c r="D155" s="2024"/>
      <c r="E155" s="2024"/>
      <c r="F155" s="2013">
        <f t="shared" si="17"/>
        <v>10000</v>
      </c>
      <c r="G155" s="1066" t="str">
        <f t="shared" si="18"/>
        <v>n/a</v>
      </c>
    </row>
    <row r="156" spans="2:7" ht="14.85" customHeight="1">
      <c r="B156" s="250"/>
      <c r="D156" s="1064"/>
      <c r="E156" s="1064"/>
      <c r="F156" s="2013"/>
    </row>
    <row r="157" spans="2:7" ht="14.85" customHeight="1">
      <c r="B157" s="2018" t="s">
        <v>91</v>
      </c>
      <c r="D157" s="1064"/>
      <c r="E157" s="1064"/>
      <c r="F157" s="2013"/>
    </row>
    <row r="158" spans="2:7" ht="14.85" customHeight="1">
      <c r="B158" s="250" t="s">
        <v>1755</v>
      </c>
      <c r="C158" s="2022" t="s">
        <v>524</v>
      </c>
      <c r="D158" s="1064"/>
      <c r="E158" s="1064"/>
      <c r="F158" s="2013"/>
    </row>
    <row r="159" spans="2:7" ht="14.85" customHeight="1">
      <c r="B159" s="250" t="s">
        <v>1756</v>
      </c>
      <c r="C159" s="2021">
        <v>42341</v>
      </c>
      <c r="D159" s="2008"/>
      <c r="E159" s="2008"/>
      <c r="F159" s="2013"/>
      <c r="G159" s="1345"/>
    </row>
    <row r="160" spans="2:7" ht="14.85" customHeight="1">
      <c r="B160" s="250" t="s">
        <v>1757</v>
      </c>
      <c r="C160" s="2029">
        <v>10</v>
      </c>
      <c r="D160" s="2030"/>
      <c r="E160" s="2030"/>
      <c r="F160" s="2013">
        <f>IF(ISERROR(C160-D160)=TRUE,"NA",C160-D160)</f>
        <v>10</v>
      </c>
      <c r="G160" s="1066" t="str">
        <f t="shared" ref="G160:G165" si="19">IFERROR(C160/D160-1,"n/a")</f>
        <v>n/a</v>
      </c>
    </row>
    <row r="161" spans="2:7" ht="14.85" customHeight="1">
      <c r="B161" s="250" t="s">
        <v>1758</v>
      </c>
      <c r="C161" s="2023">
        <v>10000</v>
      </c>
      <c r="D161" s="2024"/>
      <c r="E161" s="2024"/>
      <c r="F161" s="2013">
        <f>IF(ISERROR(D161-C161)=TRUE,"NA",D161-C161)</f>
        <v>-10000</v>
      </c>
      <c r="G161" s="1066" t="str">
        <f t="shared" si="19"/>
        <v>n/a</v>
      </c>
    </row>
    <row r="162" spans="2:7" ht="14.85" customHeight="1">
      <c r="B162" s="250" t="s">
        <v>1759</v>
      </c>
      <c r="C162" s="2023">
        <v>10000</v>
      </c>
      <c r="D162" s="2024"/>
      <c r="E162" s="2024"/>
      <c r="F162" s="2013">
        <f>IF(ISERROR(D162-C162)=TRUE,"NA",D162-C162)</f>
        <v>-10000</v>
      </c>
      <c r="G162" s="1066" t="str">
        <f t="shared" si="19"/>
        <v>n/a</v>
      </c>
    </row>
    <row r="163" spans="2:7" ht="14.85" customHeight="1">
      <c r="B163" s="250" t="s">
        <v>1760</v>
      </c>
      <c r="C163" s="2023">
        <v>10000</v>
      </c>
      <c r="D163" s="2024"/>
      <c r="E163" s="2024"/>
      <c r="F163" s="2013">
        <f>IF(ISERROR(D163-C163)=TRUE,"NA",D163-C163)</f>
        <v>-10000</v>
      </c>
      <c r="G163" s="1066" t="str">
        <f t="shared" si="19"/>
        <v>n/a</v>
      </c>
    </row>
    <row r="164" spans="2:7" ht="14.85" customHeight="1">
      <c r="B164" s="250" t="s">
        <v>1761</v>
      </c>
      <c r="C164" s="2023">
        <v>10000</v>
      </c>
      <c r="D164" s="2024"/>
      <c r="E164" s="2024"/>
      <c r="F164" s="2013">
        <f>IF(ISERROR(D164-C164)=TRUE,"NA",D164-C164)</f>
        <v>-10000</v>
      </c>
      <c r="G164" s="1066" t="str">
        <f t="shared" si="19"/>
        <v>n/a</v>
      </c>
    </row>
    <row r="165" spans="2:7" ht="14.85" customHeight="1">
      <c r="B165" s="250" t="s">
        <v>1762</v>
      </c>
      <c r="C165" s="2029">
        <v>10</v>
      </c>
      <c r="D165" s="2030"/>
      <c r="E165" s="2030"/>
      <c r="F165" s="2013">
        <f>IF(ISERROR(D165-C165)=TRUE,"NA",D165-C165)</f>
        <v>-10</v>
      </c>
      <c r="G165" s="1066" t="str">
        <f t="shared" si="19"/>
        <v>n/a</v>
      </c>
    </row>
    <row r="166" spans="2:7" ht="14.85" customHeight="1"/>
    <row r="167" spans="2:7" ht="14.85" customHeight="1"/>
    <row r="168" spans="2:7" ht="14.85" customHeight="1"/>
    <row r="169" spans="2:7" ht="14.85" customHeight="1"/>
    <row r="170" spans="2:7" ht="14.85" customHeight="1"/>
    <row r="171" spans="2:7" ht="14.85" customHeight="1"/>
    <row r="172" spans="2:7" ht="14.85" customHeight="1"/>
    <row r="173" spans="2:7" ht="14.85" customHeight="1"/>
    <row r="174" spans="2:7" ht="14.85" customHeight="1"/>
    <row r="175" spans="2:7" ht="14.85" customHeight="1"/>
    <row r="176" spans="2:7"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F5 F4:G4">
    <cfRule type="cellIs" dxfId="39" priority="3" stopIfTrue="1" operator="equal">
      <formula>"input"</formula>
    </cfRule>
  </conditionalFormatting>
  <pageMargins left="0.5" right="0.5" top="0.5" bottom="0.5" header="0.5" footer="0.5"/>
  <pageSetup scale="94" orientation="landscape" r:id="rId1"/>
  <rowBreaks count="4" manualBreakCount="4">
    <brk id="43" max="7" man="1"/>
    <brk id="74" max="7" man="1"/>
    <brk id="109" max="7" man="1"/>
    <brk id="140" max="7" man="1"/>
  </rowBreak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51"/>
  <dimension ref="B1:BQ764"/>
  <sheetViews>
    <sheetView showGridLines="0" view="pageBreakPreview" zoomScale="80" zoomScaleNormal="100" zoomScaleSheetLayoutView="80" workbookViewId="0"/>
  </sheetViews>
  <sheetFormatPr defaultRowHeight="12.75" outlineLevelCol="1"/>
  <cols>
    <col min="1" max="1" width="4.5" style="250" customWidth="1"/>
    <col min="2" max="2" width="45.5" style="250" customWidth="1"/>
    <col min="3" max="3" width="14.83203125" style="250" customWidth="1"/>
    <col min="4" max="4" width="2.83203125" style="250" customWidth="1"/>
    <col min="5" max="6" width="14.83203125" style="250" hidden="1" customWidth="1" outlineLevel="1"/>
    <col min="7" max="7" width="14.83203125" style="250" customWidth="1" collapsed="1"/>
    <col min="8" max="8" width="2.83203125" style="250" hidden="1" customWidth="1" outlineLevel="1"/>
    <col min="9" max="9" width="14.83203125" style="250" customWidth="1" collapsed="1"/>
    <col min="10" max="10" width="17.1640625" style="250" customWidth="1"/>
    <col min="11" max="11" width="2.83203125" style="250" customWidth="1"/>
    <col min="12" max="13" width="14.83203125" style="250" hidden="1" customWidth="1" outlineLevel="1"/>
    <col min="14" max="14" width="14.83203125" style="250" customWidth="1" collapsed="1"/>
    <col min="15" max="15" width="2.83203125" style="250" hidden="1" customWidth="1" outlineLevel="1"/>
    <col min="16" max="16" width="14.83203125" style="250" customWidth="1" collapsed="1"/>
    <col min="17" max="17" width="14.83203125" style="250" customWidth="1"/>
    <col min="18" max="18" width="4.5" style="250" customWidth="1"/>
    <col min="19" max="19" width="21.5" style="250" bestFit="1" customWidth="1"/>
    <col min="20" max="21" width="12.83203125" style="250" customWidth="1"/>
    <col min="22" max="22" width="5.83203125" style="250" customWidth="1"/>
    <col min="23" max="23" width="16.33203125" style="250" customWidth="1"/>
    <col min="24" max="26" width="12.83203125" style="250" customWidth="1"/>
    <col min="27" max="27" width="19.83203125" style="250" bestFit="1" customWidth="1"/>
    <col min="28" max="28" width="15.33203125" style="250" bestFit="1" customWidth="1"/>
    <col min="29" max="29" width="5.83203125" style="250" customWidth="1"/>
    <col min="30" max="30" width="17.83203125" style="250" bestFit="1" customWidth="1"/>
    <col min="31" max="31" width="10.6640625" style="250" bestFit="1" customWidth="1"/>
    <col min="32" max="32" width="9.33203125" style="250"/>
    <col min="33" max="39" width="14.83203125" style="250" customWidth="1"/>
    <col min="40" max="40" width="19.1640625" style="250" customWidth="1"/>
    <col min="41" max="41" width="9.33203125" style="250"/>
    <col min="42" max="42" width="14.5" style="250" customWidth="1"/>
    <col min="43" max="43" width="19.5" style="250" customWidth="1"/>
    <col min="44" max="16384" width="9.33203125" style="250"/>
  </cols>
  <sheetData>
    <row r="1" spans="2:69" ht="10.7" customHeight="1" thickBot="1"/>
    <row r="2" spans="2:69" ht="16.5" customHeight="1" thickTop="1">
      <c r="B2" s="258" t="str">
        <f>'MASTER PubCo Inputs'!$C$5</f>
        <v>ABC, Inc.</v>
      </c>
      <c r="C2" s="258"/>
      <c r="D2" s="258"/>
      <c r="E2" s="258"/>
      <c r="F2" s="258"/>
      <c r="G2" s="258"/>
      <c r="H2" s="258"/>
      <c r="I2" s="258"/>
      <c r="J2" s="258"/>
      <c r="K2" s="258"/>
      <c r="L2" s="258"/>
      <c r="M2" s="258"/>
      <c r="N2" s="258"/>
      <c r="O2" s="258"/>
      <c r="P2" s="258"/>
      <c r="Q2" s="258"/>
      <c r="AO2" s="1151" t="s">
        <v>87</v>
      </c>
      <c r="AP2" s="1152">
        <f>'MASTER PubCo Inputs'!$C$6</f>
        <v>42735</v>
      </c>
    </row>
    <row r="3" spans="2:69" ht="15.75" customHeight="1">
      <c r="B3" s="259" t="str">
        <f>VLOOKUP(B4,Outline!$E$8:$G$79,COLUMNS(Outline!$E$8:$G$8),FALSE)</f>
        <v>Workpaper #10</v>
      </c>
      <c r="C3" s="259"/>
      <c r="D3" s="259"/>
      <c r="E3" s="259"/>
      <c r="F3" s="259"/>
      <c r="G3" s="259"/>
      <c r="H3" s="259"/>
      <c r="I3" s="259"/>
      <c r="J3" s="259"/>
      <c r="K3" s="259"/>
      <c r="L3" s="259"/>
      <c r="M3" s="259"/>
      <c r="N3" s="259"/>
      <c r="O3" s="259"/>
      <c r="P3" s="259"/>
      <c r="Q3" s="259"/>
      <c r="AO3" s="1153" t="s">
        <v>489</v>
      </c>
      <c r="AP3" s="1269" t="s">
        <v>491</v>
      </c>
    </row>
    <row r="4" spans="2:69" ht="16.5" customHeight="1" thickBot="1">
      <c r="B4" s="924" t="s">
        <v>822</v>
      </c>
      <c r="C4" s="924"/>
      <c r="D4" s="2068"/>
      <c r="E4" s="924"/>
      <c r="F4" s="924"/>
      <c r="G4" s="924"/>
      <c r="H4" s="924"/>
      <c r="I4" s="924"/>
      <c r="J4" s="925"/>
      <c r="K4" s="925"/>
      <c r="L4" s="925"/>
      <c r="M4" s="925"/>
      <c r="N4" s="925"/>
      <c r="O4" s="925"/>
      <c r="P4" s="925"/>
      <c r="Q4" s="925" t="str">
        <f>+'MASTER PubCo Inputs'!$C$24</f>
        <v>(in millions of USD)</v>
      </c>
      <c r="AO4" s="1153" t="s">
        <v>490</v>
      </c>
      <c r="AP4" s="1269" t="s">
        <v>492</v>
      </c>
    </row>
    <row r="5" spans="2:69" ht="14.85" customHeight="1" thickTop="1">
      <c r="B5" s="1229"/>
      <c r="C5" s="1229"/>
      <c r="AO5" s="518" t="s">
        <v>89</v>
      </c>
      <c r="AP5" s="1272" t="s">
        <v>90</v>
      </c>
    </row>
    <row r="6" spans="2:69" ht="14.85" customHeight="1">
      <c r="S6" s="467"/>
      <c r="T6" s="467"/>
      <c r="U6" s="467"/>
      <c r="V6" s="467"/>
      <c r="W6" s="467"/>
      <c r="X6" s="467"/>
      <c r="Y6" s="467"/>
      <c r="Z6" s="467"/>
      <c r="AA6" s="467"/>
      <c r="AB6" s="467"/>
      <c r="AC6" s="467"/>
      <c r="AD6" s="467"/>
      <c r="AE6" s="467"/>
      <c r="AF6" s="467"/>
      <c r="AG6" s="467"/>
      <c r="AH6" s="467"/>
      <c r="AI6" s="467"/>
      <c r="AJ6" s="467"/>
      <c r="AK6" s="467"/>
      <c r="AL6" s="467"/>
      <c r="AM6" s="467"/>
      <c r="AN6" s="467"/>
      <c r="AO6" s="467"/>
      <c r="AP6" s="467"/>
      <c r="AQ6" s="467"/>
      <c r="AR6" s="467"/>
      <c r="AS6" s="467"/>
      <c r="AT6" s="467"/>
      <c r="AU6" s="467"/>
      <c r="AV6" s="467"/>
      <c r="AW6" s="467"/>
      <c r="AX6" s="467"/>
      <c r="AY6" s="467"/>
      <c r="AZ6" s="467"/>
      <c r="BA6" s="467"/>
      <c r="BB6" s="467"/>
      <c r="BC6" s="467"/>
      <c r="BD6" s="467"/>
      <c r="BE6" s="467"/>
      <c r="BF6" s="467"/>
      <c r="BG6" s="467"/>
      <c r="BH6" s="467"/>
      <c r="BI6" s="467"/>
      <c r="BJ6" s="467"/>
      <c r="BK6" s="467"/>
      <c r="BL6" s="467"/>
      <c r="BM6" s="467"/>
      <c r="BN6" s="467"/>
      <c r="BO6" s="467"/>
      <c r="BP6" s="467"/>
      <c r="BQ6" s="467"/>
    </row>
    <row r="7" spans="2:69" ht="14.85" customHeight="1">
      <c r="E7" s="467"/>
      <c r="F7" s="467"/>
      <c r="G7" s="467"/>
      <c r="H7" s="467"/>
      <c r="I7" s="1273" t="s">
        <v>344</v>
      </c>
      <c r="J7" s="1276"/>
      <c r="K7" s="467"/>
      <c r="L7" s="467"/>
      <c r="M7" s="467"/>
      <c r="N7" s="467"/>
      <c r="O7" s="467"/>
      <c r="P7" s="1273" t="s">
        <v>344</v>
      </c>
      <c r="Q7" s="1276"/>
    </row>
    <row r="8" spans="2:69" ht="14.85" customHeight="1">
      <c r="E8" s="1283" t="s">
        <v>795</v>
      </c>
      <c r="F8" s="1051"/>
      <c r="G8" s="1284" t="s">
        <v>794</v>
      </c>
      <c r="H8" s="1055"/>
      <c r="I8" s="1283" t="s">
        <v>794</v>
      </c>
      <c r="J8" s="1051"/>
      <c r="K8" s="467"/>
      <c r="L8" s="1283" t="s">
        <v>345</v>
      </c>
      <c r="M8" s="1051"/>
      <c r="N8" s="1284" t="s">
        <v>794</v>
      </c>
      <c r="O8" s="1055"/>
      <c r="P8" s="1283" t="s">
        <v>345</v>
      </c>
      <c r="Q8" s="1051"/>
      <c r="AG8" s="1239" t="s">
        <v>91</v>
      </c>
      <c r="AH8" s="1240"/>
      <c r="AI8" s="1240"/>
      <c r="AJ8" s="1240"/>
      <c r="AK8" s="1240"/>
      <c r="AL8" s="1240"/>
      <c r="AM8" s="1240"/>
      <c r="AN8" s="1241"/>
    </row>
    <row r="9" spans="2:69" s="272" customFormat="1" ht="14.85" customHeight="1">
      <c r="B9" s="1286" t="s">
        <v>815</v>
      </c>
      <c r="C9" s="1166" t="s">
        <v>155</v>
      </c>
      <c r="D9" s="347"/>
      <c r="E9" s="1289" t="s">
        <v>366</v>
      </c>
      <c r="F9" s="1317" t="s">
        <v>342</v>
      </c>
      <c r="G9" s="1291" t="s">
        <v>343</v>
      </c>
      <c r="H9" s="1292"/>
      <c r="I9" s="1295">
        <f>J9-1</f>
        <v>2014</v>
      </c>
      <c r="J9" s="2031">
        <f>YEAR($AP$2)-1</f>
        <v>2015</v>
      </c>
      <c r="K9" s="1343"/>
      <c r="L9" s="1289" t="str">
        <f>E9</f>
        <v>LTM-2</v>
      </c>
      <c r="M9" s="1317" t="str">
        <f>F9</f>
        <v>LTM-1</v>
      </c>
      <c r="N9" s="1251" t="str">
        <f>G9</f>
        <v>LTM</v>
      </c>
      <c r="O9" s="1292"/>
      <c r="P9" s="1295">
        <f>I9</f>
        <v>2014</v>
      </c>
      <c r="Q9" s="1297">
        <f>J9</f>
        <v>2015</v>
      </c>
      <c r="AG9" s="1298" t="s">
        <v>94</v>
      </c>
      <c r="AH9" s="1299" t="s">
        <v>95</v>
      </c>
      <c r="AI9" s="1299" t="s">
        <v>96</v>
      </c>
      <c r="AJ9" s="1299" t="s">
        <v>97</v>
      </c>
      <c r="AK9" s="1299" t="s">
        <v>98</v>
      </c>
      <c r="AL9" s="1299" t="s">
        <v>99</v>
      </c>
      <c r="AM9" s="1299" t="s">
        <v>100</v>
      </c>
      <c r="AN9" s="1301" t="s">
        <v>101</v>
      </c>
      <c r="AP9" s="1170" t="s">
        <v>108</v>
      </c>
    </row>
    <row r="10" spans="2:69" ht="14.85" customHeight="1"/>
    <row r="11" spans="2:69" ht="14.85" customHeight="1">
      <c r="C11" s="1259"/>
      <c r="D11" s="516"/>
      <c r="E11" s="2032" t="s">
        <v>583</v>
      </c>
      <c r="F11" s="2033"/>
      <c r="G11" s="2032" t="s">
        <v>583</v>
      </c>
      <c r="H11" s="2033"/>
      <c r="I11" s="2034"/>
      <c r="J11" s="2035"/>
      <c r="K11" s="512"/>
      <c r="L11" s="2032" t="s">
        <v>654</v>
      </c>
      <c r="M11" s="2033"/>
      <c r="N11" s="2032" t="s">
        <v>654</v>
      </c>
      <c r="O11" s="2033"/>
      <c r="P11" s="2034"/>
      <c r="Q11" s="2035"/>
      <c r="S11" s="1244" t="s">
        <v>655</v>
      </c>
      <c r="T11" s="1244"/>
      <c r="U11" s="1244"/>
      <c r="V11" s="1244"/>
      <c r="W11" s="1244"/>
      <c r="X11" s="1244"/>
      <c r="Z11" s="1244" t="s">
        <v>656</v>
      </c>
      <c r="AA11" s="1244"/>
      <c r="AB11" s="1244"/>
      <c r="AC11" s="1244"/>
      <c r="AD11" s="1244"/>
      <c r="AE11" s="1244"/>
      <c r="AP11" s="1179"/>
    </row>
    <row r="12" spans="2:69" s="1180" customFormat="1" ht="14.85" customHeight="1">
      <c r="B12" s="723"/>
      <c r="C12" s="1319"/>
      <c r="D12" s="723"/>
      <c r="E12" s="1319"/>
      <c r="F12" s="1319"/>
      <c r="G12" s="1319"/>
      <c r="H12" s="1319"/>
      <c r="I12" s="1319"/>
      <c r="J12" s="1319"/>
      <c r="L12" s="1319"/>
      <c r="M12" s="1319"/>
      <c r="N12" s="1319"/>
      <c r="O12" s="723"/>
      <c r="P12" s="723"/>
      <c r="Q12" s="723"/>
      <c r="S12" s="275" t="str">
        <f>+E9</f>
        <v>LTM-2</v>
      </c>
      <c r="T12" s="275" t="str">
        <f>+F9</f>
        <v>LTM-1</v>
      </c>
      <c r="U12" s="275" t="str">
        <f>+G9</f>
        <v>LTM</v>
      </c>
      <c r="V12" s="2036"/>
      <c r="W12" s="275">
        <f>+I9</f>
        <v>2014</v>
      </c>
      <c r="X12" s="275">
        <f>+J9</f>
        <v>2015</v>
      </c>
      <c r="Z12" s="275" t="str">
        <f>+L9</f>
        <v>LTM-2</v>
      </c>
      <c r="AA12" s="275" t="str">
        <f>+M9</f>
        <v>LTM-1</v>
      </c>
      <c r="AB12" s="275" t="str">
        <f>+N9</f>
        <v>LTM</v>
      </c>
      <c r="AC12" s="2036"/>
      <c r="AD12" s="275">
        <f>+P9</f>
        <v>2014</v>
      </c>
      <c r="AE12" s="275">
        <f>+Q9</f>
        <v>2015</v>
      </c>
      <c r="AG12" s="250"/>
      <c r="AH12" s="250"/>
      <c r="AI12" s="250"/>
      <c r="AJ12" s="250"/>
      <c r="AK12" s="250"/>
      <c r="AL12" s="250"/>
      <c r="AM12" s="250"/>
      <c r="AN12" s="250"/>
    </row>
    <row r="13" spans="2:69" ht="14.85" customHeight="1">
      <c r="B13" s="250" t="str">
        <f>'Comp.1'!B12</f>
        <v>Spark Therapeutics, Inc.</v>
      </c>
      <c r="C13" s="759">
        <f>AG13</f>
        <v>1692.82537</v>
      </c>
      <c r="E13" s="1174" t="str">
        <f>IF(IF(ISERROR($AG13/S13),"n/a",$AG$13/S13)&lt;0,"n/a",IF(ISERROR($AG$13/S13),"n/a",$AG$13/S13))</f>
        <v>n/a</v>
      </c>
      <c r="F13" s="1174" t="str">
        <f>IF(IF(ISERROR($AG13/T13),"n/a",$AG$13/T13)&lt;0,"n/a",IF(ISERROR($AG$13/T13),"n/a",$AG$13/T13))</f>
        <v>n/a</v>
      </c>
      <c r="G13" s="1174" t="str">
        <f>IF(IF(ISERROR($AG13/U13),"n/a",$AG$13/U13)&lt;0,"n/a",IF(ISERROR($AG$13/U13),"n/a",$AG$13/U13))</f>
        <v>n/a</v>
      </c>
      <c r="H13" s="331"/>
      <c r="I13" s="1174" t="str">
        <f>IF(IF(ISERROR($AG13/W13),"n/a",$AG$13/W13)&lt;0,"n/a",IF(ISERROR($AG$13/W13),"n/a",$AG$13/W13))</f>
        <v>n/a</v>
      </c>
      <c r="J13" s="1174" t="str">
        <f>IF(IF(ISERROR($AG13/X13),"n/a",$AG$13/X13)&lt;0,"n/a",IF(ISERROR($AG$13/X13),"n/a",$AG$13/X13))</f>
        <v>n/a</v>
      </c>
      <c r="L13" s="1174">
        <f>IF(IF(ISERROR($AG13/Z13),"n/a",$AG$13/Z13)&lt;0,"n/a",IF(ISERROR($AG$13/Z13),"n/a",$AG$13/Z13))</f>
        <v>26.988251167445974</v>
      </c>
      <c r="M13" s="1174">
        <f>IF(IF(ISERROR($AG13/AA13),"n/a",$AG$13/AA13)&lt;0,"n/a",IF(ISERROR($AG$13/AA13),"n/a",$AG$13/AA13))</f>
        <v>8.8306191810297268</v>
      </c>
      <c r="N13" s="1174">
        <f>IF(IF(ISERROR($AG13/AB13),"n/a",$AG$13/AB13)&lt;0,"n/a",IF(ISERROR($AG$13/AB13),"n/a",$AG$13/AB13))</f>
        <v>4.7085567752677191</v>
      </c>
      <c r="P13" s="1174">
        <f>IF(IF(ISERROR($AG13/AD13),"n/a",$AG$13/AD13)&lt;0,"n/a",IF(ISERROR($AG$13/AD13),"n/a",$AG$13/AD13))</f>
        <v>30.663948771975079</v>
      </c>
      <c r="Q13" s="1174">
        <f>IF(IF(ISERROR($AG13/AE13),"n/a",$AG$13/AE13)&lt;0,"n/a",IF(ISERROR($AG$13/AE13),"n/a",$AG$13/AE13))</f>
        <v>5.8265236743721474</v>
      </c>
      <c r="S13" s="2037">
        <f>'Capital IQ Sheet-GPC'!AU13</f>
        <v>-80.413039999999995</v>
      </c>
      <c r="T13" s="2037">
        <f>'Capital IQ Sheet-GPC'!AV13</f>
        <v>-49.986550000000001</v>
      </c>
      <c r="U13" s="2037">
        <f>'Capital IQ Sheet-GPC'!AW13</f>
        <v>-92.970100000000002</v>
      </c>
      <c r="V13" s="2037"/>
      <c r="W13" s="2037">
        <f>'Capital IQ Sheet-GPC'!AX13</f>
        <v>-24.324809999999999</v>
      </c>
      <c r="X13" s="2037">
        <f>'Capital IQ Sheet-GPC'!AY13</f>
        <v>-47.125779999999999</v>
      </c>
      <c r="Z13" s="2037">
        <f>'Capital IQ Sheet-GPC'!AZ13</f>
        <v>62.724530000000001</v>
      </c>
      <c r="AA13" s="2037">
        <f>'Capital IQ Sheet-GPC'!BA13</f>
        <v>191.69951</v>
      </c>
      <c r="AB13" s="2037">
        <f>'Capital IQ Sheet-GPC'!BB13</f>
        <v>359.52107000000001</v>
      </c>
      <c r="AD13" s="2037">
        <f>'Capital IQ Sheet-GPC'!BC13</f>
        <v>55.205719999999999</v>
      </c>
      <c r="AE13" s="2037">
        <f>'Capital IQ Sheet-GPC'!BD13</f>
        <v>290.5378</v>
      </c>
      <c r="AG13" s="331">
        <f>'Beta Calc'!K10</f>
        <v>1692.82537</v>
      </c>
      <c r="AH13" s="331">
        <f>'Beta Calc'!L10</f>
        <v>1.57541</v>
      </c>
      <c r="AI13" s="331">
        <f>'Beta Calc'!M10</f>
        <v>0</v>
      </c>
      <c r="AJ13" s="331">
        <f>'Beta Calc'!N10</f>
        <v>0</v>
      </c>
      <c r="AK13" s="331">
        <f>SUM(AH13:AJ13)</f>
        <v>1.57541</v>
      </c>
      <c r="AL13" s="331">
        <f>SUM(AG13:AJ13)</f>
        <v>1694.4007799999999</v>
      </c>
      <c r="AM13" s="331">
        <f>'Beta Calc'!Q10</f>
        <v>306.64877999999999</v>
      </c>
      <c r="AN13" s="759">
        <f>IF(ISERROR(AL13-AM13), "n/a", AL13-AM13)</f>
        <v>1387.752</v>
      </c>
      <c r="AP13" s="1177" t="str">
        <f>IF('MASTER PubCo Inputs'!C28="","",'MASTER PubCo Inputs'!C28)</f>
        <v>IQ249341857</v>
      </c>
      <c r="AQ13" s="2000" t="str">
        <f>'Comp.1'!AL12</f>
        <v>Spark Therapeutics, Inc. focuses on the development of gene therapy products for patients suffering from debilitating genetic diseases. Its products include voretigene neparvovec, which is in Phase III clinical trial for the treatment of genetic blinding conditions called inherited retinal diseases caused by non sex-linked, autosomal recessive, or biallelic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a form of Batten disease and Huntington's disease; RhoNova for the treatment of rhodopsin-linked autosomal dominant retinitis pigmentosa; and SPK-LHON for treating Leber hereditary optic neuropathy, as well as preclinical programs in development for the treatment of rare genetic blinding conditions, hematologic disorders,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4" spans="2:69" ht="14.85" customHeight="1">
      <c r="B14" s="250" t="str">
        <f>'Comp.1'!B13</f>
        <v>CRISPR Therapeutics AG</v>
      </c>
      <c r="C14" s="759">
        <f t="shared" ref="C14:C42" si="0">AG14</f>
        <v>868.62804000000006</v>
      </c>
      <c r="E14" s="1174" t="str">
        <f t="shared" ref="E14:E42" si="1">IF(IF(ISERROR($AG14/S14),"n/a",$AG$13/S14)&lt;0,"n/a",IF(ISERROR($AG$13/S14),"n/a",$AG$13/S14))</f>
        <v>n/a</v>
      </c>
      <c r="F14" s="1174" t="str">
        <f t="shared" ref="F14:F42" si="2">IF(IF(ISERROR($AG14/T14),"n/a",$AG$13/T14)&lt;0,"n/a",IF(ISERROR($AG$13/T14),"n/a",$AG$13/T14))</f>
        <v>n/a</v>
      </c>
      <c r="G14" s="1174" t="str">
        <f t="shared" ref="G14:G42" si="3">IF(IF(ISERROR($AG14/U14),"n/a",$AG$13/U14)&lt;0,"n/a",IF(ISERROR($AG$13/U14),"n/a",$AG$13/U14))</f>
        <v>n/a</v>
      </c>
      <c r="H14" s="331"/>
      <c r="I14" s="1174" t="str">
        <f t="shared" ref="I14:I42" si="4">IF(IF(ISERROR($AG14/W14),"n/a",$AG$13/W14)&lt;0,"n/a",IF(ISERROR($AG$13/W14),"n/a",$AG$13/W14))</f>
        <v>n/a</v>
      </c>
      <c r="J14" s="1174" t="str">
        <f t="shared" ref="J14:J42" si="5">IF(IF(ISERROR($AG14/X14),"n/a",$AG$13/X14)&lt;0,"n/a",IF(ISERROR($AG$13/X14),"n/a",$AG$13/X14))</f>
        <v>n/a</v>
      </c>
      <c r="L14" s="1174" t="str">
        <f t="shared" ref="L14:L42" si="6">IF(IF(ISERROR($AG14/Z14),"n/a",$AG$13/Z14)&lt;0,"n/a",IF(ISERROR($AG$13/Z14),"n/a",$AG$13/Z14))</f>
        <v>n/a</v>
      </c>
      <c r="M14" s="1174" t="str">
        <f t="shared" ref="M14:M42" si="7">IF(IF(ISERROR($AG14/AA14),"n/a",$AG$13/AA14)&lt;0,"n/a",IF(ISERROR($AG$13/AA14),"n/a",$AG$13/AA14))</f>
        <v>n/a</v>
      </c>
      <c r="N14" s="1174">
        <f t="shared" ref="N14:N42" si="8">IF(IF(ISERROR($AG14/AB14),"n/a",$AG$13/AB14)&lt;0,"n/a",IF(ISERROR($AG$13/AB14),"n/a",$AG$13/AB14))</f>
        <v>13.759116415920932</v>
      </c>
      <c r="P14" s="1174" t="str">
        <f t="shared" ref="P14:P42" si="9">IF(IF(ISERROR($AG14/AD14),"n/a",$AG$13/AD14)&lt;0,"n/a",IF(ISERROR($AG$13/AD14),"n/a",$AG$13/AD14))</f>
        <v>n/a</v>
      </c>
      <c r="Q14" s="1174">
        <f t="shared" ref="Q14:Q42" si="10">IF(IF(ISERROR($AG14/AE14),"n/a",$AG$13/AE14)&lt;0,"n/a",IF(ISERROR($AG$13/AE14),"n/a",$AG$13/AE14))</f>
        <v>47.82397858575586</v>
      </c>
      <c r="S14" s="2037">
        <f>'Capital IQ Sheet-GPC'!AU14</f>
        <v>0</v>
      </c>
      <c r="T14" s="2037">
        <f>'Capital IQ Sheet-GPC'!AV14</f>
        <v>-6.8</v>
      </c>
      <c r="U14" s="2037">
        <f>'Capital IQ Sheet-GPC'!AW14</f>
        <v>-52.585999999999999</v>
      </c>
      <c r="V14" s="2037"/>
      <c r="W14" s="2037">
        <f>'Capital IQ Sheet-GPC'!AX14</f>
        <v>-6.8</v>
      </c>
      <c r="X14" s="2037">
        <f>'Capital IQ Sheet-GPC'!AY14</f>
        <v>-25.827999999999999</v>
      </c>
      <c r="Z14" s="2037">
        <f>'Capital IQ Sheet-GPC'!AZ14</f>
        <v>0</v>
      </c>
      <c r="AA14" s="2037">
        <f>'Capital IQ Sheet-GPC'!BA14</f>
        <v>-0.70399999999999996</v>
      </c>
      <c r="AB14" s="2037">
        <f>'Capital IQ Sheet-GPC'!BB14</f>
        <v>123.033</v>
      </c>
      <c r="AD14" s="2037">
        <f>'Capital IQ Sheet-GPC'!BC14</f>
        <v>-0.70399999999999996</v>
      </c>
      <c r="AE14" s="2037">
        <f>'Capital IQ Sheet-GPC'!BD14</f>
        <v>35.396999999999998</v>
      </c>
      <c r="AG14" s="331">
        <f>'Beta Calc'!K11</f>
        <v>868.62804000000006</v>
      </c>
      <c r="AH14" s="331">
        <f>'Beta Calc'!L11</f>
        <v>0</v>
      </c>
      <c r="AI14" s="331">
        <f>'Beta Calc'!M11</f>
        <v>185.565</v>
      </c>
      <c r="AJ14" s="331">
        <f>'Beta Calc'!N11</f>
        <v>-5.0999999999999997E-2</v>
      </c>
      <c r="AK14" s="331">
        <f t="shared" ref="AK14:AK42" si="11">SUM(AH14:AJ14)</f>
        <v>185.51400000000001</v>
      </c>
      <c r="AL14" s="331">
        <f t="shared" ref="AL14:AL42" si="12">SUM(AG14:AJ14)</f>
        <v>1054.1420400000002</v>
      </c>
      <c r="AM14" s="331">
        <f>'Beta Calc'!Q11</f>
        <v>228.613</v>
      </c>
      <c r="AN14" s="759">
        <f t="shared" ref="AN14:AN42" si="13">IF(ISERROR(AL14-AM14), "n/a", AL14-AM14)</f>
        <v>825.52904000000012</v>
      </c>
      <c r="AP14" s="1177" t="str">
        <f>IF('MASTER PubCo Inputs'!C29="","",'MASTER PubCo Inputs'!C29)</f>
        <v>IQ262549448</v>
      </c>
      <c r="AQ14" s="2000" t="str">
        <f>'Comp.1'!AL13</f>
        <v>CRISPR Therapeutics AG, a gene editing company, focuses on developing transformative gene-based medicines for the treatment of serious human diseases using its proprietary clustered, regularly interspaced short palindromic repeats associated protein-9 (CRISPR/Cas9 )gene-editing platform in Switzerland. The CRISPR/Cas9 technology allows for changes to genomic DNA. It has a collaboration agreement with Vertex Pharmaceuticals, Incorporated to develop, manufacture, commercialize, sell, and use therapeutics; and license agreement with Anagenesis Biotechnologies SAS. CRISPR Therapeutics AG is headquartered in Basel, Switzerland.</v>
      </c>
    </row>
    <row r="15" spans="2:69" ht="14.85" customHeight="1">
      <c r="B15" s="250" t="str">
        <f>'Comp.1'!B14</f>
        <v>WAVE Life Sciences Ltd.</v>
      </c>
      <c r="C15" s="759">
        <f t="shared" si="0"/>
        <v>835.72670000000005</v>
      </c>
      <c r="E15" s="1174" t="str">
        <f t="shared" si="1"/>
        <v>n/a</v>
      </c>
      <c r="F15" s="1174" t="str">
        <f t="shared" si="2"/>
        <v>n/a</v>
      </c>
      <c r="G15" s="1174" t="str">
        <f t="shared" si="3"/>
        <v>n/a</v>
      </c>
      <c r="H15" s="331"/>
      <c r="I15" s="1174" t="str">
        <f t="shared" si="4"/>
        <v>n/a</v>
      </c>
      <c r="J15" s="1174" t="str">
        <f t="shared" si="5"/>
        <v>n/a</v>
      </c>
      <c r="L15" s="1174" t="str">
        <f t="shared" si="6"/>
        <v>n/a</v>
      </c>
      <c r="M15" s="1174">
        <f t="shared" si="7"/>
        <v>25.117221389676097</v>
      </c>
      <c r="N15" s="1174">
        <f t="shared" si="8"/>
        <v>10.646164784161803</v>
      </c>
      <c r="P15" s="1174">
        <f t="shared" si="9"/>
        <v>835.13831771090281</v>
      </c>
      <c r="Q15" s="1174">
        <f t="shared" si="10"/>
        <v>10.490660118365197</v>
      </c>
      <c r="S15" s="2037">
        <f>'Capital IQ Sheet-GPC'!AU15</f>
        <v>-7.9631999999999996</v>
      </c>
      <c r="T15" s="2037">
        <f>'Capital IQ Sheet-GPC'!AV15</f>
        <v>-13.85</v>
      </c>
      <c r="U15" s="2037">
        <f>'Capital IQ Sheet-GPC'!AW15</f>
        <v>-44.045999999999999</v>
      </c>
      <c r="V15" s="2037"/>
      <c r="W15" s="2037">
        <f>'Capital IQ Sheet-GPC'!AX15</f>
        <v>-5.2290000000000001</v>
      </c>
      <c r="X15" s="2037">
        <f>'Capital IQ Sheet-GPC'!AY15</f>
        <v>-19.2</v>
      </c>
      <c r="Z15" s="2037">
        <f>'Capital IQ Sheet-GPC'!AZ15</f>
        <v>-7.7619999999999996</v>
      </c>
      <c r="AA15" s="2037">
        <f>'Capital IQ Sheet-GPC'!BA15</f>
        <v>67.397000000000006</v>
      </c>
      <c r="AB15" s="2037">
        <f>'Capital IQ Sheet-GPC'!BB15</f>
        <v>159.00800000000001</v>
      </c>
      <c r="AD15" s="2037">
        <f>'Capital IQ Sheet-GPC'!BC15</f>
        <v>2.0270000000000001</v>
      </c>
      <c r="AE15" s="2037">
        <f>'Capital IQ Sheet-GPC'!BD15</f>
        <v>161.36500000000001</v>
      </c>
      <c r="AG15" s="331">
        <f>'Beta Calc'!K12</f>
        <v>835.72670000000005</v>
      </c>
      <c r="AH15" s="331">
        <f>'Beta Calc'!L12</f>
        <v>9.2999999999999999E-2</v>
      </c>
      <c r="AI15" s="331">
        <f>'Beta Calc'!M12</f>
        <v>7.8739999999999997</v>
      </c>
      <c r="AJ15" s="331">
        <f>'Beta Calc'!N12</f>
        <v>0</v>
      </c>
      <c r="AK15" s="331">
        <f t="shared" si="11"/>
        <v>7.9669999999999996</v>
      </c>
      <c r="AL15" s="331">
        <f t="shared" si="12"/>
        <v>843.69370000000004</v>
      </c>
      <c r="AM15" s="331">
        <f>'Beta Calc'!Q12</f>
        <v>169.01499999999999</v>
      </c>
      <c r="AN15" s="759">
        <f t="shared" si="13"/>
        <v>674.67870000000005</v>
      </c>
      <c r="AP15" s="1177" t="str">
        <f>IF('MASTER PubCo Inputs'!C30="","",'MASTER PubCo Inputs'!C30)</f>
        <v>IQ256557334</v>
      </c>
      <c r="AQ15" s="2000" t="str">
        <f>'Comp.1'!AL14</f>
        <v>WAVE Life Sciences Ltd., a genetic medicines company, designs, develops, and commercializes nucleic acid therapeutic candidates for genetically defined diseases by utilizing proprietary synthetic chemistry drug development platform. The company is primarily developing oligonucleotides that target genetic defects to either reduce the expression of disease-promoting proteins or transform the production of dysfunctional mutant proteins into the production of functional proteins. It focuses on proprietary programs in neurology in the central nervous system and neuromuscular system. The company has a research, license, and option agreement with Pfizer Inc. for the discovery, development, and commercialization of stereopure oligonucleotide therapeutics. WAVE Life Sciences Ltd. was founded in 2012 and is based in Cambridge, Massachusetts.</v>
      </c>
    </row>
    <row r="16" spans="2:69" ht="14.85" customHeight="1">
      <c r="B16" s="250" t="str">
        <f>'Comp.1'!B15</f>
        <v>Regenxbio Inc.</v>
      </c>
      <c r="C16" s="759">
        <f t="shared" si="0"/>
        <v>589.07718</v>
      </c>
      <c r="E16" s="1174" t="str">
        <f t="shared" si="1"/>
        <v>n/a</v>
      </c>
      <c r="F16" s="1174" t="str">
        <f t="shared" si="2"/>
        <v>n/a</v>
      </c>
      <c r="G16" s="1174" t="str">
        <f t="shared" si="3"/>
        <v>n/a</v>
      </c>
      <c r="H16" s="331"/>
      <c r="I16" s="1174" t="str">
        <f t="shared" si="4"/>
        <v>n/a</v>
      </c>
      <c r="J16" s="1174" t="str">
        <f t="shared" si="5"/>
        <v>n/a</v>
      </c>
      <c r="L16" s="1174" t="str">
        <f t="shared" si="6"/>
        <v>n/a</v>
      </c>
      <c r="M16" s="1174">
        <f t="shared" si="7"/>
        <v>7.6319401013489143</v>
      </c>
      <c r="N16" s="1174">
        <f t="shared" si="8"/>
        <v>9.3927922164393589</v>
      </c>
      <c r="P16" s="1174" t="str">
        <f t="shared" si="9"/>
        <v>n/a</v>
      </c>
      <c r="Q16" s="1174">
        <f t="shared" si="10"/>
        <v>7.8079469853510943</v>
      </c>
      <c r="S16" s="2037">
        <f>'Capital IQ Sheet-GPC'!AU16</f>
        <v>-5.3869999999999996</v>
      </c>
      <c r="T16" s="2037">
        <f>'Capital IQ Sheet-GPC'!AV16</f>
        <v>-19.971</v>
      </c>
      <c r="U16" s="2037">
        <f>'Capital IQ Sheet-GPC'!AW16</f>
        <v>-48.534999999999997</v>
      </c>
      <c r="V16" s="2037"/>
      <c r="W16" s="2037">
        <f>'Capital IQ Sheet-GPC'!AX16</f>
        <v>-4.0030000000000001</v>
      </c>
      <c r="X16" s="2037">
        <f>'Capital IQ Sheet-GPC'!AY16</f>
        <v>-22.811</v>
      </c>
      <c r="Z16" s="2037">
        <f>'Capital IQ Sheet-GPC'!AZ16</f>
        <v>-2.1429999999999998</v>
      </c>
      <c r="AA16" s="2037">
        <f>'Capital IQ Sheet-GPC'!BA16</f>
        <v>221.80799999999999</v>
      </c>
      <c r="AB16" s="2037">
        <f>'Capital IQ Sheet-GPC'!BB16</f>
        <v>180.226</v>
      </c>
      <c r="AD16" s="2037">
        <f>'Capital IQ Sheet-GPC'!BC16</f>
        <v>-5.6980000000000004</v>
      </c>
      <c r="AE16" s="2037">
        <f>'Capital IQ Sheet-GPC'!BD16</f>
        <v>216.80799999999999</v>
      </c>
      <c r="AG16" s="331">
        <f>'Beta Calc'!K13</f>
        <v>589.07718</v>
      </c>
      <c r="AH16" s="331">
        <f>'Beta Calc'!L13</f>
        <v>0</v>
      </c>
      <c r="AI16" s="331">
        <f>'Beta Calc'!M13</f>
        <v>0</v>
      </c>
      <c r="AJ16" s="331">
        <f>'Beta Calc'!N13</f>
        <v>0</v>
      </c>
      <c r="AK16" s="331">
        <f t="shared" si="11"/>
        <v>0</v>
      </c>
      <c r="AL16" s="331">
        <f t="shared" si="12"/>
        <v>589.07718</v>
      </c>
      <c r="AM16" s="331">
        <f>'Beta Calc'!Q13</f>
        <v>91.77</v>
      </c>
      <c r="AN16" s="759">
        <f t="shared" si="13"/>
        <v>497.30718000000002</v>
      </c>
      <c r="AP16" s="1177" t="str">
        <f>IF('MASTER PubCo Inputs'!C31="","",'MASTER PubCo Inputs'!C31)</f>
        <v>IQ130641748</v>
      </c>
      <c r="AQ16" s="2000" t="str">
        <f>'Comp.1'!AL15</f>
        <v>REGENXBIO Inc., a clinical-stage biotechnology company, provides gene therapy product candidates to deliver genes to cells to address genetic defects or to enable cells in the body to produce therapeutic proteins that are intended to impact disease. Its gene therapy product candidates are based on NAV Technology Platform, a proprietary adeno-associated virus (AAV) gene delivery platform. The company’s lead product candidate is RGX-314 for the treatment of wet age-related macular degeneration. It is also developing RGX-501, a product candidate for the treatment of homozygous familial hypercholesterolemia, which uses the AAV8 vector to deliver the human low-density lipoprotein receptor gene to liver cells; and RGX-111, a product candidate to treat the neurological symptoms of Mucopolysaccharidosis Type I that uses the AAV9 vector to deliver the human a-l-iduronidase gene to the central nervous system (CNS). In addition, the company engages in the development of RGX-121, a product candidate for the treatment of Mucopolysaccharidosis Type II, which uses the AAV9 vector to deliver the human iduronate-2-sulfatase gene to the CNS. Further, it licenses its NAV vectors to various other biotechnology companies. The company was formerly known as REGENX Biosciences, LLC and changed its name to REGENXBIO Inc. in September 2014. REGENXBIO Inc. was founded in 2008 and is headquartered in Rockville, Maryland.</v>
      </c>
    </row>
    <row r="17" spans="2:43" ht="14.85" customHeight="1">
      <c r="B17" s="250" t="str">
        <f>'Comp.1'!B16</f>
        <v>Inovio Pharmaceuticals, Inc.</v>
      </c>
      <c r="C17" s="759">
        <f t="shared" si="0"/>
        <v>524.34855000000005</v>
      </c>
      <c r="E17" s="1174" t="str">
        <f t="shared" si="1"/>
        <v>n/a</v>
      </c>
      <c r="F17" s="1174" t="str">
        <f t="shared" si="2"/>
        <v>n/a</v>
      </c>
      <c r="G17" s="1174" t="str">
        <f t="shared" si="3"/>
        <v>n/a</v>
      </c>
      <c r="H17" s="331"/>
      <c r="I17" s="1174" t="str">
        <f t="shared" si="4"/>
        <v>n/a</v>
      </c>
      <c r="J17" s="1174" t="str">
        <f t="shared" si="5"/>
        <v>n/a</v>
      </c>
      <c r="L17" s="1174">
        <f t="shared" si="6"/>
        <v>14.463124114437413</v>
      </c>
      <c r="M17" s="1174">
        <f t="shared" si="7"/>
        <v>8.7536277006796475</v>
      </c>
      <c r="N17" s="1174">
        <f t="shared" si="8"/>
        <v>11.517530803047936</v>
      </c>
      <c r="P17" s="1174">
        <f t="shared" si="9"/>
        <v>15.177173632673972</v>
      </c>
      <c r="Q17" s="1174">
        <f t="shared" si="10"/>
        <v>9.6219861475714765</v>
      </c>
      <c r="S17" s="2037">
        <f>'Capital IQ Sheet-GPC'!AU17</f>
        <v>-44.195450000000001</v>
      </c>
      <c r="T17" s="2037">
        <f>'Capital IQ Sheet-GPC'!AV17</f>
        <v>-18.563279999999999</v>
      </c>
      <c r="U17" s="2037">
        <f>'Capital IQ Sheet-GPC'!AW17</f>
        <v>-65.458910000000003</v>
      </c>
      <c r="V17" s="2037"/>
      <c r="W17" s="2037">
        <f>'Capital IQ Sheet-GPC'!AX17</f>
        <v>-36.140129999999999</v>
      </c>
      <c r="X17" s="2037">
        <f>'Capital IQ Sheet-GPC'!AY17</f>
        <v>-29.10284</v>
      </c>
      <c r="Z17" s="2037">
        <f>'Capital IQ Sheet-GPC'!AZ17</f>
        <v>117.04424</v>
      </c>
      <c r="AA17" s="2037">
        <f>'Capital IQ Sheet-GPC'!BA17</f>
        <v>193.38558</v>
      </c>
      <c r="AB17" s="2037">
        <f>'Capital IQ Sheet-GPC'!BB17</f>
        <v>146.97815</v>
      </c>
      <c r="AD17" s="2037">
        <f>'Capital IQ Sheet-GPC'!BC17</f>
        <v>111.53758999999999</v>
      </c>
      <c r="AE17" s="2037">
        <f>'Capital IQ Sheet-GPC'!BD17</f>
        <v>175.93305000000001</v>
      </c>
      <c r="AG17" s="331">
        <f>'Beta Calc'!K14</f>
        <v>524.34855000000005</v>
      </c>
      <c r="AH17" s="331">
        <f>'Beta Calc'!L14</f>
        <v>0</v>
      </c>
      <c r="AI17" s="331">
        <f>'Beta Calc'!M14</f>
        <v>0</v>
      </c>
      <c r="AJ17" s="331">
        <f>'Beta Calc'!N14</f>
        <v>9.6269999999999994E-2</v>
      </c>
      <c r="AK17" s="331">
        <f t="shared" si="11"/>
        <v>9.6269999999999994E-2</v>
      </c>
      <c r="AL17" s="331">
        <f t="shared" si="12"/>
        <v>524.44482000000005</v>
      </c>
      <c r="AM17" s="331">
        <f>'Beta Calc'!Q14</f>
        <v>119.68635</v>
      </c>
      <c r="AN17" s="759">
        <f t="shared" si="13"/>
        <v>404.75847000000005</v>
      </c>
      <c r="AP17" s="1177" t="str">
        <f>IF('MASTER PubCo Inputs'!C32="","",'MASTER PubCo Inputs'!C32)</f>
        <v>IQ28922</v>
      </c>
      <c r="AQ17" s="2000" t="str">
        <f>'Comp.1'!AL16</f>
        <v>Inovio Pharmaceuticals, Inc., a clinical stage biopharmaceutical company, develops active DNA immunotherapies and vaccines in combination with proprietary electroporation delivery devices to prevent and treat cancers and infectious diseases. Its SynCon immunotherapy design has the ability to break the immune system’s tolerance of cancerous cells; and SynCon product design is also intended to facilitate cross-strain protection against known, as well as new unmatched strains of pathogens, such as influenza. It has completed, current or planned clinical programs of its proprietary SynCon immunotherapies for HPV-caused pre-cancers and cancers, influenza, prostate cancer, breast/lung/pancreatic cancer, hepatitis C virus, hepatitis B virus, HIV, Ebola, Middle East Respiratory Syndrome, and Zika virus. The company’s partners and collaborators include MedImmune, LLC, the Wistar Institute, University of Pennsylvania, Defense Advanced Research Projects Agency, GeneOne Life Science, Plumbline Life Sciences, ApolloBio Corporation, Drexel University, the National Institutes of Health, HIV Vaccines Trial Network, National Cancer Institute, and U.S. Military HIV Research Program. Inovio Pharmaceuticals, Inc. was founded in 1979 and is headquartered in Plymouth Meeting, Pennsylvania.</v>
      </c>
    </row>
    <row r="18" spans="2:43" ht="14.85" customHeight="1">
      <c r="B18" s="250" t="str">
        <f>'Comp.1'!B17</f>
        <v>Enanta Pharmaceuticals, Inc.</v>
      </c>
      <c r="C18" s="759">
        <f t="shared" si="0"/>
        <v>598.48901000000001</v>
      </c>
      <c r="E18" s="1174">
        <f t="shared" si="1"/>
        <v>48.315362902074952</v>
      </c>
      <c r="F18" s="1174">
        <f t="shared" si="2"/>
        <v>24.844071883530482</v>
      </c>
      <c r="G18" s="1174">
        <f t="shared" si="3"/>
        <v>57.815074112021854</v>
      </c>
      <c r="H18" s="331"/>
      <c r="I18" s="1174">
        <f t="shared" si="4"/>
        <v>20.69038671669702</v>
      </c>
      <c r="J18" s="1174">
        <f t="shared" si="5"/>
        <v>26.79708367631229</v>
      </c>
      <c r="L18" s="1174">
        <f t="shared" si="6"/>
        <v>10.947728548516441</v>
      </c>
      <c r="M18" s="1174">
        <f t="shared" si="7"/>
        <v>7.3684719181331859</v>
      </c>
      <c r="N18" s="1174">
        <f t="shared" si="8"/>
        <v>6.2640627358979284</v>
      </c>
      <c r="P18" s="1174">
        <f t="shared" si="9"/>
        <v>8.6749275904478846</v>
      </c>
      <c r="Q18" s="1174">
        <f t="shared" si="10"/>
        <v>6.3743334877188227</v>
      </c>
      <c r="S18" s="2037">
        <f>'Capital IQ Sheet-GPC'!AU18</f>
        <v>35.036999999999999</v>
      </c>
      <c r="T18" s="2037">
        <f>'Capital IQ Sheet-GPC'!AV18</f>
        <v>68.138000000000005</v>
      </c>
      <c r="U18" s="2037">
        <f>'Capital IQ Sheet-GPC'!AW18</f>
        <v>29.28</v>
      </c>
      <c r="V18" s="2037"/>
      <c r="W18" s="2037">
        <f>'Capital IQ Sheet-GPC'!AX18</f>
        <v>81.816999999999993</v>
      </c>
      <c r="X18" s="2037">
        <f>'Capital IQ Sheet-GPC'!AY18</f>
        <v>63.171999999999997</v>
      </c>
      <c r="Z18" s="2037">
        <f>'Capital IQ Sheet-GPC'!AZ18</f>
        <v>154.62799999999999</v>
      </c>
      <c r="AA18" s="2037">
        <f>'Capital IQ Sheet-GPC'!BA18</f>
        <v>229.739</v>
      </c>
      <c r="AB18" s="2037">
        <f>'Capital IQ Sheet-GPC'!BB18</f>
        <v>270.24400000000003</v>
      </c>
      <c r="AD18" s="2037">
        <f>'Capital IQ Sheet-GPC'!BC18</f>
        <v>195.14</v>
      </c>
      <c r="AE18" s="2037">
        <f>'Capital IQ Sheet-GPC'!BD18</f>
        <v>265.56900000000002</v>
      </c>
      <c r="AG18" s="331">
        <f>'Beta Calc'!K15</f>
        <v>598.48901000000001</v>
      </c>
      <c r="AH18" s="331">
        <f>'Beta Calc'!L15</f>
        <v>0.70699999999999996</v>
      </c>
      <c r="AI18" s="331">
        <f>'Beta Calc'!M15</f>
        <v>1.2370000000000001</v>
      </c>
      <c r="AJ18" s="331">
        <f>'Beta Calc'!N15</f>
        <v>0</v>
      </c>
      <c r="AK18" s="331">
        <f t="shared" si="11"/>
        <v>1.944</v>
      </c>
      <c r="AL18" s="331">
        <f t="shared" si="12"/>
        <v>600.43300999999997</v>
      </c>
      <c r="AM18" s="331">
        <f>'Beta Calc'!Q15</f>
        <v>218.465</v>
      </c>
      <c r="AN18" s="759">
        <f t="shared" si="13"/>
        <v>381.96800999999994</v>
      </c>
      <c r="AP18" s="1177" t="str">
        <f>IF('MASTER PubCo Inputs'!C33="","",'MASTER PubCo Inputs'!C33)</f>
        <v>IQ345286</v>
      </c>
      <c r="AQ18" s="2000" t="str">
        <f>'Comp.1'!AL17</f>
        <v>Enanta Pharmaceuticals, Inc., a research and development-focused biotechnology company focuses on discovering and developing small molecule drugs for the treatment of viral infections and liver diseases. The company’s research and development focuses on four disease targets: Hepatitis C virus (HCV), Hepatitis B virus (HBV), Non-alcoholic Steatohepatitis (NASH), and Respiratory Syncytial Virus (RSV). Its lead product is paritaprevir, a protease inhibitor designed for use against HCV. The company also develops HCV protease inhibitor in phase III development with AbbVie, as well as a HCV program using a different class of molecules known as cyclophilin inhibitors. In addition, it has a program in non-alcoholic steatohepatitis; and discovers programs in other areas of viral infection and liver disease. Enanta Pharmaceuticals, Inc. has a collaborative development and license agreement with AbbVie to develop and commercialize HCV NS3 and NS3/4A protease inhibitors. The company was founded in 1995 and is headquartered in Watertown, Massachusetts.</v>
      </c>
    </row>
    <row r="19" spans="2:43" ht="14.85" customHeight="1">
      <c r="B19" s="250" t="str">
        <f>'Comp.1'!B18</f>
        <v>Editas Medicine, Inc.</v>
      </c>
      <c r="C19" s="759">
        <f t="shared" si="0"/>
        <v>508.51056999999997</v>
      </c>
      <c r="E19" s="1174" t="str">
        <f t="shared" si="1"/>
        <v>n/a</v>
      </c>
      <c r="F19" s="1174" t="str">
        <f t="shared" si="2"/>
        <v>n/a</v>
      </c>
      <c r="G19" s="1174" t="str">
        <f t="shared" si="3"/>
        <v>n/a</v>
      </c>
      <c r="H19" s="331"/>
      <c r="I19" s="1174" t="str">
        <f t="shared" si="4"/>
        <v>n/a</v>
      </c>
      <c r="J19" s="1174" t="str">
        <f t="shared" si="5"/>
        <v>n/a</v>
      </c>
      <c r="L19" s="1174">
        <f t="shared" si="6"/>
        <v>4864.4407183908052</v>
      </c>
      <c r="M19" s="1174">
        <f t="shared" si="7"/>
        <v>13.279561407637516</v>
      </c>
      <c r="N19" s="1174">
        <f t="shared" si="8"/>
        <v>9.9474977082549838</v>
      </c>
      <c r="P19" s="1174">
        <f t="shared" si="9"/>
        <v>308.90973905109485</v>
      </c>
      <c r="Q19" s="1174">
        <f t="shared" si="10"/>
        <v>14.493243807844111</v>
      </c>
      <c r="S19" s="2037">
        <f>'Capital IQ Sheet-GPC'!AU19</f>
        <v>-5.274</v>
      </c>
      <c r="T19" s="2037">
        <f>'Capital IQ Sheet-GPC'!AV19</f>
        <v>-65.677999999999997</v>
      </c>
      <c r="U19" s="2037">
        <f>'Capital IQ Sheet-GPC'!AW19</f>
        <v>-70.44</v>
      </c>
      <c r="V19" s="2037"/>
      <c r="W19" s="2037">
        <f>'Capital IQ Sheet-GPC'!AX19</f>
        <v>-13.685</v>
      </c>
      <c r="X19" s="2037">
        <f>'Capital IQ Sheet-GPC'!AY19</f>
        <v>-72.900000000000006</v>
      </c>
      <c r="Z19" s="2037">
        <f>'Capital IQ Sheet-GPC'!AZ19</f>
        <v>0.34799999999999998</v>
      </c>
      <c r="AA19" s="2037">
        <f>'Capital IQ Sheet-GPC'!BA19</f>
        <v>127.476</v>
      </c>
      <c r="AB19" s="2037">
        <f>'Capital IQ Sheet-GPC'!BB19</f>
        <v>170.17599999999999</v>
      </c>
      <c r="AD19" s="2037">
        <f>'Capital IQ Sheet-GPC'!BC19</f>
        <v>5.48</v>
      </c>
      <c r="AE19" s="2037">
        <f>'Capital IQ Sheet-GPC'!BD19</f>
        <v>116.801</v>
      </c>
      <c r="AG19" s="331">
        <f>'Beta Calc'!K16</f>
        <v>508.51056999999997</v>
      </c>
      <c r="AH19" s="331">
        <f>'Beta Calc'!L16</f>
        <v>32.048000000000002</v>
      </c>
      <c r="AI19" s="331">
        <f>'Beta Calc'!M16</f>
        <v>0</v>
      </c>
      <c r="AJ19" s="331">
        <f>'Beta Calc'!N16</f>
        <v>0</v>
      </c>
      <c r="AK19" s="331">
        <f t="shared" si="11"/>
        <v>32.048000000000002</v>
      </c>
      <c r="AL19" s="331">
        <f t="shared" si="12"/>
        <v>540.55856999999992</v>
      </c>
      <c r="AM19" s="331">
        <f>'Beta Calc'!Q16</f>
        <v>199.874</v>
      </c>
      <c r="AN19" s="759">
        <f t="shared" si="13"/>
        <v>340.68456999999989</v>
      </c>
      <c r="AP19" s="1177" t="str">
        <f>IF('MASTER PubCo Inputs'!C34="","",'MASTER PubCo Inputs'!C34)</f>
        <v>IQ252050056</v>
      </c>
      <c r="AQ19" s="2000" t="str">
        <f>'Comp.1'!AL18</f>
        <v>Editas Medicine, Inc. operates as a genome editing company. It focuses on treating patients with genetically defined diseases by correcting their disease causing genes. It is developing a proprietary genome editing platform based on CRISPR technology to target genetically defined diseases with an initial focus on debilitating illnesses where there are no approved treatments. Editas Medicine, Inc. has a collaboration and license agreement with Juno Therapeutics, Inc. for the research and development of engineered T cells with chimeric antigen receptors and T cell receptors; and collaboration, option, and license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based in Cambridge, Massachusetts.</v>
      </c>
    </row>
    <row r="20" spans="2:43" ht="14.85" customHeight="1">
      <c r="B20" s="250" t="str">
        <f>'Comp.1'!B19</f>
        <v>NantKwest, Inc.</v>
      </c>
      <c r="C20" s="759">
        <f t="shared" si="0"/>
        <v>538.73569999999995</v>
      </c>
      <c r="E20" s="1174" t="str">
        <f t="shared" si="1"/>
        <v>n/a</v>
      </c>
      <c r="F20" s="1174" t="str">
        <f t="shared" si="2"/>
        <v>n/a</v>
      </c>
      <c r="G20" s="1174" t="str">
        <f t="shared" si="3"/>
        <v>n/a</v>
      </c>
      <c r="H20" s="331"/>
      <c r="I20" s="1174" t="str">
        <f t="shared" si="4"/>
        <v>n/a</v>
      </c>
      <c r="J20" s="1174" t="str">
        <f t="shared" si="5"/>
        <v>n/a</v>
      </c>
      <c r="L20" s="1174" t="str">
        <f t="shared" si="6"/>
        <v>n/a</v>
      </c>
      <c r="M20" s="1174">
        <f t="shared" si="7"/>
        <v>4.664317377132293</v>
      </c>
      <c r="N20" s="1174">
        <f t="shared" si="8"/>
        <v>5.4450767954041766</v>
      </c>
      <c r="P20" s="1174">
        <f t="shared" si="9"/>
        <v>29.393922140612247</v>
      </c>
      <c r="Q20" s="1174">
        <f t="shared" si="10"/>
        <v>4.755194230256043</v>
      </c>
      <c r="S20" s="2037">
        <f>'Capital IQ Sheet-GPC'!AU20</f>
        <v>-2.0470000000000002</v>
      </c>
      <c r="T20" s="2037">
        <f>'Capital IQ Sheet-GPC'!AV20</f>
        <v>-212.78899999999999</v>
      </c>
      <c r="U20" s="2037">
        <f>'Capital IQ Sheet-GPC'!AW20</f>
        <v>-123.393</v>
      </c>
      <c r="V20" s="2037"/>
      <c r="W20" s="2037">
        <f>'Capital IQ Sheet-GPC'!AX20</f>
        <v>-6.1849999999999996</v>
      </c>
      <c r="X20" s="2037">
        <f>'Capital IQ Sheet-GPC'!AY20</f>
        <v>-236.876</v>
      </c>
      <c r="Z20" s="2037">
        <f>'Capital IQ Sheet-GPC'!AZ20</f>
        <v>-2.895</v>
      </c>
      <c r="AA20" s="2037">
        <f>'Capital IQ Sheet-GPC'!BA20</f>
        <v>362.93099999999998</v>
      </c>
      <c r="AB20" s="2037">
        <f>'Capital IQ Sheet-GPC'!BB20</f>
        <v>310.89100000000002</v>
      </c>
      <c r="AD20" s="2037">
        <f>'Capital IQ Sheet-GPC'!BC20</f>
        <v>57.591000000000001</v>
      </c>
      <c r="AE20" s="2037">
        <f>'Capital IQ Sheet-GPC'!BD20</f>
        <v>355.995</v>
      </c>
      <c r="AG20" s="331">
        <f>'Beta Calc'!K17</f>
        <v>538.73569999999995</v>
      </c>
      <c r="AH20" s="331">
        <f>'Beta Calc'!L17</f>
        <v>7.7030000000000003</v>
      </c>
      <c r="AI20" s="331">
        <f>'Beta Calc'!M17</f>
        <v>0</v>
      </c>
      <c r="AJ20" s="331">
        <f>'Beta Calc'!N17</f>
        <v>0</v>
      </c>
      <c r="AK20" s="331">
        <f t="shared" si="11"/>
        <v>7.7030000000000003</v>
      </c>
      <c r="AL20" s="331">
        <f t="shared" si="12"/>
        <v>546.43869999999993</v>
      </c>
      <c r="AM20" s="331">
        <f>'Beta Calc'!Q17</f>
        <v>209.256</v>
      </c>
      <c r="AN20" s="759">
        <f t="shared" si="13"/>
        <v>337.18269999999995</v>
      </c>
      <c r="AP20" s="1177" t="str">
        <f>IF('MASTER PubCo Inputs'!C35="","",'MASTER PubCo Inputs'!C35)</f>
        <v>IQ262241549</v>
      </c>
      <c r="AQ20" s="2000" t="str">
        <f>'Comp.1'!AL19</f>
        <v>NantKwest, Inc., a clinical-stage immunotherapy biotechnology company, develops immunotherapeutic treatments for cancer, infectious diseases, and inflammatory diseases in the United States. The company develops activated natural killer product candidates for the treatment of virally-induced cancers, such as polyoma virus induced merkel cell carcinoma, human papilloma virus induced cervical, and head and neck cancers; infectious diseases, including Ebola; and other serious viral, fungal, and bacterial infections. It is also develops high-affinity natural killer product candidates primarily for the treatment of solid tumors, breast cancer, head and neck/squamous, lymphoma, and various cancer; and target activated natural killer product candidates to treat hematological malignancies and solid tumors. NantKwest, Inc. has a co-development agreement with Altor Bio Science Corporation to collaborate on the development of therapeutic applications combining the company’s proprietary natural killer cells with Altor's ALT-801 and/or ALT-803 products. The company was formerly known as Conkwest, Inc. and changed its name to NantKwest, Inc. in July 2015. NantKwest, Inc. was founded in 2002 and is headquartered in San Diego, California.</v>
      </c>
    </row>
    <row r="21" spans="2:43" ht="14.85" customHeight="1">
      <c r="B21" s="250" t="str">
        <f>'Comp.1'!B20</f>
        <v>Cocrystal Pharma, Inc.</v>
      </c>
      <c r="C21" s="759">
        <f t="shared" si="0"/>
        <v>317.20850000000002</v>
      </c>
      <c r="E21" s="1174">
        <f t="shared" si="1"/>
        <v>1669.4530276134121</v>
      </c>
      <c r="F21" s="1174" t="str">
        <f t="shared" si="2"/>
        <v>n/a</v>
      </c>
      <c r="G21" s="1174" t="str">
        <f t="shared" si="3"/>
        <v>n/a</v>
      </c>
      <c r="H21" s="331"/>
      <c r="I21" s="1174" t="str">
        <f t="shared" si="4"/>
        <v>n/a</v>
      </c>
      <c r="J21" s="1174" t="str">
        <f t="shared" si="5"/>
        <v>n/a</v>
      </c>
      <c r="L21" s="1174">
        <f t="shared" si="6"/>
        <v>425.54685017596779</v>
      </c>
      <c r="M21" s="1174">
        <f t="shared" si="7"/>
        <v>8.6038097004874139</v>
      </c>
      <c r="N21" s="1174">
        <f t="shared" si="8"/>
        <v>10.087028935419671</v>
      </c>
      <c r="P21" s="1174">
        <f t="shared" si="9"/>
        <v>9.156891474503567</v>
      </c>
      <c r="Q21" s="1174">
        <f t="shared" si="10"/>
        <v>10.100751637886798</v>
      </c>
      <c r="S21" s="2037">
        <f>'Capital IQ Sheet-GPC'!AU21</f>
        <v>1.014</v>
      </c>
      <c r="T21" s="2037">
        <f>'Capital IQ Sheet-GPC'!AV21</f>
        <v>-21.58</v>
      </c>
      <c r="U21" s="2037">
        <f>'Capital IQ Sheet-GPC'!AW21</f>
        <v>-39.569000000000003</v>
      </c>
      <c r="V21" s="2037"/>
      <c r="W21" s="2037">
        <f>'Capital IQ Sheet-GPC'!AX21</f>
        <v>-9.9000000000000005E-2</v>
      </c>
      <c r="X21" s="2037">
        <f>'Capital IQ Sheet-GPC'!AY21</f>
        <v>-50.122</v>
      </c>
      <c r="Z21" s="2037">
        <f>'Capital IQ Sheet-GPC'!AZ21</f>
        <v>3.9780000000000002</v>
      </c>
      <c r="AA21" s="2037">
        <f>'Capital IQ Sheet-GPC'!BA21</f>
        <v>196.75299999999999</v>
      </c>
      <c r="AB21" s="2037">
        <f>'Capital IQ Sheet-GPC'!BB21</f>
        <v>167.822</v>
      </c>
      <c r="AD21" s="2037">
        <f>'Capital IQ Sheet-GPC'!BC21</f>
        <v>184.869</v>
      </c>
      <c r="AE21" s="2037">
        <f>'Capital IQ Sheet-GPC'!BD21</f>
        <v>167.59399999999999</v>
      </c>
      <c r="AG21" s="331">
        <f>'Beta Calc'!K18</f>
        <v>317.20850000000002</v>
      </c>
      <c r="AH21" s="331">
        <f>'Beta Calc'!L18</f>
        <v>0</v>
      </c>
      <c r="AI21" s="331">
        <f>'Beta Calc'!M18</f>
        <v>0</v>
      </c>
      <c r="AJ21" s="331">
        <f>'Beta Calc'!N18</f>
        <v>0</v>
      </c>
      <c r="AK21" s="331">
        <f t="shared" si="11"/>
        <v>0</v>
      </c>
      <c r="AL21" s="331">
        <f t="shared" si="12"/>
        <v>317.20850000000002</v>
      </c>
      <c r="AM21" s="331">
        <f>'Beta Calc'!Q18</f>
        <v>5.9059999999999997</v>
      </c>
      <c r="AN21" s="759">
        <f t="shared" si="13"/>
        <v>311.30250000000001</v>
      </c>
      <c r="AP21" s="1177" t="str">
        <f>IF('MASTER PubCo Inputs'!C36="","",'MASTER PubCo Inputs'!C36)</f>
        <v>IQ49062639</v>
      </c>
      <c r="AQ21" s="2000" t="str">
        <f>'Comp.1'!AL20</f>
        <v>Cocrystal Pharma, Inc., a preclinical-stage biopharmaceutical company, focuses on developing antiviral therapeutics for human diseases. The company focuses on developing inhibitors that target viral replication enzymes and viral replication protein. It is developing antiviral therapeutics for human diseases, including hepatitis C virus (HCV), influenza virus, and norovirus. The company also develops targeted in-house chemical libraries consisting of nucleosides, non-nucleoside inhibitors, metal-binding inhibitors, and fragments. Cocrystal Pharma, Inc. was founded in 2007 and is headquartered in Tucker, Georgia.</v>
      </c>
    </row>
    <row r="22" spans="2:43" ht="14.85" customHeight="1">
      <c r="B22" s="250" t="str">
        <f>'Comp.1'!B21</f>
        <v>Intellia Therapeutics Inc.</v>
      </c>
      <c r="C22" s="759">
        <f t="shared" si="0"/>
        <v>566.92646000000002</v>
      </c>
      <c r="E22" s="1174" t="str">
        <f t="shared" si="1"/>
        <v>n/a</v>
      </c>
      <c r="F22" s="1174" t="str">
        <f t="shared" si="2"/>
        <v>n/a</v>
      </c>
      <c r="G22" s="1174" t="str">
        <f t="shared" si="3"/>
        <v>n/a</v>
      </c>
      <c r="H22" s="331"/>
      <c r="I22" s="1174" t="str">
        <f t="shared" si="4"/>
        <v>n/a</v>
      </c>
      <c r="J22" s="1174" t="str">
        <f t="shared" si="5"/>
        <v>n/a</v>
      </c>
      <c r="L22" s="1174" t="str">
        <f t="shared" si="6"/>
        <v>n/a</v>
      </c>
      <c r="M22" s="1174">
        <f t="shared" si="7"/>
        <v>23.427190661370901</v>
      </c>
      <c r="N22" s="1174">
        <f t="shared" si="8"/>
        <v>7.7608395683189384</v>
      </c>
      <c r="P22" s="1174">
        <f t="shared" si="9"/>
        <v>223.74112741210681</v>
      </c>
      <c r="Q22" s="1174">
        <f t="shared" si="10"/>
        <v>25.132510392541128</v>
      </c>
      <c r="S22" s="2037">
        <f>'Capital IQ Sheet-GPC'!AU22</f>
        <v>0</v>
      </c>
      <c r="T22" s="2037">
        <f>'Capital IQ Sheet-GPC'!AV22</f>
        <v>-14.368499999999999</v>
      </c>
      <c r="U22" s="2037">
        <f>'Capital IQ Sheet-GPC'!AW22</f>
        <v>-26.315999999999999</v>
      </c>
      <c r="V22" s="2037"/>
      <c r="W22" s="2037">
        <f>'Capital IQ Sheet-GPC'!AX22</f>
        <v>-14.3085</v>
      </c>
      <c r="X22" s="2037">
        <f>'Capital IQ Sheet-GPC'!AY22</f>
        <v>-12.397</v>
      </c>
      <c r="Z22" s="2037">
        <f>'Capital IQ Sheet-GPC'!AZ22</f>
        <v>0</v>
      </c>
      <c r="AA22" s="2037">
        <f>'Capital IQ Sheet-GPC'!BA22</f>
        <v>72.259</v>
      </c>
      <c r="AB22" s="2037">
        <f>'Capital IQ Sheet-GPC'!BB22</f>
        <v>218.124</v>
      </c>
      <c r="AD22" s="2037">
        <f>'Capital IQ Sheet-GPC'!BC22</f>
        <v>7.5659999999999998</v>
      </c>
      <c r="AE22" s="2037">
        <f>'Capital IQ Sheet-GPC'!BD22</f>
        <v>67.355999999999995</v>
      </c>
      <c r="AG22" s="331">
        <f>'Beta Calc'!K19</f>
        <v>566.92646000000002</v>
      </c>
      <c r="AH22" s="331">
        <f>'Beta Calc'!L19</f>
        <v>0</v>
      </c>
      <c r="AI22" s="331">
        <f>'Beta Calc'!M19</f>
        <v>0</v>
      </c>
      <c r="AJ22" s="331">
        <f>'Beta Calc'!N19</f>
        <v>0</v>
      </c>
      <c r="AK22" s="331">
        <f t="shared" si="11"/>
        <v>0</v>
      </c>
      <c r="AL22" s="331">
        <f t="shared" si="12"/>
        <v>566.92646000000002</v>
      </c>
      <c r="AM22" s="331">
        <f>'Beta Calc'!Q19</f>
        <v>290.61799999999999</v>
      </c>
      <c r="AN22" s="759">
        <f t="shared" si="13"/>
        <v>276.30846000000003</v>
      </c>
      <c r="AP22" s="1177" t="str">
        <f>IF('MASTER PubCo Inputs'!C37="","",'MASTER PubCo Inputs'!C37)</f>
        <v>IQ277799796</v>
      </c>
      <c r="AQ22" s="2000" t="str">
        <f>'Comp.1'!AL21</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and partnered programs focuses on chimeric antigen receptor T cells and hematopoietic stem cells. Intellia Therapeutics Inc. has collaboration agreement with Novartis; Regeneron Pharmaceuticals, Inc.; and Caribou Biosciences, Inc. The company was formerly known as AZRN, Inc. and changed its name to Intellia Therapeutics Inc. in July 2014. Intellia Therapeutics Inc. was founded in 2014 and is headquartered in Cambridge, Massachusetts.</v>
      </c>
    </row>
    <row r="23" spans="2:43" ht="14.85" customHeight="1">
      <c r="B23" s="250" t="str">
        <f>'Comp.1'!B22</f>
        <v>GenSight Biologics S.A.</v>
      </c>
      <c r="C23" s="759">
        <f t="shared" si="0"/>
        <v>256.04862000000003</v>
      </c>
      <c r="E23" s="1174" t="str">
        <f t="shared" si="1"/>
        <v>n/a</v>
      </c>
      <c r="F23" s="1174" t="str">
        <f t="shared" si="2"/>
        <v>n/a</v>
      </c>
      <c r="G23" s="1174" t="str">
        <f t="shared" si="3"/>
        <v>n/a</v>
      </c>
      <c r="H23" s="331"/>
      <c r="I23" s="1174" t="str">
        <f t="shared" si="4"/>
        <v>n/a</v>
      </c>
      <c r="J23" s="1174" t="str">
        <f t="shared" si="5"/>
        <v>n/a</v>
      </c>
      <c r="L23" s="1174" t="str">
        <f t="shared" si="6"/>
        <v>n/a</v>
      </c>
      <c r="M23" s="1174">
        <f t="shared" si="7"/>
        <v>132.19827648142942</v>
      </c>
      <c r="N23" s="1174">
        <f t="shared" si="8"/>
        <v>53.14894857520693</v>
      </c>
      <c r="P23" s="1174">
        <f t="shared" si="9"/>
        <v>132.19827648142942</v>
      </c>
      <c r="Q23" s="1174">
        <f t="shared" si="10"/>
        <v>53.14894857520693</v>
      </c>
      <c r="S23" s="2037">
        <f>'Capital IQ Sheet-GPC'!AU23</f>
        <v>0</v>
      </c>
      <c r="T23" s="2037">
        <f>'Capital IQ Sheet-GPC'!AV23</f>
        <v>-8.07498</v>
      </c>
      <c r="U23" s="2037">
        <f>'Capital IQ Sheet-GPC'!AW23</f>
        <v>-14.828799999999999</v>
      </c>
      <c r="V23" s="2037"/>
      <c r="W23" s="2037">
        <f>'Capital IQ Sheet-GPC'!AX23</f>
        <v>-8.07498</v>
      </c>
      <c r="X23" s="2037">
        <f>'Capital IQ Sheet-GPC'!AY23</f>
        <v>-14.828799999999999</v>
      </c>
      <c r="Z23" s="2037">
        <f>'Capital IQ Sheet-GPC'!AZ23</f>
        <v>0</v>
      </c>
      <c r="AA23" s="2037">
        <f>'Capital IQ Sheet-GPC'!BA23</f>
        <v>12.805199999999999</v>
      </c>
      <c r="AB23" s="2037">
        <f>'Capital IQ Sheet-GPC'!BB23</f>
        <v>31.85059</v>
      </c>
      <c r="AD23" s="2037">
        <f>'Capital IQ Sheet-GPC'!BC23</f>
        <v>12.805199999999999</v>
      </c>
      <c r="AE23" s="2037">
        <f>'Capital IQ Sheet-GPC'!BD23</f>
        <v>31.85059</v>
      </c>
      <c r="AG23" s="331">
        <f>'Beta Calc'!K20</f>
        <v>256.04862000000003</v>
      </c>
      <c r="AH23" s="331">
        <f>'Beta Calc'!L20</f>
        <v>0.67574000000000001</v>
      </c>
      <c r="AI23" s="331">
        <f>'Beta Calc'!M20</f>
        <v>0</v>
      </c>
      <c r="AJ23" s="331">
        <f>'Beta Calc'!N20</f>
        <v>0</v>
      </c>
      <c r="AK23" s="331">
        <f t="shared" si="11"/>
        <v>0.67574000000000001</v>
      </c>
      <c r="AL23" s="331">
        <f t="shared" si="12"/>
        <v>256.72436000000005</v>
      </c>
      <c r="AM23" s="331">
        <f>'Beta Calc'!Q20</f>
        <v>32.647199999999998</v>
      </c>
      <c r="AN23" s="759">
        <f t="shared" si="13"/>
        <v>224.07716000000005</v>
      </c>
      <c r="AP23" s="1177" t="str">
        <f>IF('MASTER PubCo Inputs'!C38="","",'MASTER PubCo Inputs'!C38)</f>
        <v>IQ235063288</v>
      </c>
      <c r="AQ23" s="2000" t="str">
        <f>'Comp.1'!AL22</f>
        <v>GenSight Biologics S.A., a clinical-stage biotechnology company, engages in the discovery and development of therapies for mitochondrial and neurodegenerative diseases of the eye and central nervous system. The company develops its products through gene therapy-based approach with technology platforms of mitochondrial targeting sequence and optogenetics. Its lead product candidates include GS010, an AAV2 containing the human wild-type ND4 gene, which is in Phase III clinical trials for the treatment of Leber Hereditary Optic Neuropathy associated with mutation in the ND4 gene; and GS030 that comprises a gene encoding a photoactivatable channelrhodopsin for the treatment of reinitis pigmentosa and geographic atrophy in dry age-related macular degeneration. It is also developing products in preclinical development targeting ophthalmic and neurodegenerative diseases. GenSight Biologics S.A. was founded in 2012 and is based in Paris, France.</v>
      </c>
    </row>
    <row r="24" spans="2:43" ht="14.85" customHeight="1">
      <c r="B24" s="250" t="str">
        <f>'Comp.1'!B23</f>
        <v>Advaxis, Inc.</v>
      </c>
      <c r="C24" s="759">
        <f t="shared" si="0"/>
        <v>331.10462000000001</v>
      </c>
      <c r="E24" s="1174" t="str">
        <f t="shared" si="1"/>
        <v>n/a</v>
      </c>
      <c r="F24" s="1174" t="str">
        <f t="shared" si="2"/>
        <v>n/a</v>
      </c>
      <c r="G24" s="1174" t="str">
        <f t="shared" si="3"/>
        <v>n/a</v>
      </c>
      <c r="H24" s="331"/>
      <c r="I24" s="1174" t="str">
        <f t="shared" si="4"/>
        <v>n/a</v>
      </c>
      <c r="J24" s="1174" t="str">
        <f t="shared" si="5"/>
        <v>n/a</v>
      </c>
      <c r="L24" s="1174">
        <f t="shared" si="6"/>
        <v>72.738144027788579</v>
      </c>
      <c r="M24" s="1174">
        <f t="shared" si="7"/>
        <v>17.356138042386565</v>
      </c>
      <c r="N24" s="1174">
        <f t="shared" si="8"/>
        <v>20.249114563079388</v>
      </c>
      <c r="P24" s="1174">
        <f t="shared" si="9"/>
        <v>53.911086574913888</v>
      </c>
      <c r="Q24" s="1174">
        <f t="shared" si="10"/>
        <v>16.094485325506277</v>
      </c>
      <c r="S24" s="2037">
        <f>'Capital IQ Sheet-GPC'!AU24</f>
        <v>-20.687989999999999</v>
      </c>
      <c r="T24" s="2037">
        <f>'Capital IQ Sheet-GPC'!AV24</f>
        <v>-37.695270000000001</v>
      </c>
      <c r="U24" s="2037">
        <f>'Capital IQ Sheet-GPC'!AW24</f>
        <v>-64.433359999999993</v>
      </c>
      <c r="V24" s="2037"/>
      <c r="W24" s="2037">
        <f>'Capital IQ Sheet-GPC'!AX24</f>
        <v>-18.371790000000001</v>
      </c>
      <c r="X24" s="2037">
        <f>'Capital IQ Sheet-GPC'!AY24</f>
        <v>-59.842179999999999</v>
      </c>
      <c r="Z24" s="2037">
        <f>'Capital IQ Sheet-GPC'!AZ24</f>
        <v>23.272870000000001</v>
      </c>
      <c r="AA24" s="2037">
        <f>'Capital IQ Sheet-GPC'!BA24</f>
        <v>97.534679999999994</v>
      </c>
      <c r="AB24" s="2037">
        <f>'Capital IQ Sheet-GPC'!BB24</f>
        <v>83.599969999999999</v>
      </c>
      <c r="AD24" s="2037">
        <f>'Capital IQ Sheet-GPC'!BC24</f>
        <v>31.400320000000001</v>
      </c>
      <c r="AE24" s="2037">
        <f>'Capital IQ Sheet-GPC'!BD24</f>
        <v>105.18046</v>
      </c>
      <c r="AG24" s="331">
        <f>'Beta Calc'!K21</f>
        <v>331.10462000000001</v>
      </c>
      <c r="AH24" s="331">
        <f>'Beta Calc'!L21</f>
        <v>0</v>
      </c>
      <c r="AI24" s="331">
        <f>'Beta Calc'!M21</f>
        <v>0</v>
      </c>
      <c r="AJ24" s="331">
        <f>'Beta Calc'!N21</f>
        <v>0</v>
      </c>
      <c r="AK24" s="331">
        <f t="shared" si="11"/>
        <v>0</v>
      </c>
      <c r="AL24" s="331">
        <f t="shared" si="12"/>
        <v>331.10462000000001</v>
      </c>
      <c r="AM24" s="331">
        <f>'Beta Calc'!Q21</f>
        <v>78.717920000000007</v>
      </c>
      <c r="AN24" s="759">
        <f t="shared" si="13"/>
        <v>252.38670000000002</v>
      </c>
      <c r="AP24" s="1177" t="str">
        <f>IF('MASTER PubCo Inputs'!C39="","",'MASTER PubCo Inputs'!C39)</f>
        <v>IQ7924894</v>
      </c>
      <c r="AQ24" s="2000" t="str">
        <f>'Comp.1'!AL23</f>
        <v>Advaxis, Inc., a clinical stage biotechnology company, focuses on the discovery, development, and commercialization of Lm-LLO cancer immunotherapies in the United States. Its lead product Axalimogene filolisbac, an Lm-LLO immunotherapy product candidate, which completed its Phase II study for the treatment of human papilloma virus associated cancers, including cervical, head and neck, and anal cancer. The company is also developing ADXS-PSA, an Lm-LLO immunotherapy product candidate, which is in Phase I/II clinical trials designed to target the prostate specific antigen associated with prostate cancer; and ADXS-HER2, an Lm-LLO immunotherapy product candidate that is in Phase Ib clinical trials used for the treatment of human epidermal growth factor receptor 2 expressing cancers, including human and canine osteosarcoma. It has clinical trial collaboration agreements with Merck &amp; Co., Inc. for the Phase I/II dose-escalation and safety study of ADXS31-142; and MedImmune, LLC to initiate a Phase I/II clinical study in the United States to evaluate MEDI4736, an investigational anti-PD-L1 immune checkpoint inhibitor. The company also has a licensing agreement with Global BioPharma Inc.; co-development and commercialization agreement with Especificos Stendhal SA de CV; and collaboration agreement with Amgen Inc. for the development and commercialization of ADXS-NEO, a preclinical investigational cancer immunotherapy treatment that activates patient’s immune system to respond against mutations or neoepitopes. Advaxis, Inc. was founded in 2002 and is based in Princeton, New Jersey.</v>
      </c>
    </row>
    <row r="25" spans="2:43" ht="14.85" customHeight="1">
      <c r="B25" s="250" t="str">
        <f>'Comp.1'!B24</f>
        <v>Audentes Therapeutics, Inc.</v>
      </c>
      <c r="C25" s="759">
        <f t="shared" si="0"/>
        <v>356.94443000000001</v>
      </c>
      <c r="E25" s="1174" t="str">
        <f t="shared" si="1"/>
        <v>n/a</v>
      </c>
      <c r="F25" s="1174" t="str">
        <f t="shared" si="2"/>
        <v>n/a</v>
      </c>
      <c r="G25" s="1174" t="str">
        <f t="shared" si="3"/>
        <v>n/a</v>
      </c>
      <c r="H25" s="331"/>
      <c r="I25" s="1174" t="str">
        <f t="shared" si="4"/>
        <v>n/a</v>
      </c>
      <c r="J25" s="1174" t="str">
        <f t="shared" si="5"/>
        <v>n/a</v>
      </c>
      <c r="L25" s="1174">
        <f t="shared" si="6"/>
        <v>131.10481490086741</v>
      </c>
      <c r="M25" s="1174">
        <f t="shared" si="7"/>
        <v>35.256911942350143</v>
      </c>
      <c r="N25" s="1174">
        <f t="shared" si="8"/>
        <v>12.234844862352832</v>
      </c>
      <c r="P25" s="1174">
        <f t="shared" si="9"/>
        <v>28.277852632633973</v>
      </c>
      <c r="Q25" s="1174">
        <f t="shared" si="10"/>
        <v>16.647084443745147</v>
      </c>
      <c r="S25" s="2037">
        <f>'Capital IQ Sheet-GPC'!AU25</f>
        <v>-3.0539999999999998</v>
      </c>
      <c r="T25" s="2037">
        <f>'Capital IQ Sheet-GPC'!AV25</f>
        <v>-20.635999999999999</v>
      </c>
      <c r="U25" s="2037">
        <f>'Capital IQ Sheet-GPC'!AW25</f>
        <v>-49.951000000000001</v>
      </c>
      <c r="V25" s="2037"/>
      <c r="W25" s="2037">
        <f>'Capital IQ Sheet-GPC'!AX25</f>
        <v>-10.819000000000001</v>
      </c>
      <c r="X25" s="2037">
        <f>'Capital IQ Sheet-GPC'!AY25</f>
        <v>-26.457999999999998</v>
      </c>
      <c r="Z25" s="2037">
        <f>'Capital IQ Sheet-GPC'!AZ25</f>
        <v>12.912000000000001</v>
      </c>
      <c r="AA25" s="2037">
        <f>'Capital IQ Sheet-GPC'!BA25</f>
        <v>48.014000000000003</v>
      </c>
      <c r="AB25" s="2037">
        <f>'Capital IQ Sheet-GPC'!BB25</f>
        <v>138.36099999999999</v>
      </c>
      <c r="AD25" s="2037">
        <f>'Capital IQ Sheet-GPC'!BC25</f>
        <v>59.863999999999997</v>
      </c>
      <c r="AE25" s="2037">
        <f>'Capital IQ Sheet-GPC'!BD25</f>
        <v>101.68899999999999</v>
      </c>
      <c r="AG25" s="331">
        <f>'Beta Calc'!K22</f>
        <v>356.94443000000001</v>
      </c>
      <c r="AH25" s="331">
        <f>'Beta Calc'!L22</f>
        <v>0</v>
      </c>
      <c r="AI25" s="331">
        <f>'Beta Calc'!M22</f>
        <v>0</v>
      </c>
      <c r="AJ25" s="331">
        <f>'Beta Calc'!N22</f>
        <v>0</v>
      </c>
      <c r="AK25" s="331">
        <f t="shared" si="11"/>
        <v>0</v>
      </c>
      <c r="AL25" s="331">
        <f t="shared" si="12"/>
        <v>356.94443000000001</v>
      </c>
      <c r="AM25" s="331">
        <f>'Beta Calc'!Q22</f>
        <v>119.18</v>
      </c>
      <c r="AN25" s="759">
        <f t="shared" si="13"/>
        <v>237.76443</v>
      </c>
      <c r="AP25" s="1177" t="str">
        <f>IF('MASTER PubCo Inputs'!C40="","",'MASTER PubCo Inputs'!C40)</f>
        <v>IQ243223852</v>
      </c>
      <c r="AQ25" s="2000" t="str">
        <f>'Comp.1'!AL24</f>
        <v>Audentes Therapeutics, Inc., a biotechnology company, focuses on developing and commercializing gene therapy products for patients suffering from diseases caused by single gene defects in the United States. The company is developing AT132 for the treatment of X-linked myotubular myopathy; AT342 for the treatment of crigler-najjar syndrome type 1; AT982 for the treatment of pompe disease; and AT307 for the treatment of the CASQ2 subtype of catecholaminergic polymorphic ventricular tachycardia. Audentes Therapeutics, Inc. has a collaboration with the University of Pennsylvania for the treatment of Crigler-Najjar. The company was founded in 2012 and is headquartered in San Francisco, California.</v>
      </c>
    </row>
    <row r="26" spans="2:43" ht="14.85" customHeight="1">
      <c r="B26" s="250" t="str">
        <f>'Comp.1'!B25</f>
        <v>Syros Pharmaceuticals, Inc.</v>
      </c>
      <c r="C26" s="759">
        <f t="shared" si="0"/>
        <v>317.50677000000002</v>
      </c>
      <c r="E26" s="1174" t="str">
        <f t="shared" si="1"/>
        <v>n/a</v>
      </c>
      <c r="F26" s="1174" t="str">
        <f t="shared" si="2"/>
        <v>n/a</v>
      </c>
      <c r="G26" s="1174" t="str">
        <f t="shared" si="3"/>
        <v>n/a</v>
      </c>
      <c r="H26" s="331"/>
      <c r="I26" s="1174" t="str">
        <f t="shared" si="4"/>
        <v>n/a</v>
      </c>
      <c r="J26" s="1174" t="str">
        <f t="shared" si="5"/>
        <v>n/a</v>
      </c>
      <c r="L26" s="1174" t="str">
        <f t="shared" si="6"/>
        <v>n/a</v>
      </c>
      <c r="M26" s="1174">
        <f t="shared" si="7"/>
        <v>38.619883877443939</v>
      </c>
      <c r="N26" s="1174">
        <f t="shared" si="8"/>
        <v>18.647353190645617</v>
      </c>
      <c r="P26" s="1174">
        <f t="shared" si="9"/>
        <v>28.100884281469433</v>
      </c>
      <c r="Q26" s="1174">
        <f t="shared" si="10"/>
        <v>49.717330024376636</v>
      </c>
      <c r="S26" s="2037">
        <f>'Capital IQ Sheet-GPC'!AU26</f>
        <v>0</v>
      </c>
      <c r="T26" s="2037">
        <f>'Capital IQ Sheet-GPC'!AV26</f>
        <v>-22.818000000000001</v>
      </c>
      <c r="U26" s="2037">
        <f>'Capital IQ Sheet-GPC'!AW26</f>
        <v>-47.466999999999999</v>
      </c>
      <c r="V26" s="2037"/>
      <c r="W26" s="2037">
        <f>'Capital IQ Sheet-GPC'!AX26</f>
        <v>-13.430999999999999</v>
      </c>
      <c r="X26" s="2037">
        <f>'Capital IQ Sheet-GPC'!AY26</f>
        <v>-29.818000000000001</v>
      </c>
      <c r="Z26" s="2037">
        <f>'Capital IQ Sheet-GPC'!AZ26</f>
        <v>0</v>
      </c>
      <c r="AA26" s="2037">
        <f>'Capital IQ Sheet-GPC'!BA26</f>
        <v>43.832999999999998</v>
      </c>
      <c r="AB26" s="2037">
        <f>'Capital IQ Sheet-GPC'!BB26</f>
        <v>90.781000000000006</v>
      </c>
      <c r="AD26" s="2037">
        <f>'Capital IQ Sheet-GPC'!BC26</f>
        <v>60.241</v>
      </c>
      <c r="AE26" s="2037">
        <f>'Capital IQ Sheet-GPC'!BD26</f>
        <v>34.048999999999999</v>
      </c>
      <c r="AG26" s="331">
        <f>'Beta Calc'!K23</f>
        <v>317.50677000000002</v>
      </c>
      <c r="AH26" s="331">
        <f>'Beta Calc'!L23</f>
        <v>0.26100000000000001</v>
      </c>
      <c r="AI26" s="331">
        <f>'Beta Calc'!M23</f>
        <v>0</v>
      </c>
      <c r="AJ26" s="331">
        <f>'Beta Calc'!N23</f>
        <v>0</v>
      </c>
      <c r="AK26" s="331">
        <f t="shared" si="11"/>
        <v>0.26100000000000001</v>
      </c>
      <c r="AL26" s="331">
        <f t="shared" si="12"/>
        <v>317.76777000000004</v>
      </c>
      <c r="AM26" s="331">
        <f>'Beta Calc'!Q23</f>
        <v>93.494</v>
      </c>
      <c r="AN26" s="759">
        <f t="shared" si="13"/>
        <v>224.27377000000004</v>
      </c>
      <c r="AP26" s="1177" t="str">
        <f>IF('MASTER PubCo Inputs'!C41="","",'MASTER PubCo Inputs'!C41)</f>
        <v>IQ236291486</v>
      </c>
      <c r="AQ26" s="2000" t="str">
        <f>'Comp.1'!AL25</f>
        <v>Syros Pharmaceuticals, Inc., a biopharmaceutical company, focuses on developing treatments for cancer and immune-mediated diseases, and building a pipeline of gene control medicines. Its lead drug candidates are SY-1425, a selective RARa agonist in a Phase 2 clinical trial for genomically defined subsets of patients with acute myeloid leukemia and myelodysplastic syndrome; and SY-1365, a selective CDK7 inhibitor with potential in a range of solid tumors and blood cancers. The company was formerly known as LS22, Inc. and changed its name to Syros Pharmaceuticals, Inc. in August 2012. Syros Pharmaceuticals, Inc. was founded in 2011 and is based in Cambridge, Massachusetts.</v>
      </c>
    </row>
    <row r="27" spans="2:43" ht="14.85" customHeight="1">
      <c r="B27" s="250" t="str">
        <f>'Comp.1'!B26</f>
        <v>Abeona Therapeutics Inc.</v>
      </c>
      <c r="C27" s="759">
        <f t="shared" si="0"/>
        <v>249.7473</v>
      </c>
      <c r="E27" s="1174" t="str">
        <f t="shared" si="1"/>
        <v>n/a</v>
      </c>
      <c r="F27" s="1174" t="str">
        <f t="shared" si="2"/>
        <v>n/a</v>
      </c>
      <c r="G27" s="1174" t="str">
        <f t="shared" si="3"/>
        <v>n/a</v>
      </c>
      <c r="H27" s="331"/>
      <c r="I27" s="1174" t="str">
        <f t="shared" si="4"/>
        <v>n/a</v>
      </c>
      <c r="J27" s="1174" t="str">
        <f t="shared" si="5"/>
        <v>n/a</v>
      </c>
      <c r="L27" s="1174" t="str">
        <f t="shared" si="6"/>
        <v>n/a</v>
      </c>
      <c r="M27" s="1174">
        <f t="shared" si="7"/>
        <v>23.166222407729258</v>
      </c>
      <c r="N27" s="1174">
        <f t="shared" si="8"/>
        <v>26.664966054973615</v>
      </c>
      <c r="P27" s="1174">
        <f t="shared" si="9"/>
        <v>351.50028446843856</v>
      </c>
      <c r="Q27" s="1174">
        <f t="shared" si="10"/>
        <v>24.997052169932516</v>
      </c>
      <c r="S27" s="2037">
        <f>'Capital IQ Sheet-GPC'!AU27</f>
        <v>-15.91</v>
      </c>
      <c r="T27" s="2037">
        <f>'Capital IQ Sheet-GPC'!AV27</f>
        <v>-24.129000000000001</v>
      </c>
      <c r="U27" s="2037">
        <f>'Capital IQ Sheet-GPC'!AW27</f>
        <v>-17.210999999999999</v>
      </c>
      <c r="V27" s="2037"/>
      <c r="W27" s="2037">
        <f>'Capital IQ Sheet-GPC'!AX27</f>
        <v>-26.777999999999999</v>
      </c>
      <c r="X27" s="2037">
        <f>'Capital IQ Sheet-GPC'!AY27</f>
        <v>-14.526</v>
      </c>
      <c r="Z27" s="2037">
        <f>'Capital IQ Sheet-GPC'!AZ27</f>
        <v>-17.355</v>
      </c>
      <c r="AA27" s="2037">
        <f>'Capital IQ Sheet-GPC'!BA27</f>
        <v>73.072999999999993</v>
      </c>
      <c r="AB27" s="2037">
        <f>'Capital IQ Sheet-GPC'!BB27</f>
        <v>63.484999999999999</v>
      </c>
      <c r="AD27" s="2037">
        <f>'Capital IQ Sheet-GPC'!BC27</f>
        <v>4.8159999999999998</v>
      </c>
      <c r="AE27" s="2037">
        <f>'Capital IQ Sheet-GPC'!BD27</f>
        <v>67.721000000000004</v>
      </c>
      <c r="AG27" s="331">
        <f>'Beta Calc'!K24</f>
        <v>249.7473</v>
      </c>
      <c r="AH27" s="331">
        <f>'Beta Calc'!L24</f>
        <v>0</v>
      </c>
      <c r="AI27" s="331">
        <f>'Beta Calc'!M24</f>
        <v>0</v>
      </c>
      <c r="AJ27" s="331">
        <f>'Beta Calc'!N24</f>
        <v>0</v>
      </c>
      <c r="AK27" s="331">
        <f t="shared" si="11"/>
        <v>0</v>
      </c>
      <c r="AL27" s="331">
        <f t="shared" si="12"/>
        <v>249.7473</v>
      </c>
      <c r="AM27" s="331">
        <f>'Beta Calc'!Q24</f>
        <v>31.184999999999999</v>
      </c>
      <c r="AN27" s="759">
        <f t="shared" si="13"/>
        <v>218.56229999999999</v>
      </c>
      <c r="AP27" s="1177" t="str">
        <f>IF('MASTER PubCo Inputs'!C42="","",'MASTER PubCo Inputs'!C42)</f>
        <v>IQ360935</v>
      </c>
      <c r="AQ27" s="2000" t="str">
        <f>'Comp.1'!AL26</f>
        <v>Abeona Therapeutics Inc. focuses on developing and delivering gene therapy and plasma-based products for severe and life-threatening rare diseases. The company’s lead programs are ABO-101 and ABO-102, which are adeno-associated virus -based gene therapies for Sanfilippo syndrome. It is also developing EB-201 for epidermolysis bullosa (EB); ABO-201 gene therapy for juvenile Batten disease; ABO-202 gene therapy for treatment of infantile Batten disease; ABO-301 for Fanconi anemia disorder; and ABO-302 using a novel CRISPR/Cas9-based gene editing approach to gene therapy program for rare blood diseases. In addition, the company is developing plasma-based protein therapies, including SDF Alpha, an alpha-1 protease inhibitor for inherited COPD using its proprietary salt diafiltration ethanol-free process.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The company was formerly known as PlasmaTech Biopharmaceuticals, Inc. and changed its name to Abeona Therapeutics Inc. in June 2015. Abeona Therapeutics Inc. was incorporated in 1989 and is based in Dallas, Texas.</v>
      </c>
    </row>
    <row r="28" spans="2:43" ht="14.85" customHeight="1">
      <c r="B28" s="250" t="str">
        <f>'Comp.1'!B27</f>
        <v>Idera Pharmaceuticals, Inc.</v>
      </c>
      <c r="C28" s="759">
        <f t="shared" si="0"/>
        <v>249.53377</v>
      </c>
      <c r="E28" s="1174" t="str">
        <f t="shared" si="1"/>
        <v>n/a</v>
      </c>
      <c r="F28" s="1174" t="str">
        <f t="shared" si="2"/>
        <v>n/a</v>
      </c>
      <c r="G28" s="1174" t="str">
        <f t="shared" si="3"/>
        <v>n/a</v>
      </c>
      <c r="H28" s="331"/>
      <c r="I28" s="1174" t="str">
        <f t="shared" si="4"/>
        <v>n/a</v>
      </c>
      <c r="J28" s="1174" t="str">
        <f t="shared" si="5"/>
        <v>n/a</v>
      </c>
      <c r="L28" s="1174">
        <f t="shared" si="6"/>
        <v>32.048340054145136</v>
      </c>
      <c r="M28" s="1174">
        <f t="shared" si="7"/>
        <v>18.269608344665329</v>
      </c>
      <c r="N28" s="1174">
        <f t="shared" si="8"/>
        <v>33.943402510426694</v>
      </c>
      <c r="P28" s="1174">
        <f t="shared" si="9"/>
        <v>39.003395465646747</v>
      </c>
      <c r="Q28" s="1174">
        <f t="shared" si="10"/>
        <v>20.253468091215815</v>
      </c>
      <c r="S28" s="2037">
        <f>'Capital IQ Sheet-GPC'!AU28</f>
        <v>-32.814</v>
      </c>
      <c r="T28" s="2037">
        <f>'Capital IQ Sheet-GPC'!AV28</f>
        <v>-48.482999999999997</v>
      </c>
      <c r="U28" s="2037">
        <f>'Capital IQ Sheet-GPC'!AW28</f>
        <v>-51.201000000000001</v>
      </c>
      <c r="V28" s="2037"/>
      <c r="W28" s="2037">
        <f>'Capital IQ Sheet-GPC'!AX28</f>
        <v>-38.642000000000003</v>
      </c>
      <c r="X28" s="2037">
        <f>'Capital IQ Sheet-GPC'!AY28</f>
        <v>-48.555</v>
      </c>
      <c r="Z28" s="2037">
        <f>'Capital IQ Sheet-GPC'!AZ28</f>
        <v>52.820999999999998</v>
      </c>
      <c r="AA28" s="2037">
        <f>'Capital IQ Sheet-GPC'!BA28</f>
        <v>92.658000000000001</v>
      </c>
      <c r="AB28" s="2037">
        <f>'Capital IQ Sheet-GPC'!BB28</f>
        <v>49.872</v>
      </c>
      <c r="AD28" s="2037">
        <f>'Capital IQ Sheet-GPC'!BC28</f>
        <v>43.402000000000001</v>
      </c>
      <c r="AE28" s="2037">
        <f>'Capital IQ Sheet-GPC'!BD28</f>
        <v>83.581999999999994</v>
      </c>
      <c r="AG28" s="331">
        <f>'Beta Calc'!K25</f>
        <v>249.53377</v>
      </c>
      <c r="AH28" s="331">
        <f>'Beta Calc'!L25</f>
        <v>0.56899999999999995</v>
      </c>
      <c r="AI28" s="331">
        <f>'Beta Calc'!M25</f>
        <v>0</v>
      </c>
      <c r="AJ28" s="331">
        <f>'Beta Calc'!N25</f>
        <v>0</v>
      </c>
      <c r="AK28" s="331">
        <f t="shared" si="11"/>
        <v>0.56899999999999995</v>
      </c>
      <c r="AL28" s="331">
        <f t="shared" si="12"/>
        <v>250.10276999999999</v>
      </c>
      <c r="AM28" s="331">
        <f>'Beta Calc'!Q25</f>
        <v>52.01</v>
      </c>
      <c r="AN28" s="759">
        <f t="shared" si="13"/>
        <v>198.09277</v>
      </c>
      <c r="AP28" s="1177" t="str">
        <f>IF('MASTER PubCo Inputs'!C43="","",'MASTER PubCo Inputs'!C43)</f>
        <v>IQ29643</v>
      </c>
      <c r="AQ28" s="2000" t="str">
        <f>'Comp.1'!AL27</f>
        <v>Idera Pharmaceuticals, Inc., a clinical-stage biopharmaceutical company, focuses on the discovery, development, and commercialization of oligonucleotide therapeutics for oncology and rare diseases in the United States. It uses two drug discovery technology platforms to design and develop drug candidates, including toll-like receptor targeting technology and third-generation antisense (3GA) technology. The company’s drug candidates include IMO-2125, an agonist that is in Phase I/II clinical trials in combination with ipilimumab and pembrolizumab for the treatment of anti-PD-1 refractory metastatic melanoma and refractory solid tumors; IMO-8400, an antagonist, which is in Phase II clinical trial for the treatment of dermatomyositis. It also develops IDRA-008 for undisclosed liver target for rare disorder; 3GA compound for renal target; and IMO-9200, a drug candidate for potential use in selected autoimmune disease indications. In addition, the company is developing drug candidates to turn off the messenger RNA associated with disease causing genes. Idera Pharmaceuticals, Inc. has collaboration and license agreement with GSK to research, develop, and commercialize selected molecules from its 3GA technology for the treatment of selected targets in renal disease; collaboration with Abbott Molecular Inc. for the development of an in vitro companion diagnostic; and Merck &amp; Co to research, develop, and commercialize vaccine products. The company was founded in 1989 and is based in Cambridge, Massachusetts.</v>
      </c>
    </row>
    <row r="29" spans="2:43" ht="14.85" customHeight="1">
      <c r="B29" s="250" t="str">
        <f>'Comp.1'!B28</f>
        <v>Achillion Pharmaceuticals, Inc.</v>
      </c>
      <c r="C29" s="759">
        <f t="shared" si="0"/>
        <v>565.85888</v>
      </c>
      <c r="E29" s="1174" t="str">
        <f t="shared" si="1"/>
        <v>n/a</v>
      </c>
      <c r="F29" s="1174" t="str">
        <f t="shared" si="2"/>
        <v>n/a</v>
      </c>
      <c r="G29" s="1174" t="str">
        <f t="shared" si="3"/>
        <v>n/a</v>
      </c>
      <c r="H29" s="331"/>
      <c r="I29" s="1174" t="str">
        <f t="shared" si="4"/>
        <v>n/a</v>
      </c>
      <c r="J29" s="1174" t="str">
        <f t="shared" si="5"/>
        <v>n/a</v>
      </c>
      <c r="L29" s="1174">
        <f t="shared" si="6"/>
        <v>14.153703251590681</v>
      </c>
      <c r="M29" s="1174">
        <f t="shared" si="7"/>
        <v>3.9391850188486059</v>
      </c>
      <c r="N29" s="1174">
        <f t="shared" si="8"/>
        <v>4.2192895259601553</v>
      </c>
      <c r="P29" s="1174">
        <f t="shared" si="9"/>
        <v>11.799241438917118</v>
      </c>
      <c r="Q29" s="1174">
        <f t="shared" si="10"/>
        <v>3.764879524771148</v>
      </c>
      <c r="S29" s="2037">
        <f>'Capital IQ Sheet-GPC'!AU29</f>
        <v>-60.762</v>
      </c>
      <c r="T29" s="2037">
        <f>'Capital IQ Sheet-GPC'!AV29</f>
        <v>-43.578000000000003</v>
      </c>
      <c r="U29" s="2037">
        <f>'Capital IQ Sheet-GPC'!AW29</f>
        <v>-40.325000000000003</v>
      </c>
      <c r="V29" s="2037"/>
      <c r="W29" s="2037">
        <f>'Capital IQ Sheet-GPC'!AX29</f>
        <v>-69.007999999999996</v>
      </c>
      <c r="X29" s="2037">
        <f>'Capital IQ Sheet-GPC'!AY29</f>
        <v>-5.03</v>
      </c>
      <c r="Z29" s="2037">
        <f>'Capital IQ Sheet-GPC'!AZ29</f>
        <v>119.60299999999999</v>
      </c>
      <c r="AA29" s="2037">
        <f>'Capital IQ Sheet-GPC'!BA29</f>
        <v>429.74</v>
      </c>
      <c r="AB29" s="2037">
        <f>'Capital IQ Sheet-GPC'!BB29</f>
        <v>401.21100000000001</v>
      </c>
      <c r="AD29" s="2037">
        <f>'Capital IQ Sheet-GPC'!BC29</f>
        <v>143.46899999999999</v>
      </c>
      <c r="AE29" s="2037">
        <f>'Capital IQ Sheet-GPC'!BD29</f>
        <v>449.63600000000002</v>
      </c>
      <c r="AG29" s="331">
        <f>'Beta Calc'!K26</f>
        <v>565.85888</v>
      </c>
      <c r="AH29" s="331">
        <f>'Beta Calc'!L26</f>
        <v>0.28899999999999998</v>
      </c>
      <c r="AI29" s="331">
        <f>'Beta Calc'!M26</f>
        <v>0</v>
      </c>
      <c r="AJ29" s="331">
        <f>'Beta Calc'!N26</f>
        <v>0</v>
      </c>
      <c r="AK29" s="331">
        <f t="shared" si="11"/>
        <v>0.28899999999999998</v>
      </c>
      <c r="AL29" s="331">
        <f t="shared" si="12"/>
        <v>566.14787999999999</v>
      </c>
      <c r="AM29" s="331">
        <f>'Beta Calc'!Q26</f>
        <v>408.70499999999998</v>
      </c>
      <c r="AN29" s="759">
        <f t="shared" si="13"/>
        <v>157.44288</v>
      </c>
      <c r="AP29" s="1177" t="str">
        <f>IF('MASTER PubCo Inputs'!C44="","",'MASTER PubCo Inputs'!C44)</f>
        <v>IQ120199</v>
      </c>
      <c r="AQ29" s="2000" t="str">
        <f>'Comp.1'!AL28</f>
        <v>Achillion Pharmaceuticals, Inc., a biopharmaceutical company, discovers, develops, and commercializes small molecule drug therapies for infectious diseases and immune system disorders in the United States and internationally. Its drug candidates for treating chronic hepatitis C virus (HCV) infection comprise Odalasvir, a NS5A inhibitor, which has completed Phase IIa clinical trials; ACH-3422, a NS5B nucleotide polymerase inhibitor; and Sovaprevir, a NS3 protease inhibitor that has completed Phase II clinical trial. The company is also developing ACH-4471, a complement factor D inhibitor, which is in Phase I clinical trial to treat patients with paroxysmal nocturnal hemoglobinuria and C3G, a disease resulting from alternative pathway over-activation; and other factor D inhibitors. It has a license and development agreement with Ora, Inc. for the development and commercialization of ACH-702, a drug candidate that is delivered topically or locally; and collaboration arrangement with Janssen Pharmaceuticals Inc. to develop and commercialize antiviral drug candidates for treating HCV infection. The company was founded in 1998 and is headquartered in New Haven, Connecticut.</v>
      </c>
    </row>
    <row r="30" spans="2:43" ht="14.85" customHeight="1">
      <c r="B30" s="250" t="str">
        <f>'Comp.1'!B29</f>
        <v>ContraVir Pharmaceuticals, Inc.</v>
      </c>
      <c r="C30" s="759">
        <f t="shared" si="0"/>
        <v>118.69085</v>
      </c>
      <c r="E30" s="1174" t="str">
        <f t="shared" si="1"/>
        <v>n/a</v>
      </c>
      <c r="F30" s="1174" t="str">
        <f t="shared" si="2"/>
        <v>n/a</v>
      </c>
      <c r="G30" s="1174" t="str">
        <f t="shared" si="3"/>
        <v>n/a</v>
      </c>
      <c r="H30" s="331"/>
      <c r="I30" s="1174" t="str">
        <f t="shared" si="4"/>
        <v>n/a</v>
      </c>
      <c r="J30" s="1174" t="str">
        <f t="shared" si="5"/>
        <v>n/a</v>
      </c>
      <c r="L30" s="1174">
        <f t="shared" si="6"/>
        <v>3135.6166669753834</v>
      </c>
      <c r="M30" s="1174" t="str">
        <f t="shared" si="7"/>
        <v>n/a</v>
      </c>
      <c r="N30" s="1174" t="str">
        <f t="shared" si="8"/>
        <v>n/a</v>
      </c>
      <c r="P30" s="1174">
        <f t="shared" si="9"/>
        <v>196.75413656354897</v>
      </c>
      <c r="Q30" s="1174">
        <f t="shared" si="10"/>
        <v>339.62470307358961</v>
      </c>
      <c r="S30" s="2037">
        <f>'Capital IQ Sheet-GPC'!AU30</f>
        <v>-6.5691899999999999</v>
      </c>
      <c r="T30" s="2037">
        <f>'Capital IQ Sheet-GPC'!AV30</f>
        <v>-17.721910000000001</v>
      </c>
      <c r="U30" s="2037">
        <f>'Capital IQ Sheet-GPC'!AW30</f>
        <v>-16.97109</v>
      </c>
      <c r="V30" s="2037"/>
      <c r="W30" s="2037">
        <f>'Capital IQ Sheet-GPC'!AX30</f>
        <v>-9.5054800000000004</v>
      </c>
      <c r="X30" s="2037">
        <f>'Capital IQ Sheet-GPC'!AY30</f>
        <v>-17.6479</v>
      </c>
      <c r="Z30" s="2037">
        <f>'Capital IQ Sheet-GPC'!AZ30</f>
        <v>0.53986999999999996</v>
      </c>
      <c r="AA30" s="2037">
        <f>'Capital IQ Sheet-GPC'!BA30</f>
        <v>-1.3610800000000001</v>
      </c>
      <c r="AB30" s="2037">
        <f>'Capital IQ Sheet-GPC'!BB30</f>
        <v>-2.9960200000000001</v>
      </c>
      <c r="AD30" s="2037">
        <f>'Capital IQ Sheet-GPC'!BC30</f>
        <v>8.6037599999999994</v>
      </c>
      <c r="AE30" s="2037">
        <f>'Capital IQ Sheet-GPC'!BD30</f>
        <v>4.9843999999999999</v>
      </c>
      <c r="AG30" s="331">
        <f>'Beta Calc'!K27</f>
        <v>118.69085</v>
      </c>
      <c r="AH30" s="331">
        <f>'Beta Calc'!L27</f>
        <v>0</v>
      </c>
      <c r="AI30" s="331">
        <f>'Beta Calc'!M27</f>
        <v>1.83091</v>
      </c>
      <c r="AJ30" s="331">
        <f>'Beta Calc'!N27</f>
        <v>0</v>
      </c>
      <c r="AK30" s="331">
        <f t="shared" si="11"/>
        <v>1.83091</v>
      </c>
      <c r="AL30" s="331">
        <f t="shared" si="12"/>
        <v>120.52176</v>
      </c>
      <c r="AM30" s="331">
        <f>'Beta Calc'!Q27</f>
        <v>3.0281600000000002</v>
      </c>
      <c r="AN30" s="759">
        <f t="shared" si="13"/>
        <v>117.4936</v>
      </c>
      <c r="AP30" s="1177" t="str">
        <f>IF('MASTER PubCo Inputs'!C45="","",'MASTER PubCo Inputs'!C45)</f>
        <v>IQ244424098</v>
      </c>
      <c r="AQ30" s="2000" t="str">
        <f>'Comp.1'!AL29</f>
        <v>ContraVir Pharmaceuticals, Inc. operates as a biopharmaceutical company focused on the development of antiviral drugs with a primary emphasis on the treatment of Hepatitis B virus (HBV) infections. The company is developing CMX157 and CRV431 to treat HBV infection; and FV-100, an orally available, small molecule compound for the prevention of post-herpetic neuralgia, and treatment of herpes zoster infection and acute zoster-associated pain. ContraVir Pharmaceuticals, Inc. was founded in 2013 and is headquartered in Edison, New Jersey.</v>
      </c>
    </row>
    <row r="31" spans="2:43" ht="14.85" customHeight="1">
      <c r="B31" s="250" t="str">
        <f>'Comp.1'!B30</f>
        <v>Sangamo Therapeutics, Inc.</v>
      </c>
      <c r="C31" s="759">
        <f t="shared" si="0"/>
        <v>225.99635000000001</v>
      </c>
      <c r="E31" s="1174" t="str">
        <f t="shared" si="1"/>
        <v>n/a</v>
      </c>
      <c r="F31" s="1174" t="str">
        <f t="shared" si="2"/>
        <v>n/a</v>
      </c>
      <c r="G31" s="1174" t="str">
        <f t="shared" si="3"/>
        <v>n/a</v>
      </c>
      <c r="H31" s="331"/>
      <c r="I31" s="1174" t="str">
        <f t="shared" si="4"/>
        <v>n/a</v>
      </c>
      <c r="J31" s="1174" t="str">
        <f t="shared" si="5"/>
        <v>n/a</v>
      </c>
      <c r="L31" s="1174">
        <f t="shared" si="6"/>
        <v>8.0557410571098167</v>
      </c>
      <c r="M31" s="1174">
        <f t="shared" si="7"/>
        <v>8.3161819727055679</v>
      </c>
      <c r="N31" s="1174">
        <f t="shared" si="8"/>
        <v>11.769135473733973</v>
      </c>
      <c r="P31" s="1174">
        <f t="shared" si="9"/>
        <v>8.1924250724714831</v>
      </c>
      <c r="Q31" s="1174">
        <f t="shared" si="10"/>
        <v>8.7966855471084351</v>
      </c>
      <c r="S31" s="2037">
        <f>'Capital IQ Sheet-GPC'!AU31</f>
        <v>-30.242000000000001</v>
      </c>
      <c r="T31" s="2037">
        <f>'Capital IQ Sheet-GPC'!AV31</f>
        <v>-31.009</v>
      </c>
      <c r="U31" s="2037">
        <f>'Capital IQ Sheet-GPC'!AW31</f>
        <v>-76.046999999999997</v>
      </c>
      <c r="V31" s="2037"/>
      <c r="W31" s="2037">
        <f>'Capital IQ Sheet-GPC'!AX31</f>
        <v>-26.417000000000002</v>
      </c>
      <c r="X31" s="2037">
        <f>'Capital IQ Sheet-GPC'!AY31</f>
        <v>-40.703000000000003</v>
      </c>
      <c r="Z31" s="2037">
        <f>'Capital IQ Sheet-GPC'!AZ31</f>
        <v>210.13900000000001</v>
      </c>
      <c r="AA31" s="2037">
        <f>'Capital IQ Sheet-GPC'!BA31</f>
        <v>203.55799999999999</v>
      </c>
      <c r="AB31" s="2037">
        <f>'Capital IQ Sheet-GPC'!BB31</f>
        <v>143.83600000000001</v>
      </c>
      <c r="AD31" s="2037">
        <f>'Capital IQ Sheet-GPC'!BC31</f>
        <v>206.63300000000001</v>
      </c>
      <c r="AE31" s="2037">
        <f>'Capital IQ Sheet-GPC'!BD31</f>
        <v>192.43899999999999</v>
      </c>
      <c r="AG31" s="331">
        <f>'Beta Calc'!K28</f>
        <v>225.99635000000001</v>
      </c>
      <c r="AH31" s="331">
        <f>'Beta Calc'!L28</f>
        <v>0</v>
      </c>
      <c r="AI31" s="331">
        <f>'Beta Calc'!M28</f>
        <v>0</v>
      </c>
      <c r="AJ31" s="331">
        <f>'Beta Calc'!N28</f>
        <v>0</v>
      </c>
      <c r="AK31" s="331">
        <f t="shared" si="11"/>
        <v>0</v>
      </c>
      <c r="AL31" s="331">
        <f t="shared" si="12"/>
        <v>225.99635000000001</v>
      </c>
      <c r="AM31" s="331">
        <f>'Beta Calc'!Q28</f>
        <v>145.58099999999999</v>
      </c>
      <c r="AN31" s="759">
        <f t="shared" si="13"/>
        <v>80.415350000000018</v>
      </c>
      <c r="AP31" s="1177" t="str">
        <f>IF('MASTER PubCo Inputs'!C46="","",'MASTER PubCo Inputs'!C46)</f>
        <v>IQ412674</v>
      </c>
      <c r="AQ31" s="2000" t="str">
        <f>'Comp.1'!AL30</f>
        <v>Sangamo Therapeutics, Inc., a clinical stage biopharmaceutical company, focuses on translating ground-breaking science into genomic therapies that transform patients' lives using platform technologies in genome editing, gene therapy, gene regulation, and cell therapy. The company’s proprietary zinc finger DNA-binding protein (ZFP) technology enables specific genome editing and gene regulation. The ZFPs could be engineered to make ZFP nucleases (ZFNs), proteins that could be used to specifically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Phase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proprietary preclinical programs in other LSDs; and research stage programs in certain central nervous system disorders and cancer immunotherapies. It has collaborative partnerships with Biogen Inc. to develop therapeutic genome editing products in hemoglobinopathies; and with Shire International GmbH to develop the preclinical development program in Huntington’s disease, as well as license agreement with Sigma-Aldrich Corporation to develop ZFP-based laboratory research reagents and Dow AgroSciences, LLC to modify the genomes or alter protein expression of plant cells, plants, or plant cell cultures. The company was formerly known as Sangamo BioSciences, Inc. and changed its name to Sangamo Therapeutics, Inc. in January 2017. Sangamo Therapeutics, Inc. was founded in 1995 and is headquartered in Richmond, California.</v>
      </c>
    </row>
    <row r="32" spans="2:43" ht="14.85" customHeight="1">
      <c r="B32" s="250" t="str">
        <f>'Comp.1'!B31</f>
        <v>Immune Design Corp.</v>
      </c>
      <c r="C32" s="759">
        <f t="shared" si="0"/>
        <v>186.75745000000001</v>
      </c>
      <c r="E32" s="1174" t="str">
        <f t="shared" si="1"/>
        <v>n/a</v>
      </c>
      <c r="F32" s="1174" t="str">
        <f t="shared" si="2"/>
        <v>n/a</v>
      </c>
      <c r="G32" s="1174" t="str">
        <f t="shared" si="3"/>
        <v>n/a</v>
      </c>
      <c r="H32" s="331"/>
      <c r="I32" s="1174" t="str">
        <f t="shared" si="4"/>
        <v>n/a</v>
      </c>
      <c r="J32" s="1174" t="str">
        <f t="shared" si="5"/>
        <v>n/a</v>
      </c>
      <c r="L32" s="1174">
        <f t="shared" si="6"/>
        <v>21.429254266038789</v>
      </c>
      <c r="M32" s="1174">
        <f t="shared" si="7"/>
        <v>14.205249435675386</v>
      </c>
      <c r="N32" s="1174">
        <f t="shared" si="8"/>
        <v>15.782595120223013</v>
      </c>
      <c r="P32" s="1174">
        <f t="shared" si="9"/>
        <v>25.5151082205408</v>
      </c>
      <c r="Q32" s="1174">
        <f t="shared" si="10"/>
        <v>15.531505417779124</v>
      </c>
      <c r="S32" s="2037">
        <f>'Capital IQ Sheet-GPC'!AU32</f>
        <v>-26.437000000000001</v>
      </c>
      <c r="T32" s="2037">
        <f>'Capital IQ Sheet-GPC'!AV32</f>
        <v>-40.450000000000003</v>
      </c>
      <c r="U32" s="2037">
        <f>'Capital IQ Sheet-GPC'!AW32</f>
        <v>-51.198999999999998</v>
      </c>
      <c r="V32" s="2037"/>
      <c r="W32" s="2037">
        <f>'Capital IQ Sheet-GPC'!AX32</f>
        <v>-34.151000000000003</v>
      </c>
      <c r="X32" s="2037">
        <f>'Capital IQ Sheet-GPC'!AY32</f>
        <v>-39.445</v>
      </c>
      <c r="Z32" s="2037">
        <f>'Capital IQ Sheet-GPC'!AZ32</f>
        <v>78.995999999999995</v>
      </c>
      <c r="AA32" s="2037">
        <f>'Capital IQ Sheet-GPC'!BA32</f>
        <v>119.169</v>
      </c>
      <c r="AB32" s="2037">
        <f>'Capital IQ Sheet-GPC'!BB32</f>
        <v>107.259</v>
      </c>
      <c r="AD32" s="2037">
        <f>'Capital IQ Sheet-GPC'!BC32</f>
        <v>66.346000000000004</v>
      </c>
      <c r="AE32" s="2037">
        <f>'Capital IQ Sheet-GPC'!BD32</f>
        <v>108.99299999999999</v>
      </c>
      <c r="AG32" s="331">
        <f>'Beta Calc'!K29</f>
        <v>186.75745000000001</v>
      </c>
      <c r="AH32" s="331">
        <f>'Beta Calc'!L29</f>
        <v>0</v>
      </c>
      <c r="AI32" s="331">
        <f>'Beta Calc'!M29</f>
        <v>0</v>
      </c>
      <c r="AJ32" s="331">
        <f>'Beta Calc'!N29</f>
        <v>0</v>
      </c>
      <c r="AK32" s="331">
        <f t="shared" si="11"/>
        <v>0</v>
      </c>
      <c r="AL32" s="331">
        <f t="shared" si="12"/>
        <v>186.75745000000001</v>
      </c>
      <c r="AM32" s="331">
        <f>'Beta Calc'!Q29</f>
        <v>112.471</v>
      </c>
      <c r="AN32" s="759">
        <f t="shared" si="13"/>
        <v>74.286450000000002</v>
      </c>
      <c r="AP32" s="1177" t="str">
        <f>IF('MASTER PubCo Inputs'!C47="","",'MASTER PubCo Inputs'!C47)</f>
        <v>IQ46099827</v>
      </c>
      <c r="AQ32" s="2000" t="str">
        <f>'Comp.1'!AL31</f>
        <v>Immune Design Corp., a clinical-stage immunotherapy company, engages in the research and development of in vivo treatments for cancer. It primarily develops oncology product candidates based on its ZVex and GLAAS product discovery platforms. The company’s products include CMB305, which is in Phase 2 trial for the treatment of NY-ESO-1 tumor antigen; LV305 that is in Phase 1 trial for the treatment of patients with relapsed or metastatic melanoma, sarcoma, ovarian cancer, or non-small cell lung cancer that express NY-ESO-1; and G100, an intratumoral immune activation product candidate for the treatment of patients with Merkel cell carcinoma and non-Hodgkin Lymphoma. In addition, its technologies are also used in the fields of infectious diseases and allergies. The company has license agreements with California Institute of Technology, University of North Carolina at Chapel Hill, TheraVectys SA, Infectious Disease Research Institute, MedImmune LLC, and Sanofi; and a collaboration agreement with Sanofi Pasteur. Immune Design Corp. was founded in 2008 and is headquartered in Seattle, Washington.</v>
      </c>
    </row>
    <row r="33" spans="2:43" ht="14.85" customHeight="1">
      <c r="B33" s="250" t="str">
        <f>'Comp.1'!B32</f>
        <v>Fate Therapeutics, Inc.</v>
      </c>
      <c r="C33" s="759">
        <f t="shared" si="0"/>
        <v>100.39557000000001</v>
      </c>
      <c r="E33" s="1174" t="str">
        <f t="shared" si="1"/>
        <v>n/a</v>
      </c>
      <c r="F33" s="1174" t="str">
        <f t="shared" si="2"/>
        <v>n/a</v>
      </c>
      <c r="G33" s="1174" t="str">
        <f t="shared" si="3"/>
        <v>n/a</v>
      </c>
      <c r="H33" s="331"/>
      <c r="I33" s="1174" t="str">
        <f t="shared" si="4"/>
        <v>n/a</v>
      </c>
      <c r="J33" s="1174" t="str">
        <f t="shared" si="5"/>
        <v>n/a</v>
      </c>
      <c r="L33" s="1174">
        <f t="shared" si="6"/>
        <v>50.417720097688829</v>
      </c>
      <c r="M33" s="1174">
        <f t="shared" si="7"/>
        <v>37.622521835759528</v>
      </c>
      <c r="N33" s="1174">
        <f t="shared" si="8"/>
        <v>66.717588381350254</v>
      </c>
      <c r="P33" s="1174">
        <f t="shared" si="9"/>
        <v>59.732723006351449</v>
      </c>
      <c r="Q33" s="1174">
        <f t="shared" si="10"/>
        <v>44.50353252011147</v>
      </c>
      <c r="S33" s="2037">
        <f>'Capital IQ Sheet-GPC'!AU33</f>
        <v>-25.388999999999999</v>
      </c>
      <c r="T33" s="2037">
        <f>'Capital IQ Sheet-GPC'!AV33</f>
        <v>-28.779</v>
      </c>
      <c r="U33" s="2037">
        <f>'Capital IQ Sheet-GPC'!AW33</f>
        <v>-32.968000000000004</v>
      </c>
      <c r="V33" s="2037"/>
      <c r="W33" s="2037">
        <f>'Capital IQ Sheet-GPC'!AX33</f>
        <v>-25.882999999999999</v>
      </c>
      <c r="X33" s="2037">
        <f>'Capital IQ Sheet-GPC'!AY33</f>
        <v>-29.992000000000001</v>
      </c>
      <c r="Z33" s="2037">
        <f>'Capital IQ Sheet-GPC'!AZ33</f>
        <v>33.576000000000001</v>
      </c>
      <c r="AA33" s="2037">
        <f>'Capital IQ Sheet-GPC'!BA33</f>
        <v>44.994999999999997</v>
      </c>
      <c r="AB33" s="2037">
        <f>'Capital IQ Sheet-GPC'!BB33</f>
        <v>25.373000000000001</v>
      </c>
      <c r="AD33" s="2037">
        <f>'Capital IQ Sheet-GPC'!BC33</f>
        <v>28.34</v>
      </c>
      <c r="AE33" s="2037">
        <f>'Capital IQ Sheet-GPC'!BD33</f>
        <v>38.037999999999997</v>
      </c>
      <c r="AG33" s="331">
        <f>'Beta Calc'!K30</f>
        <v>100.39557000000001</v>
      </c>
      <c r="AH33" s="331">
        <f>'Beta Calc'!L30</f>
        <v>12.635</v>
      </c>
      <c r="AI33" s="331">
        <f>'Beta Calc'!M30</f>
        <v>0</v>
      </c>
      <c r="AJ33" s="331">
        <f>'Beta Calc'!N30</f>
        <v>0</v>
      </c>
      <c r="AK33" s="331">
        <f t="shared" si="11"/>
        <v>12.635</v>
      </c>
      <c r="AL33" s="331">
        <f t="shared" si="12"/>
        <v>113.03057000000001</v>
      </c>
      <c r="AM33" s="331">
        <f>'Beta Calc'!Q30</f>
        <v>46.619</v>
      </c>
      <c r="AN33" s="759">
        <f t="shared" si="13"/>
        <v>66.411570000000012</v>
      </c>
      <c r="AP33" s="1177" t="str">
        <f>IF('MASTER PubCo Inputs'!C48="","",'MASTER PubCo Inputs'!C48)</f>
        <v>IQ39268712</v>
      </c>
      <c r="AQ33" s="2000" t="str">
        <f>'Comp.1'!AL32</f>
        <v>Fate Therapeutics, Inc., a clinical-stage biopharmaceutical company, develops programmed cellular immunotherapies for cancer and immune disorders worldwide. Its immuno-oncology product candidates include FATE-NK100, a natural killer (NK) cell cancer immunotherapy that consists of adaptive memory NK cells; engineered hnCD16 induced pluripotent stem cells (iPSC)-derived natural killer cell therapy candidates for hematologic/solid tumors; and engineered chimeric antigen receptor iPSC-derived T cell therapy product candidates for hematologic/solid tumors. The company’s immuno-regulation product candidates comprise ProTmune, an investigational programmed cellular immunotherapy for use as a next-generation allogeneic hematopoietic cell transplantation cell graft; and ToleraCyte for the treatment of autoimmune and inflammatory diseases; engineered iPSC-derived CD34+ cell therapy for immune disorders. Fate Therapeutics, Inc. has a research collaboration and license agreement with Memorial Sloan Kettering Cancer Center to develop off-the-shelf T-cell immunotherapies; and strategic research collaboration and license agreement with Juno Therapeutics, Inc. to identify small molecule modulators that enhance the function of T cells. Fate Therapeutics, Inc. was founded in 2007 and is headquartered in San Diego, California.</v>
      </c>
    </row>
    <row r="34" spans="2:43" ht="14.85" customHeight="1">
      <c r="B34" s="250" t="str">
        <f>'Comp.1'!B33</f>
        <v>Arrowhead Pharmaceuticals, Inc.</v>
      </c>
      <c r="C34" s="759">
        <f t="shared" si="0"/>
        <v>102.94919</v>
      </c>
      <c r="E34" s="1174" t="str">
        <f t="shared" si="1"/>
        <v>n/a</v>
      </c>
      <c r="F34" s="1174" t="str">
        <f t="shared" si="2"/>
        <v>n/a</v>
      </c>
      <c r="G34" s="1174" t="str">
        <f t="shared" si="3"/>
        <v>n/a</v>
      </c>
      <c r="H34" s="331"/>
      <c r="I34" s="1174" t="str">
        <f t="shared" si="4"/>
        <v>n/a</v>
      </c>
      <c r="J34" s="1174" t="str">
        <f t="shared" si="5"/>
        <v>n/a</v>
      </c>
      <c r="L34" s="1174">
        <f t="shared" si="6"/>
        <v>9.1106264705048154</v>
      </c>
      <c r="M34" s="1174">
        <f t="shared" si="7"/>
        <v>12.947594692208208</v>
      </c>
      <c r="N34" s="1174">
        <f t="shared" si="8"/>
        <v>28.48667273480244</v>
      </c>
      <c r="P34" s="1174">
        <f t="shared" si="9"/>
        <v>11.617797020609546</v>
      </c>
      <c r="Q34" s="1174">
        <f t="shared" si="10"/>
        <v>18.326890508755213</v>
      </c>
      <c r="S34" s="2037">
        <f>'Capital IQ Sheet-GPC'!AU34</f>
        <v>-50.099939999999997</v>
      </c>
      <c r="T34" s="2037">
        <f>'Capital IQ Sheet-GPC'!AV34</f>
        <v>-89.628280000000004</v>
      </c>
      <c r="U34" s="2037">
        <f>'Capital IQ Sheet-GPC'!AW34</f>
        <v>-84.244150000000005</v>
      </c>
      <c r="V34" s="2037"/>
      <c r="W34" s="2037">
        <f>'Capital IQ Sheet-GPC'!AX34</f>
        <v>-70.614959999999996</v>
      </c>
      <c r="X34" s="2037">
        <f>'Capital IQ Sheet-GPC'!AY34</f>
        <v>-88.630009999999999</v>
      </c>
      <c r="Z34" s="2037">
        <f>'Capital IQ Sheet-GPC'!AZ34</f>
        <v>185.80779000000001</v>
      </c>
      <c r="AA34" s="2037">
        <f>'Capital IQ Sheet-GPC'!BA34</f>
        <v>130.74439000000001</v>
      </c>
      <c r="AB34" s="2037">
        <f>'Capital IQ Sheet-GPC'!BB34</f>
        <v>59.425170000000001</v>
      </c>
      <c r="AD34" s="2037">
        <f>'Capital IQ Sheet-GPC'!BC34</f>
        <v>145.70966999999999</v>
      </c>
      <c r="AE34" s="2037">
        <f>'Capital IQ Sheet-GPC'!BD34</f>
        <v>92.368390000000005</v>
      </c>
      <c r="AG34" s="331">
        <f>'Beta Calc'!K31</f>
        <v>102.94919</v>
      </c>
      <c r="AH34" s="331">
        <f>'Beta Calc'!L31</f>
        <v>3.32328</v>
      </c>
      <c r="AI34" s="331">
        <f>'Beta Calc'!M31</f>
        <v>2.0000000000000002E-5</v>
      </c>
      <c r="AJ34" s="331">
        <f>'Beta Calc'!N31</f>
        <v>-0.55518999999999996</v>
      </c>
      <c r="AK34" s="331">
        <f t="shared" si="11"/>
        <v>2.7681100000000001</v>
      </c>
      <c r="AL34" s="331">
        <f t="shared" si="12"/>
        <v>105.71730000000001</v>
      </c>
      <c r="AM34" s="331">
        <f>'Beta Calc'!Q31</f>
        <v>44.647100000000002</v>
      </c>
      <c r="AN34" s="759">
        <f t="shared" si="13"/>
        <v>61.070200000000007</v>
      </c>
      <c r="AP34" s="1177" t="str">
        <f>IF('MASTER PubCo Inputs'!C49="","",'MASTER PubCo Inputs'!C49)</f>
        <v>IQ203142</v>
      </c>
      <c r="AQ34" s="2000" t="str">
        <f>'Comp.1'!AL33</f>
        <v>Arrowhead Pharmaceuticals, Inc. develops novel drugs to treat intractable diseases in the United States. Its pre-clinical stage drug candidates include ARO-HBV to treat chronic hepatitis B virus infection; ARO-AAT to treat liver disease associated with alpha-1 antitrypsin deficiency; ARO-LPA to reduce production of apolipoprotein A; ARO-AMG1, which is developed against an undisclosed genetically validated cardiovascular target; and ARO-F12, a potential treatment for factor 12 mediated diseases, such as hereditary angioedema and thromboembolic disorders. The company also develops ARO-HIF2, a drug candidate for the treatment of clear cell renal cell carcinoma. Arrowhead Pharmaceuticals, Inc. has collaboration and license agreements with Amgen, Inc. The company was formerly known as Arrowhead Research Corporation and changed its name to Arrowhead Pharmaceuticals, Inc. in April 2016. Arrowhead Pharmaceuticals, Inc. was incorporated in 1989 and is headquartered in Pasadena, California.</v>
      </c>
    </row>
    <row r="35" spans="2:43" ht="14.85" customHeight="1">
      <c r="B35" s="250" t="str">
        <f>'Comp.1'!B34</f>
        <v>Regulus Therapeutics Inc.</v>
      </c>
      <c r="C35" s="759">
        <f t="shared" si="0"/>
        <v>129.66210000000001</v>
      </c>
      <c r="E35" s="1174" t="str">
        <f t="shared" si="1"/>
        <v>n/a</v>
      </c>
      <c r="F35" s="1174" t="str">
        <f t="shared" si="2"/>
        <v>n/a</v>
      </c>
      <c r="G35" s="1174" t="str">
        <f t="shared" si="3"/>
        <v>n/a</v>
      </c>
      <c r="H35" s="331"/>
      <c r="I35" s="1174" t="str">
        <f t="shared" si="4"/>
        <v>n/a</v>
      </c>
      <c r="J35" s="1174" t="str">
        <f t="shared" si="5"/>
        <v>n/a</v>
      </c>
      <c r="L35" s="1174">
        <f t="shared" si="6"/>
        <v>22.851314389848813</v>
      </c>
      <c r="M35" s="1174">
        <f t="shared" si="7"/>
        <v>13.449852775261796</v>
      </c>
      <c r="N35" s="1174">
        <f t="shared" si="8"/>
        <v>23.2898860837862</v>
      </c>
      <c r="P35" s="1174">
        <f t="shared" si="9"/>
        <v>12.823074598148681</v>
      </c>
      <c r="Q35" s="1174">
        <f t="shared" si="10"/>
        <v>13.643235464788278</v>
      </c>
      <c r="S35" s="2037">
        <f>'Capital IQ Sheet-GPC'!AU35</f>
        <v>-36.439</v>
      </c>
      <c r="T35" s="2037">
        <f>'Capital IQ Sheet-GPC'!AV35</f>
        <v>-70.69</v>
      </c>
      <c r="U35" s="2037">
        <f>'Capital IQ Sheet-GPC'!AW35</f>
        <v>-69.042000000000002</v>
      </c>
      <c r="V35" s="2037"/>
      <c r="W35" s="2037">
        <f>'Capital IQ Sheet-GPC'!AX35</f>
        <v>-56.68</v>
      </c>
      <c r="X35" s="2037">
        <f>'Capital IQ Sheet-GPC'!AY35</f>
        <v>-55.747999999999998</v>
      </c>
      <c r="Z35" s="2037">
        <f>'Capital IQ Sheet-GPC'!AZ35</f>
        <v>74.08</v>
      </c>
      <c r="AA35" s="2037">
        <f>'Capital IQ Sheet-GPC'!BA35</f>
        <v>125.86199999999999</v>
      </c>
      <c r="AB35" s="2037">
        <f>'Capital IQ Sheet-GPC'!BB35</f>
        <v>72.685000000000002</v>
      </c>
      <c r="AD35" s="2037">
        <f>'Capital IQ Sheet-GPC'!BC35</f>
        <v>132.01400000000001</v>
      </c>
      <c r="AE35" s="2037">
        <f>'Capital IQ Sheet-GPC'!BD35</f>
        <v>124.078</v>
      </c>
      <c r="AG35" s="331">
        <f>'Beta Calc'!K32</f>
        <v>129.66210000000001</v>
      </c>
      <c r="AH35" s="331">
        <f>'Beta Calc'!L32</f>
        <v>19.786999999999999</v>
      </c>
      <c r="AI35" s="331">
        <f>'Beta Calc'!M32</f>
        <v>0</v>
      </c>
      <c r="AJ35" s="331">
        <f>'Beta Calc'!N32</f>
        <v>0</v>
      </c>
      <c r="AK35" s="331">
        <f t="shared" si="11"/>
        <v>19.786999999999999</v>
      </c>
      <c r="AL35" s="331">
        <f t="shared" si="12"/>
        <v>149.44910000000002</v>
      </c>
      <c r="AM35" s="331">
        <f>'Beta Calc'!Q32</f>
        <v>91.582999999999998</v>
      </c>
      <c r="AN35" s="759">
        <f t="shared" si="13"/>
        <v>57.866100000000017</v>
      </c>
      <c r="AP35" s="1177" t="str">
        <f>IF('MASTER PubCo Inputs'!C50="","",'MASTER PubCo Inputs'!C50)</f>
        <v>IQ36742485</v>
      </c>
      <c r="AQ35" s="2000" t="str">
        <f>'Comp.1'!AL34</f>
        <v>Regulus Therapeutics Inc., a biopharmaceutical company, focuses on the discovery and development of drugs that target microRNAs to treat a range of diseases in the United States. The company uses its microRNA product platform to develop anti-miRs, which are chemically modified and single-stranded oligonucleotides. Its clinical development products include RG-101, a GalNAc-conjugated anti-miR targeting miR-122 to treat patients with hepatitis C virus infection; RG-012, an anti-miR targeting microRNA-21 for the treatment of Alport syndrome; RG-125, a GalNAc-conjugated anti-miR targeting microRNA-103/107 for the treatment of non-alcoholic fatty liver disease; RGLS5040, an anti-miR targeting microRNA-27 for the treatment of cholestatic disease; and RGLS4326, an anti-miR targeting microRNA-17 for the treatment of autosomal dominant polycystic kidney disease. The company has strategic alliance with AstraZeneca AB and Sanofi to discover, develop, and commercialize microRNA therapeutics; and Biogen Inc. on microRNA biomarkers for multiple sclerosis, as well as a clinical trial collaboration agreement with GSK LLC. Regulus Therapeutics Inc. was founded in 2007 and is headquartered in San Diego, California.</v>
      </c>
    </row>
    <row r="36" spans="2:43" ht="14.85" customHeight="1">
      <c r="B36" s="250" t="str">
        <f>'Comp.1'!B35</f>
        <v>CEL-SCI Corporation</v>
      </c>
      <c r="C36" s="759">
        <f t="shared" si="0"/>
        <v>32.817689999999999</v>
      </c>
      <c r="E36" s="1174" t="str">
        <f t="shared" si="1"/>
        <v>n/a</v>
      </c>
      <c r="F36" s="1174" t="str">
        <f t="shared" si="2"/>
        <v>n/a</v>
      </c>
      <c r="G36" s="1174" t="str">
        <f t="shared" si="3"/>
        <v>n/a</v>
      </c>
      <c r="H36" s="331"/>
      <c r="I36" s="1174" t="str">
        <f t="shared" si="4"/>
        <v>n/a</v>
      </c>
      <c r="J36" s="1174" t="str">
        <f t="shared" si="5"/>
        <v>n/a</v>
      </c>
      <c r="L36" s="1174">
        <f t="shared" si="6"/>
        <v>112.57441417692831</v>
      </c>
      <c r="M36" s="1174">
        <f t="shared" si="7"/>
        <v>431.1151499253811</v>
      </c>
      <c r="N36" s="1174" t="str">
        <f t="shared" si="8"/>
        <v>n/a</v>
      </c>
      <c r="P36" s="1174">
        <f t="shared" si="9"/>
        <v>142.98791699256861</v>
      </c>
      <c r="Q36" s="1174">
        <f t="shared" si="10"/>
        <v>479.31766494702327</v>
      </c>
      <c r="S36" s="2037">
        <f>'Capital IQ Sheet-GPC'!AU36</f>
        <v>-21.844339999999999</v>
      </c>
      <c r="T36" s="2037">
        <f>'Capital IQ Sheet-GPC'!AV36</f>
        <v>-32.052480000000003</v>
      </c>
      <c r="U36" s="2037">
        <f>'Capital IQ Sheet-GPC'!AW36</f>
        <v>-20.19632</v>
      </c>
      <c r="V36" s="2037"/>
      <c r="W36" s="2037">
        <f>'Capital IQ Sheet-GPC'!AX36</f>
        <v>-30.87717</v>
      </c>
      <c r="X36" s="2037">
        <f>'Capital IQ Sheet-GPC'!AY36</f>
        <v>-24.48752</v>
      </c>
      <c r="Z36" s="2037">
        <f>'Capital IQ Sheet-GPC'!AZ36</f>
        <v>15.03739</v>
      </c>
      <c r="AA36" s="2037">
        <f>'Capital IQ Sheet-GPC'!BA36</f>
        <v>3.9266200000000002</v>
      </c>
      <c r="AB36" s="2037">
        <f>'Capital IQ Sheet-GPC'!BB36</f>
        <v>-3.7738200000000002</v>
      </c>
      <c r="AD36" s="2037">
        <f>'Capital IQ Sheet-GPC'!BC36</f>
        <v>11.838939999999999</v>
      </c>
      <c r="AE36" s="2037">
        <f>'Capital IQ Sheet-GPC'!BD36</f>
        <v>3.5317400000000001</v>
      </c>
      <c r="AG36" s="331">
        <f>'Beta Calc'!K33</f>
        <v>32.817689999999999</v>
      </c>
      <c r="AH36" s="331">
        <f>'Beta Calc'!L33</f>
        <v>2.31E-3</v>
      </c>
      <c r="AI36" s="331">
        <f>'Beta Calc'!M33</f>
        <v>0</v>
      </c>
      <c r="AJ36" s="331">
        <f>'Beta Calc'!N33</f>
        <v>0</v>
      </c>
      <c r="AK36" s="331">
        <f t="shared" si="11"/>
        <v>2.31E-3</v>
      </c>
      <c r="AL36" s="331">
        <f t="shared" si="12"/>
        <v>32.82</v>
      </c>
      <c r="AM36" s="331">
        <f>'Beta Calc'!Q33</f>
        <v>5.21896</v>
      </c>
      <c r="AN36" s="759">
        <f t="shared" si="13"/>
        <v>27.601040000000001</v>
      </c>
      <c r="AP36" s="1177" t="str">
        <f>IF('MASTER PubCo Inputs'!C51="","",'MASTER PubCo Inputs'!C51)</f>
        <v>IQ258746</v>
      </c>
      <c r="AQ36" s="2000" t="str">
        <f>'Comp.1'!AL35</f>
        <v>CEL-SCI Corporation engages in the research and development of drugs and vaccines. Its lead investigational immunotherapy is Multikine, which is under pivotal phase III clinical trial for the treatment of primary head and neck cancer. The company’s Multikine is also used in a Phase I study with the Naval Medical Center, San Diego under a cooperative research and development agreement in HIV/HPV co-infected men and women with peri-anal warts. Its Ligand Epitope Antigen Presentation System, a pre-clinical patented T-cell modulation process that stimulates the human immune system to fight bacterial, viral, and parasitic infections, as well as autoimmune diseases, allergies, transplantation rejections, and cancer. The company also develops LEAPS-H1N1-DC, a product candidate for the treatment of pandemic influenza in hospitalized patients; and CEL-2000 and CEL-4000 vaccine product candidates for the treatment of rheumatoid arthritis. CEL-SCI Corporation was founded in 1983 and is headquartered in Vienna, Virginia.</v>
      </c>
    </row>
    <row r="37" spans="2:43" ht="14.85" customHeight="1">
      <c r="B37" s="250" t="str">
        <f>'Comp.1'!B36</f>
        <v>PhaseRx, Inc.</v>
      </c>
      <c r="C37" s="759">
        <f t="shared" si="0"/>
        <v>24.549689999999998</v>
      </c>
      <c r="E37" s="1174" t="str">
        <f t="shared" si="1"/>
        <v>n/a</v>
      </c>
      <c r="F37" s="1174" t="str">
        <f t="shared" si="2"/>
        <v>n/a</v>
      </c>
      <c r="G37" s="1174" t="str">
        <f t="shared" si="3"/>
        <v>n/a</v>
      </c>
      <c r="H37" s="331"/>
      <c r="I37" s="1174" t="str">
        <f t="shared" si="4"/>
        <v>n/a</v>
      </c>
      <c r="J37" s="1174" t="str">
        <f t="shared" si="5"/>
        <v>n/a</v>
      </c>
      <c r="L37" s="1174" t="str">
        <f t="shared" si="6"/>
        <v>n/a</v>
      </c>
      <c r="M37" s="1174" t="str">
        <f t="shared" si="7"/>
        <v>n/a</v>
      </c>
      <c r="N37" s="1174">
        <f t="shared" si="8"/>
        <v>135.67567283802197</v>
      </c>
      <c r="P37" s="1174" t="str">
        <f t="shared" si="9"/>
        <v>n/a</v>
      </c>
      <c r="Q37" s="1174" t="str">
        <f t="shared" si="10"/>
        <v>n/a</v>
      </c>
      <c r="S37" s="2037">
        <f>'Capital IQ Sheet-GPC'!AU37</f>
        <v>0</v>
      </c>
      <c r="T37" s="2037">
        <f>'Capital IQ Sheet-GPC'!AV37</f>
        <v>-6.8490000000000002</v>
      </c>
      <c r="U37" s="2037">
        <f>'Capital IQ Sheet-GPC'!AW37</f>
        <v>-18.920999999999999</v>
      </c>
      <c r="V37" s="2037"/>
      <c r="W37" s="2037">
        <f>'Capital IQ Sheet-GPC'!AX37</f>
        <v>-6.8490000000000002</v>
      </c>
      <c r="X37" s="2037">
        <f>'Capital IQ Sheet-GPC'!AY37</f>
        <v>-7.3769999999999998</v>
      </c>
      <c r="Z37" s="2037">
        <f>'Capital IQ Sheet-GPC'!AZ37</f>
        <v>0</v>
      </c>
      <c r="AA37" s="2037">
        <f>'Capital IQ Sheet-GPC'!BA37</f>
        <v>-13.135999999999999</v>
      </c>
      <c r="AB37" s="2037">
        <f>'Capital IQ Sheet-GPC'!BB37</f>
        <v>12.477</v>
      </c>
      <c r="AD37" s="2037">
        <f>'Capital IQ Sheet-GPC'!BC37</f>
        <v>-13.135999999999999</v>
      </c>
      <c r="AE37" s="2037">
        <f>'Capital IQ Sheet-GPC'!BD37</f>
        <v>-20.013999999999999</v>
      </c>
      <c r="AG37" s="331">
        <f>'Beta Calc'!K34</f>
        <v>24.549689999999998</v>
      </c>
      <c r="AH37" s="331">
        <f>'Beta Calc'!L34</f>
        <v>5.6109999999999998</v>
      </c>
      <c r="AI37" s="331">
        <f>'Beta Calc'!M34</f>
        <v>0</v>
      </c>
      <c r="AJ37" s="331">
        <f>'Beta Calc'!N34</f>
        <v>0</v>
      </c>
      <c r="AK37" s="331">
        <f t="shared" si="11"/>
        <v>5.6109999999999998</v>
      </c>
      <c r="AL37" s="331">
        <f t="shared" si="12"/>
        <v>30.160689999999999</v>
      </c>
      <c r="AM37" s="331">
        <f>'Beta Calc'!Q34</f>
        <v>18.635000000000002</v>
      </c>
      <c r="AN37" s="759">
        <f t="shared" si="13"/>
        <v>11.525689999999997</v>
      </c>
      <c r="AP37" s="1177" t="str">
        <f>IF('MASTER PubCo Inputs'!C52="","",'MASTER PubCo Inputs'!C52)</f>
        <v>IQ41693120</v>
      </c>
      <c r="AQ37" s="2000" t="str">
        <f>'Comp.1'!AL36</f>
        <v>PhaseRx, Inc., a biopharmaceutical company, engages in developing a portfolio of products for the treatment of inherited enzyme deficiencies in the liver using intracellular enzyme replacement therapy. The company develops its products based on its proprietary Hybrid mRNA technology platform, which allows the synthesis of missing enzyme inside the cell. Its therapeutic urea cycle disorder programs under development include PRX-OTC to treat ornithine transcarbamylase deficiency; PRX-ASL to treat argininosuccinate lyase deficiency; and PRX-ASS1 to treat argininosuccinate synthetase deficiency. The company was incorporated in 2006 and is headquartered in Seattle, Washington.</v>
      </c>
    </row>
    <row r="38" spans="2:43" ht="14.85" customHeight="1">
      <c r="B38" s="250" t="str">
        <f>'Comp.1'!B37</f>
        <v>Marina Biotech, Inc.</v>
      </c>
      <c r="C38" s="759">
        <f t="shared" si="0"/>
        <v>9.8748500000000003</v>
      </c>
      <c r="E38" s="1174" t="str">
        <f t="shared" si="1"/>
        <v>n/a</v>
      </c>
      <c r="F38" s="1174" t="str">
        <f t="shared" si="2"/>
        <v>n/a</v>
      </c>
      <c r="G38" s="1174" t="str">
        <f t="shared" si="3"/>
        <v>n/a</v>
      </c>
      <c r="H38" s="331"/>
      <c r="I38" s="1174" t="str">
        <f t="shared" si="4"/>
        <v>n/a</v>
      </c>
      <c r="J38" s="1174" t="str">
        <f t="shared" si="5"/>
        <v>n/a</v>
      </c>
      <c r="L38" s="1174" t="str">
        <f t="shared" si="6"/>
        <v>n/a</v>
      </c>
      <c r="M38" s="1174" t="str">
        <f t="shared" si="7"/>
        <v>n/a</v>
      </c>
      <c r="N38" s="1174" t="str">
        <f t="shared" si="8"/>
        <v>n/a</v>
      </c>
      <c r="P38" s="1174" t="str">
        <f t="shared" si="9"/>
        <v>n/a</v>
      </c>
      <c r="Q38" s="1174" t="str">
        <f t="shared" si="10"/>
        <v>n/a</v>
      </c>
      <c r="S38" s="2037">
        <f>'Capital IQ Sheet-GPC'!AU38</f>
        <v>0</v>
      </c>
      <c r="T38" s="2037">
        <f>'Capital IQ Sheet-GPC'!AV38</f>
        <v>0</v>
      </c>
      <c r="U38" s="2037">
        <f>'Capital IQ Sheet-GPC'!AW38</f>
        <v>0</v>
      </c>
      <c r="V38" s="2037"/>
      <c r="W38" s="2037">
        <f>'Capital IQ Sheet-GPC'!AX38</f>
        <v>0</v>
      </c>
      <c r="X38" s="2037">
        <f>'Capital IQ Sheet-GPC'!AY38</f>
        <v>0</v>
      </c>
      <c r="Z38" s="2037">
        <f>'Capital IQ Sheet-GPC'!AZ38</f>
        <v>0</v>
      </c>
      <c r="AA38" s="2037">
        <f>'Capital IQ Sheet-GPC'!BA38</f>
        <v>0</v>
      </c>
      <c r="AB38" s="2037">
        <f>'Capital IQ Sheet-GPC'!BB38</f>
        <v>0</v>
      </c>
      <c r="AD38" s="2037">
        <f>'Capital IQ Sheet-GPC'!BC38</f>
        <v>0</v>
      </c>
      <c r="AE38" s="2037">
        <f>'Capital IQ Sheet-GPC'!BD38</f>
        <v>0</v>
      </c>
      <c r="AG38" s="331">
        <f>'Beta Calc'!K35</f>
        <v>9.8748500000000003</v>
      </c>
      <c r="AH38" s="331">
        <f>'Beta Calc'!L35</f>
        <v>0</v>
      </c>
      <c r="AI38" s="331">
        <f>'Beta Calc'!M35</f>
        <v>0</v>
      </c>
      <c r="AJ38" s="331">
        <f>'Beta Calc'!N35</f>
        <v>0</v>
      </c>
      <c r="AK38" s="331">
        <f t="shared" si="11"/>
        <v>0</v>
      </c>
      <c r="AL38" s="331">
        <f t="shared" si="12"/>
        <v>9.8748500000000003</v>
      </c>
      <c r="AM38" s="331">
        <f>'Beta Calc'!Q35</f>
        <v>0</v>
      </c>
      <c r="AN38" s="759">
        <f t="shared" si="13"/>
        <v>9.8748500000000003</v>
      </c>
      <c r="AP38" s="1177" t="str">
        <f>IF('MASTER PubCo Inputs'!C53="","",'MASTER PubCo Inputs'!C53)</f>
        <v>IQ280596151</v>
      </c>
      <c r="AQ38" s="2000" t="str">
        <f>'Comp.1'!AL37</f>
        <v>Marina Biotech, Inc., a biopharmaceutical company, engages in the discovery, acquisition, development, and commercialization of proprietary drug therapeutics for addressing unmet medical needs in the United States, Europe, and internationally. The company has three clinical development programs, such as IT-102 and IT-103, a celecoxib program drug candidates for the treatment of combined arthritis pain/hypertension and the treatment of pain requiring a high dose of celecoxib; CEQ508, an oral delivery of small interfering RNA against beta-catenin, combined with IT-102 to suppress polyps in the precancerous syndrome and orphan indication of familial adenomatous polyposis; and CEQ508 combined with IT-103 to treat colorectal cancer. Its preclinical pipeline includes oligotherapeutics for the treatment of bladder cancer, inflammatory bowel, and duchenne muscular dystrophy diseases. The company is based in City of Industry, California.</v>
      </c>
    </row>
    <row r="39" spans="2:43" ht="14.85" customHeight="1">
      <c r="B39" s="250" t="str">
        <f>'Comp.1'!B38</f>
        <v>RXi Pharmaceuticals Corporation</v>
      </c>
      <c r="C39" s="759">
        <f t="shared" si="0"/>
        <v>9.9657699999999991</v>
      </c>
      <c r="E39" s="1174" t="str">
        <f t="shared" si="1"/>
        <v>n/a</v>
      </c>
      <c r="F39" s="1174" t="str">
        <f t="shared" si="2"/>
        <v>n/a</v>
      </c>
      <c r="G39" s="1174" t="str">
        <f t="shared" si="3"/>
        <v>n/a</v>
      </c>
      <c r="H39" s="331"/>
      <c r="I39" s="1174" t="str">
        <f t="shared" si="4"/>
        <v>n/a</v>
      </c>
      <c r="J39" s="1174" t="str">
        <f t="shared" si="5"/>
        <v>n/a</v>
      </c>
      <c r="L39" s="1174">
        <f t="shared" si="6"/>
        <v>173.71219805028221</v>
      </c>
      <c r="M39" s="1174">
        <f t="shared" si="7"/>
        <v>153.44682469180566</v>
      </c>
      <c r="N39" s="1174">
        <f t="shared" si="8"/>
        <v>557.58411396574445</v>
      </c>
      <c r="P39" s="1174">
        <f t="shared" si="9"/>
        <v>215.50927689369828</v>
      </c>
      <c r="Q39" s="1174">
        <f t="shared" si="10"/>
        <v>190.41905174353204</v>
      </c>
      <c r="S39" s="2037">
        <f>'Capital IQ Sheet-GPC'!AU39</f>
        <v>-9.0039999999999996</v>
      </c>
      <c r="T39" s="2037">
        <f>'Capital IQ Sheet-GPC'!AV39</f>
        <v>-9.9109999999999996</v>
      </c>
      <c r="U39" s="2037">
        <f>'Capital IQ Sheet-GPC'!AW39</f>
        <v>-9.2710000000000008</v>
      </c>
      <c r="V39" s="2037"/>
      <c r="W39" s="2037">
        <f>'Capital IQ Sheet-GPC'!AX39</f>
        <v>-8.8000000000000007</v>
      </c>
      <c r="X39" s="2037">
        <f>'Capital IQ Sheet-GPC'!AY39</f>
        <v>-10.223000000000001</v>
      </c>
      <c r="Z39" s="2037">
        <f>'Capital IQ Sheet-GPC'!AZ39</f>
        <v>9.7449999999999992</v>
      </c>
      <c r="AA39" s="2037">
        <f>'Capital IQ Sheet-GPC'!BA39</f>
        <v>11.032</v>
      </c>
      <c r="AB39" s="2037">
        <f>'Capital IQ Sheet-GPC'!BB39</f>
        <v>3.036</v>
      </c>
      <c r="AD39" s="2037">
        <f>'Capital IQ Sheet-GPC'!BC39</f>
        <v>7.8550000000000004</v>
      </c>
      <c r="AE39" s="2037">
        <f>'Capital IQ Sheet-GPC'!BD39</f>
        <v>8.89</v>
      </c>
      <c r="AG39" s="331">
        <f>'Beta Calc'!K36</f>
        <v>9.9657699999999991</v>
      </c>
      <c r="AH39" s="331">
        <f>'Beta Calc'!L36</f>
        <v>0</v>
      </c>
      <c r="AI39" s="331">
        <f>'Beta Calc'!M36</f>
        <v>0</v>
      </c>
      <c r="AJ39" s="331">
        <f>'Beta Calc'!N36</f>
        <v>0</v>
      </c>
      <c r="AK39" s="331">
        <f t="shared" si="11"/>
        <v>0</v>
      </c>
      <c r="AL39" s="331">
        <f t="shared" si="12"/>
        <v>9.9657699999999991</v>
      </c>
      <c r="AM39" s="331">
        <f>'Beta Calc'!Q36</f>
        <v>4.3789999999999996</v>
      </c>
      <c r="AN39" s="759">
        <f t="shared" si="13"/>
        <v>5.5867699999999996</v>
      </c>
      <c r="AP39" s="1177" t="str">
        <f>IF('MASTER PubCo Inputs'!C54="","",'MASTER PubCo Inputs'!C54)</f>
        <v>IQ140969529</v>
      </c>
      <c r="AQ39" s="2000" t="str">
        <f>'Comp.1'!AL38</f>
        <v>RXi Pharmaceuticals Corporation, a clinical-stage company, focuses on developing therapeutics for unmet medical needs. It develops therapies based on its self-delivering RNAi (sd-rxRNA) platform; and Samcyprone topical immunomodulatory. The company’s clinical development programs include RXI-109, an sd-rxRNA compound, which is in Phase II clinical trial for preventing or reducing dermal scarring following scar revision surgery of an existing hypertrophic scar; and in Phase I/II clinical trial for treating retinal scarring, as well as in discovery stage for the treatment of corneal scarring. Its clinical development programs also comprise RXI-231, an sd-rxRNA compound targeting tyrosinase, which is in development stage as a cosmetic ingredient for treating uneven skin tone and pigmentation; and RXI-185, an sd-rxRNA compound targeting collagenase that is in development stage as a cosmetic ingredient for treating wrinkles and skin laxity. The company is also developing Samcyprone, a formulation of the small molecule diphenylcyclopropenone, which is in Phase IIa clinical trial for the clearance of common warts. In addition, it is developing cell-based cancer immunotherapies. RXi Pharmaceuticals Corporation was incorporated in 2011 and is headquartered in Marlborough, Massachusetts.</v>
      </c>
    </row>
    <row r="40" spans="2:43" ht="14.85" customHeight="1">
      <c r="B40" s="250" t="str">
        <f>'Comp.1'!B39</f>
        <v>Benitec Biopharma Limited</v>
      </c>
      <c r="C40" s="759">
        <f t="shared" si="0"/>
        <v>12.459519999999999</v>
      </c>
      <c r="E40" s="1174" t="str">
        <f t="shared" si="1"/>
        <v>n/a</v>
      </c>
      <c r="F40" s="1174" t="str">
        <f t="shared" si="2"/>
        <v>n/a</v>
      </c>
      <c r="G40" s="1174" t="str">
        <f t="shared" si="3"/>
        <v>n/a</v>
      </c>
      <c r="H40" s="331"/>
      <c r="I40" s="1174" t="str">
        <f t="shared" si="4"/>
        <v>n/a</v>
      </c>
      <c r="J40" s="1174" t="str">
        <f t="shared" si="5"/>
        <v>n/a</v>
      </c>
      <c r="L40" s="1174">
        <f t="shared" si="6"/>
        <v>65.338735817850932</v>
      </c>
      <c r="M40" s="1174">
        <f t="shared" si="7"/>
        <v>100.84427037630768</v>
      </c>
      <c r="N40" s="1174">
        <f t="shared" si="8"/>
        <v>111.90435982847053</v>
      </c>
      <c r="P40" s="1174">
        <f t="shared" si="9"/>
        <v>69.848391897740981</v>
      </c>
      <c r="Q40" s="1174">
        <f t="shared" si="10"/>
        <v>85.193449845171472</v>
      </c>
      <c r="S40" s="2037">
        <f>'Capital IQ Sheet-GPC'!AU40</f>
        <v>-6.8915600000000001</v>
      </c>
      <c r="T40" s="2037">
        <f>'Capital IQ Sheet-GPC'!AV40</f>
        <v>-12.4275</v>
      </c>
      <c r="U40" s="2037">
        <f>'Capital IQ Sheet-GPC'!AW40</f>
        <v>-11.761010000000001</v>
      </c>
      <c r="V40" s="2037"/>
      <c r="W40" s="2037">
        <f>'Capital IQ Sheet-GPC'!AX40</f>
        <v>-7.1332399999999998</v>
      </c>
      <c r="X40" s="2037">
        <f>'Capital IQ Sheet-GPC'!AY40</f>
        <v>-16.411899999999999</v>
      </c>
      <c r="Z40" s="2037">
        <f>'Capital IQ Sheet-GPC'!AZ40</f>
        <v>25.908449999999998</v>
      </c>
      <c r="AA40" s="2037">
        <f>'Capital IQ Sheet-GPC'!BA40</f>
        <v>16.786529999999999</v>
      </c>
      <c r="AB40" s="2037">
        <f>'Capital IQ Sheet-GPC'!BB40</f>
        <v>15.12743</v>
      </c>
      <c r="AD40" s="2037">
        <f>'Capital IQ Sheet-GPC'!BC40</f>
        <v>24.235710000000001</v>
      </c>
      <c r="AE40" s="2037">
        <f>'Capital IQ Sheet-GPC'!BD40</f>
        <v>19.870370000000001</v>
      </c>
      <c r="AG40" s="331">
        <f>'Beta Calc'!K37</f>
        <v>12.459519999999999</v>
      </c>
      <c r="AH40" s="331">
        <f>'Beta Calc'!L37</f>
        <v>0</v>
      </c>
      <c r="AI40" s="331">
        <f>'Beta Calc'!M37</f>
        <v>0</v>
      </c>
      <c r="AJ40" s="331">
        <f>'Beta Calc'!N37</f>
        <v>0</v>
      </c>
      <c r="AK40" s="331">
        <f t="shared" si="11"/>
        <v>0</v>
      </c>
      <c r="AL40" s="331">
        <f t="shared" si="12"/>
        <v>12.459519999999999</v>
      </c>
      <c r="AM40" s="331">
        <f>'Beta Calc'!Q37</f>
        <v>10.266360000000001</v>
      </c>
      <c r="AN40" s="759">
        <f t="shared" si="13"/>
        <v>2.1931599999999989</v>
      </c>
      <c r="AP40" s="1177" t="str">
        <f>IF('MASTER PubCo Inputs'!C55="","",'MASTER PubCo Inputs'!C55)</f>
        <v>IQ4492928</v>
      </c>
      <c r="AQ40" s="2000" t="str">
        <f>'Comp.1'!AL39</f>
        <v>Benitec Biopharma Limited, a biotechnology company, develops treatments for chronic and life-threatening human diseases based on its gene silencing therapy, DNA-directed RNA interference (ddRNAi) in Australia, the United Kingdom, and the United States. Its in-house development programs include TT-034, which is in Phase I/IIa clinical trials for the treatment of hepatitis C; BB-HB-331 for the treatment of the hepatitis B virus; and ddRNAi-based therapies, such as BB-AMD-211 and BB-AMD-233 for the treatment of wet age-related macular degeneration (AMD), as well as BB-AMD-231 for the treatment of wet and dry AMD. The company also engages in developing a ddRNAi-based gene therapy for the treatment of oculopharyngeal muscular dystrophy, an autosomal-dominant inherited, slow-progressing, and late-onset degenerative muscle disorder that occurs at the age of 40 or 50 years in patients. In addition, it licenses its ddRNAi technology to other biopharmaceutical companies for the progress of HIV/AIDS, retinitis pigmentosa, cancer immunotherapy, Huntington’s disease, and neuropathic pain programs. The company has a strategic partnership with Nant Capital, LLC for a scientific collaboration in clinical programs; and a research collaboration agreement with Nant Capital LLC for the clinical development of BB-401, a recombinant DNA construct that produces an antisense RNA with specificity against epidermal growth factor receptor. Benitec Biopharma Limited was founded in 1995 and is headquartered in North Sydney, Australia.</v>
      </c>
    </row>
    <row r="41" spans="2:43" ht="14.85" customHeight="1">
      <c r="B41" s="250" t="str">
        <f>'Comp.1'!B40</f>
        <v>GenVec, Inc.</v>
      </c>
      <c r="C41" s="759">
        <f t="shared" si="0"/>
        <v>7.33019</v>
      </c>
      <c r="E41" s="1174" t="str">
        <f t="shared" si="1"/>
        <v>n/a</v>
      </c>
      <c r="F41" s="1174" t="str">
        <f t="shared" si="2"/>
        <v>n/a</v>
      </c>
      <c r="G41" s="1174" t="str">
        <f t="shared" si="3"/>
        <v>n/a</v>
      </c>
      <c r="H41" s="331"/>
      <c r="I41" s="1174" t="str">
        <f t="shared" si="4"/>
        <v>n/a</v>
      </c>
      <c r="J41" s="1174" t="str">
        <f t="shared" si="5"/>
        <v>n/a</v>
      </c>
      <c r="L41" s="1174">
        <f t="shared" si="6"/>
        <v>147.96131194825625</v>
      </c>
      <c r="M41" s="1174">
        <f t="shared" si="7"/>
        <v>186.68122739303044</v>
      </c>
      <c r="N41" s="1174">
        <f t="shared" si="8"/>
        <v>280.03728205128203</v>
      </c>
      <c r="P41" s="1174">
        <f t="shared" si="9"/>
        <v>127.29924575124079</v>
      </c>
      <c r="Q41" s="1174">
        <f t="shared" si="10"/>
        <v>220.41997005208336</v>
      </c>
      <c r="S41" s="2037">
        <f>'Capital IQ Sheet-GPC'!AU41</f>
        <v>-5.1180000000000003</v>
      </c>
      <c r="T41" s="2037">
        <f>'Capital IQ Sheet-GPC'!AV41</f>
        <v>-3.1869999999999998</v>
      </c>
      <c r="U41" s="2037">
        <f>'Capital IQ Sheet-GPC'!AW41</f>
        <v>-5.9039999999999999</v>
      </c>
      <c r="V41" s="2037"/>
      <c r="W41" s="2037">
        <f>'Capital IQ Sheet-GPC'!AX41</f>
        <v>-2.5150000000000001</v>
      </c>
      <c r="X41" s="2037">
        <f>'Capital IQ Sheet-GPC'!AY41</f>
        <v>-6.5449999999999999</v>
      </c>
      <c r="Z41" s="2037">
        <f>'Capital IQ Sheet-GPC'!AZ41</f>
        <v>11.441000000000001</v>
      </c>
      <c r="AA41" s="2037">
        <f>'Capital IQ Sheet-GPC'!BA41</f>
        <v>9.0679999999999996</v>
      </c>
      <c r="AB41" s="2037">
        <f>'Capital IQ Sheet-GPC'!BB41</f>
        <v>6.0449999999999999</v>
      </c>
      <c r="AD41" s="2037">
        <f>'Capital IQ Sheet-GPC'!BC41</f>
        <v>13.298</v>
      </c>
      <c r="AE41" s="2037">
        <f>'Capital IQ Sheet-GPC'!BD41</f>
        <v>7.68</v>
      </c>
      <c r="AG41" s="331">
        <f>'Beta Calc'!K38</f>
        <v>7.33019</v>
      </c>
      <c r="AH41" s="331">
        <f>'Beta Calc'!L38</f>
        <v>0</v>
      </c>
      <c r="AI41" s="331">
        <f>'Beta Calc'!M38</f>
        <v>0</v>
      </c>
      <c r="AJ41" s="331">
        <f>'Beta Calc'!N38</f>
        <v>0</v>
      </c>
      <c r="AK41" s="331">
        <f t="shared" si="11"/>
        <v>0</v>
      </c>
      <c r="AL41" s="331">
        <f t="shared" si="12"/>
        <v>7.33019</v>
      </c>
      <c r="AM41" s="331">
        <f>'Beta Calc'!Q38</f>
        <v>8.3960000000000008</v>
      </c>
      <c r="AN41" s="759">
        <f t="shared" si="13"/>
        <v>-1.0658100000000008</v>
      </c>
      <c r="AP41" s="1177" t="str">
        <f>IF('MASTER PubCo Inputs'!C56="","",'MASTER PubCo Inputs'!C56)</f>
        <v>IQ28949</v>
      </c>
      <c r="AQ41" s="2000" t="str">
        <f>'Comp.1'!AL40</f>
        <v>GenVec, Inc., a clinical-stage biopharmaceutical company, focuses on developing a pipeline of therapeutics and vaccines through its proprietary AdenoVerse gene delivery platform in the United States. It designs, tests, and manufactures adenoviral-based product candidates. The company’s lead product candidate is CGF166, which is in Phase I/II clinical trial for the treatment of hearing loss and balance disorders. It is also developing GV2311 vaccine for respiratory syncytial virus; and GV2207 vaccine for the treatment of herpes simplex virus. The company has a collaboration agreement with Novartis AG to develop CGF166. It also has collaboration agreement with TheraBiologics, Inc. to develop cancer therapeutics; National Institute of Allergy and Infectious Diseases to generate vaccine candidates for the prevention of malaria; Laboratory of Malaria Immunology and Vaccinology to create and test various malaria vaccine candidates; and Merial to develop and commercialize vaccine and anti-viral candidates for the prevention and containment of foot-and-mouth diseases in livestock and other animals. The company was founded in 1992 and is based in Gaithersburg, Maryland.</v>
      </c>
    </row>
    <row r="42" spans="2:43" ht="14.85" customHeight="1">
      <c r="B42" s="250" t="str">
        <f>'Comp.1'!B41</f>
        <v>Arbutus Biopharma Corporation</v>
      </c>
      <c r="C42" s="759">
        <f t="shared" si="0"/>
        <v>145.32996</v>
      </c>
      <c r="E42" s="1174" t="str">
        <f t="shared" si="1"/>
        <v>n/a</v>
      </c>
      <c r="F42" s="1174" t="str">
        <f t="shared" si="2"/>
        <v>n/a</v>
      </c>
      <c r="G42" s="1174" t="str">
        <f t="shared" si="3"/>
        <v>n/a</v>
      </c>
      <c r="H42" s="331"/>
      <c r="I42" s="1174" t="str">
        <f t="shared" si="4"/>
        <v>n/a</v>
      </c>
      <c r="J42" s="1174" t="str">
        <f t="shared" si="5"/>
        <v>n/a</v>
      </c>
      <c r="L42" s="1174">
        <f t="shared" si="6"/>
        <v>17.726662582725979</v>
      </c>
      <c r="M42" s="1174">
        <f t="shared" si="7"/>
        <v>3.0567063435456756</v>
      </c>
      <c r="N42" s="1174">
        <f t="shared" si="8"/>
        <v>4.0631872067206718</v>
      </c>
      <c r="P42" s="1174">
        <f t="shared" si="9"/>
        <v>19.229004032487079</v>
      </c>
      <c r="Q42" s="1174">
        <f t="shared" si="10"/>
        <v>3.0909079406002422</v>
      </c>
      <c r="S42" s="2037">
        <f>'Capital IQ Sheet-GPC'!AU42</f>
        <v>-35.267000000000003</v>
      </c>
      <c r="T42" s="2037">
        <f>'Capital IQ Sheet-GPC'!AV42</f>
        <v>-62.024999999999999</v>
      </c>
      <c r="U42" s="2037">
        <f>'Capital IQ Sheet-GPC'!AW42</f>
        <v>-170.733</v>
      </c>
      <c r="V42" s="2037"/>
      <c r="W42" s="2037">
        <f>'Capital IQ Sheet-GPC'!AX42</f>
        <v>-38.837000000000003</v>
      </c>
      <c r="X42" s="2037">
        <f>'Capital IQ Sheet-GPC'!AY42</f>
        <v>-61.121000000000002</v>
      </c>
      <c r="Z42" s="2037">
        <f>'Capital IQ Sheet-GPC'!AZ42</f>
        <v>95.495999999999995</v>
      </c>
      <c r="AA42" s="2037">
        <f>'Capital IQ Sheet-GPC'!BA42</f>
        <v>553.80700000000002</v>
      </c>
      <c r="AB42" s="2037">
        <f>'Capital IQ Sheet-GPC'!BB42</f>
        <v>416.625</v>
      </c>
      <c r="AD42" s="2037">
        <f>'Capital IQ Sheet-GPC'!BC42</f>
        <v>88.034999999999997</v>
      </c>
      <c r="AE42" s="2037">
        <f>'Capital IQ Sheet-GPC'!BD42</f>
        <v>547.67899999999997</v>
      </c>
      <c r="AG42" s="331">
        <f>'Beta Calc'!K39</f>
        <v>145.32996</v>
      </c>
      <c r="AH42" s="331">
        <f>'Beta Calc'!L39</f>
        <v>0</v>
      </c>
      <c r="AI42" s="331">
        <f>'Beta Calc'!M39</f>
        <v>0</v>
      </c>
      <c r="AJ42" s="331">
        <f>'Beta Calc'!N39</f>
        <v>0</v>
      </c>
      <c r="AK42" s="331">
        <f t="shared" si="11"/>
        <v>0</v>
      </c>
      <c r="AL42" s="331">
        <f t="shared" si="12"/>
        <v>145.32996</v>
      </c>
      <c r="AM42" s="331">
        <f>'Beta Calc'!Q39</f>
        <v>149.68199999999999</v>
      </c>
      <c r="AN42" s="759">
        <f t="shared" si="13"/>
        <v>-4.3520399999999881</v>
      </c>
      <c r="AP42" s="1177" t="str">
        <f>IF('MASTER PubCo Inputs'!C57="","",'MASTER PubCo Inputs'!C57)</f>
        <v>IQ34160168</v>
      </c>
      <c r="AQ42" s="2000" t="str">
        <f>'Comp.1'!AL41</f>
        <v>Arbutus Biopharma Corporation, a biopharmaceutical company, engages in discovering, developing, and commercializing a cure for patients suffering from chronic Hepatitis B virus (HBV) infection in Canada and the United States. It also develops a pipeline of products based on RNA interference therapeutics (RNAi). The company’s lead candidate is ARB-1467, which is in a Phase II trial to eliminate HBV surface antigen expression in patients chronically infected with HBV. Its product candidates also comprise ARB-1740, a pan-genotypic second-generation siRNA therapeutic in Phase II multi-dose study in Hepatitis B e antigen-chronic HBV patients; and AB-423, a core protein/capsid assembly inhibitor in Phase I clinical trial as an oral therapeutic for the treatment of chronic HBV infection. In addition, the company has various research programs for the discovery and development of proprietary HBV candidates, including oral surface antigen inhibitors, cccDNA targeting agents, and immunomodulators. Further, its partnered programs consist of Patisiran (ALN-TTR02), an RNAi therapeutic targeting transthyretin (TTR) in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DCR-PH1 for the treatment of primary hyperoxaluria type 1. The company was formerly known as Tekmira Pharmaceuticals Corporation and changed its name to Arbutus Biopharma Corporation in July 2015. Arbutus Biopharma Corporation is headquartered in Burnaby, Canada.</v>
      </c>
    </row>
    <row r="43" spans="2:43" ht="14.85" customHeight="1">
      <c r="C43" s="331"/>
      <c r="E43" s="331"/>
      <c r="F43" s="331"/>
      <c r="G43" s="331"/>
      <c r="H43" s="331"/>
      <c r="I43" s="331"/>
      <c r="J43" s="331"/>
    </row>
    <row r="44" spans="2:43" ht="14.85" customHeight="1">
      <c r="B44" s="1181" t="s">
        <v>111</v>
      </c>
      <c r="C44" s="1184">
        <f>MAX(C13:C43)</f>
        <v>1692.82537</v>
      </c>
      <c r="D44" s="1182"/>
      <c r="E44" s="1184">
        <f>MAX(E13:E43)</f>
        <v>1669.4530276134121</v>
      </c>
      <c r="F44" s="1184">
        <f>MAX(F13:F43)</f>
        <v>24.844071883530482</v>
      </c>
      <c r="G44" s="1184">
        <f>MAX(G13:G43)</f>
        <v>57.815074112021854</v>
      </c>
      <c r="H44" s="1182"/>
      <c r="I44" s="1184">
        <f>MAX(I13:I43)</f>
        <v>20.69038671669702</v>
      </c>
      <c r="J44" s="1184">
        <f>MAX(J13:J43)</f>
        <v>26.79708367631229</v>
      </c>
      <c r="K44" s="1182"/>
      <c r="L44" s="1184">
        <f>MAX(L13:L43)</f>
        <v>4864.4407183908052</v>
      </c>
      <c r="M44" s="1184">
        <f>MAX(M13:M43)</f>
        <v>431.1151499253811</v>
      </c>
      <c r="N44" s="1184">
        <f>MAX(N13:N43)</f>
        <v>557.58411396574445</v>
      </c>
      <c r="O44" s="1182"/>
      <c r="P44" s="1184">
        <f>MAX(P13:P43)</f>
        <v>835.13831771090281</v>
      </c>
      <c r="Q44" s="1185">
        <f>MAX(Q13:Q43)</f>
        <v>479.31766494702327</v>
      </c>
      <c r="R44" s="723"/>
      <c r="S44" s="723"/>
    </row>
    <row r="45" spans="2:43" ht="14.85" customHeight="1">
      <c r="B45" s="1187" t="s">
        <v>115</v>
      </c>
      <c r="C45" s="1190">
        <f>QUARTILE(C13:C43,3)</f>
        <v>535.13891249999995</v>
      </c>
      <c r="D45" s="1188"/>
      <c r="E45" s="1190">
        <f>QUARTILE(E13:E43,3)</f>
        <v>1264.1686114355778</v>
      </c>
      <c r="F45" s="1190">
        <f>QUARTILE(F13:F43,3)</f>
        <v>24.844071883530482</v>
      </c>
      <c r="G45" s="1190">
        <f>QUARTILE(G13:G43,3)</f>
        <v>57.815074112021854</v>
      </c>
      <c r="H45" s="1188"/>
      <c r="I45" s="1190">
        <f>QUARTILE(I13:I43,3)</f>
        <v>20.69038671669702</v>
      </c>
      <c r="J45" s="1190">
        <f>QUARTILE(J13:J43,3)</f>
        <v>26.79708367631229</v>
      </c>
      <c r="K45" s="1188"/>
      <c r="L45" s="1190">
        <f>QUARTILE(L13:L43,3)</f>
        <v>135.31893916271463</v>
      </c>
      <c r="M45" s="1190">
        <f>QUARTILE(M13:M43,3)</f>
        <v>37.031119362407182</v>
      </c>
      <c r="N45" s="1190">
        <f>QUARTILE(N13:N43,3)</f>
        <v>31.215037622614567</v>
      </c>
      <c r="O45" s="1188"/>
      <c r="P45" s="1190">
        <f>QUARTILE(P13:P43,3)</f>
        <v>140.29050686478382</v>
      </c>
      <c r="Q45" s="1191">
        <f>QUARTILE(Q13:Q43,3)</f>
        <v>48.297316445411056</v>
      </c>
      <c r="R45" s="723"/>
      <c r="S45" s="723"/>
    </row>
    <row r="46" spans="2:43" ht="14.85" customHeight="1">
      <c r="B46" s="1187" t="s">
        <v>113</v>
      </c>
      <c r="C46" s="1190">
        <f>AVERAGE(C13:C43)</f>
        <v>349.13332166666657</v>
      </c>
      <c r="D46" s="1188"/>
      <c r="E46" s="1190">
        <f>AVERAGE(E13:E43)</f>
        <v>858.8841952577435</v>
      </c>
      <c r="F46" s="1190">
        <f>AVERAGE(F13:F43)</f>
        <v>24.844071883530482</v>
      </c>
      <c r="G46" s="1190">
        <f>AVERAGE(G13:G43)</f>
        <v>57.815074112021854</v>
      </c>
      <c r="H46" s="1188"/>
      <c r="I46" s="1190">
        <f>AVERAGE(I13:I43)</f>
        <v>20.69038671669702</v>
      </c>
      <c r="J46" s="1190">
        <f>AVERAGE(J13:J43)</f>
        <v>26.79708367631229</v>
      </c>
      <c r="K46" s="1188"/>
      <c r="L46" s="1190">
        <f>AVERAGE(L13:L43)</f>
        <v>467.8613160232091</v>
      </c>
      <c r="M46" s="1190">
        <f>AVERAGE(M13:M43)</f>
        <v>51.468021730539618</v>
      </c>
      <c r="N46" s="1190">
        <f>AVERAGE(N13:N43)</f>
        <v>55.331373322404225</v>
      </c>
      <c r="O46" s="1188"/>
      <c r="P46" s="1190">
        <f>AVERAGE(P13:P43)</f>
        <v>115.19831419912204</v>
      </c>
      <c r="Q46" s="1191">
        <f>AVERAGE(Q13:Q43)</f>
        <v>62.354213367248562</v>
      </c>
      <c r="R46" s="723"/>
      <c r="S46" s="723"/>
    </row>
    <row r="47" spans="2:43" ht="14.85" customHeight="1">
      <c r="B47" s="1187" t="s">
        <v>44</v>
      </c>
      <c r="C47" s="1190">
        <f>MEDIAN(C13:C43)</f>
        <v>252.89796000000001</v>
      </c>
      <c r="D47" s="1188"/>
      <c r="E47" s="1190">
        <f>MEDIAN(E13:E43)</f>
        <v>858.88419525774361</v>
      </c>
      <c r="F47" s="1190">
        <f>MEDIAN(F13:F43)</f>
        <v>24.844071883530482</v>
      </c>
      <c r="G47" s="1190">
        <f>MEDIAN(G13:G43)</f>
        <v>57.815074112021854</v>
      </c>
      <c r="H47" s="1188"/>
      <c r="I47" s="1190">
        <f>MEDIAN(I13:I43)</f>
        <v>20.69038671669702</v>
      </c>
      <c r="J47" s="1190">
        <f>MEDIAN(J13:J43)</f>
        <v>26.79708367631229</v>
      </c>
      <c r="K47" s="1188"/>
      <c r="L47" s="1190">
        <f>MEDIAN(L13:L43)</f>
        <v>41.233030075916986</v>
      </c>
      <c r="M47" s="1190">
        <f>MEDIAN(M13:M43)</f>
        <v>15.780693739030976</v>
      </c>
      <c r="N47" s="1190">
        <f>MEDIAN(N13:N43)</f>
        <v>13.759116415920932</v>
      </c>
      <c r="O47" s="1188"/>
      <c r="P47" s="1190">
        <f>MEDIAN(P13:P43)</f>
        <v>34.83367211881091</v>
      </c>
      <c r="Q47" s="1191">
        <f>MEDIAN(Q13:Q43)</f>
        <v>16.370784884625714</v>
      </c>
      <c r="R47" s="723"/>
      <c r="S47" s="723"/>
    </row>
    <row r="48" spans="2:43" ht="14.85" customHeight="1">
      <c r="B48" s="1187" t="s">
        <v>114</v>
      </c>
      <c r="C48" s="1190">
        <f>QUARTILE(C13:C43,1)</f>
        <v>106.88460499999999</v>
      </c>
      <c r="D48" s="1188"/>
      <c r="E48" s="1190">
        <f>QUARTILE(E13:E43,1)</f>
        <v>453.59977907990924</v>
      </c>
      <c r="F48" s="1190">
        <f>QUARTILE(F13:F43,1)</f>
        <v>24.844071883530482</v>
      </c>
      <c r="G48" s="1190">
        <f>QUARTILE(G13:G43,1)</f>
        <v>57.815074112021854</v>
      </c>
      <c r="H48" s="1188"/>
      <c r="I48" s="1190">
        <f>QUARTILE(I13:I43,1)</f>
        <v>20.69038671669702</v>
      </c>
      <c r="J48" s="1190">
        <f>QUARTILE(J13:J43,1)</f>
        <v>26.79708367631229</v>
      </c>
      <c r="K48" s="1188"/>
      <c r="L48" s="1190">
        <f>QUARTILE(L13:L43,1)</f>
        <v>16.910777965653836</v>
      </c>
      <c r="M48" s="1190">
        <f>QUARTILE(M13:M43,1)</f>
        <v>8.6412642005354723</v>
      </c>
      <c r="N48" s="1190">
        <f>QUARTILE(N13:N43,1)</f>
        <v>9.6701449623471714</v>
      </c>
      <c r="O48" s="1188"/>
      <c r="P48" s="1190">
        <f>QUARTILE(P13:P43,1)</f>
        <v>16.190131232627248</v>
      </c>
      <c r="Q48" s="1191">
        <f>QUARTILE(Q13:Q43,1)</f>
        <v>9.4156609974557171</v>
      </c>
      <c r="R48" s="723"/>
      <c r="S48" s="723"/>
    </row>
    <row r="49" spans="2:19" ht="14.85" customHeight="1">
      <c r="B49" s="1192" t="s">
        <v>112</v>
      </c>
      <c r="C49" s="867">
        <f>MIN(C13:C43)</f>
        <v>7.33019</v>
      </c>
      <c r="D49" s="858"/>
      <c r="E49" s="867">
        <f>MIN(E13:E43)</f>
        <v>48.315362902074952</v>
      </c>
      <c r="F49" s="867">
        <f>MIN(F13:F43)</f>
        <v>24.844071883530482</v>
      </c>
      <c r="G49" s="867">
        <f>MIN(G13:G43)</f>
        <v>57.815074112021854</v>
      </c>
      <c r="H49" s="858"/>
      <c r="I49" s="867">
        <f>MIN(I13:I43)</f>
        <v>20.69038671669702</v>
      </c>
      <c r="J49" s="867">
        <f>MIN(J13:J43)</f>
        <v>26.79708367631229</v>
      </c>
      <c r="K49" s="858"/>
      <c r="L49" s="867">
        <f>MIN(L13:L43)</f>
        <v>8.0557410571098167</v>
      </c>
      <c r="M49" s="867">
        <f>MIN(M13:M43)</f>
        <v>3.0567063435456756</v>
      </c>
      <c r="N49" s="867">
        <f>MIN(N13:N43)</f>
        <v>4.0631872067206718</v>
      </c>
      <c r="O49" s="858"/>
      <c r="P49" s="867">
        <f>MIN(P13:P43)</f>
        <v>8.1924250724714831</v>
      </c>
      <c r="Q49" s="1194">
        <f>MIN(Q13:Q43)</f>
        <v>3.0909079406002422</v>
      </c>
      <c r="R49" s="723"/>
      <c r="S49" s="723"/>
    </row>
    <row r="50" spans="2:19" ht="14.85" customHeight="1">
      <c r="I50" s="331"/>
      <c r="J50" s="331"/>
      <c r="K50" s="331"/>
      <c r="L50" s="331"/>
      <c r="M50" s="331"/>
      <c r="N50" s="331"/>
      <c r="O50" s="331"/>
      <c r="P50" s="331"/>
      <c r="Q50" s="331"/>
    </row>
    <row r="51" spans="2:19" ht="14.85" customHeight="1">
      <c r="B51" s="356" t="s">
        <v>116</v>
      </c>
    </row>
    <row r="52" spans="2:19" ht="14.85" customHeight="1">
      <c r="B52" s="356"/>
      <c r="C52" s="331"/>
      <c r="E52" s="331"/>
      <c r="F52" s="331"/>
      <c r="G52" s="331"/>
      <c r="H52" s="331"/>
      <c r="I52" s="331"/>
      <c r="J52" s="331"/>
    </row>
    <row r="53" spans="2:19" ht="14.85" customHeight="1">
      <c r="C53" s="331"/>
      <c r="E53" s="331"/>
      <c r="F53" s="331"/>
      <c r="G53" s="331"/>
      <c r="H53" s="331"/>
      <c r="I53" s="331"/>
      <c r="J53" s="331"/>
    </row>
    <row r="54" spans="2:19" ht="14.85" customHeight="1"/>
    <row r="55" spans="2:19" s="1180" customFormat="1" ht="14.85" customHeight="1"/>
    <row r="56" spans="2:19" ht="14.85" customHeight="1"/>
    <row r="57" spans="2:19" ht="14.85" customHeight="1"/>
    <row r="58" spans="2:19" ht="14.85" customHeight="1"/>
    <row r="59" spans="2:19" ht="14.85" customHeight="1"/>
    <row r="60" spans="2:19" ht="14.85" customHeight="1"/>
    <row r="61" spans="2:19" ht="14.85" customHeight="1"/>
    <row r="62" spans="2:19" ht="14.85" customHeight="1"/>
    <row r="63" spans="2:19" ht="14.85" customHeight="1"/>
    <row r="64" spans="2:19"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spans="2:2" ht="14.85" customHeight="1"/>
    <row r="82" spans="2:2" ht="14.85" customHeight="1"/>
    <row r="83" spans="2:2" ht="14.85" customHeight="1"/>
    <row r="84" spans="2:2" ht="14.85" customHeight="1"/>
    <row r="85" spans="2:2" ht="14.85" customHeight="1"/>
    <row r="86" spans="2:2" ht="14.85" customHeight="1">
      <c r="B86" s="356"/>
    </row>
    <row r="87" spans="2:2" ht="14.85" customHeight="1"/>
    <row r="88" spans="2:2" ht="14.85" customHeight="1"/>
    <row r="89" spans="2:2" ht="14.85" customHeight="1"/>
    <row r="90" spans="2:2" ht="14.85" customHeight="1"/>
    <row r="91" spans="2:2" ht="14.85" customHeight="1"/>
    <row r="92" spans="2:2" ht="14.85" customHeight="1"/>
    <row r="93" spans="2:2" ht="14.85" customHeight="1"/>
    <row r="94" spans="2:2" ht="14.85" customHeight="1"/>
    <row r="95" spans="2:2" ht="14.85" customHeight="1"/>
    <row r="96" spans="2:2"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C4:I4">
    <cfRule type="cellIs" dxfId="38" priority="15" stopIfTrue="1" operator="equal">
      <formula>"input"</formula>
    </cfRule>
  </conditionalFormatting>
  <conditionalFormatting sqref="J4">
    <cfRule type="cellIs" dxfId="37" priority="13" stopIfTrue="1" operator="equal">
      <formula>"input"</formula>
    </cfRule>
  </conditionalFormatting>
  <conditionalFormatting sqref="J4">
    <cfRule type="cellIs" dxfId="36" priority="14" stopIfTrue="1" operator="equal">
      <formula>"input"</formula>
    </cfRule>
  </conditionalFormatting>
  <conditionalFormatting sqref="K4">
    <cfRule type="cellIs" dxfId="35" priority="11" stopIfTrue="1" operator="equal">
      <formula>"input"</formula>
    </cfRule>
  </conditionalFormatting>
  <conditionalFormatting sqref="K4">
    <cfRule type="cellIs" dxfId="34" priority="12" stopIfTrue="1" operator="equal">
      <formula>"input"</formula>
    </cfRule>
  </conditionalFormatting>
  <conditionalFormatting sqref="L4:P4">
    <cfRule type="cellIs" dxfId="33" priority="9" stopIfTrue="1" operator="equal">
      <formula>"input"</formula>
    </cfRule>
  </conditionalFormatting>
  <conditionalFormatting sqref="L4:P4">
    <cfRule type="cellIs" dxfId="32" priority="10" stopIfTrue="1" operator="equal">
      <formula>"input"</formula>
    </cfRule>
  </conditionalFormatting>
  <conditionalFormatting sqref="B13:C42">
    <cfRule type="cellIs" dxfId="31" priority="7" operator="equal">
      <formula>"(Invalid Identifier)"</formula>
    </cfRule>
  </conditionalFormatting>
  <conditionalFormatting sqref="Q4">
    <cfRule type="cellIs" dxfId="30" priority="2" stopIfTrue="1" operator="equal">
      <formula>"input"</formula>
    </cfRule>
  </conditionalFormatting>
  <conditionalFormatting sqref="Q4">
    <cfRule type="cellIs" dxfId="29" priority="3" stopIfTrue="1" operator="equal">
      <formula>"input"</formula>
    </cfRule>
  </conditionalFormatting>
  <conditionalFormatting sqref="B4">
    <cfRule type="cellIs" dxfId="28" priority="1" stopIfTrue="1" operator="equal">
      <formula>"input"</formula>
    </cfRule>
  </conditionalFormatting>
  <pageMargins left="0.5" right="0.5" top="0.5" bottom="0.5" header="0.5" footer="0.5"/>
  <pageSetup scale="66" fitToWidth="0" fitToHeight="0" orientation="landscape" r:id="rId1"/>
  <rowBreaks count="1" manualBreakCount="1">
    <brk id="53" max="17" man="1"/>
  </rowBreaks>
  <legacyDrawingHF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40">
    <pageSetUpPr fitToPage="1"/>
  </sheetPr>
  <dimension ref="B1:J764"/>
  <sheetViews>
    <sheetView showGridLines="0" view="pageBreakPreview" zoomScale="80" zoomScaleNormal="100" zoomScaleSheetLayoutView="80" workbookViewId="0"/>
  </sheetViews>
  <sheetFormatPr defaultRowHeight="12.75"/>
  <cols>
    <col min="1" max="1" width="2.83203125" style="250" customWidth="1"/>
    <col min="2" max="2" width="15" style="250" customWidth="1"/>
    <col min="3" max="5" width="12.5" style="250" customWidth="1"/>
    <col min="6" max="6" width="5" style="250" customWidth="1"/>
    <col min="7" max="10" width="12.5" style="250" customWidth="1"/>
    <col min="11" max="11" width="2.83203125" style="250" customWidth="1"/>
    <col min="12" max="16384" width="9.33203125" style="250"/>
  </cols>
  <sheetData>
    <row r="1" spans="2:10" ht="10.7" customHeight="1" thickBot="1"/>
    <row r="2" spans="2:10" ht="16.5" customHeight="1" thickTop="1">
      <c r="B2" s="258" t="str">
        <f>'MASTER PubCo Inputs'!$C$5</f>
        <v>ABC, Inc.</v>
      </c>
      <c r="C2" s="258"/>
      <c r="D2" s="258"/>
      <c r="E2" s="258"/>
      <c r="F2" s="258"/>
      <c r="G2" s="258"/>
      <c r="H2" s="258"/>
      <c r="I2" s="258"/>
      <c r="J2" s="258"/>
    </row>
    <row r="3" spans="2:10" ht="15.75" customHeight="1">
      <c r="B3" s="259" t="str">
        <f>VLOOKUP(B4,Outline!$E$8:$G$79,COLUMNS(Outline!$E$8:$G$8),FALSE)</f>
        <v>Workpaper #11</v>
      </c>
      <c r="C3" s="259"/>
      <c r="D3" s="259"/>
      <c r="E3" s="259"/>
      <c r="F3" s="259"/>
      <c r="G3" s="259"/>
      <c r="H3" s="259"/>
      <c r="I3" s="259"/>
      <c r="J3" s="259"/>
    </row>
    <row r="4" spans="2:10" ht="16.5" customHeight="1" thickBot="1">
      <c r="B4" s="924" t="s">
        <v>68</v>
      </c>
      <c r="C4" s="924"/>
      <c r="D4" s="924"/>
      <c r="E4" s="924"/>
      <c r="F4" s="924"/>
      <c r="G4" s="924"/>
      <c r="H4" s="924"/>
      <c r="I4" s="924"/>
      <c r="J4" s="925"/>
    </row>
    <row r="5" spans="2:10" ht="14.85" customHeight="1" thickTop="1"/>
    <row r="6" spans="2:10" ht="14.85" customHeight="1"/>
    <row r="7" spans="2:10" ht="14.85" customHeight="1">
      <c r="B7" s="2038" t="s">
        <v>510</v>
      </c>
      <c r="C7" s="2039"/>
      <c r="D7" s="2039"/>
      <c r="E7" s="2039"/>
      <c r="F7" s="2039"/>
      <c r="G7" s="2039"/>
      <c r="H7" s="2039"/>
      <c r="I7" s="2039"/>
      <c r="J7" s="2040"/>
    </row>
    <row r="8" spans="2:10" ht="14.85" customHeight="1">
      <c r="B8" s="375" t="s">
        <v>49</v>
      </c>
      <c r="C8" s="2041"/>
      <c r="D8" s="1082"/>
      <c r="E8" s="2041" t="s">
        <v>50</v>
      </c>
      <c r="F8" s="1082"/>
      <c r="G8" s="1082" t="s">
        <v>49</v>
      </c>
      <c r="H8" s="2041"/>
      <c r="I8" s="1082"/>
      <c r="J8" s="2042" t="s">
        <v>50</v>
      </c>
    </row>
    <row r="9" spans="2:10" ht="14.85" customHeight="1">
      <c r="B9" s="2043" t="s">
        <v>51</v>
      </c>
      <c r="C9" s="467"/>
      <c r="D9" s="467"/>
      <c r="E9" s="467"/>
      <c r="F9" s="467"/>
      <c r="G9" s="675" t="s">
        <v>52</v>
      </c>
      <c r="H9" s="467"/>
      <c r="I9" s="467"/>
      <c r="J9" s="468"/>
    </row>
    <row r="10" spans="2:10" ht="14.85" customHeight="1">
      <c r="B10" s="1153" t="s">
        <v>53</v>
      </c>
      <c r="C10" s="2044"/>
      <c r="D10" s="2044"/>
      <c r="E10" s="2045">
        <v>0.25800000000000001</v>
      </c>
      <c r="F10" s="467"/>
      <c r="G10" s="467" t="s">
        <v>54</v>
      </c>
      <c r="H10" s="467"/>
      <c r="I10" s="467"/>
      <c r="J10" s="2046">
        <v>0.221</v>
      </c>
    </row>
    <row r="11" spans="2:10" ht="14.85" customHeight="1">
      <c r="B11" s="1153" t="s">
        <v>55</v>
      </c>
      <c r="C11" s="2047"/>
      <c r="D11" s="2047"/>
      <c r="E11" s="2045">
        <v>0.33</v>
      </c>
      <c r="F11" s="467"/>
      <c r="G11" s="467" t="s">
        <v>56</v>
      </c>
      <c r="H11" s="467"/>
      <c r="I11" s="467"/>
      <c r="J11" s="2046">
        <v>0.27100000000000002</v>
      </c>
    </row>
    <row r="12" spans="2:10" ht="14.85" customHeight="1">
      <c r="B12" s="1153" t="s">
        <v>57</v>
      </c>
      <c r="C12" s="2047"/>
      <c r="D12" s="2047"/>
      <c r="E12" s="2045">
        <v>0.33500000000000002</v>
      </c>
      <c r="F12" s="467"/>
      <c r="G12" s="467" t="s">
        <v>58</v>
      </c>
      <c r="H12" s="467"/>
      <c r="I12" s="467"/>
      <c r="J12" s="2046">
        <v>0.222</v>
      </c>
    </row>
    <row r="13" spans="2:10" ht="14.85" customHeight="1">
      <c r="B13" s="1153" t="s">
        <v>59</v>
      </c>
      <c r="C13" s="2047"/>
      <c r="D13" s="2047"/>
      <c r="E13" s="2045">
        <v>0.35</v>
      </c>
      <c r="F13" s="467"/>
      <c r="G13" s="467" t="s">
        <v>60</v>
      </c>
      <c r="H13" s="467"/>
      <c r="I13" s="467"/>
      <c r="J13" s="2046">
        <v>0.2</v>
      </c>
    </row>
    <row r="14" spans="2:10" ht="14.85" customHeight="1">
      <c r="B14" s="1153" t="s">
        <v>61</v>
      </c>
      <c r="C14" s="2048"/>
      <c r="D14" s="2048"/>
      <c r="E14" s="2045">
        <v>0.35399999999999998</v>
      </c>
      <c r="F14" s="467"/>
      <c r="G14" s="467" t="s">
        <v>62</v>
      </c>
      <c r="H14" s="467"/>
      <c r="I14" s="467"/>
      <c r="J14" s="2046">
        <v>0.21</v>
      </c>
    </row>
    <row r="15" spans="2:10" ht="14.85" customHeight="1">
      <c r="B15" s="1153" t="s">
        <v>63</v>
      </c>
      <c r="C15" s="2048"/>
      <c r="D15" s="2048"/>
      <c r="E15" s="2045">
        <v>0.45</v>
      </c>
      <c r="F15" s="467"/>
      <c r="G15" s="467" t="s">
        <v>62</v>
      </c>
      <c r="H15" s="467"/>
      <c r="I15" s="467"/>
      <c r="J15" s="2046">
        <v>0.13</v>
      </c>
    </row>
    <row r="16" spans="2:10" ht="14.85" customHeight="1">
      <c r="B16" s="1153" t="s">
        <v>64</v>
      </c>
      <c r="C16" s="2048"/>
      <c r="D16" s="2048"/>
      <c r="E16" s="2045">
        <v>0.33800000000000002</v>
      </c>
      <c r="F16" s="467"/>
      <c r="G16" s="467"/>
      <c r="H16" s="467"/>
      <c r="I16" s="467"/>
      <c r="J16" s="2049"/>
    </row>
    <row r="17" spans="2:10" ht="14.85" customHeight="1">
      <c r="B17" s="1153" t="s">
        <v>65</v>
      </c>
      <c r="C17" s="2048"/>
      <c r="D17" s="2048"/>
      <c r="E17" s="2050">
        <v>0.312</v>
      </c>
      <c r="F17" s="467"/>
      <c r="G17" s="467"/>
      <c r="H17" s="467"/>
      <c r="I17" s="467"/>
      <c r="J17" s="2051"/>
    </row>
    <row r="18" spans="2:10" ht="14.85" customHeight="1" thickBot="1">
      <c r="B18" s="2052" t="s">
        <v>66</v>
      </c>
      <c r="C18" s="467"/>
      <c r="D18" s="467"/>
      <c r="E18" s="2053">
        <v>0.34100000000000003</v>
      </c>
      <c r="F18" s="467"/>
      <c r="G18" s="2054" t="s">
        <v>67</v>
      </c>
      <c r="H18" s="467"/>
      <c r="I18" s="467"/>
      <c r="J18" s="2055">
        <v>0.20899999999999999</v>
      </c>
    </row>
    <row r="19" spans="2:10" ht="14.85" customHeight="1" thickTop="1">
      <c r="B19" s="518"/>
      <c r="C19" s="814"/>
      <c r="D19" s="814"/>
      <c r="E19" s="814"/>
      <c r="F19" s="814"/>
      <c r="G19" s="814"/>
      <c r="H19" s="814"/>
      <c r="I19" s="814"/>
      <c r="J19" s="2056"/>
    </row>
    <row r="20" spans="2:10" ht="14.85" customHeight="1"/>
    <row r="21" spans="2:10" ht="14.85" customHeight="1"/>
    <row r="22" spans="2:10" ht="14.85" customHeight="1"/>
    <row r="23" spans="2:10" ht="14.85" customHeight="1"/>
    <row r="24" spans="2:10" ht="14.85" customHeight="1"/>
    <row r="25" spans="2:10" ht="14.85" customHeight="1"/>
    <row r="26" spans="2:10" ht="14.85" customHeight="1"/>
    <row r="27" spans="2:10" ht="14.85" customHeight="1"/>
    <row r="28" spans="2:10" ht="14.85" customHeight="1"/>
    <row r="29" spans="2:10" ht="14.85" customHeight="1"/>
    <row r="30" spans="2:10" ht="14.85" customHeight="1"/>
    <row r="31" spans="2:10" ht="14.85" customHeight="1"/>
    <row r="32" spans="2:10"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I4">
    <cfRule type="cellIs" dxfId="27" priority="3" stopIfTrue="1" operator="equal">
      <formula>"input"</formula>
    </cfRule>
  </conditionalFormatting>
  <conditionalFormatting sqref="J4">
    <cfRule type="cellIs" dxfId="26" priority="1" stopIfTrue="1" operator="equal">
      <formula>"input"</formula>
    </cfRule>
  </conditionalFormatting>
  <conditionalFormatting sqref="J4">
    <cfRule type="cellIs" dxfId="25" priority="2" stopIfTrue="1" operator="equal">
      <formula>"input"</formula>
    </cfRule>
  </conditionalFormatting>
  <pageMargins left="0.5" right="0.5" top="0.5" bottom="0.5" header="0.5" footer="0.5"/>
  <pageSetup orientation="landscape" r:id="rId1"/>
  <legacyDrawingHF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43"/>
  <dimension ref="B1:G764"/>
  <sheetViews>
    <sheetView showGridLines="0" view="pageBreakPreview" zoomScale="80" zoomScaleNormal="100" zoomScaleSheetLayoutView="80" workbookViewId="0"/>
  </sheetViews>
  <sheetFormatPr defaultRowHeight="12.75"/>
  <cols>
    <col min="1" max="1" width="2.83203125" style="250" customWidth="1"/>
    <col min="2" max="2" width="77.6640625" style="250" customWidth="1"/>
    <col min="3" max="4" width="20.83203125" style="250" customWidth="1"/>
    <col min="5" max="5" width="16" style="250" customWidth="1"/>
    <col min="6" max="6" width="19" style="250" customWidth="1"/>
    <col min="7" max="7" width="2.83203125" style="250" customWidth="1"/>
    <col min="8" max="16384" width="9.33203125" style="250"/>
  </cols>
  <sheetData>
    <row r="1" spans="2:7" ht="10.7" customHeight="1" thickBot="1"/>
    <row r="2" spans="2:7" ht="16.5" customHeight="1" thickTop="1">
      <c r="B2" s="258" t="str">
        <f>'MASTER PubCo Inputs'!$C$5</f>
        <v>ABC, Inc.</v>
      </c>
      <c r="C2" s="258"/>
      <c r="D2" s="258"/>
      <c r="E2" s="258"/>
      <c r="F2" s="258"/>
    </row>
    <row r="3" spans="2:7" ht="15.75" customHeight="1">
      <c r="B3" s="259" t="str">
        <f>VLOOKUP(B4,Outline!$E$8:$G$79,COLUMNS(Outline!$E$8:$G$8),FALSE)</f>
        <v>Workpaper #12</v>
      </c>
      <c r="C3" s="259"/>
      <c r="D3" s="259"/>
      <c r="E3" s="259"/>
      <c r="F3" s="259"/>
    </row>
    <row r="4" spans="2:7" ht="16.5" customHeight="1" thickBot="1">
      <c r="B4" s="924" t="s">
        <v>48</v>
      </c>
      <c r="C4" s="924"/>
      <c r="D4" s="924"/>
      <c r="E4" s="924"/>
      <c r="F4" s="924"/>
    </row>
    <row r="5" spans="2:7" ht="14.85" customHeight="1" thickTop="1">
      <c r="B5" s="492"/>
      <c r="C5" s="492"/>
      <c r="D5" s="492"/>
      <c r="E5" s="492"/>
      <c r="F5" s="492"/>
    </row>
    <row r="6" spans="2:7" s="467" customFormat="1" ht="14.85" customHeight="1">
      <c r="B6" s="250"/>
      <c r="C6" s="250"/>
      <c r="D6" s="250"/>
      <c r="E6" s="250"/>
      <c r="F6" s="250"/>
      <c r="G6" s="250"/>
    </row>
    <row r="7" spans="2:7" ht="14.85" customHeight="1">
      <c r="B7" s="1509" t="s">
        <v>1</v>
      </c>
      <c r="C7" s="1510"/>
      <c r="D7" s="1510"/>
      <c r="E7" s="1510"/>
      <c r="F7" s="1511"/>
    </row>
    <row r="8" spans="2:7" ht="14.85" customHeight="1"/>
    <row r="9" spans="2:7" s="272" customFormat="1" ht="14.85" customHeight="1">
      <c r="B9" s="2057" t="s">
        <v>2</v>
      </c>
      <c r="C9" s="2058" t="s">
        <v>3</v>
      </c>
      <c r="D9" s="2058" t="s">
        <v>4</v>
      </c>
      <c r="E9" s="2058" t="s">
        <v>5</v>
      </c>
      <c r="F9" s="2059" t="s">
        <v>6</v>
      </c>
    </row>
    <row r="10" spans="2:7" ht="14.85" customHeight="1"/>
    <row r="11" spans="2:7" ht="14.85" customHeight="1">
      <c r="B11" s="250" t="s">
        <v>7</v>
      </c>
      <c r="C11" s="251">
        <v>2008</v>
      </c>
      <c r="D11" s="251" t="s">
        <v>8</v>
      </c>
      <c r="E11" s="1912">
        <v>457</v>
      </c>
      <c r="F11" s="333">
        <v>2.3E-2</v>
      </c>
    </row>
    <row r="12" spans="2:7" ht="14.85" customHeight="1">
      <c r="B12" s="250" t="s">
        <v>9</v>
      </c>
      <c r="C12" s="251">
        <v>1996</v>
      </c>
      <c r="D12" s="251">
        <v>1996</v>
      </c>
      <c r="E12" s="1912">
        <v>116</v>
      </c>
      <c r="F12" s="333">
        <v>2.7E-2</v>
      </c>
    </row>
    <row r="13" spans="2:7" ht="14.85" customHeight="1">
      <c r="B13" s="250" t="s">
        <v>10</v>
      </c>
      <c r="C13" s="251">
        <v>2002</v>
      </c>
      <c r="D13" s="251" t="s">
        <v>11</v>
      </c>
      <c r="E13" s="1912">
        <v>98</v>
      </c>
      <c r="F13" s="333">
        <v>0.1</v>
      </c>
    </row>
    <row r="14" spans="2:7" ht="14.85" customHeight="1">
      <c r="B14" s="250" t="s">
        <v>12</v>
      </c>
      <c r="C14" s="251" t="s">
        <v>13</v>
      </c>
      <c r="D14" s="251" t="s">
        <v>14</v>
      </c>
      <c r="E14" s="1912">
        <v>40</v>
      </c>
      <c r="F14" s="333">
        <v>2.7E-2</v>
      </c>
    </row>
    <row r="15" spans="2:7" ht="14.85" customHeight="1">
      <c r="B15" s="250" t="s">
        <v>15</v>
      </c>
      <c r="C15" s="251">
        <v>1995</v>
      </c>
      <c r="D15" s="251" t="s">
        <v>16</v>
      </c>
      <c r="E15" s="1912">
        <v>81</v>
      </c>
      <c r="F15" s="333">
        <v>0.06</v>
      </c>
    </row>
    <row r="16" spans="2:7" ht="14.85" customHeight="1">
      <c r="B16" s="250" t="s">
        <v>17</v>
      </c>
      <c r="C16" s="251">
        <v>1995</v>
      </c>
      <c r="D16" s="251" t="s">
        <v>18</v>
      </c>
      <c r="E16" s="1912">
        <v>94</v>
      </c>
      <c r="F16" s="333">
        <v>9.5000000000000001E-2</v>
      </c>
    </row>
    <row r="17" spans="2:6" ht="14.85" customHeight="1">
      <c r="B17" s="250" t="s">
        <v>19</v>
      </c>
      <c r="C17" s="251">
        <v>1991</v>
      </c>
      <c r="D17" s="251" t="s">
        <v>20</v>
      </c>
      <c r="E17" s="1912">
        <v>43</v>
      </c>
      <c r="F17" s="333">
        <v>1.2999999999999999E-2</v>
      </c>
    </row>
    <row r="18" spans="2:6" ht="14.85" customHeight="1">
      <c r="B18" s="250" t="s">
        <v>21</v>
      </c>
      <c r="C18" s="251">
        <v>1987</v>
      </c>
      <c r="D18" s="251" t="s">
        <v>13</v>
      </c>
      <c r="E18" s="1912">
        <v>63</v>
      </c>
      <c r="F18" s="1066" t="s">
        <v>22</v>
      </c>
    </row>
    <row r="19" spans="2:6" ht="14.85" customHeight="1">
      <c r="B19" s="250" t="s">
        <v>23</v>
      </c>
      <c r="C19" s="251">
        <v>1983</v>
      </c>
      <c r="D19" s="251" t="s">
        <v>24</v>
      </c>
      <c r="E19" s="1912">
        <v>30</v>
      </c>
      <c r="F19" s="333">
        <v>5.1999999999999998E-2</v>
      </c>
    </row>
    <row r="20" spans="2:6" ht="14.85" customHeight="1"/>
    <row r="21" spans="2:6" ht="14.85" customHeight="1">
      <c r="B21" s="1610" t="s">
        <v>25</v>
      </c>
      <c r="C21" s="2060"/>
      <c r="D21" s="2060"/>
      <c r="E21" s="2060"/>
      <c r="F21" s="2061">
        <f>AVERAGE(F11:F17,F19)</f>
        <v>4.9625000000000002E-2</v>
      </c>
    </row>
    <row r="22" spans="2:6" ht="14.85" customHeight="1">
      <c r="B22" s="1192" t="s">
        <v>26</v>
      </c>
      <c r="C22" s="1617"/>
      <c r="D22" s="1617"/>
      <c r="E22" s="1617"/>
      <c r="F22" s="1390">
        <f>MEDIAN(F11:F17,F19)</f>
        <v>3.95E-2</v>
      </c>
    </row>
    <row r="23" spans="2:6" ht="14.85" customHeight="1"/>
    <row r="24" spans="2:6" ht="14.85" customHeight="1">
      <c r="B24" s="1610" t="s">
        <v>27</v>
      </c>
      <c r="C24" s="2060"/>
      <c r="D24" s="2060"/>
      <c r="E24" s="2060"/>
      <c r="F24" s="2061">
        <f>AVERAGE(F11:F12,F14:F17,F19)</f>
        <v>4.2428571428571434E-2</v>
      </c>
    </row>
    <row r="25" spans="2:6" ht="14.85" customHeight="1">
      <c r="B25" s="1192" t="s">
        <v>28</v>
      </c>
      <c r="C25" s="1617"/>
      <c r="D25" s="1617"/>
      <c r="E25" s="1617"/>
      <c r="F25" s="1390">
        <f>MEDIAN(F11:F12,F14:F17,F19)</f>
        <v>2.7E-2</v>
      </c>
    </row>
    <row r="26" spans="2:6" ht="14.85" customHeight="1"/>
    <row r="27" spans="2:6" ht="14.85" customHeight="1"/>
    <row r="28" spans="2:6" s="272" customFormat="1" ht="14.85" customHeight="1">
      <c r="B28" s="2062" t="s">
        <v>29</v>
      </c>
      <c r="C28" s="2063"/>
      <c r="D28" s="2063"/>
      <c r="E28" s="2063"/>
      <c r="F28" s="2064" t="s">
        <v>30</v>
      </c>
    </row>
    <row r="29" spans="2:6" ht="14.85" customHeight="1"/>
    <row r="30" spans="2:6" ht="14.85" customHeight="1">
      <c r="B30" s="250" t="s">
        <v>31</v>
      </c>
      <c r="F30" s="333">
        <v>0</v>
      </c>
    </row>
    <row r="31" spans="2:6" ht="14.85" customHeight="1">
      <c r="B31" s="250" t="s">
        <v>32</v>
      </c>
      <c r="F31" s="333">
        <v>3.6999999999999998E-2</v>
      </c>
    </row>
    <row r="32" spans="2:6" ht="14.85" customHeight="1">
      <c r="B32" s="250" t="s">
        <v>33</v>
      </c>
      <c r="F32" s="333">
        <v>0.04</v>
      </c>
    </row>
    <row r="33" spans="2:6" ht="14.85" customHeight="1">
      <c r="B33" s="250" t="s">
        <v>34</v>
      </c>
      <c r="F33" s="333">
        <v>0</v>
      </c>
    </row>
    <row r="34" spans="2:6" ht="14.85" customHeight="1">
      <c r="B34" s="250" t="s">
        <v>35</v>
      </c>
      <c r="F34" s="333">
        <v>5.1999999999999998E-2</v>
      </c>
    </row>
    <row r="35" spans="2:6" ht="14.85" customHeight="1">
      <c r="B35" s="250" t="s">
        <v>36</v>
      </c>
      <c r="F35" s="333">
        <v>9.0999999999999998E-2</v>
      </c>
    </row>
    <row r="36" spans="2:6" ht="14.85" customHeight="1">
      <c r="B36" s="250" t="s">
        <v>37</v>
      </c>
      <c r="F36" s="333">
        <v>0</v>
      </c>
    </row>
    <row r="37" spans="2:6" ht="14.85" customHeight="1">
      <c r="B37" s="250" t="s">
        <v>38</v>
      </c>
      <c r="F37" s="333">
        <v>0.03</v>
      </c>
    </row>
    <row r="38" spans="2:6" ht="14.85" customHeight="1">
      <c r="B38" s="250" t="s">
        <v>39</v>
      </c>
      <c r="F38" s="333">
        <v>4.8000000000000001E-2</v>
      </c>
    </row>
    <row r="39" spans="2:6" ht="14.85" customHeight="1">
      <c r="B39" s="250" t="s">
        <v>40</v>
      </c>
      <c r="F39" s="333">
        <v>4.3999999999999997E-2</v>
      </c>
    </row>
    <row r="40" spans="2:6" ht="14.85" customHeight="1">
      <c r="B40" s="250" t="s">
        <v>41</v>
      </c>
      <c r="F40" s="333">
        <v>5.3999999999999999E-2</v>
      </c>
    </row>
    <row r="41" spans="2:6" ht="14.85" customHeight="1">
      <c r="B41" s="250" t="s">
        <v>42</v>
      </c>
      <c r="F41" s="333">
        <v>3.9E-2</v>
      </c>
    </row>
    <row r="42" spans="2:6" ht="14.85" customHeight="1"/>
    <row r="43" spans="2:6" ht="14.85" customHeight="1">
      <c r="B43" s="1610" t="s">
        <v>43</v>
      </c>
      <c r="C43" s="2060"/>
      <c r="D43" s="2060"/>
      <c r="E43" s="2060"/>
      <c r="F43" s="2061">
        <f>AVERAGE(F30:F41)</f>
        <v>3.6249999999999998E-2</v>
      </c>
    </row>
    <row r="44" spans="2:6" ht="14.85" customHeight="1">
      <c r="B44" s="1192" t="s">
        <v>44</v>
      </c>
      <c r="C44" s="1617"/>
      <c r="D44" s="1617"/>
      <c r="E44" s="1617"/>
      <c r="F44" s="1390">
        <f>MEDIAN(F30:F41)</f>
        <v>3.95E-2</v>
      </c>
    </row>
    <row r="45" spans="2:6" ht="14.85" customHeight="1"/>
    <row r="46" spans="2:6" ht="14.85" customHeight="1">
      <c r="B46" s="356" t="s">
        <v>45</v>
      </c>
    </row>
    <row r="47" spans="2:6" ht="14.85" customHeight="1">
      <c r="B47" s="356" t="s">
        <v>46</v>
      </c>
    </row>
    <row r="48" spans="2:6" ht="14.85" customHeight="1">
      <c r="B48" s="356" t="s">
        <v>47</v>
      </c>
    </row>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F5">
    <cfRule type="cellIs" dxfId="24" priority="3" stopIfTrue="1" operator="equal">
      <formula>"input"</formula>
    </cfRule>
  </conditionalFormatting>
  <pageMargins left="0.5" right="0.5" top="0.5" bottom="0.5" header="0.5" footer="0.5"/>
  <pageSetup scale="79" fitToWidth="0" fitToHeight="0" orientation="landscape" r:id="rId1"/>
  <legacyDrawingHF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tabColor theme="1"/>
  </sheetPr>
  <dimension ref="A1"/>
  <sheetViews>
    <sheetView workbookViewId="0"/>
  </sheetViews>
  <sheetFormatPr defaultRowHeight="12.75"/>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tabColor theme="1"/>
  </sheetPr>
  <dimension ref="A1"/>
  <sheetViews>
    <sheetView workbookViewId="0">
      <selection activeCell="J17" sqref="J17"/>
    </sheetView>
  </sheetViews>
  <sheetFormatPr defaultRowHeight="12.75"/>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53">
    <tabColor rgb="FFFF0000"/>
  </sheetPr>
  <dimension ref="A1:CH74"/>
  <sheetViews>
    <sheetView showGridLines="0" view="pageBreakPreview" topLeftCell="P1" zoomScaleNormal="100" zoomScaleSheetLayoutView="100" workbookViewId="0">
      <pane ySplit="10" topLeftCell="A11" activePane="bottomLeft" state="frozen"/>
      <selection activeCell="BU10" sqref="BU10"/>
      <selection pane="bottomLeft" activeCell="U13" sqref="U13"/>
    </sheetView>
  </sheetViews>
  <sheetFormatPr defaultRowHeight="11.25" outlineLevelCol="1"/>
  <cols>
    <col min="1" max="1" width="40.1640625" style="77" bestFit="1" customWidth="1"/>
    <col min="2" max="2" width="14.83203125" style="77" bestFit="1" customWidth="1"/>
    <col min="3" max="3" width="25.1640625" style="75" bestFit="1" customWidth="1"/>
    <col min="4" max="4" width="19" style="75" bestFit="1" customWidth="1"/>
    <col min="5" max="9" width="17.83203125" style="75" customWidth="1"/>
    <col min="10" max="10" width="15.33203125" style="75" customWidth="1"/>
    <col min="11" max="11" width="14" style="75" customWidth="1"/>
    <col min="12" max="12" width="15.6640625" style="75" bestFit="1" customWidth="1"/>
    <col min="13" max="13" width="16.1640625" style="75" customWidth="1"/>
    <col min="14" max="16" width="14.83203125" style="75" bestFit="1" customWidth="1"/>
    <col min="17" max="18" width="14.83203125" style="75" customWidth="1"/>
    <col min="19" max="23" width="14.83203125" style="75" bestFit="1" customWidth="1"/>
    <col min="24" max="24" width="14.83203125" style="75" customWidth="1"/>
    <col min="25" max="29" width="14.83203125" style="75" bestFit="1" customWidth="1"/>
    <col min="30" max="30" width="17" style="75" bestFit="1" customWidth="1"/>
    <col min="31" max="31" width="14.83203125" style="75" bestFit="1" customWidth="1"/>
    <col min="32" max="32" width="19.1640625" style="75" customWidth="1"/>
    <col min="33" max="33" width="19.5" style="75" customWidth="1"/>
    <col min="34" max="34" width="21.1640625" style="75" customWidth="1"/>
    <col min="35" max="35" width="19" style="75" bestFit="1" customWidth="1"/>
    <col min="36" max="36" width="12.83203125" style="75" customWidth="1"/>
    <col min="37" max="37" width="15.33203125" style="75" customWidth="1"/>
    <col min="38" max="38" width="13.1640625" style="75" customWidth="1"/>
    <col min="39" max="39" width="18.5" style="75" bestFit="1" customWidth="1"/>
    <col min="40" max="40" width="14.83203125" style="75" bestFit="1" customWidth="1"/>
    <col min="41" max="42" width="14.83203125" style="75" customWidth="1"/>
    <col min="43" max="43" width="14.83203125" style="74" customWidth="1"/>
    <col min="44" max="44" width="14.83203125" style="75" customWidth="1"/>
    <col min="45" max="45" width="11.1640625" style="74" customWidth="1"/>
    <col min="46" max="46" width="14.83203125" style="75" bestFit="1" customWidth="1"/>
    <col min="47" max="50" width="14.83203125" style="74" customWidth="1"/>
    <col min="51" max="51" width="16" style="74" customWidth="1"/>
    <col min="52" max="54" width="14.83203125" style="74" customWidth="1"/>
    <col min="55" max="55" width="14.83203125" style="75" customWidth="1"/>
    <col min="56" max="69" width="14.83203125" style="74" customWidth="1"/>
    <col min="70" max="70" width="17" style="74" customWidth="1" outlineLevel="1"/>
    <col min="71" max="78" width="9.33203125" style="74"/>
    <col min="79" max="82" width="9.33203125" style="73"/>
    <col min="83" max="83" width="9.33203125" style="110"/>
    <col min="84" max="16384" width="9.33203125" style="73"/>
  </cols>
  <sheetData>
    <row r="1" spans="1:86" s="70" customFormat="1">
      <c r="A1" s="77" t="s">
        <v>832</v>
      </c>
      <c r="B1" s="92">
        <v>42704</v>
      </c>
      <c r="C1" s="75"/>
      <c r="D1" s="75"/>
      <c r="E1" s="75"/>
      <c r="F1" s="75"/>
      <c r="G1" s="75"/>
      <c r="H1" s="75"/>
      <c r="I1" s="75"/>
      <c r="J1" s="75"/>
      <c r="K1" s="75"/>
      <c r="L1" s="75"/>
      <c r="M1" s="75"/>
      <c r="N1" s="75"/>
      <c r="O1" s="75"/>
      <c r="P1" s="75"/>
      <c r="Q1" s="75"/>
      <c r="R1" s="75"/>
      <c r="S1" s="75"/>
      <c r="T1" s="75"/>
      <c r="U1" s="75"/>
      <c r="V1" s="75"/>
      <c r="W1" s="75"/>
      <c r="X1" s="75"/>
      <c r="Y1" s="75"/>
      <c r="Z1" s="75"/>
      <c r="AA1" s="75"/>
      <c r="AB1" s="75"/>
      <c r="AC1" s="75"/>
      <c r="AD1" s="75"/>
      <c r="AE1" s="75"/>
      <c r="AF1" s="75"/>
      <c r="AG1" s="75"/>
      <c r="AH1" s="75"/>
      <c r="AI1" s="75"/>
      <c r="AJ1" s="75"/>
      <c r="AK1" s="75"/>
      <c r="AL1" s="75"/>
      <c r="AM1" s="75"/>
      <c r="AN1" s="75"/>
      <c r="AO1" s="75"/>
      <c r="AP1" s="75"/>
      <c r="AQ1" s="71"/>
      <c r="AR1" s="75"/>
      <c r="AS1" s="72"/>
      <c r="AT1" s="75"/>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row>
    <row r="2" spans="1:86" s="70" customFormat="1">
      <c r="A2" s="77" t="s">
        <v>833</v>
      </c>
      <c r="B2" s="93" t="s">
        <v>862</v>
      </c>
      <c r="C2" s="75"/>
      <c r="D2" s="75"/>
      <c r="E2" s="75"/>
      <c r="F2" s="75"/>
      <c r="G2" s="75"/>
      <c r="H2" s="75"/>
      <c r="I2" s="75"/>
      <c r="J2" s="75"/>
      <c r="K2" s="94" t="s">
        <v>87</v>
      </c>
      <c r="L2" s="95">
        <v>42704</v>
      </c>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1"/>
      <c r="AR2" s="75"/>
      <c r="AS2" s="72"/>
      <c r="AT2" s="75"/>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row>
    <row r="3" spans="1:86" s="70" customFormat="1">
      <c r="A3" s="77" t="s">
        <v>834</v>
      </c>
      <c r="B3" s="93" t="s">
        <v>863</v>
      </c>
      <c r="C3" s="75"/>
      <c r="D3" s="75"/>
      <c r="E3" s="75"/>
      <c r="F3" s="75"/>
      <c r="G3" s="75"/>
      <c r="H3" s="75"/>
      <c r="I3" s="75"/>
      <c r="J3" s="75"/>
      <c r="K3" s="96" t="s">
        <v>489</v>
      </c>
      <c r="L3" s="97" t="s">
        <v>491</v>
      </c>
      <c r="M3" s="75"/>
      <c r="N3" s="75"/>
      <c r="O3" s="75"/>
      <c r="P3" s="75"/>
      <c r="Q3" s="75"/>
      <c r="R3" s="75"/>
      <c r="S3" s="75"/>
      <c r="T3" s="75"/>
      <c r="U3" s="75"/>
      <c r="V3" s="75"/>
      <c r="W3" s="75"/>
      <c r="X3" s="75"/>
      <c r="Y3" s="75"/>
      <c r="Z3" s="75"/>
      <c r="AA3" s="75"/>
      <c r="AB3" s="75"/>
      <c r="AC3" s="75"/>
      <c r="AD3" s="75"/>
      <c r="AE3" s="75"/>
      <c r="AF3" s="75"/>
      <c r="AG3" s="75"/>
      <c r="AH3" s="75"/>
      <c r="AI3" s="75"/>
      <c r="AJ3" s="75"/>
      <c r="AK3" s="75"/>
      <c r="AL3" s="75"/>
      <c r="AM3" s="75"/>
      <c r="AN3" s="75"/>
      <c r="AO3" s="75"/>
      <c r="AP3" s="75"/>
      <c r="AQ3" s="71"/>
      <c r="AR3" s="75"/>
      <c r="AS3" s="72"/>
      <c r="AT3" s="75"/>
      <c r="AU3" s="71"/>
      <c r="AV3" s="71"/>
      <c r="AW3" s="71"/>
      <c r="AX3" s="71"/>
      <c r="AY3" s="71"/>
      <c r="AZ3" s="71"/>
      <c r="BA3" s="71"/>
      <c r="BB3" s="71"/>
      <c r="BC3" s="71"/>
      <c r="BD3" s="71"/>
      <c r="BE3" s="71"/>
      <c r="BF3" s="71"/>
      <c r="BG3" s="71"/>
      <c r="BH3" s="71"/>
      <c r="BI3" s="71"/>
      <c r="BJ3" s="71"/>
      <c r="BK3" s="71"/>
      <c r="BL3" s="71"/>
      <c r="BM3" s="71"/>
      <c r="BN3" s="71"/>
      <c r="BO3" s="71"/>
      <c r="BP3" s="71"/>
      <c r="BQ3" s="71"/>
      <c r="BR3" s="71"/>
      <c r="BS3" s="71"/>
      <c r="BT3" s="71"/>
      <c r="BU3" s="71"/>
      <c r="BV3" s="71"/>
      <c r="BW3" s="71"/>
      <c r="BX3" s="71"/>
      <c r="BY3" s="71"/>
      <c r="BZ3" s="71"/>
    </row>
    <row r="4" spans="1:86" s="70" customFormat="1">
      <c r="A4" s="77" t="s">
        <v>835</v>
      </c>
      <c r="B4" s="93" t="s">
        <v>864</v>
      </c>
      <c r="C4" s="75"/>
      <c r="D4" s="75"/>
      <c r="E4" s="75"/>
      <c r="F4" s="75"/>
      <c r="G4" s="75"/>
      <c r="H4" s="75"/>
      <c r="I4" s="75"/>
      <c r="J4" s="75"/>
      <c r="K4" s="96" t="s">
        <v>954</v>
      </c>
      <c r="L4" s="97" t="s">
        <v>955</v>
      </c>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1"/>
      <c r="AR4" s="75"/>
      <c r="AS4" s="71"/>
      <c r="AT4" s="75"/>
      <c r="AU4" s="71"/>
      <c r="AV4" s="71"/>
      <c r="AW4" s="71"/>
      <c r="AX4" s="71"/>
      <c r="AY4" s="71"/>
      <c r="AZ4" s="71"/>
      <c r="BA4" s="71"/>
      <c r="BB4" s="71"/>
      <c r="BC4" s="71"/>
      <c r="BD4" s="71"/>
      <c r="BE4" s="71"/>
      <c r="BF4" s="71"/>
      <c r="BG4" s="71"/>
      <c r="BH4" s="71"/>
      <c r="BI4" s="71"/>
      <c r="BJ4" s="71"/>
      <c r="BK4" s="71"/>
      <c r="BL4" s="71"/>
      <c r="BM4" s="71"/>
      <c r="BN4" s="71"/>
      <c r="BO4" s="71"/>
      <c r="BP4" s="71"/>
      <c r="BQ4" s="71"/>
      <c r="BR4" s="71"/>
      <c r="BS4" s="71"/>
      <c r="BT4" s="71"/>
      <c r="BU4" s="71"/>
      <c r="BV4" s="71"/>
      <c r="BW4" s="71"/>
      <c r="BX4" s="71"/>
      <c r="BY4" s="71"/>
      <c r="BZ4" s="71"/>
    </row>
    <row r="5" spans="1:86" s="70" customFormat="1">
      <c r="A5" s="77" t="s">
        <v>836</v>
      </c>
      <c r="B5" s="93" t="s">
        <v>865</v>
      </c>
      <c r="C5" s="75"/>
      <c r="D5" s="75"/>
      <c r="E5" s="75"/>
      <c r="F5" s="75"/>
      <c r="G5" s="75"/>
      <c r="H5" s="75"/>
      <c r="I5" s="75"/>
      <c r="J5" s="75"/>
      <c r="K5" s="96" t="s">
        <v>490</v>
      </c>
      <c r="L5" s="97" t="s">
        <v>492</v>
      </c>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1"/>
      <c r="AR5" s="75"/>
      <c r="AS5" s="71"/>
      <c r="AT5" s="75"/>
      <c r="AU5" s="71"/>
      <c r="AV5" s="71"/>
      <c r="AW5" s="71"/>
      <c r="AX5" s="71"/>
      <c r="AY5" s="71"/>
      <c r="AZ5" s="71"/>
      <c r="BA5" s="71"/>
      <c r="BB5" s="71"/>
      <c r="BC5" s="71"/>
      <c r="BD5" s="71"/>
      <c r="BE5" s="71"/>
      <c r="BF5" s="71"/>
      <c r="BG5" s="71"/>
      <c r="BH5" s="71"/>
      <c r="BI5" s="71"/>
      <c r="BJ5" s="71"/>
      <c r="BK5" s="71"/>
      <c r="BL5" s="71"/>
      <c r="BM5" s="71"/>
      <c r="BN5" s="71"/>
      <c r="BO5" s="71"/>
      <c r="BP5" s="71"/>
      <c r="BQ5" s="71"/>
      <c r="BR5" s="71"/>
      <c r="BS5" s="71"/>
      <c r="BT5" s="71"/>
      <c r="BU5" s="71"/>
      <c r="BV5" s="71"/>
      <c r="BW5" s="71"/>
      <c r="BX5" s="71"/>
      <c r="BY5" s="71"/>
      <c r="BZ5" s="71"/>
    </row>
    <row r="6" spans="1:86" s="70" customFormat="1">
      <c r="A6" s="77" t="s">
        <v>837</v>
      </c>
      <c r="B6" s="93" t="s">
        <v>866</v>
      </c>
      <c r="C6" s="75"/>
      <c r="D6" s="75"/>
      <c r="E6" s="75"/>
      <c r="F6" s="75"/>
      <c r="G6" s="75"/>
      <c r="H6" s="75"/>
      <c r="I6" s="75"/>
      <c r="J6" s="75"/>
      <c r="K6" s="98" t="s">
        <v>89</v>
      </c>
      <c r="L6" s="99" t="s">
        <v>90</v>
      </c>
      <c r="M6" s="75"/>
      <c r="N6" s="75"/>
      <c r="O6" s="75"/>
      <c r="P6" s="75"/>
      <c r="Q6" s="75"/>
      <c r="R6" s="75"/>
      <c r="S6" s="75"/>
      <c r="T6" s="75"/>
      <c r="U6" s="75"/>
      <c r="V6" s="75"/>
      <c r="W6" s="75"/>
      <c r="X6" s="75"/>
      <c r="Y6" s="75"/>
      <c r="Z6" s="75"/>
      <c r="AA6" s="75"/>
      <c r="AB6" s="75"/>
      <c r="AC6" s="75"/>
      <c r="AD6" s="75"/>
      <c r="AE6" s="100"/>
      <c r="AF6" s="75"/>
      <c r="AG6" s="75"/>
      <c r="AH6" s="75"/>
      <c r="AI6" s="75"/>
      <c r="AJ6" s="75"/>
      <c r="AK6" s="75"/>
      <c r="AL6" s="75"/>
      <c r="AM6" s="75"/>
      <c r="AN6" s="75"/>
      <c r="AO6" s="75"/>
      <c r="AP6" s="75"/>
      <c r="AQ6" s="71"/>
      <c r="AR6" s="75"/>
      <c r="AS6" s="71"/>
      <c r="AT6" s="75"/>
      <c r="AU6" s="71"/>
      <c r="AV6" s="71"/>
      <c r="AW6" s="71"/>
      <c r="AX6" s="71"/>
      <c r="AY6" s="71"/>
      <c r="AZ6" s="71"/>
      <c r="BA6" s="71"/>
      <c r="BB6" s="71"/>
      <c r="BC6" s="71"/>
      <c r="BD6" s="71"/>
      <c r="BE6" s="71"/>
      <c r="BF6" s="71"/>
      <c r="BG6" s="71"/>
      <c r="BH6" s="71"/>
      <c r="BI6" s="71"/>
      <c r="BJ6" s="71"/>
      <c r="BK6" s="71"/>
      <c r="BL6" s="71"/>
      <c r="BM6" s="71"/>
      <c r="BN6" s="71"/>
      <c r="BO6" s="71"/>
      <c r="BP6" s="71"/>
      <c r="BQ6" s="71"/>
      <c r="BR6" s="71"/>
      <c r="BS6" s="71"/>
      <c r="BT6" s="71"/>
      <c r="BU6" s="71"/>
      <c r="BV6" s="71"/>
      <c r="BW6" s="71"/>
      <c r="BX6" s="71"/>
      <c r="BY6" s="71"/>
      <c r="BZ6" s="71"/>
    </row>
    <row r="7" spans="1:86" s="70" customFormat="1">
      <c r="A7" s="77" t="s">
        <v>956</v>
      </c>
      <c r="B7" s="93" t="s">
        <v>957</v>
      </c>
      <c r="C7" s="75"/>
      <c r="D7" s="75"/>
      <c r="E7" s="75"/>
      <c r="F7" s="75"/>
      <c r="G7" s="75"/>
      <c r="H7" s="75"/>
      <c r="I7" s="75"/>
      <c r="J7" s="75"/>
      <c r="K7" s="100"/>
      <c r="L7" s="100"/>
      <c r="M7" s="75"/>
      <c r="N7" s="75"/>
      <c r="O7" s="75"/>
      <c r="P7" s="75"/>
      <c r="Q7" s="75"/>
      <c r="R7" s="75"/>
      <c r="S7" s="75"/>
      <c r="T7" s="75"/>
      <c r="U7" s="75"/>
      <c r="V7" s="75"/>
      <c r="W7" s="75"/>
      <c r="X7" s="75"/>
      <c r="Y7" s="75"/>
      <c r="Z7" s="75"/>
      <c r="AA7" s="75"/>
      <c r="AB7" s="75"/>
      <c r="AC7" s="75"/>
      <c r="AD7" s="75"/>
      <c r="AE7" s="100"/>
      <c r="AF7" s="101"/>
      <c r="AG7" s="101"/>
      <c r="AH7" s="75"/>
      <c r="AI7" s="75"/>
      <c r="AJ7" s="75"/>
      <c r="AK7" s="75"/>
      <c r="AL7" s="75"/>
      <c r="AM7" s="75"/>
      <c r="AN7" s="75"/>
      <c r="AO7" s="75"/>
      <c r="AP7" s="75"/>
      <c r="AQ7" s="71"/>
      <c r="AR7" s="75"/>
      <c r="AS7" s="71"/>
      <c r="AT7" s="75"/>
      <c r="AU7" s="71"/>
      <c r="AV7" s="71"/>
      <c r="AW7" s="71"/>
      <c r="AX7" s="71"/>
      <c r="AY7" s="71"/>
      <c r="AZ7" s="71"/>
      <c r="BA7" s="71"/>
      <c r="BB7" s="71"/>
      <c r="BC7" s="71"/>
      <c r="BD7" s="71"/>
      <c r="BE7" s="71"/>
      <c r="BF7" s="71"/>
      <c r="BG7" s="71"/>
      <c r="BH7" s="71"/>
      <c r="BI7" s="71"/>
      <c r="BJ7" s="71"/>
      <c r="BK7" s="71"/>
      <c r="BL7" s="71"/>
      <c r="BM7" s="71"/>
      <c r="BN7" s="71"/>
      <c r="BO7" s="71"/>
      <c r="BP7" s="71"/>
      <c r="BQ7" s="71"/>
      <c r="BR7" s="71"/>
      <c r="BS7" s="71"/>
      <c r="BT7" s="71"/>
      <c r="BU7" s="71"/>
      <c r="BV7" s="71"/>
      <c r="BW7" s="71"/>
      <c r="BX7" s="71"/>
      <c r="BY7" s="71"/>
      <c r="BZ7" s="71"/>
    </row>
    <row r="8" spans="1:86" s="70" customFormat="1">
      <c r="A8" s="77" t="s">
        <v>838</v>
      </c>
      <c r="B8" s="92">
        <v>42376</v>
      </c>
      <c r="C8" s="75"/>
      <c r="D8" s="75"/>
      <c r="E8" s="75"/>
      <c r="F8" s="75"/>
      <c r="G8" s="75"/>
      <c r="H8" s="75"/>
      <c r="I8" s="75"/>
      <c r="J8" s="75"/>
      <c r="K8" s="75"/>
      <c r="L8" s="75"/>
      <c r="M8" s="75"/>
      <c r="N8" s="75"/>
      <c r="O8" s="75"/>
      <c r="P8" s="75"/>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1"/>
      <c r="AR8" s="75"/>
      <c r="AS8" s="71"/>
      <c r="AT8" s="75"/>
      <c r="AU8" s="71"/>
      <c r="AV8" s="71"/>
      <c r="AW8" s="71"/>
      <c r="AX8" s="71"/>
      <c r="AY8" s="71"/>
      <c r="AZ8" s="71"/>
      <c r="BA8" s="71"/>
      <c r="BB8" s="71"/>
      <c r="BC8" s="71"/>
      <c r="BD8" s="71"/>
      <c r="BE8" s="71"/>
      <c r="BF8" s="71"/>
      <c r="BG8" s="71"/>
      <c r="BH8" s="71"/>
      <c r="BI8" s="71"/>
      <c r="BJ8" s="71"/>
      <c r="BK8" s="71"/>
      <c r="BL8" s="71"/>
      <c r="BM8" s="71"/>
      <c r="BN8" s="71"/>
      <c r="BO8" s="71"/>
      <c r="BP8" s="71"/>
      <c r="BQ8" s="71"/>
      <c r="BR8" s="71"/>
      <c r="BS8" s="71"/>
      <c r="BT8" s="71"/>
      <c r="BU8" s="71"/>
      <c r="BV8" s="71"/>
      <c r="BW8" s="71"/>
      <c r="BX8" s="71"/>
      <c r="BY8" s="71"/>
      <c r="BZ8" s="71"/>
    </row>
    <row r="9" spans="1:86" s="81" customFormat="1" ht="12.75">
      <c r="A9" s="9"/>
      <c r="B9" s="9"/>
      <c r="C9" s="49"/>
      <c r="D9" s="49"/>
      <c r="E9" s="49"/>
      <c r="F9" s="49"/>
      <c r="G9" s="49"/>
      <c r="H9" s="49"/>
      <c r="I9" s="49"/>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82"/>
      <c r="AR9" s="49"/>
      <c r="AS9" s="82"/>
      <c r="AT9" s="49"/>
      <c r="AU9" s="82"/>
      <c r="AV9" s="82"/>
      <c r="AW9" s="82"/>
      <c r="AX9" s="82"/>
      <c r="AY9" s="82"/>
      <c r="AZ9" s="82"/>
      <c r="BA9" s="82"/>
      <c r="BB9" s="82"/>
      <c r="BC9" s="49"/>
      <c r="BD9" s="82"/>
      <c r="BE9" s="82"/>
      <c r="BF9" s="82"/>
      <c r="BG9" s="82"/>
      <c r="BH9" s="82"/>
      <c r="BI9" s="82"/>
      <c r="BJ9" s="82"/>
      <c r="BK9" s="82"/>
      <c r="BL9" s="82"/>
      <c r="BM9" s="82"/>
      <c r="BN9" s="82"/>
      <c r="BO9" s="82"/>
      <c r="BP9" s="82"/>
      <c r="BQ9" s="82"/>
      <c r="BR9" s="82"/>
      <c r="BS9" s="82"/>
      <c r="BT9" s="82"/>
      <c r="BU9" s="82"/>
      <c r="BV9" s="82"/>
      <c r="BW9" s="82"/>
      <c r="BX9" s="82"/>
      <c r="BY9" s="82"/>
      <c r="BZ9" s="82"/>
    </row>
    <row r="10" spans="1:86">
      <c r="A10" s="102" t="s">
        <v>867</v>
      </c>
      <c r="W10" s="103"/>
      <c r="AF10" s="75" t="s">
        <v>343</v>
      </c>
      <c r="AJ10" s="75" t="s">
        <v>366</v>
      </c>
      <c r="AK10" s="75" t="s">
        <v>342</v>
      </c>
      <c r="AL10" s="75" t="s">
        <v>343</v>
      </c>
      <c r="AM10" s="75" t="s">
        <v>366</v>
      </c>
      <c r="AN10" s="75" t="s">
        <v>342</v>
      </c>
      <c r="AO10" s="75" t="s">
        <v>343</v>
      </c>
      <c r="AQ10" s="71">
        <v>1</v>
      </c>
      <c r="AR10" s="75">
        <v>2</v>
      </c>
      <c r="AS10" s="71">
        <v>5</v>
      </c>
      <c r="AU10" s="75" t="s">
        <v>366</v>
      </c>
      <c r="AV10" s="75" t="s">
        <v>342</v>
      </c>
      <c r="AW10" s="75" t="s">
        <v>343</v>
      </c>
      <c r="AX10" s="103" t="s">
        <v>862</v>
      </c>
      <c r="AY10" s="103" t="s">
        <v>863</v>
      </c>
      <c r="AZ10" s="75" t="s">
        <v>366</v>
      </c>
      <c r="BA10" s="75" t="s">
        <v>342</v>
      </c>
      <c r="BB10" s="75" t="s">
        <v>343</v>
      </c>
      <c r="BC10" s="75" t="s">
        <v>862</v>
      </c>
      <c r="BD10" s="75" t="s">
        <v>863</v>
      </c>
      <c r="BE10" s="75"/>
      <c r="BF10" s="75"/>
      <c r="BG10" s="75"/>
      <c r="BH10" s="71"/>
      <c r="BI10" s="71"/>
      <c r="BJ10" s="71"/>
      <c r="BK10" s="71"/>
      <c r="BL10" s="71"/>
      <c r="BM10" s="71"/>
      <c r="BN10" s="71"/>
      <c r="BO10" s="71"/>
      <c r="BP10" s="71"/>
      <c r="BQ10" s="71"/>
      <c r="BR10" s="71"/>
      <c r="BS10" s="71" t="s">
        <v>117</v>
      </c>
      <c r="BT10" s="71"/>
      <c r="BU10" s="71"/>
      <c r="BV10" s="71"/>
      <c r="BW10" s="71"/>
      <c r="BX10" s="71"/>
      <c r="BY10" s="71"/>
      <c r="BZ10" s="71"/>
      <c r="CA10" s="70"/>
      <c r="CB10" s="70"/>
      <c r="CC10" s="70"/>
      <c r="CD10" s="70"/>
      <c r="CE10" s="70"/>
      <c r="CF10" s="70"/>
      <c r="CG10" s="70"/>
      <c r="CH10" s="70"/>
    </row>
    <row r="11" spans="1:86" ht="12.75">
      <c r="A11" s="77" t="s">
        <v>108</v>
      </c>
      <c r="B11" s="77" t="s">
        <v>839</v>
      </c>
      <c r="C11" s="75" t="s">
        <v>840</v>
      </c>
      <c r="D11" s="75" t="s">
        <v>841</v>
      </c>
      <c r="E11" s="75" t="s">
        <v>842</v>
      </c>
      <c r="F11" s="75" t="s">
        <v>958</v>
      </c>
      <c r="G11" s="74" t="s">
        <v>843</v>
      </c>
      <c r="H11" s="74" t="s">
        <v>153</v>
      </c>
      <c r="I11" s="74" t="s">
        <v>774</v>
      </c>
      <c r="J11" s="75" t="s">
        <v>94</v>
      </c>
      <c r="K11" s="75" t="s">
        <v>95</v>
      </c>
      <c r="L11" s="75" t="s">
        <v>96</v>
      </c>
      <c r="M11" s="75" t="s">
        <v>97</v>
      </c>
      <c r="N11" s="75" t="s">
        <v>100</v>
      </c>
      <c r="O11" s="49" t="s">
        <v>890</v>
      </c>
      <c r="P11" s="75" t="s">
        <v>891</v>
      </c>
      <c r="Q11" s="75" t="s">
        <v>892</v>
      </c>
      <c r="R11" s="75" t="s">
        <v>964</v>
      </c>
      <c r="S11" s="75" t="s">
        <v>959</v>
      </c>
      <c r="T11" s="75" t="s">
        <v>960</v>
      </c>
      <c r="U11" s="75" t="s">
        <v>961</v>
      </c>
      <c r="V11" s="75" t="s">
        <v>962</v>
      </c>
      <c r="W11" s="75" t="s">
        <v>963</v>
      </c>
      <c r="X11" s="49" t="s">
        <v>893</v>
      </c>
      <c r="Y11" s="75" t="s">
        <v>894</v>
      </c>
      <c r="Z11" s="75" t="s">
        <v>844</v>
      </c>
      <c r="AA11" s="75" t="s">
        <v>895</v>
      </c>
      <c r="AB11" s="75" t="s">
        <v>896</v>
      </c>
      <c r="AC11" s="75" t="s">
        <v>897</v>
      </c>
      <c r="AD11" s="75" t="s">
        <v>898</v>
      </c>
      <c r="AE11" s="75" t="s">
        <v>899</v>
      </c>
      <c r="AF11" s="75" t="s">
        <v>902</v>
      </c>
      <c r="AG11" s="75" t="s">
        <v>978</v>
      </c>
      <c r="AH11" s="75" t="s">
        <v>979</v>
      </c>
      <c r="AI11" s="75" t="s">
        <v>980</v>
      </c>
      <c r="AJ11" s="75" t="s">
        <v>903</v>
      </c>
      <c r="AK11" s="75" t="s">
        <v>903</v>
      </c>
      <c r="AL11" s="75" t="s">
        <v>903</v>
      </c>
      <c r="AM11" s="75" t="s">
        <v>771</v>
      </c>
      <c r="AN11" s="75" t="s">
        <v>771</v>
      </c>
      <c r="AO11" s="75" t="s">
        <v>771</v>
      </c>
      <c r="AP11" s="75" t="s">
        <v>981</v>
      </c>
      <c r="AQ11" s="75" t="s">
        <v>847</v>
      </c>
      <c r="AR11" s="75" t="s">
        <v>846</v>
      </c>
      <c r="AS11" s="75" t="s">
        <v>845</v>
      </c>
      <c r="AT11" s="75" t="s">
        <v>73</v>
      </c>
      <c r="AU11" s="74" t="s">
        <v>655</v>
      </c>
      <c r="AV11" s="74" t="s">
        <v>655</v>
      </c>
      <c r="AW11" s="74" t="s">
        <v>655</v>
      </c>
      <c r="AX11" s="74" t="s">
        <v>655</v>
      </c>
      <c r="AY11" s="75" t="s">
        <v>655</v>
      </c>
      <c r="AZ11" s="74" t="s">
        <v>656</v>
      </c>
      <c r="BA11" s="74" t="s">
        <v>656</v>
      </c>
      <c r="BB11" s="74" t="s">
        <v>656</v>
      </c>
      <c r="BC11" s="75" t="s">
        <v>656</v>
      </c>
      <c r="BD11" s="74" t="s">
        <v>656</v>
      </c>
      <c r="BE11" s="74" t="s">
        <v>966</v>
      </c>
      <c r="BF11" s="74" t="s">
        <v>967</v>
      </c>
      <c r="BG11" s="74" t="s">
        <v>968</v>
      </c>
      <c r="BH11" s="74" t="s">
        <v>969</v>
      </c>
      <c r="BI11" s="74" t="s">
        <v>970</v>
      </c>
      <c r="BJ11" s="74" t="s">
        <v>971</v>
      </c>
      <c r="BK11" s="74" t="s">
        <v>848</v>
      </c>
      <c r="BL11" s="74" t="s">
        <v>849</v>
      </c>
      <c r="BM11" s="74" t="s">
        <v>850</v>
      </c>
      <c r="BN11" s="74" t="s">
        <v>851</v>
      </c>
      <c r="BO11" s="74" t="s">
        <v>852</v>
      </c>
      <c r="BP11" s="74" t="s">
        <v>853</v>
      </c>
      <c r="BQ11" s="74" t="s">
        <v>854</v>
      </c>
      <c r="BR11" s="74" t="s">
        <v>855</v>
      </c>
      <c r="BS11" s="76" t="s">
        <v>868</v>
      </c>
      <c r="BT11" s="76" t="s">
        <v>869</v>
      </c>
      <c r="BU11" s="76" t="s">
        <v>870</v>
      </c>
      <c r="BV11" s="76" t="s">
        <v>871</v>
      </c>
      <c r="BW11" s="76" t="s">
        <v>872</v>
      </c>
      <c r="BX11" s="76" t="s">
        <v>1912</v>
      </c>
      <c r="BY11" s="76" t="s">
        <v>1913</v>
      </c>
      <c r="BZ11" s="76" t="s">
        <v>1914</v>
      </c>
      <c r="CB11" s="73" t="s">
        <v>982</v>
      </c>
      <c r="CC11" s="73" t="s">
        <v>311</v>
      </c>
      <c r="CD11" s="73" t="s">
        <v>312</v>
      </c>
      <c r="CE11" s="74" t="s">
        <v>907</v>
      </c>
    </row>
    <row r="12" spans="1:86">
      <c r="CE12" s="73"/>
    </row>
    <row r="13" spans="1:86" s="74" customFormat="1" ht="12.75">
      <c r="A13" s="75" t="s">
        <v>1021</v>
      </c>
      <c r="B13" s="104" t="s">
        <v>1022</v>
      </c>
      <c r="C13" s="75" t="s">
        <v>1023</v>
      </c>
      <c r="D13" s="75" t="s">
        <v>875</v>
      </c>
      <c r="E13" s="103">
        <v>42735</v>
      </c>
      <c r="F13" s="103">
        <v>42643</v>
      </c>
      <c r="G13" s="103">
        <v>42034</v>
      </c>
      <c r="H13" s="105">
        <v>1387.752</v>
      </c>
      <c r="I13" s="105">
        <v>55.01</v>
      </c>
      <c r="J13" s="105">
        <v>1692.82537</v>
      </c>
      <c r="K13" s="105">
        <v>1.57541</v>
      </c>
      <c r="L13" s="105">
        <v>0</v>
      </c>
      <c r="M13" s="105">
        <v>0</v>
      </c>
      <c r="N13" s="105">
        <v>306.64877999999999</v>
      </c>
      <c r="O13" s="105">
        <v>0.02</v>
      </c>
      <c r="P13" s="105">
        <v>5.4798200000000001</v>
      </c>
      <c r="Q13" s="105">
        <v>21.077839999999998</v>
      </c>
      <c r="R13" s="105">
        <v>0.63392999999999999</v>
      </c>
      <c r="S13" s="105">
        <v>22.063669999999998</v>
      </c>
      <c r="T13" s="105">
        <v>5.1977599999999997</v>
      </c>
      <c r="U13" s="105">
        <v>15.26943</v>
      </c>
      <c r="V13" s="105">
        <v>163.61997</v>
      </c>
      <c r="W13" s="105">
        <v>345.17433</v>
      </c>
      <c r="X13" s="105">
        <v>0</v>
      </c>
      <c r="Y13" s="105">
        <v>-47.957880000000003</v>
      </c>
      <c r="Z13" s="105">
        <v>-90.806719999999999</v>
      </c>
      <c r="AA13" s="105">
        <v>-23.410540000000001</v>
      </c>
      <c r="AB13" s="105">
        <v>-45.584829999999997</v>
      </c>
      <c r="AC13" s="105">
        <v>-115.42700000000001</v>
      </c>
      <c r="AD13" s="105">
        <v>-120.71899999999999</v>
      </c>
      <c r="AE13" s="105">
        <v>39.859000000000002</v>
      </c>
      <c r="AF13" s="106">
        <v>1</v>
      </c>
      <c r="AG13" s="106" t="s">
        <v>13</v>
      </c>
      <c r="AH13" s="106" t="s">
        <v>13</v>
      </c>
      <c r="AI13" s="106" t="s">
        <v>13</v>
      </c>
      <c r="AJ13" s="105">
        <v>-4.9917899999999999</v>
      </c>
      <c r="AK13" s="105">
        <v>-16.47682</v>
      </c>
      <c r="AL13" s="105">
        <v>-21.251919999999998</v>
      </c>
      <c r="AM13" s="105">
        <v>-4.9638400000000003</v>
      </c>
      <c r="AN13" s="105">
        <v>-9.8108599999999999</v>
      </c>
      <c r="AO13" s="105">
        <v>-8.9101400000000002</v>
      </c>
      <c r="AP13" s="107" t="s">
        <v>2234</v>
      </c>
      <c r="AQ13" s="108">
        <v>3.96387</v>
      </c>
      <c r="AR13" s="108">
        <v>2.5267900000000001</v>
      </c>
      <c r="AS13" s="108">
        <v>0</v>
      </c>
      <c r="AT13" s="106">
        <v>0</v>
      </c>
      <c r="AU13" s="105">
        <v>-80.413039999999995</v>
      </c>
      <c r="AV13" s="105">
        <v>-49.986550000000001</v>
      </c>
      <c r="AW13" s="105">
        <v>-92.970100000000002</v>
      </c>
      <c r="AX13" s="105">
        <v>-24.324809999999999</v>
      </c>
      <c r="AY13" s="105">
        <v>-47.125779999999999</v>
      </c>
      <c r="AZ13" s="105">
        <v>62.724530000000001</v>
      </c>
      <c r="BA13" s="105">
        <v>191.69951</v>
      </c>
      <c r="BB13" s="105">
        <v>359.52107000000001</v>
      </c>
      <c r="BC13" s="105">
        <v>55.205719999999999</v>
      </c>
      <c r="BD13" s="105">
        <v>290.5378</v>
      </c>
      <c r="BE13" s="105">
        <v>34.299999999999997</v>
      </c>
      <c r="BF13" s="105">
        <v>919.13576</v>
      </c>
      <c r="BG13" s="105">
        <v>0</v>
      </c>
      <c r="BH13" s="74">
        <v>0</v>
      </c>
      <c r="BI13" s="74">
        <v>0</v>
      </c>
      <c r="BJ13" s="105">
        <v>212.1592</v>
      </c>
      <c r="BK13" s="74">
        <v>0</v>
      </c>
      <c r="BL13" s="74">
        <v>31.463699000000002</v>
      </c>
      <c r="BM13" s="74">
        <v>0</v>
      </c>
      <c r="BN13" s="74">
        <v>0</v>
      </c>
      <c r="BO13" s="74">
        <v>0</v>
      </c>
      <c r="BP13" s="74">
        <v>0</v>
      </c>
      <c r="BQ13" s="74">
        <v>0</v>
      </c>
      <c r="BR13" s="78">
        <v>0.14711327156862375</v>
      </c>
      <c r="BS13" s="109">
        <v>0.77767472070583177</v>
      </c>
      <c r="BT13" s="109">
        <v>0.7672442493850854</v>
      </c>
      <c r="BU13" s="109" t="s">
        <v>13</v>
      </c>
      <c r="BV13" s="109" t="s">
        <v>13</v>
      </c>
      <c r="BW13" s="109" t="s">
        <v>13</v>
      </c>
      <c r="BX13" s="109" t="s">
        <v>13</v>
      </c>
      <c r="BY13" s="109" t="s">
        <v>13</v>
      </c>
      <c r="BZ13" s="109" t="s">
        <v>13</v>
      </c>
      <c r="CB13" s="74">
        <v>2</v>
      </c>
      <c r="CC13" s="13" t="s">
        <v>315</v>
      </c>
      <c r="CD13" s="13" t="s">
        <v>314</v>
      </c>
      <c r="CE13" s="76">
        <v>41974</v>
      </c>
    </row>
    <row r="14" spans="1:86" s="74" customFormat="1" ht="12.75">
      <c r="A14" s="75" t="s">
        <v>1025</v>
      </c>
      <c r="B14" s="104" t="s">
        <v>1026</v>
      </c>
      <c r="C14" s="75" t="s">
        <v>1027</v>
      </c>
      <c r="D14" s="75" t="s">
        <v>873</v>
      </c>
      <c r="E14" s="103">
        <v>42735</v>
      </c>
      <c r="F14" s="103">
        <v>42643</v>
      </c>
      <c r="G14" s="103">
        <v>42662</v>
      </c>
      <c r="H14" s="105">
        <v>825.52904000000001</v>
      </c>
      <c r="I14" s="105">
        <v>21.82</v>
      </c>
      <c r="J14" s="105">
        <v>868.62804000000006</v>
      </c>
      <c r="K14" s="105">
        <v>0</v>
      </c>
      <c r="L14" s="105">
        <v>185.565</v>
      </c>
      <c r="M14" s="105">
        <v>-5.0999999999999997E-2</v>
      </c>
      <c r="N14" s="105">
        <v>228.613</v>
      </c>
      <c r="O14" s="105">
        <v>0</v>
      </c>
      <c r="P14" s="105">
        <v>0</v>
      </c>
      <c r="Q14" s="105">
        <v>3.0670000000000002</v>
      </c>
      <c r="R14" s="105">
        <v>0</v>
      </c>
      <c r="S14" s="105">
        <v>0.247</v>
      </c>
      <c r="T14" s="105">
        <v>4.0599999999999996</v>
      </c>
      <c r="U14" s="105">
        <v>9.8339999999999996</v>
      </c>
      <c r="V14" s="105">
        <v>11.1845</v>
      </c>
      <c r="W14" s="105">
        <v>13.087</v>
      </c>
      <c r="X14" s="105">
        <v>0</v>
      </c>
      <c r="Y14" s="105">
        <v>-6.5890000000000004</v>
      </c>
      <c r="Z14" s="105">
        <v>-54.414000000000001</v>
      </c>
      <c r="AA14" s="105">
        <v>-6.5890000000000004</v>
      </c>
      <c r="AB14" s="105">
        <v>-25.602</v>
      </c>
      <c r="AC14" s="105" t="s">
        <v>13</v>
      </c>
      <c r="AD14" s="105" t="s">
        <v>13</v>
      </c>
      <c r="AE14" s="105" t="s">
        <v>13</v>
      </c>
      <c r="AF14" s="106" t="s">
        <v>13</v>
      </c>
      <c r="AG14" s="106" t="s">
        <v>13</v>
      </c>
      <c r="AH14" s="106" t="s">
        <v>13</v>
      </c>
      <c r="AI14" s="106" t="s">
        <v>13</v>
      </c>
      <c r="AJ14" s="105">
        <v>0</v>
      </c>
      <c r="AK14" s="105">
        <v>-2.1230000000000002</v>
      </c>
      <c r="AL14" s="105">
        <v>-75.058999999999997</v>
      </c>
      <c r="AM14" s="105">
        <v>0</v>
      </c>
      <c r="AN14" s="105">
        <v>0</v>
      </c>
      <c r="AO14" s="105">
        <v>-3.2909999999999999</v>
      </c>
      <c r="AP14" s="107" t="s">
        <v>2235</v>
      </c>
      <c r="AQ14" s="108">
        <v>2.30735</v>
      </c>
      <c r="AR14" s="108">
        <v>0</v>
      </c>
      <c r="AS14" s="108">
        <v>0</v>
      </c>
      <c r="AT14" s="106">
        <v>0</v>
      </c>
      <c r="AU14" s="105">
        <v>0</v>
      </c>
      <c r="AV14" s="105">
        <v>-6.8</v>
      </c>
      <c r="AW14" s="105">
        <v>-52.585999999999999</v>
      </c>
      <c r="AX14" s="105">
        <v>-6.8</v>
      </c>
      <c r="AY14" s="105">
        <v>-25.827999999999999</v>
      </c>
      <c r="AZ14" s="105">
        <v>0</v>
      </c>
      <c r="BA14" s="105">
        <v>-0.70399999999999996</v>
      </c>
      <c r="BB14" s="105">
        <v>123.033</v>
      </c>
      <c r="BC14" s="105">
        <v>-0.70399999999999996</v>
      </c>
      <c r="BD14" s="105">
        <v>35.396999999999998</v>
      </c>
      <c r="BE14" s="105">
        <v>0</v>
      </c>
      <c r="BF14" s="105">
        <v>0</v>
      </c>
      <c r="BG14" s="105">
        <v>0</v>
      </c>
      <c r="BH14" s="74">
        <v>0</v>
      </c>
      <c r="BI14" s="74">
        <v>0</v>
      </c>
      <c r="BJ14" s="105">
        <v>0</v>
      </c>
      <c r="BK14" s="74" t="s">
        <v>874</v>
      </c>
      <c r="BL14" s="74">
        <v>0</v>
      </c>
      <c r="BM14" s="74">
        <v>0</v>
      </c>
      <c r="BN14" s="74">
        <v>0</v>
      </c>
      <c r="BO14" s="74">
        <v>0</v>
      </c>
      <c r="BP14" s="74">
        <v>0</v>
      </c>
      <c r="BQ14" s="74">
        <v>0</v>
      </c>
      <c r="BR14" s="78">
        <v>0.18650146723182259</v>
      </c>
      <c r="BS14" s="109">
        <v>0.92672097514187046</v>
      </c>
      <c r="BT14" s="109" t="s">
        <v>13</v>
      </c>
      <c r="BU14" s="109" t="s">
        <v>13</v>
      </c>
      <c r="BV14" s="109" t="s">
        <v>13</v>
      </c>
      <c r="BW14" s="109" t="s">
        <v>13</v>
      </c>
      <c r="BX14" s="109" t="s">
        <v>13</v>
      </c>
      <c r="BY14" s="109" t="s">
        <v>13</v>
      </c>
      <c r="BZ14" s="109" t="s">
        <v>13</v>
      </c>
      <c r="CB14" s="74">
        <v>2</v>
      </c>
      <c r="CC14" s="13" t="s">
        <v>315</v>
      </c>
      <c r="CD14" s="13" t="s">
        <v>314</v>
      </c>
      <c r="CE14" s="76">
        <v>41974</v>
      </c>
    </row>
    <row r="15" spans="1:86" s="74" customFormat="1" ht="12.75">
      <c r="A15" s="75" t="s">
        <v>1029</v>
      </c>
      <c r="B15" s="104" t="s">
        <v>1030</v>
      </c>
      <c r="C15" s="75" t="s">
        <v>1031</v>
      </c>
      <c r="D15" s="75" t="s">
        <v>873</v>
      </c>
      <c r="E15" s="103">
        <v>42735</v>
      </c>
      <c r="F15" s="103">
        <v>42643</v>
      </c>
      <c r="G15" s="103">
        <v>42319</v>
      </c>
      <c r="H15" s="105">
        <v>674.67870000000005</v>
      </c>
      <c r="I15" s="105">
        <v>35.6</v>
      </c>
      <c r="J15" s="105">
        <v>835.72670000000005</v>
      </c>
      <c r="K15" s="105">
        <v>9.2999999999999999E-2</v>
      </c>
      <c r="L15" s="105">
        <v>7.8739999999999997</v>
      </c>
      <c r="M15" s="105">
        <v>0</v>
      </c>
      <c r="N15" s="105">
        <v>169.01499999999999</v>
      </c>
      <c r="O15" s="105">
        <v>0</v>
      </c>
      <c r="P15" s="105">
        <v>0.152</v>
      </c>
      <c r="Q15" s="105">
        <v>0.80900000000000005</v>
      </c>
      <c r="R15" s="105">
        <v>0</v>
      </c>
      <c r="S15" s="105">
        <v>0.152</v>
      </c>
      <c r="T15" s="105">
        <v>1.0029999999999999</v>
      </c>
      <c r="U15" s="105">
        <v>2.5</v>
      </c>
      <c r="V15" s="105">
        <v>6.6666699999999999</v>
      </c>
      <c r="W15" s="105">
        <v>10</v>
      </c>
      <c r="X15" s="105">
        <v>-7.9151999999999996</v>
      </c>
      <c r="Y15" s="105">
        <v>-13.316000000000001</v>
      </c>
      <c r="Z15" s="105">
        <v>-43.581000000000003</v>
      </c>
      <c r="AA15" s="105">
        <v>-5.1130000000000004</v>
      </c>
      <c r="AB15" s="105">
        <v>-18.905000000000001</v>
      </c>
      <c r="AC15" s="105" t="s">
        <v>13</v>
      </c>
      <c r="AD15" s="105" t="s">
        <v>13</v>
      </c>
      <c r="AE15" s="105" t="s">
        <v>13</v>
      </c>
      <c r="AF15" s="106" t="s">
        <v>13</v>
      </c>
      <c r="AG15" s="106" t="s">
        <v>13</v>
      </c>
      <c r="AH15" s="106" t="s">
        <v>13</v>
      </c>
      <c r="AI15" s="106" t="s">
        <v>13</v>
      </c>
      <c r="AJ15" s="105">
        <v>-0.107</v>
      </c>
      <c r="AK15" s="105">
        <v>-1.4650000000000001</v>
      </c>
      <c r="AL15" s="105">
        <v>-8.2379999999999995</v>
      </c>
      <c r="AM15" s="105">
        <v>-0.1128</v>
      </c>
      <c r="AN15" s="105">
        <v>-0.91500000000000004</v>
      </c>
      <c r="AO15" s="105">
        <v>-3.8079999999999998</v>
      </c>
      <c r="AP15" s="107" t="s">
        <v>2236</v>
      </c>
      <c r="AQ15" s="108">
        <v>2.0005299999999999</v>
      </c>
      <c r="AR15" s="108">
        <v>1.8613599999999999</v>
      </c>
      <c r="AS15" s="108">
        <v>0</v>
      </c>
      <c r="AT15" s="106">
        <v>0</v>
      </c>
      <c r="AU15" s="105">
        <v>-7.9631999999999996</v>
      </c>
      <c r="AV15" s="105">
        <v>-13.85</v>
      </c>
      <c r="AW15" s="105">
        <v>-44.045999999999999</v>
      </c>
      <c r="AX15" s="105">
        <v>-5.2290000000000001</v>
      </c>
      <c r="AY15" s="105">
        <v>-19.2</v>
      </c>
      <c r="AZ15" s="105">
        <v>-7.7619999999999996</v>
      </c>
      <c r="BA15" s="105">
        <v>67.397000000000006</v>
      </c>
      <c r="BB15" s="105">
        <v>159.00800000000001</v>
      </c>
      <c r="BC15" s="105">
        <v>2.0270000000000001</v>
      </c>
      <c r="BD15" s="105">
        <v>161.36500000000001</v>
      </c>
      <c r="BE15" s="105">
        <v>14.06</v>
      </c>
      <c r="BF15" s="105">
        <v>303.01301000000001</v>
      </c>
      <c r="BG15" s="105">
        <v>0.156</v>
      </c>
      <c r="BH15" s="74">
        <v>70.516999999999996</v>
      </c>
      <c r="BI15" s="74">
        <v>0</v>
      </c>
      <c r="BJ15" s="105">
        <v>66.040000000000006</v>
      </c>
      <c r="BK15" s="74" t="s">
        <v>874</v>
      </c>
      <c r="BL15" s="74">
        <v>0</v>
      </c>
      <c r="BM15" s="74">
        <v>0</v>
      </c>
      <c r="BN15" s="74">
        <v>0</v>
      </c>
      <c r="BO15" s="74">
        <v>0</v>
      </c>
      <c r="BP15" s="74">
        <v>0</v>
      </c>
      <c r="BQ15" s="74">
        <v>0</v>
      </c>
      <c r="BR15" s="78">
        <v>0.56365883807169348</v>
      </c>
      <c r="BS15" s="109">
        <v>0.81416033280155464</v>
      </c>
      <c r="BT15" s="109">
        <v>0.79703443847278144</v>
      </c>
      <c r="BU15" s="109" t="s">
        <v>13</v>
      </c>
      <c r="BV15" s="109" t="s">
        <v>13</v>
      </c>
      <c r="BW15" s="109" t="s">
        <v>13</v>
      </c>
      <c r="BX15" s="109" t="s">
        <v>13</v>
      </c>
      <c r="BY15" s="109" t="s">
        <v>13</v>
      </c>
      <c r="BZ15" s="109" t="s">
        <v>13</v>
      </c>
      <c r="CB15" s="74">
        <v>2</v>
      </c>
      <c r="CC15" s="13" t="s">
        <v>315</v>
      </c>
      <c r="CD15" s="13" t="s">
        <v>314</v>
      </c>
      <c r="CE15" s="76">
        <v>41974</v>
      </c>
    </row>
    <row r="16" spans="1:86" s="74" customFormat="1" ht="12.75">
      <c r="A16" s="75" t="s">
        <v>1033</v>
      </c>
      <c r="B16" s="104" t="s">
        <v>1034</v>
      </c>
      <c r="C16" s="75" t="s">
        <v>1035</v>
      </c>
      <c r="D16" s="75" t="s">
        <v>875</v>
      </c>
      <c r="E16" s="103">
        <v>42735</v>
      </c>
      <c r="F16" s="103">
        <v>42643</v>
      </c>
      <c r="G16" s="103">
        <v>42264</v>
      </c>
      <c r="H16" s="105">
        <v>497.30718000000002</v>
      </c>
      <c r="I16" s="105">
        <v>22.25</v>
      </c>
      <c r="J16" s="105">
        <v>589.07718</v>
      </c>
      <c r="K16" s="105">
        <v>0</v>
      </c>
      <c r="L16" s="105">
        <v>0</v>
      </c>
      <c r="M16" s="105">
        <v>0</v>
      </c>
      <c r="N16" s="105">
        <v>91.77</v>
      </c>
      <c r="O16" s="105">
        <v>6.0869999999999997</v>
      </c>
      <c r="P16" s="105">
        <v>4.2880000000000003</v>
      </c>
      <c r="Q16" s="105">
        <v>7.3410000000000002</v>
      </c>
      <c r="R16" s="105">
        <v>6.12</v>
      </c>
      <c r="S16" s="105">
        <v>7.5880000000000001</v>
      </c>
      <c r="T16" s="105">
        <v>3.71333</v>
      </c>
      <c r="U16" s="105">
        <v>8</v>
      </c>
      <c r="V16" s="105">
        <v>10</v>
      </c>
      <c r="W16" s="105">
        <v>65</v>
      </c>
      <c r="X16" s="105">
        <v>0</v>
      </c>
      <c r="Y16" s="105">
        <v>0</v>
      </c>
      <c r="Z16" s="105">
        <v>-50.012</v>
      </c>
      <c r="AA16" s="105">
        <v>0</v>
      </c>
      <c r="AB16" s="105">
        <v>-23</v>
      </c>
      <c r="AC16" s="105">
        <v>-59.632570000000001</v>
      </c>
      <c r="AD16" s="105">
        <v>-88.3446</v>
      </c>
      <c r="AE16" s="105">
        <v>-111.44589999999999</v>
      </c>
      <c r="AF16" s="106" t="s">
        <v>13</v>
      </c>
      <c r="AG16" s="106" t="s">
        <v>13</v>
      </c>
      <c r="AH16" s="106" t="s">
        <v>13</v>
      </c>
      <c r="AI16" s="106" t="s">
        <v>13</v>
      </c>
      <c r="AJ16" s="105">
        <v>-2.91</v>
      </c>
      <c r="AK16" s="105">
        <v>-3.1720000000000002</v>
      </c>
      <c r="AL16" s="105">
        <v>-9.532</v>
      </c>
      <c r="AM16" s="105">
        <v>0</v>
      </c>
      <c r="AN16" s="105">
        <v>-0.39400000000000002</v>
      </c>
      <c r="AO16" s="105">
        <v>-3.8420000000000001</v>
      </c>
      <c r="AP16" s="107" t="s">
        <v>2237</v>
      </c>
      <c r="AQ16" s="108">
        <v>2.2391800000000002</v>
      </c>
      <c r="AR16" s="108">
        <v>1.37985</v>
      </c>
      <c r="AS16" s="108">
        <v>0</v>
      </c>
      <c r="AT16" s="106">
        <v>0</v>
      </c>
      <c r="AU16" s="105">
        <v>-5.3869999999999996</v>
      </c>
      <c r="AV16" s="105">
        <v>-19.971</v>
      </c>
      <c r="AW16" s="105">
        <v>-48.534999999999997</v>
      </c>
      <c r="AX16" s="105">
        <v>-4.0030000000000001</v>
      </c>
      <c r="AY16" s="105">
        <v>-22.811</v>
      </c>
      <c r="AZ16" s="105">
        <v>-2.1429999999999998</v>
      </c>
      <c r="BA16" s="105">
        <v>221.80799999999999</v>
      </c>
      <c r="BB16" s="105">
        <v>180.226</v>
      </c>
      <c r="BC16" s="105">
        <v>-5.6980000000000004</v>
      </c>
      <c r="BD16" s="105">
        <v>216.80799999999999</v>
      </c>
      <c r="BE16" s="105">
        <v>14.67</v>
      </c>
      <c r="BF16" s="105">
        <v>386.01862</v>
      </c>
      <c r="BG16" s="105">
        <v>0</v>
      </c>
      <c r="BH16" s="74">
        <v>0</v>
      </c>
      <c r="BI16" s="74">
        <v>0</v>
      </c>
      <c r="BJ16" s="105">
        <v>213.34899999999999</v>
      </c>
      <c r="BK16" s="74" t="s">
        <v>874</v>
      </c>
      <c r="BL16" s="74">
        <v>0</v>
      </c>
      <c r="BM16" s="74">
        <v>0</v>
      </c>
      <c r="BN16" s="74">
        <v>0</v>
      </c>
      <c r="BO16" s="74">
        <v>0</v>
      </c>
      <c r="BP16" s="74">
        <v>0</v>
      </c>
      <c r="BQ16" s="74">
        <v>0</v>
      </c>
      <c r="BR16" s="78">
        <v>4.1002588203242062E-2</v>
      </c>
      <c r="BS16" s="109">
        <v>0.66008168675338585</v>
      </c>
      <c r="BT16" s="109">
        <v>0.74596470213292698</v>
      </c>
      <c r="BU16" s="109" t="s">
        <v>13</v>
      </c>
      <c r="BV16" s="109" t="s">
        <v>13</v>
      </c>
      <c r="BW16" s="109" t="s">
        <v>13</v>
      </c>
      <c r="BX16" s="109" t="s">
        <v>13</v>
      </c>
      <c r="BY16" s="109" t="s">
        <v>13</v>
      </c>
      <c r="BZ16" s="109" t="s">
        <v>13</v>
      </c>
      <c r="CB16" s="74">
        <v>2</v>
      </c>
      <c r="CC16" s="13" t="s">
        <v>315</v>
      </c>
      <c r="CD16" s="13" t="s">
        <v>314</v>
      </c>
      <c r="CE16" s="76">
        <v>41974</v>
      </c>
    </row>
    <row r="17" spans="1:83" s="74" customFormat="1" ht="12.75">
      <c r="A17" s="75" t="s">
        <v>1037</v>
      </c>
      <c r="B17" s="104" t="s">
        <v>1038</v>
      </c>
      <c r="C17" s="75" t="s">
        <v>1039</v>
      </c>
      <c r="D17" s="75" t="s">
        <v>875</v>
      </c>
      <c r="E17" s="103">
        <v>42735</v>
      </c>
      <c r="F17" s="103">
        <v>42643</v>
      </c>
      <c r="G17" s="103">
        <v>36137</v>
      </c>
      <c r="H17" s="105">
        <v>404.75846999999999</v>
      </c>
      <c r="I17" s="105">
        <v>7.08</v>
      </c>
      <c r="J17" s="105">
        <v>524.34855000000005</v>
      </c>
      <c r="K17" s="105">
        <v>0</v>
      </c>
      <c r="L17" s="105">
        <v>0</v>
      </c>
      <c r="M17" s="105">
        <v>9.6269999999999994E-2</v>
      </c>
      <c r="N17" s="105">
        <v>119.68635</v>
      </c>
      <c r="O17" s="105">
        <v>9.7393199999999993</v>
      </c>
      <c r="P17" s="105">
        <v>37.09366</v>
      </c>
      <c r="Q17" s="105">
        <v>32.789969999999997</v>
      </c>
      <c r="R17" s="105">
        <v>10.456770000000001</v>
      </c>
      <c r="S17" s="105">
        <v>40.572110000000002</v>
      </c>
      <c r="T17" s="105">
        <v>32.808399999999999</v>
      </c>
      <c r="U17" s="105">
        <v>27.338999999999999</v>
      </c>
      <c r="V17" s="105">
        <v>27.245329999999999</v>
      </c>
      <c r="W17" s="105">
        <v>80.738</v>
      </c>
      <c r="X17" s="105">
        <v>-35.705069999999999</v>
      </c>
      <c r="Y17" s="105">
        <v>-29.94896</v>
      </c>
      <c r="Z17" s="105">
        <v>-66.610519999999994</v>
      </c>
      <c r="AA17" s="105">
        <v>-37.926690000000001</v>
      </c>
      <c r="AB17" s="105">
        <v>-33.365070000000003</v>
      </c>
      <c r="AC17" s="105" t="s">
        <v>13</v>
      </c>
      <c r="AD17" s="105" t="s">
        <v>13</v>
      </c>
      <c r="AE17" s="105" t="s">
        <v>13</v>
      </c>
      <c r="AF17" s="106">
        <v>-1.4520359999999999</v>
      </c>
      <c r="AG17" s="106">
        <v>-2.0314290000000002</v>
      </c>
      <c r="AH17" s="106">
        <v>-2.1164719999999999</v>
      </c>
      <c r="AI17" s="106">
        <v>-1.996308</v>
      </c>
      <c r="AJ17" s="105">
        <v>-5.2192499999999997</v>
      </c>
      <c r="AK17" s="105">
        <v>-4.9868100000000002</v>
      </c>
      <c r="AL17" s="105">
        <v>-20.830970000000001</v>
      </c>
      <c r="AM17" s="105">
        <v>-1.1342000000000001</v>
      </c>
      <c r="AN17" s="105">
        <v>-2.1277300000000001</v>
      </c>
      <c r="AO17" s="105">
        <v>-3.4981599999999999</v>
      </c>
      <c r="AP17" s="107" t="s">
        <v>2238</v>
      </c>
      <c r="AQ17" s="108">
        <v>2.85806</v>
      </c>
      <c r="AR17" s="108">
        <v>2.1826099999999999</v>
      </c>
      <c r="AS17" s="108">
        <v>3.1770299999999998</v>
      </c>
      <c r="AT17" s="106">
        <v>0</v>
      </c>
      <c r="AU17" s="105">
        <v>-44.195450000000001</v>
      </c>
      <c r="AV17" s="105">
        <v>-18.563279999999999</v>
      </c>
      <c r="AW17" s="105">
        <v>-65.458910000000003</v>
      </c>
      <c r="AX17" s="105">
        <v>-36.140129999999999</v>
      </c>
      <c r="AY17" s="105">
        <v>-29.10284</v>
      </c>
      <c r="AZ17" s="105">
        <v>117.04424</v>
      </c>
      <c r="BA17" s="105">
        <v>193.38558</v>
      </c>
      <c r="BB17" s="105">
        <v>146.97815</v>
      </c>
      <c r="BC17" s="105">
        <v>111.53758999999999</v>
      </c>
      <c r="BD17" s="105">
        <v>175.93305000000001</v>
      </c>
      <c r="BE17" s="105">
        <v>5.75</v>
      </c>
      <c r="BF17" s="105">
        <v>415.05225000000002</v>
      </c>
      <c r="BG17" s="105">
        <v>0</v>
      </c>
      <c r="BH17" s="74">
        <v>0</v>
      </c>
      <c r="BI17" s="74">
        <v>0.24582999999999999</v>
      </c>
      <c r="BJ17" s="105">
        <v>170.78235000000001</v>
      </c>
      <c r="BK17" s="74">
        <v>0</v>
      </c>
      <c r="BL17" s="74">
        <v>0.83487300000000009</v>
      </c>
      <c r="BM17" s="74">
        <v>0.36606900000000003</v>
      </c>
      <c r="BN17" s="74">
        <v>0.25523299999999999</v>
      </c>
      <c r="BO17" s="74" t="s">
        <v>13</v>
      </c>
      <c r="BP17" s="74" t="s">
        <v>13</v>
      </c>
      <c r="BQ17" s="74" t="s">
        <v>13</v>
      </c>
      <c r="BR17" s="78">
        <v>8.5042468779324906E-2</v>
      </c>
      <c r="BS17" s="109">
        <v>0.62500700103077034</v>
      </c>
      <c r="BT17" s="109">
        <v>0.6189501235098539</v>
      </c>
      <c r="BU17" s="109">
        <v>0.65354069738568776</v>
      </c>
      <c r="BV17" s="109">
        <v>0.77214933500830729</v>
      </c>
      <c r="BW17" s="109">
        <v>0.75967062904787386</v>
      </c>
      <c r="BX17" s="109">
        <v>0.7315267347243225</v>
      </c>
      <c r="BY17" s="109">
        <v>0.70943612296271397</v>
      </c>
      <c r="BZ17" s="109">
        <v>1.0083075894994566</v>
      </c>
      <c r="CB17" s="74">
        <v>2</v>
      </c>
      <c r="CC17" s="13" t="s">
        <v>315</v>
      </c>
      <c r="CD17" s="13" t="s">
        <v>314</v>
      </c>
      <c r="CE17" s="76">
        <v>41974</v>
      </c>
    </row>
    <row r="18" spans="1:83" s="74" customFormat="1" ht="12.75">
      <c r="A18" s="75" t="s">
        <v>1040</v>
      </c>
      <c r="B18" s="104" t="s">
        <v>1041</v>
      </c>
      <c r="C18" s="75" t="s">
        <v>1042</v>
      </c>
      <c r="D18" s="75" t="s">
        <v>875</v>
      </c>
      <c r="E18" s="103">
        <v>42643</v>
      </c>
      <c r="F18" s="103">
        <v>42551</v>
      </c>
      <c r="G18" s="103">
        <v>41354</v>
      </c>
      <c r="H18" s="105">
        <v>389.81500999999997</v>
      </c>
      <c r="I18" s="105">
        <v>31.44</v>
      </c>
      <c r="J18" s="105">
        <v>598.48901000000001</v>
      </c>
      <c r="K18" s="105">
        <v>0.70699999999999996</v>
      </c>
      <c r="L18" s="105">
        <v>1.2370000000000001</v>
      </c>
      <c r="M18" s="105">
        <v>0</v>
      </c>
      <c r="N18" s="105">
        <v>218.465</v>
      </c>
      <c r="O18" s="105">
        <v>46.453000000000003</v>
      </c>
      <c r="P18" s="105">
        <v>149.101</v>
      </c>
      <c r="Q18" s="105">
        <v>89.843000000000004</v>
      </c>
      <c r="R18" s="105">
        <v>124.346</v>
      </c>
      <c r="S18" s="105">
        <v>131.827</v>
      </c>
      <c r="T18" s="105">
        <v>52.526000000000003</v>
      </c>
      <c r="U18" s="105" t="s">
        <v>13</v>
      </c>
      <c r="V18" s="105" t="s">
        <v>13</v>
      </c>
      <c r="W18" s="105" t="s">
        <v>13</v>
      </c>
      <c r="X18" s="105">
        <v>19.925000000000001</v>
      </c>
      <c r="Y18" s="105">
        <v>115.693</v>
      </c>
      <c r="Z18" s="105">
        <v>39.024000000000001</v>
      </c>
      <c r="AA18" s="105">
        <v>95.058000000000007</v>
      </c>
      <c r="AB18" s="105">
        <v>90.381</v>
      </c>
      <c r="AC18" s="105" t="s">
        <v>13</v>
      </c>
      <c r="AD18" s="105" t="s">
        <v>13</v>
      </c>
      <c r="AE18" s="105" t="s">
        <v>13</v>
      </c>
      <c r="AF18" s="106">
        <v>1</v>
      </c>
      <c r="AG18" s="106">
        <v>0.43435699999999999</v>
      </c>
      <c r="AH18" s="106">
        <v>0.41866300000000001</v>
      </c>
      <c r="AI18" s="106">
        <v>0.325901</v>
      </c>
      <c r="AJ18" s="105">
        <v>11.523</v>
      </c>
      <c r="AK18" s="105">
        <v>11.042</v>
      </c>
      <c r="AL18" s="105">
        <v>13.827</v>
      </c>
      <c r="AM18" s="105">
        <v>-0.745</v>
      </c>
      <c r="AN18" s="105">
        <v>-1.2410000000000001</v>
      </c>
      <c r="AO18" s="105">
        <v>-5.9029999999999996</v>
      </c>
      <c r="AP18" s="107" t="s">
        <v>1043</v>
      </c>
      <c r="AQ18" s="108">
        <v>1.92893</v>
      </c>
      <c r="AR18" s="108">
        <v>1.4072</v>
      </c>
      <c r="AS18" s="108">
        <v>0.80625000000000002</v>
      </c>
      <c r="AT18" s="106">
        <v>0</v>
      </c>
      <c r="AU18" s="105">
        <v>35.036999999999999</v>
      </c>
      <c r="AV18" s="105">
        <v>68.138000000000005</v>
      </c>
      <c r="AW18" s="105">
        <v>29.28</v>
      </c>
      <c r="AX18" s="105">
        <v>81.816999999999993</v>
      </c>
      <c r="AY18" s="105">
        <v>63.171999999999997</v>
      </c>
      <c r="AZ18" s="105">
        <v>154.62799999999999</v>
      </c>
      <c r="BA18" s="105">
        <v>229.739</v>
      </c>
      <c r="BB18" s="105">
        <v>270.24400000000003</v>
      </c>
      <c r="BC18" s="105">
        <v>195.14</v>
      </c>
      <c r="BD18" s="105">
        <v>265.56900000000002</v>
      </c>
      <c r="BE18" s="105">
        <v>30.58</v>
      </c>
      <c r="BF18" s="105">
        <v>574.75327000000004</v>
      </c>
      <c r="BG18" s="105">
        <v>0.76100000000000001</v>
      </c>
      <c r="BH18" s="74">
        <v>1.276</v>
      </c>
      <c r="BI18" s="74">
        <v>0</v>
      </c>
      <c r="BJ18" s="105">
        <v>145.20500000000001</v>
      </c>
      <c r="BK18" s="74" t="s">
        <v>874</v>
      </c>
      <c r="BL18" s="74">
        <v>0.390706</v>
      </c>
      <c r="BM18" s="74">
        <v>0.40256900000000001</v>
      </c>
      <c r="BN18" s="74">
        <v>0</v>
      </c>
      <c r="BO18" s="74">
        <v>0.39948</v>
      </c>
      <c r="BP18" s="74">
        <v>0.58389099999999994</v>
      </c>
      <c r="BQ18" s="74">
        <v>0</v>
      </c>
      <c r="BR18" s="78">
        <v>1.5694044054628629E-2</v>
      </c>
      <c r="BS18" s="109">
        <v>0.50325979341735505</v>
      </c>
      <c r="BT18" s="109">
        <v>0.62241218308329371</v>
      </c>
      <c r="BU18" s="109">
        <v>0.61508994844412945</v>
      </c>
      <c r="BV18" s="109">
        <v>0.59320343181979973</v>
      </c>
      <c r="BW18" s="109" t="s">
        <v>13</v>
      </c>
      <c r="BX18" s="109" t="s">
        <v>13</v>
      </c>
      <c r="BY18" s="109" t="s">
        <v>13</v>
      </c>
      <c r="BZ18" s="109" t="s">
        <v>13</v>
      </c>
      <c r="CB18" s="74">
        <v>2</v>
      </c>
      <c r="CC18" s="13" t="s">
        <v>315</v>
      </c>
      <c r="CD18" s="13" t="s">
        <v>314</v>
      </c>
      <c r="CE18" s="76">
        <v>41974</v>
      </c>
    </row>
    <row r="19" spans="1:83" s="74" customFormat="1" ht="12.75">
      <c r="A19" s="75" t="s">
        <v>1044</v>
      </c>
      <c r="B19" s="104" t="s">
        <v>1045</v>
      </c>
      <c r="C19" s="75" t="s">
        <v>1046</v>
      </c>
      <c r="D19" s="75" t="s">
        <v>875</v>
      </c>
      <c r="E19" s="103">
        <v>42735</v>
      </c>
      <c r="F19" s="103">
        <v>42643</v>
      </c>
      <c r="G19" s="103">
        <v>42403</v>
      </c>
      <c r="H19" s="105">
        <v>340.68457000000001</v>
      </c>
      <c r="I19" s="105">
        <v>14.27</v>
      </c>
      <c r="J19" s="105">
        <v>508.51056999999997</v>
      </c>
      <c r="K19" s="105">
        <v>32.048000000000002</v>
      </c>
      <c r="L19" s="105">
        <v>0</v>
      </c>
      <c r="M19" s="105">
        <v>0</v>
      </c>
      <c r="N19" s="105">
        <v>199.874</v>
      </c>
      <c r="O19" s="105">
        <v>0</v>
      </c>
      <c r="P19" s="105">
        <v>0.83699999999999997</v>
      </c>
      <c r="Q19" s="105">
        <v>5.9470000000000001</v>
      </c>
      <c r="R19" s="105">
        <v>0</v>
      </c>
      <c r="S19" s="105">
        <v>1.629</v>
      </c>
      <c r="T19" s="105">
        <v>6.7316000000000003</v>
      </c>
      <c r="U19" s="105">
        <v>6.8207500000000003</v>
      </c>
      <c r="V19" s="105">
        <v>6.9707499999999998</v>
      </c>
      <c r="W19" s="105">
        <v>5.38</v>
      </c>
      <c r="X19" s="105">
        <v>-5.2169999999999996</v>
      </c>
      <c r="Y19" s="105">
        <v>-27.739000000000001</v>
      </c>
      <c r="Z19" s="105">
        <v>-69.715000000000003</v>
      </c>
      <c r="AA19" s="105">
        <v>-12.566000000000001</v>
      </c>
      <c r="AB19" s="105">
        <v>-34.841000000000001</v>
      </c>
      <c r="AC19" s="105">
        <v>-74.872140000000002</v>
      </c>
      <c r="AD19" s="105">
        <v>-86.281800000000004</v>
      </c>
      <c r="AE19" s="105">
        <v>-102.31648</v>
      </c>
      <c r="AF19" s="106" t="s">
        <v>13</v>
      </c>
      <c r="AG19" s="106" t="s">
        <v>13</v>
      </c>
      <c r="AH19" s="106" t="s">
        <v>13</v>
      </c>
      <c r="AI19" s="106" t="s">
        <v>13</v>
      </c>
      <c r="AJ19" s="105">
        <v>-2.0510000000000002</v>
      </c>
      <c r="AK19" s="105">
        <v>-3.3879999999999999</v>
      </c>
      <c r="AL19" s="105">
        <v>-10.182</v>
      </c>
      <c r="AM19" s="105">
        <v>-0.159</v>
      </c>
      <c r="AN19" s="105">
        <v>-1.2789999999999999</v>
      </c>
      <c r="AO19" s="105">
        <v>-3.218</v>
      </c>
      <c r="AP19" s="107" t="s">
        <v>2239</v>
      </c>
      <c r="AQ19" s="108">
        <v>4.2358700000000002</v>
      </c>
      <c r="AR19" s="108">
        <v>0</v>
      </c>
      <c r="AS19" s="108">
        <v>0</v>
      </c>
      <c r="AT19" s="106">
        <v>0</v>
      </c>
      <c r="AU19" s="105">
        <v>-5.274</v>
      </c>
      <c r="AV19" s="105">
        <v>-65.677999999999997</v>
      </c>
      <c r="AW19" s="105">
        <v>-70.44</v>
      </c>
      <c r="AX19" s="105">
        <v>-13.685</v>
      </c>
      <c r="AY19" s="105">
        <v>-72.900000000000006</v>
      </c>
      <c r="AZ19" s="105">
        <v>0.34799999999999998</v>
      </c>
      <c r="BA19" s="105">
        <v>127.476</v>
      </c>
      <c r="BB19" s="105">
        <v>170.17599999999999</v>
      </c>
      <c r="BC19" s="105">
        <v>5.48</v>
      </c>
      <c r="BD19" s="105">
        <v>116.801</v>
      </c>
      <c r="BE19" s="105">
        <v>0</v>
      </c>
      <c r="BF19" s="105">
        <v>0</v>
      </c>
      <c r="BG19" s="105">
        <v>1.8260000000000001</v>
      </c>
      <c r="BH19" s="74">
        <v>199.816</v>
      </c>
      <c r="BI19" s="74">
        <v>0</v>
      </c>
      <c r="BJ19" s="105">
        <v>155.30099999999999</v>
      </c>
      <c r="BK19" s="74">
        <v>0</v>
      </c>
      <c r="BL19" s="74">
        <v>0</v>
      </c>
      <c r="BM19" s="74">
        <v>0</v>
      </c>
      <c r="BN19" s="74">
        <v>0</v>
      </c>
      <c r="BO19" s="74">
        <v>0</v>
      </c>
      <c r="BP19" s="74">
        <v>0</v>
      </c>
      <c r="BQ19" s="74">
        <v>0</v>
      </c>
      <c r="BR19" s="78">
        <v>0.1449470321170338</v>
      </c>
      <c r="BS19" s="109">
        <v>0.89665359846864712</v>
      </c>
      <c r="BT19" s="109" t="s">
        <v>13</v>
      </c>
      <c r="BU19" s="109" t="s">
        <v>13</v>
      </c>
      <c r="BV19" s="109" t="s">
        <v>13</v>
      </c>
      <c r="BW19" s="109" t="s">
        <v>13</v>
      </c>
      <c r="BX19" s="109" t="s">
        <v>13</v>
      </c>
      <c r="BY19" s="109" t="s">
        <v>13</v>
      </c>
      <c r="BZ19" s="109" t="s">
        <v>13</v>
      </c>
      <c r="CB19" s="74">
        <v>2</v>
      </c>
      <c r="CC19" s="13" t="s">
        <v>315</v>
      </c>
      <c r="CD19" s="13" t="s">
        <v>314</v>
      </c>
      <c r="CE19" s="76">
        <v>41974</v>
      </c>
    </row>
    <row r="20" spans="1:83" s="74" customFormat="1" ht="12.75">
      <c r="A20" s="75" t="s">
        <v>1048</v>
      </c>
      <c r="B20" s="104" t="s">
        <v>1049</v>
      </c>
      <c r="C20" s="75" t="s">
        <v>1050</v>
      </c>
      <c r="D20" s="75" t="s">
        <v>875</v>
      </c>
      <c r="E20" s="103">
        <v>42735</v>
      </c>
      <c r="F20" s="103">
        <v>42643</v>
      </c>
      <c r="G20" s="103">
        <v>42213</v>
      </c>
      <c r="H20" s="105">
        <v>337.18270000000001</v>
      </c>
      <c r="I20" s="105">
        <v>6.54</v>
      </c>
      <c r="J20" s="105">
        <v>538.73569999999995</v>
      </c>
      <c r="K20" s="105">
        <v>7.7030000000000003</v>
      </c>
      <c r="L20" s="105">
        <v>0</v>
      </c>
      <c r="M20" s="105">
        <v>0</v>
      </c>
      <c r="N20" s="105">
        <v>209.256</v>
      </c>
      <c r="O20" s="105">
        <v>0.6</v>
      </c>
      <c r="P20" s="105">
        <v>0.32</v>
      </c>
      <c r="Q20" s="105">
        <v>4.3999999999999997E-2</v>
      </c>
      <c r="R20" s="105">
        <v>0.64100000000000001</v>
      </c>
      <c r="S20" s="105">
        <v>0.23599999999999999</v>
      </c>
      <c r="T20" s="105">
        <v>4.2000000000000003E-2</v>
      </c>
      <c r="U20" s="105">
        <v>6.3329999999999997E-2</v>
      </c>
      <c r="V20" s="105">
        <v>7.3999999999999996E-2</v>
      </c>
      <c r="W20" s="105">
        <v>25</v>
      </c>
      <c r="X20" s="105">
        <v>-2.2650000000000001</v>
      </c>
      <c r="Y20" s="105">
        <v>-187.99199999999999</v>
      </c>
      <c r="Z20" s="105">
        <v>-149.721</v>
      </c>
      <c r="AA20" s="105">
        <v>-5.5389999999999997</v>
      </c>
      <c r="AB20" s="105">
        <v>-237.404</v>
      </c>
      <c r="AC20" s="105">
        <v>-49.87</v>
      </c>
      <c r="AD20" s="105">
        <v>-97.143000000000001</v>
      </c>
      <c r="AE20" s="105" t="s">
        <v>13</v>
      </c>
      <c r="AF20" s="106">
        <v>1</v>
      </c>
      <c r="AG20" s="106" t="s">
        <v>13</v>
      </c>
      <c r="AH20" s="106" t="s">
        <v>13</v>
      </c>
      <c r="AI20" s="106" t="s">
        <v>13</v>
      </c>
      <c r="AJ20" s="105">
        <v>-2.61</v>
      </c>
      <c r="AK20" s="105">
        <v>-5.0119999999999996</v>
      </c>
      <c r="AL20" s="105">
        <v>-5.0170000000000003</v>
      </c>
      <c r="AM20" s="105">
        <v>-3.0000000000000001E-3</v>
      </c>
      <c r="AN20" s="105">
        <v>-1.323</v>
      </c>
      <c r="AO20" s="105">
        <v>-6.157</v>
      </c>
      <c r="AP20" s="107" t="s">
        <v>2240</v>
      </c>
      <c r="AQ20" s="108">
        <v>3.3885999999999998</v>
      </c>
      <c r="AR20" s="108">
        <v>2.1240000000000001</v>
      </c>
      <c r="AS20" s="108">
        <v>0</v>
      </c>
      <c r="AT20" s="106">
        <v>0</v>
      </c>
      <c r="AU20" s="105">
        <v>-2.0470000000000002</v>
      </c>
      <c r="AV20" s="105">
        <v>-212.78899999999999</v>
      </c>
      <c r="AW20" s="105">
        <v>-123.393</v>
      </c>
      <c r="AX20" s="105">
        <v>-6.1849999999999996</v>
      </c>
      <c r="AY20" s="105">
        <v>-236.876</v>
      </c>
      <c r="AZ20" s="105">
        <v>-2.895</v>
      </c>
      <c r="BA20" s="105">
        <v>362.93099999999998</v>
      </c>
      <c r="BB20" s="105">
        <v>310.89100000000002</v>
      </c>
      <c r="BC20" s="105">
        <v>57.591000000000001</v>
      </c>
      <c r="BD20" s="105">
        <v>355.995</v>
      </c>
      <c r="BE20" s="105">
        <v>12.96</v>
      </c>
      <c r="BF20" s="105">
        <v>1052.61609</v>
      </c>
      <c r="BG20" s="105">
        <v>0</v>
      </c>
      <c r="BH20" s="74">
        <v>0</v>
      </c>
      <c r="BI20" s="74">
        <v>0</v>
      </c>
      <c r="BJ20" s="105">
        <v>358.61599999999999</v>
      </c>
      <c r="BK20" s="74" t="s">
        <v>874</v>
      </c>
      <c r="BL20" s="74">
        <v>0</v>
      </c>
      <c r="BM20" s="74">
        <v>0</v>
      </c>
      <c r="BN20" s="74">
        <v>0</v>
      </c>
      <c r="BO20" s="79">
        <v>0</v>
      </c>
      <c r="BP20" s="74">
        <v>0</v>
      </c>
      <c r="BQ20" s="74">
        <v>0</v>
      </c>
      <c r="BR20" s="78">
        <v>51.340909090909093</v>
      </c>
      <c r="BS20" s="109">
        <v>0.82806905565295919</v>
      </c>
      <c r="BT20" s="109">
        <v>0.87724623477379815</v>
      </c>
      <c r="BU20" s="109" t="s">
        <v>13</v>
      </c>
      <c r="BV20" s="109" t="s">
        <v>13</v>
      </c>
      <c r="BW20" s="109" t="s">
        <v>13</v>
      </c>
      <c r="BX20" s="109" t="s">
        <v>13</v>
      </c>
      <c r="BY20" s="109" t="s">
        <v>13</v>
      </c>
      <c r="BZ20" s="109" t="s">
        <v>13</v>
      </c>
      <c r="CB20" s="74">
        <v>2</v>
      </c>
      <c r="CC20" s="13" t="s">
        <v>315</v>
      </c>
      <c r="CD20" s="13" t="s">
        <v>314</v>
      </c>
      <c r="CE20" s="76">
        <v>41974</v>
      </c>
    </row>
    <row r="21" spans="1:83" s="74" customFormat="1" ht="12.75">
      <c r="A21" s="75" t="s">
        <v>1052</v>
      </c>
      <c r="B21" s="104" t="s">
        <v>1053</v>
      </c>
      <c r="C21" s="75" t="s">
        <v>1054</v>
      </c>
      <c r="D21" s="75" t="s">
        <v>1055</v>
      </c>
      <c r="E21" s="103">
        <v>42735</v>
      </c>
      <c r="F21" s="103">
        <v>42643</v>
      </c>
      <c r="G21" s="103">
        <v>41642</v>
      </c>
      <c r="H21" s="105">
        <v>311.30250000000001</v>
      </c>
      <c r="I21" s="105">
        <v>0.44424999999999998</v>
      </c>
      <c r="J21" s="105">
        <v>317.20850000000002</v>
      </c>
      <c r="K21" s="105">
        <v>0</v>
      </c>
      <c r="L21" s="105">
        <v>0</v>
      </c>
      <c r="M21" s="105">
        <v>0</v>
      </c>
      <c r="N21" s="105">
        <v>5.9059999999999997</v>
      </c>
      <c r="O21" s="105">
        <v>0</v>
      </c>
      <c r="P21" s="105">
        <v>8.6999999999999994E-2</v>
      </c>
      <c r="Q21" s="105">
        <v>0</v>
      </c>
      <c r="R21" s="105">
        <v>8.9999999999999993E-3</v>
      </c>
      <c r="S21" s="105">
        <v>7.8E-2</v>
      </c>
      <c r="T21" s="105" t="s">
        <v>13</v>
      </c>
      <c r="U21" s="105" t="s">
        <v>13</v>
      </c>
      <c r="V21" s="105" t="s">
        <v>13</v>
      </c>
      <c r="W21" s="105" t="s">
        <v>13</v>
      </c>
      <c r="X21" s="105">
        <v>-4.9130000000000003</v>
      </c>
      <c r="Y21" s="105">
        <v>-11.057</v>
      </c>
      <c r="Z21" s="105">
        <v>-55.07</v>
      </c>
      <c r="AA21" s="105">
        <v>-5.6</v>
      </c>
      <c r="AB21" s="105">
        <v>-53.238</v>
      </c>
      <c r="AC21" s="105" t="s">
        <v>13</v>
      </c>
      <c r="AD21" s="105" t="s">
        <v>13</v>
      </c>
      <c r="AE21" s="105" t="s">
        <v>13</v>
      </c>
      <c r="AF21" s="106">
        <v>0</v>
      </c>
      <c r="AG21" s="106">
        <v>0</v>
      </c>
      <c r="AH21" s="106">
        <v>0</v>
      </c>
      <c r="AI21" s="106">
        <v>0</v>
      </c>
      <c r="AJ21" s="105">
        <v>-7.36</v>
      </c>
      <c r="AK21" s="105">
        <v>-3.339</v>
      </c>
      <c r="AL21" s="105">
        <v>-2.3010000000000002</v>
      </c>
      <c r="AM21" s="105">
        <v>-7.0000000000000001E-3</v>
      </c>
      <c r="AN21" s="105">
        <v>-0.218</v>
      </c>
      <c r="AO21" s="105">
        <v>-0.17100000000000001</v>
      </c>
      <c r="AP21" s="107" t="s">
        <v>2241</v>
      </c>
      <c r="AQ21" s="108">
        <v>1.18737</v>
      </c>
      <c r="AR21" s="108">
        <v>0.52164999999999995</v>
      </c>
      <c r="AS21" s="108">
        <v>3.17441</v>
      </c>
      <c r="AT21" s="106">
        <v>0</v>
      </c>
      <c r="AU21" s="105">
        <v>1.014</v>
      </c>
      <c r="AV21" s="105">
        <v>-21.58</v>
      </c>
      <c r="AW21" s="105">
        <v>-39.569000000000003</v>
      </c>
      <c r="AX21" s="105">
        <v>-9.9000000000000005E-2</v>
      </c>
      <c r="AY21" s="105">
        <v>-50.122</v>
      </c>
      <c r="AZ21" s="105">
        <v>3.9780000000000002</v>
      </c>
      <c r="BA21" s="105">
        <v>196.75299999999999</v>
      </c>
      <c r="BB21" s="105">
        <v>167.822</v>
      </c>
      <c r="BC21" s="105">
        <v>184.869</v>
      </c>
      <c r="BD21" s="105">
        <v>167.59399999999999</v>
      </c>
      <c r="BE21" s="105">
        <v>0.64</v>
      </c>
      <c r="BF21" s="105">
        <v>444.3999</v>
      </c>
      <c r="BG21" s="105">
        <v>0</v>
      </c>
      <c r="BH21" s="74">
        <v>0</v>
      </c>
      <c r="BI21" s="74">
        <v>0</v>
      </c>
      <c r="BJ21" s="105">
        <v>12.413</v>
      </c>
      <c r="BK21" s="74" t="s">
        <v>874</v>
      </c>
      <c r="BL21" s="74">
        <v>0</v>
      </c>
      <c r="BM21" s="74">
        <v>0</v>
      </c>
      <c r="BN21" s="74">
        <v>0</v>
      </c>
      <c r="BO21" s="74" t="s">
        <v>13</v>
      </c>
      <c r="BP21" s="74">
        <v>0</v>
      </c>
      <c r="BQ21" s="74">
        <v>0</v>
      </c>
      <c r="BR21" s="78" t="s">
        <v>874</v>
      </c>
      <c r="BS21" s="109">
        <v>0.78212139552972182</v>
      </c>
      <c r="BT21" s="109">
        <v>0.82210152397422587</v>
      </c>
      <c r="BU21" s="109">
        <v>0.8052399960875728</v>
      </c>
      <c r="BV21" s="109" t="s">
        <v>13</v>
      </c>
      <c r="BW21" s="109" t="s">
        <v>13</v>
      </c>
      <c r="BX21" s="109" t="s">
        <v>13</v>
      </c>
      <c r="BY21" s="109" t="s">
        <v>13</v>
      </c>
      <c r="BZ21" s="109" t="s">
        <v>13</v>
      </c>
      <c r="CB21" s="74">
        <v>2</v>
      </c>
      <c r="CC21" s="13" t="s">
        <v>315</v>
      </c>
      <c r="CD21" s="13" t="s">
        <v>314</v>
      </c>
      <c r="CE21" s="76">
        <v>41974</v>
      </c>
    </row>
    <row r="22" spans="1:83" s="74" customFormat="1" ht="12.75">
      <c r="A22" s="75" t="s">
        <v>1056</v>
      </c>
      <c r="B22" s="104" t="s">
        <v>1057</v>
      </c>
      <c r="C22" s="75" t="s">
        <v>1058</v>
      </c>
      <c r="D22" s="75" t="s">
        <v>873</v>
      </c>
      <c r="E22" s="103">
        <v>42735</v>
      </c>
      <c r="F22" s="103">
        <v>42643</v>
      </c>
      <c r="G22" s="103">
        <v>42496</v>
      </c>
      <c r="H22" s="105">
        <v>276.30846000000003</v>
      </c>
      <c r="I22" s="105">
        <v>15.75</v>
      </c>
      <c r="J22" s="105">
        <v>566.92646000000002</v>
      </c>
      <c r="K22" s="105">
        <v>0</v>
      </c>
      <c r="L22" s="105">
        <v>0</v>
      </c>
      <c r="M22" s="105">
        <v>0</v>
      </c>
      <c r="N22" s="105">
        <v>290.61799999999999</v>
      </c>
      <c r="O22" s="105">
        <v>0</v>
      </c>
      <c r="P22" s="105">
        <v>4.351</v>
      </c>
      <c r="Q22" s="105">
        <v>12.545</v>
      </c>
      <c r="R22" s="105">
        <v>0</v>
      </c>
      <c r="S22" s="105">
        <v>6.0439999999999996</v>
      </c>
      <c r="T22" s="105">
        <v>16.55</v>
      </c>
      <c r="U22" s="105">
        <v>24.891249999999999</v>
      </c>
      <c r="V22" s="105">
        <v>32.833329999999997</v>
      </c>
      <c r="W22" s="105">
        <v>32.78</v>
      </c>
      <c r="X22" s="105">
        <v>0</v>
      </c>
      <c r="Y22" s="105">
        <v>0</v>
      </c>
      <c r="Z22" s="105">
        <v>-25.997</v>
      </c>
      <c r="AA22" s="105">
        <v>-5.2214999999999998</v>
      </c>
      <c r="AB22" s="105">
        <v>-13.081</v>
      </c>
      <c r="AC22" s="105">
        <v>-29.22</v>
      </c>
      <c r="AD22" s="105">
        <v>-33.585999999999999</v>
      </c>
      <c r="AE22" s="105">
        <v>-36</v>
      </c>
      <c r="AF22" s="106">
        <v>-0.98357899999999998</v>
      </c>
      <c r="AG22" s="106">
        <v>-2.0722989999999997</v>
      </c>
      <c r="AH22" s="106">
        <v>-2.138541</v>
      </c>
      <c r="AI22" s="106">
        <v>-2.097728</v>
      </c>
      <c r="AJ22" s="105">
        <v>0</v>
      </c>
      <c r="AK22" s="105">
        <v>-8.7449999999999992</v>
      </c>
      <c r="AL22" s="105">
        <v>-20.548999999999999</v>
      </c>
      <c r="AM22" s="105">
        <v>0</v>
      </c>
      <c r="AN22" s="105">
        <v>-2.1175000000000002</v>
      </c>
      <c r="AO22" s="105">
        <v>-3.609</v>
      </c>
      <c r="AP22" s="107" t="s">
        <v>2242</v>
      </c>
      <c r="AQ22" s="108">
        <v>-0.56881000000000004</v>
      </c>
      <c r="AR22" s="108">
        <v>0</v>
      </c>
      <c r="AS22" s="108">
        <v>0</v>
      </c>
      <c r="AT22" s="106">
        <v>0</v>
      </c>
      <c r="AU22" s="105">
        <v>0</v>
      </c>
      <c r="AV22" s="105">
        <v>-14.368499999999999</v>
      </c>
      <c r="AW22" s="105">
        <v>-26.315999999999999</v>
      </c>
      <c r="AX22" s="105">
        <v>-14.3085</v>
      </c>
      <c r="AY22" s="105">
        <v>-12.397</v>
      </c>
      <c r="AZ22" s="105">
        <v>0</v>
      </c>
      <c r="BA22" s="105">
        <v>72.259</v>
      </c>
      <c r="BB22" s="105">
        <v>218.124</v>
      </c>
      <c r="BC22" s="105">
        <v>7.5659999999999998</v>
      </c>
      <c r="BD22" s="105">
        <v>67.355999999999995</v>
      </c>
      <c r="BE22" s="105">
        <v>0</v>
      </c>
      <c r="BF22" s="105">
        <v>0</v>
      </c>
      <c r="BG22" s="105">
        <v>0</v>
      </c>
      <c r="BH22" s="74">
        <v>88.516000000000005</v>
      </c>
      <c r="BI22" s="74">
        <v>0</v>
      </c>
      <c r="BJ22" s="105">
        <v>82.611999999999995</v>
      </c>
      <c r="BK22" s="74">
        <v>0</v>
      </c>
      <c r="BL22" s="74">
        <v>0</v>
      </c>
      <c r="BM22" s="74">
        <v>0</v>
      </c>
      <c r="BN22" s="74">
        <v>0</v>
      </c>
      <c r="BO22" s="74">
        <v>0</v>
      </c>
      <c r="BP22" s="74">
        <v>0</v>
      </c>
      <c r="BQ22" s="74">
        <v>0</v>
      </c>
      <c r="BR22" s="78">
        <v>6.6241530490235151E-2</v>
      </c>
      <c r="BS22" s="109">
        <v>0.73849289680398411</v>
      </c>
      <c r="BT22" s="109" t="s">
        <v>13</v>
      </c>
      <c r="BU22" s="109" t="s">
        <v>13</v>
      </c>
      <c r="BV22" s="109" t="s">
        <v>13</v>
      </c>
      <c r="BW22" s="109" t="s">
        <v>13</v>
      </c>
      <c r="BX22" s="109" t="s">
        <v>13</v>
      </c>
      <c r="BY22" s="109" t="s">
        <v>13</v>
      </c>
      <c r="BZ22" s="109" t="s">
        <v>13</v>
      </c>
      <c r="CB22" s="74">
        <v>2</v>
      </c>
      <c r="CC22" s="13" t="s">
        <v>315</v>
      </c>
      <c r="CD22" s="13" t="s">
        <v>314</v>
      </c>
      <c r="CE22" s="76">
        <v>41974</v>
      </c>
    </row>
    <row r="23" spans="1:83" s="74" customFormat="1" ht="12.75">
      <c r="A23" s="75" t="s">
        <v>1060</v>
      </c>
      <c r="B23" s="104" t="s">
        <v>1061</v>
      </c>
      <c r="C23" s="75" t="s">
        <v>2243</v>
      </c>
      <c r="D23" s="75" t="s">
        <v>1062</v>
      </c>
      <c r="E23" s="103">
        <v>42735</v>
      </c>
      <c r="F23" s="103">
        <v>42369</v>
      </c>
      <c r="G23" s="103">
        <v>42564</v>
      </c>
      <c r="H23" s="105">
        <v>224.93052</v>
      </c>
      <c r="I23" s="105">
        <v>8.2980999999999998</v>
      </c>
      <c r="J23" s="105">
        <v>256.04862000000003</v>
      </c>
      <c r="K23" s="105">
        <v>0.67574000000000001</v>
      </c>
      <c r="L23" s="105">
        <v>0</v>
      </c>
      <c r="M23" s="105">
        <v>0</v>
      </c>
      <c r="N23" s="105">
        <v>32.647199999999998</v>
      </c>
      <c r="O23" s="105">
        <v>0</v>
      </c>
      <c r="P23" s="105">
        <v>1.33474</v>
      </c>
      <c r="Q23" s="105">
        <v>3.8664100000000001</v>
      </c>
      <c r="R23" s="105">
        <v>1.33474</v>
      </c>
      <c r="S23" s="105">
        <v>3.8664100000000001</v>
      </c>
      <c r="T23" s="105">
        <v>6.3424899999999997</v>
      </c>
      <c r="U23" s="105">
        <v>6.3424899999999997</v>
      </c>
      <c r="V23" s="105">
        <v>38.90063</v>
      </c>
      <c r="W23" s="105">
        <v>28.646930000000001</v>
      </c>
      <c r="X23" s="105">
        <v>0</v>
      </c>
      <c r="Y23" s="105">
        <v>-7.85276</v>
      </c>
      <c r="Z23" s="105">
        <v>-11.42834</v>
      </c>
      <c r="AA23" s="105">
        <v>-7.85276</v>
      </c>
      <c r="AB23" s="105">
        <v>-11.42834</v>
      </c>
      <c r="AC23" s="105">
        <v>-23.290009999999999</v>
      </c>
      <c r="AD23" s="105">
        <v>-23.97099</v>
      </c>
      <c r="AE23" s="105">
        <v>-10.620850000000001</v>
      </c>
      <c r="AF23" s="106">
        <v>1</v>
      </c>
      <c r="AG23" s="106">
        <v>-2.9558</v>
      </c>
      <c r="AH23" s="106">
        <v>-2.9947469999999998</v>
      </c>
      <c r="AI23" s="106" t="s">
        <v>13</v>
      </c>
      <c r="AJ23" s="105">
        <v>0</v>
      </c>
      <c r="AK23" s="105">
        <v>-1.65707</v>
      </c>
      <c r="AL23" s="105">
        <v>-1.3468500000000001</v>
      </c>
      <c r="AM23" s="105">
        <v>0</v>
      </c>
      <c r="AN23" s="105">
        <v>-0.22894</v>
      </c>
      <c r="AO23" s="105">
        <v>-0.75963000000000003</v>
      </c>
      <c r="AP23" s="107" t="s">
        <v>1063</v>
      </c>
      <c r="AQ23" s="108">
        <v>0.86982999999999999</v>
      </c>
      <c r="AR23" s="108">
        <v>0</v>
      </c>
      <c r="AS23" s="108">
        <v>0</v>
      </c>
      <c r="AT23" s="106">
        <v>0</v>
      </c>
      <c r="AU23" s="105">
        <v>0</v>
      </c>
      <c r="AV23" s="105">
        <v>-8.07498</v>
      </c>
      <c r="AW23" s="105">
        <v>-14.828799999999999</v>
      </c>
      <c r="AX23" s="105">
        <v>-8.07498</v>
      </c>
      <c r="AY23" s="105">
        <v>-14.828799999999999</v>
      </c>
      <c r="AZ23" s="105">
        <v>0</v>
      </c>
      <c r="BA23" s="105">
        <v>12.805199999999999</v>
      </c>
      <c r="BB23" s="105">
        <v>31.85059</v>
      </c>
      <c r="BC23" s="105">
        <v>12.805199999999999</v>
      </c>
      <c r="BD23" s="105">
        <v>31.85059</v>
      </c>
      <c r="BE23" s="105">
        <v>0</v>
      </c>
      <c r="BF23" s="105">
        <v>0</v>
      </c>
      <c r="BG23" s="105">
        <v>0.70787</v>
      </c>
      <c r="BH23" s="74">
        <v>0</v>
      </c>
      <c r="BI23" s="74">
        <v>0</v>
      </c>
      <c r="BJ23" s="105">
        <v>6.68248</v>
      </c>
      <c r="BK23" s="74">
        <v>0</v>
      </c>
      <c r="BL23" s="74">
        <v>0.9795950000000001</v>
      </c>
      <c r="BM23" s="74">
        <v>0</v>
      </c>
      <c r="BN23" s="74">
        <v>0</v>
      </c>
      <c r="BO23" s="74" t="s">
        <v>13</v>
      </c>
      <c r="BP23" s="74">
        <v>0</v>
      </c>
      <c r="BQ23" s="74">
        <v>0</v>
      </c>
      <c r="BR23" s="78">
        <v>3.8945688636228437E-2</v>
      </c>
      <c r="BS23" s="109">
        <v>0.30494613818516308</v>
      </c>
      <c r="BT23" s="109" t="s">
        <v>13</v>
      </c>
      <c r="BU23" s="109" t="s">
        <v>13</v>
      </c>
      <c r="BV23" s="109" t="s">
        <v>13</v>
      </c>
      <c r="BW23" s="109" t="s">
        <v>13</v>
      </c>
      <c r="BX23" s="109" t="s">
        <v>13</v>
      </c>
      <c r="BY23" s="109" t="s">
        <v>13</v>
      </c>
      <c r="BZ23" s="109" t="s">
        <v>13</v>
      </c>
      <c r="CB23" s="74">
        <v>2</v>
      </c>
      <c r="CC23" s="13" t="s">
        <v>315</v>
      </c>
      <c r="CD23" s="13" t="s">
        <v>314</v>
      </c>
      <c r="CE23" s="76">
        <v>41974</v>
      </c>
    </row>
    <row r="24" spans="1:83" s="74" customFormat="1" ht="12.75">
      <c r="A24" s="75" t="s">
        <v>1064</v>
      </c>
      <c r="B24" s="104" t="s">
        <v>1065</v>
      </c>
      <c r="C24" s="75" t="s">
        <v>1066</v>
      </c>
      <c r="D24" s="75" t="s">
        <v>905</v>
      </c>
      <c r="E24" s="103">
        <v>42674</v>
      </c>
      <c r="F24" s="103">
        <v>42582</v>
      </c>
      <c r="G24" s="103">
        <v>38561</v>
      </c>
      <c r="H24" s="105">
        <v>252.38669999999999</v>
      </c>
      <c r="I24" s="105">
        <v>8.31</v>
      </c>
      <c r="J24" s="105">
        <v>331.10462000000001</v>
      </c>
      <c r="K24" s="105">
        <v>0</v>
      </c>
      <c r="L24" s="105">
        <v>0</v>
      </c>
      <c r="M24" s="105">
        <v>0</v>
      </c>
      <c r="N24" s="105">
        <v>78.717920000000007</v>
      </c>
      <c r="O24" s="105">
        <v>1</v>
      </c>
      <c r="P24" s="105">
        <v>0</v>
      </c>
      <c r="Q24" s="105">
        <v>0.25</v>
      </c>
      <c r="R24" s="105">
        <v>1</v>
      </c>
      <c r="S24" s="105">
        <v>0.25</v>
      </c>
      <c r="T24" s="105">
        <v>6.4999999999999997E-3</v>
      </c>
      <c r="U24" s="105">
        <v>3.1951999999999998</v>
      </c>
      <c r="V24" s="105">
        <v>18.701000000000001</v>
      </c>
      <c r="W24" s="105">
        <v>60.6571</v>
      </c>
      <c r="X24" s="105">
        <v>-18.337630000000001</v>
      </c>
      <c r="Y24" s="105">
        <v>-38.498480000000001</v>
      </c>
      <c r="Z24" s="105">
        <v>-66.103949999999998</v>
      </c>
      <c r="AA24" s="105">
        <v>-19.64725</v>
      </c>
      <c r="AB24" s="105">
        <v>-61.532229999999998</v>
      </c>
      <c r="AC24" s="105" t="s">
        <v>13</v>
      </c>
      <c r="AD24" s="105" t="s">
        <v>13</v>
      </c>
      <c r="AE24" s="105" t="s">
        <v>13</v>
      </c>
      <c r="AF24" s="106">
        <v>1</v>
      </c>
      <c r="AG24" s="106" t="s">
        <v>13</v>
      </c>
      <c r="AH24" s="106" t="s">
        <v>13</v>
      </c>
      <c r="AI24" s="106" t="s">
        <v>13</v>
      </c>
      <c r="AJ24" s="105">
        <v>-1.6201099999999999</v>
      </c>
      <c r="AK24" s="105">
        <v>-2.92197</v>
      </c>
      <c r="AL24" s="105">
        <v>-1.58091</v>
      </c>
      <c r="AM24" s="105">
        <v>-4.9209999999999997E-2</v>
      </c>
      <c r="AN24" s="105">
        <v>-0.31667000000000001</v>
      </c>
      <c r="AO24" s="105">
        <v>-2.6599900000000001</v>
      </c>
      <c r="AP24" s="107" t="s">
        <v>2244</v>
      </c>
      <c r="AQ24" s="108">
        <v>3.6095799999999998</v>
      </c>
      <c r="AR24" s="108">
        <v>1.9836199999999999</v>
      </c>
      <c r="AS24" s="108">
        <v>2.0376599999999998</v>
      </c>
      <c r="AT24" s="106">
        <v>0</v>
      </c>
      <c r="AU24" s="105">
        <v>-20.687989999999999</v>
      </c>
      <c r="AV24" s="105">
        <v>-37.695270000000001</v>
      </c>
      <c r="AW24" s="105">
        <v>-64.433359999999993</v>
      </c>
      <c r="AX24" s="105">
        <v>-18.371790000000001</v>
      </c>
      <c r="AY24" s="105">
        <v>-59.842179999999999</v>
      </c>
      <c r="AZ24" s="105">
        <v>23.272870000000001</v>
      </c>
      <c r="BA24" s="105">
        <v>97.534679999999994</v>
      </c>
      <c r="BB24" s="105">
        <v>83.599969999999999</v>
      </c>
      <c r="BC24" s="105">
        <v>31.400320000000001</v>
      </c>
      <c r="BD24" s="105">
        <v>105.18046</v>
      </c>
      <c r="BE24" s="105">
        <v>8.09</v>
      </c>
      <c r="BF24" s="105">
        <v>269.92955999999998</v>
      </c>
      <c r="BG24" s="105">
        <v>2.955E-2</v>
      </c>
      <c r="BH24" s="74">
        <v>0</v>
      </c>
      <c r="BI24" s="74">
        <v>0</v>
      </c>
      <c r="BJ24" s="105">
        <v>97.142340000000004</v>
      </c>
      <c r="BK24" s="74" t="s">
        <v>874</v>
      </c>
      <c r="BL24" s="74">
        <v>-0.5</v>
      </c>
      <c r="BM24" s="74">
        <v>0</v>
      </c>
      <c r="BN24" s="74">
        <v>4.4759999999999999E-3</v>
      </c>
      <c r="BO24" s="74" t="s">
        <v>13</v>
      </c>
      <c r="BP24" s="74" t="s">
        <v>13</v>
      </c>
      <c r="BQ24" s="74" t="s">
        <v>13</v>
      </c>
      <c r="BR24" s="78">
        <v>1.7307999999999999</v>
      </c>
      <c r="BS24" s="109">
        <v>0.90151721249655303</v>
      </c>
      <c r="BT24" s="109">
        <v>1.0114092642984704</v>
      </c>
      <c r="BU24" s="109">
        <v>0.90964738135601619</v>
      </c>
      <c r="BV24" s="109">
        <v>1.0742375822796089</v>
      </c>
      <c r="BW24" s="109">
        <v>1.0412099777317645</v>
      </c>
      <c r="BX24" s="109">
        <v>0.98050617584828204</v>
      </c>
      <c r="BY24" s="109">
        <v>0.95189274818239156</v>
      </c>
      <c r="BZ24" s="109">
        <v>1.202555986908926</v>
      </c>
      <c r="CB24" s="74">
        <v>2</v>
      </c>
      <c r="CC24" s="13" t="s">
        <v>315</v>
      </c>
      <c r="CD24" s="13" t="s">
        <v>314</v>
      </c>
      <c r="CE24" s="76">
        <v>41974</v>
      </c>
    </row>
    <row r="25" spans="1:83" s="74" customFormat="1" ht="12.75">
      <c r="A25" s="75" t="s">
        <v>1067</v>
      </c>
      <c r="B25" s="104" t="s">
        <v>1068</v>
      </c>
      <c r="C25" s="75" t="s">
        <v>1069</v>
      </c>
      <c r="D25" s="75" t="s">
        <v>873</v>
      </c>
      <c r="E25" s="103">
        <v>42735</v>
      </c>
      <c r="F25" s="103">
        <v>42643</v>
      </c>
      <c r="G25" s="103">
        <v>42571</v>
      </c>
      <c r="H25" s="105">
        <v>237.76443</v>
      </c>
      <c r="I25" s="105">
        <v>16.43</v>
      </c>
      <c r="J25" s="105">
        <v>356.94443000000001</v>
      </c>
      <c r="K25" s="105">
        <v>0</v>
      </c>
      <c r="L25" s="105">
        <v>0</v>
      </c>
      <c r="M25" s="105">
        <v>0</v>
      </c>
      <c r="N25" s="105">
        <v>119.18</v>
      </c>
      <c r="O25" s="105">
        <v>0</v>
      </c>
      <c r="P25" s="105">
        <v>0</v>
      </c>
      <c r="Q25" s="105">
        <v>0</v>
      </c>
      <c r="R25" s="105">
        <v>0</v>
      </c>
      <c r="S25" s="105">
        <v>0</v>
      </c>
      <c r="T25" s="105" t="s">
        <v>13</v>
      </c>
      <c r="U25" s="105" t="s">
        <v>13</v>
      </c>
      <c r="V25" s="105" t="s">
        <v>13</v>
      </c>
      <c r="W25" s="105" t="s">
        <v>13</v>
      </c>
      <c r="X25" s="105">
        <v>-3.0510000000000002</v>
      </c>
      <c r="Y25" s="105">
        <v>-20.78</v>
      </c>
      <c r="Z25" s="105">
        <v>-48.180999999999997</v>
      </c>
      <c r="AA25" s="105">
        <v>-10.914999999999999</v>
      </c>
      <c r="AB25" s="105">
        <v>-25.893000000000001</v>
      </c>
      <c r="AC25" s="105">
        <v>-55.146099999999997</v>
      </c>
      <c r="AD25" s="105">
        <v>-56.853360000000002</v>
      </c>
      <c r="AE25" s="105" t="s">
        <v>13</v>
      </c>
      <c r="AF25" s="106">
        <v>0</v>
      </c>
      <c r="AG25" s="106">
        <v>0</v>
      </c>
      <c r="AH25" s="106">
        <v>0</v>
      </c>
      <c r="AI25" s="106">
        <v>0</v>
      </c>
      <c r="AJ25" s="105">
        <v>-0.185</v>
      </c>
      <c r="AK25" s="105">
        <v>-3.0750000000000002</v>
      </c>
      <c r="AL25" s="105">
        <v>-4.056</v>
      </c>
      <c r="AM25" s="105">
        <v>-0.106</v>
      </c>
      <c r="AN25" s="105">
        <v>-0.94299999999999995</v>
      </c>
      <c r="AO25" s="105">
        <v>-15.183</v>
      </c>
      <c r="AP25" s="107" t="s">
        <v>2245</v>
      </c>
      <c r="AQ25" s="108">
        <v>3.1314600000000001</v>
      </c>
      <c r="AR25" s="108">
        <v>0</v>
      </c>
      <c r="AS25" s="108">
        <v>0</v>
      </c>
      <c r="AT25" s="106">
        <v>0</v>
      </c>
      <c r="AU25" s="105">
        <v>-3.0539999999999998</v>
      </c>
      <c r="AV25" s="105">
        <v>-20.635999999999999</v>
      </c>
      <c r="AW25" s="105">
        <v>-49.951000000000001</v>
      </c>
      <c r="AX25" s="105">
        <v>-10.819000000000001</v>
      </c>
      <c r="AY25" s="105">
        <v>-26.457999999999998</v>
      </c>
      <c r="AZ25" s="105">
        <v>12.912000000000001</v>
      </c>
      <c r="BA25" s="105">
        <v>48.014000000000003</v>
      </c>
      <c r="BB25" s="105">
        <v>138.36099999999999</v>
      </c>
      <c r="BC25" s="105">
        <v>59.863999999999997</v>
      </c>
      <c r="BD25" s="105">
        <v>101.68899999999999</v>
      </c>
      <c r="BE25" s="105">
        <v>0</v>
      </c>
      <c r="BF25" s="105">
        <v>0</v>
      </c>
      <c r="BG25" s="105">
        <v>0.13900000000000001</v>
      </c>
      <c r="BH25" s="74">
        <v>72.97</v>
      </c>
      <c r="BI25" s="74">
        <v>0</v>
      </c>
      <c r="BJ25" s="105">
        <v>41.110999999999997</v>
      </c>
      <c r="BK25" s="74">
        <v>0</v>
      </c>
      <c r="BL25" s="74">
        <v>0</v>
      </c>
      <c r="BM25" s="74">
        <v>0</v>
      </c>
      <c r="BN25" s="74">
        <v>0</v>
      </c>
      <c r="BO25" s="74">
        <v>0</v>
      </c>
      <c r="BP25" s="74">
        <v>0</v>
      </c>
      <c r="BQ25" s="74">
        <v>0</v>
      </c>
      <c r="BR25" s="78" t="s">
        <v>874</v>
      </c>
      <c r="BS25" s="109">
        <v>0.54716779865156173</v>
      </c>
      <c r="BT25" s="109" t="s">
        <v>13</v>
      </c>
      <c r="BU25" s="109" t="s">
        <v>13</v>
      </c>
      <c r="BV25" s="109" t="s">
        <v>13</v>
      </c>
      <c r="BW25" s="109" t="s">
        <v>13</v>
      </c>
      <c r="BX25" s="109" t="s">
        <v>13</v>
      </c>
      <c r="BY25" s="109" t="s">
        <v>13</v>
      </c>
      <c r="BZ25" s="109" t="s">
        <v>13</v>
      </c>
      <c r="CB25" s="74">
        <v>2</v>
      </c>
      <c r="CC25" s="13" t="s">
        <v>315</v>
      </c>
      <c r="CD25" s="13" t="s">
        <v>314</v>
      </c>
      <c r="CE25" s="76">
        <v>41974</v>
      </c>
    </row>
    <row r="26" spans="1:83" s="74" customFormat="1" ht="12.75">
      <c r="A26" s="75" t="s">
        <v>1071</v>
      </c>
      <c r="B26" s="104" t="s">
        <v>1072</v>
      </c>
      <c r="C26" s="75" t="s">
        <v>1073</v>
      </c>
      <c r="D26" s="75" t="s">
        <v>875</v>
      </c>
      <c r="E26" s="103">
        <v>42735</v>
      </c>
      <c r="F26" s="103">
        <v>42643</v>
      </c>
      <c r="G26" s="103">
        <v>42551</v>
      </c>
      <c r="H26" s="105">
        <v>224.27377000000001</v>
      </c>
      <c r="I26" s="105">
        <v>13.58</v>
      </c>
      <c r="J26" s="105">
        <v>317.50677000000002</v>
      </c>
      <c r="K26" s="105">
        <v>0.26100000000000001</v>
      </c>
      <c r="L26" s="105">
        <v>0</v>
      </c>
      <c r="M26" s="105">
        <v>0</v>
      </c>
      <c r="N26" s="105">
        <v>93.494</v>
      </c>
      <c r="O26" s="105">
        <v>0</v>
      </c>
      <c r="P26" s="105">
        <v>0.317</v>
      </c>
      <c r="Q26" s="105">
        <v>0</v>
      </c>
      <c r="R26" s="105">
        <v>0</v>
      </c>
      <c r="S26" s="105">
        <v>0.317</v>
      </c>
      <c r="T26" s="105" t="s">
        <v>13</v>
      </c>
      <c r="U26" s="105" t="s">
        <v>13</v>
      </c>
      <c r="V26" s="105">
        <v>9.9535</v>
      </c>
      <c r="W26" s="105">
        <v>38.588329999999999</v>
      </c>
      <c r="X26" s="105">
        <v>0</v>
      </c>
      <c r="Y26" s="105">
        <v>-22.378</v>
      </c>
      <c r="Z26" s="105">
        <v>-46.442999999999998</v>
      </c>
      <c r="AA26" s="105">
        <v>-13.177</v>
      </c>
      <c r="AB26" s="105">
        <v>-29.218</v>
      </c>
      <c r="AC26" s="105" t="s">
        <v>13</v>
      </c>
      <c r="AD26" s="105" t="s">
        <v>13</v>
      </c>
      <c r="AE26" s="105" t="s">
        <v>13</v>
      </c>
      <c r="AF26" s="106">
        <v>0</v>
      </c>
      <c r="AG26" s="106">
        <v>0</v>
      </c>
      <c r="AH26" s="106">
        <v>0</v>
      </c>
      <c r="AI26" s="106">
        <v>0</v>
      </c>
      <c r="AJ26" s="105">
        <v>0</v>
      </c>
      <c r="AK26" s="105">
        <v>-4.0529999999999999</v>
      </c>
      <c r="AL26" s="105">
        <v>-6.7960000000000003</v>
      </c>
      <c r="AM26" s="105">
        <v>0</v>
      </c>
      <c r="AN26" s="105">
        <v>-0.89700000000000002</v>
      </c>
      <c r="AO26" s="105">
        <v>-2.3010000000000002</v>
      </c>
      <c r="AP26" s="107" t="s">
        <v>2246</v>
      </c>
      <c r="AQ26" s="108">
        <v>1.0234399999999999</v>
      </c>
      <c r="AR26" s="108">
        <v>0</v>
      </c>
      <c r="AS26" s="108">
        <v>0</v>
      </c>
      <c r="AT26" s="106">
        <v>0</v>
      </c>
      <c r="AU26" s="105">
        <v>0</v>
      </c>
      <c r="AV26" s="105">
        <v>-22.818000000000001</v>
      </c>
      <c r="AW26" s="105">
        <v>-47.466999999999999</v>
      </c>
      <c r="AX26" s="105">
        <v>-13.430999999999999</v>
      </c>
      <c r="AY26" s="105">
        <v>-29.818000000000001</v>
      </c>
      <c r="AZ26" s="105">
        <v>0</v>
      </c>
      <c r="BA26" s="105">
        <v>43.832999999999998</v>
      </c>
      <c r="BB26" s="105">
        <v>90.781000000000006</v>
      </c>
      <c r="BC26" s="105">
        <v>60.241</v>
      </c>
      <c r="BD26" s="105">
        <v>34.048999999999999</v>
      </c>
      <c r="BE26" s="105">
        <v>0</v>
      </c>
      <c r="BF26" s="105">
        <v>0</v>
      </c>
      <c r="BG26" s="105">
        <v>0</v>
      </c>
      <c r="BH26" s="74">
        <v>0</v>
      </c>
      <c r="BI26" s="74">
        <v>0</v>
      </c>
      <c r="BJ26" s="105">
        <v>0</v>
      </c>
      <c r="BK26" s="74">
        <v>0</v>
      </c>
      <c r="BL26" s="74">
        <v>0</v>
      </c>
      <c r="BM26" s="74">
        <v>0</v>
      </c>
      <c r="BN26" s="74">
        <v>0</v>
      </c>
      <c r="BO26" s="74">
        <v>0</v>
      </c>
      <c r="BP26" s="74">
        <v>0</v>
      </c>
      <c r="BQ26" s="74">
        <v>0</v>
      </c>
      <c r="BR26" s="78" t="s">
        <v>874</v>
      </c>
      <c r="BS26" s="109">
        <v>0.83000273906617572</v>
      </c>
      <c r="BT26" s="109" t="s">
        <v>13</v>
      </c>
      <c r="BU26" s="109" t="s">
        <v>13</v>
      </c>
      <c r="BV26" s="109" t="s">
        <v>13</v>
      </c>
      <c r="BW26" s="109" t="s">
        <v>13</v>
      </c>
      <c r="BX26" s="109" t="s">
        <v>13</v>
      </c>
      <c r="BY26" s="109" t="s">
        <v>13</v>
      </c>
      <c r="BZ26" s="109" t="s">
        <v>13</v>
      </c>
      <c r="CB26" s="74">
        <v>2</v>
      </c>
      <c r="CC26" s="13" t="s">
        <v>315</v>
      </c>
      <c r="CD26" s="13" t="s">
        <v>314</v>
      </c>
      <c r="CE26" s="76">
        <v>41974</v>
      </c>
    </row>
    <row r="27" spans="1:83" s="74" customFormat="1" ht="12.75">
      <c r="A27" s="75" t="s">
        <v>1075</v>
      </c>
      <c r="B27" s="104" t="s">
        <v>1076</v>
      </c>
      <c r="C27" s="75" t="s">
        <v>1077</v>
      </c>
      <c r="D27" s="75" t="s">
        <v>905</v>
      </c>
      <c r="E27" s="103">
        <v>42735</v>
      </c>
      <c r="F27" s="103">
        <v>42643</v>
      </c>
      <c r="G27" s="103">
        <v>35090</v>
      </c>
      <c r="H27" s="105">
        <v>218.56229999999999</v>
      </c>
      <c r="I27" s="105">
        <v>6.25</v>
      </c>
      <c r="J27" s="105">
        <v>249.7473</v>
      </c>
      <c r="K27" s="105">
        <v>0</v>
      </c>
      <c r="L27" s="105">
        <v>0</v>
      </c>
      <c r="M27" s="105">
        <v>0</v>
      </c>
      <c r="N27" s="105">
        <v>31.184999999999999</v>
      </c>
      <c r="O27" s="105">
        <v>0.85299999999999998</v>
      </c>
      <c r="P27" s="105">
        <v>1.0589999999999999</v>
      </c>
      <c r="Q27" s="105">
        <v>0.84799999999999998</v>
      </c>
      <c r="R27" s="105">
        <v>0.92500000000000004</v>
      </c>
      <c r="S27" s="105">
        <v>1.04</v>
      </c>
      <c r="T27" s="105">
        <v>0.84833000000000003</v>
      </c>
      <c r="U27" s="105">
        <v>3.3712499999999999</v>
      </c>
      <c r="V27" s="105">
        <v>41.981000000000002</v>
      </c>
      <c r="W27" s="105">
        <v>63.2485</v>
      </c>
      <c r="X27" s="105">
        <v>-3.3450000000000002</v>
      </c>
      <c r="Y27" s="105">
        <v>-12.35</v>
      </c>
      <c r="Z27" s="105">
        <v>-23.574999999999999</v>
      </c>
      <c r="AA27" s="105">
        <v>-3.12</v>
      </c>
      <c r="AB27" s="105">
        <v>-17.995000000000001</v>
      </c>
      <c r="AC27" s="105" t="s">
        <v>13</v>
      </c>
      <c r="AD27" s="105" t="s">
        <v>13</v>
      </c>
      <c r="AE27" s="105" t="s">
        <v>13</v>
      </c>
      <c r="AF27" s="106">
        <v>1</v>
      </c>
      <c r="AG27" s="106" t="s">
        <v>13</v>
      </c>
      <c r="AH27" s="106" t="s">
        <v>13</v>
      </c>
      <c r="AI27" s="106" t="s">
        <v>13</v>
      </c>
      <c r="AJ27" s="105">
        <v>-12.287000000000001</v>
      </c>
      <c r="AK27" s="105">
        <v>-1.1619999999999999</v>
      </c>
      <c r="AL27" s="105">
        <v>-5.7530000000000001</v>
      </c>
      <c r="AM27" s="105">
        <v>-1E-3</v>
      </c>
      <c r="AN27" s="105">
        <v>-4.1000000000000002E-2</v>
      </c>
      <c r="AO27" s="105">
        <v>-0.76800000000000002</v>
      </c>
      <c r="AP27" s="107" t="s">
        <v>2247</v>
      </c>
      <c r="AQ27" s="108">
        <v>2.89459</v>
      </c>
      <c r="AR27" s="108">
        <v>2.0623</v>
      </c>
      <c r="AS27" s="108">
        <v>1.7590300000000001</v>
      </c>
      <c r="AT27" s="106">
        <v>0</v>
      </c>
      <c r="AU27" s="105">
        <v>-15.91</v>
      </c>
      <c r="AV27" s="105">
        <v>-24.129000000000001</v>
      </c>
      <c r="AW27" s="105">
        <v>-17.210999999999999</v>
      </c>
      <c r="AX27" s="105">
        <v>-26.777999999999999</v>
      </c>
      <c r="AY27" s="105">
        <v>-14.526</v>
      </c>
      <c r="AZ27" s="105">
        <v>-17.355</v>
      </c>
      <c r="BA27" s="105">
        <v>73.072999999999993</v>
      </c>
      <c r="BB27" s="105">
        <v>63.484999999999999</v>
      </c>
      <c r="BC27" s="105">
        <v>4.8159999999999998</v>
      </c>
      <c r="BD27" s="105">
        <v>67.721000000000004</v>
      </c>
      <c r="BE27" s="105">
        <v>2.93</v>
      </c>
      <c r="BF27" s="105">
        <v>95.907049999999998</v>
      </c>
      <c r="BG27" s="105">
        <v>0</v>
      </c>
      <c r="BH27" s="74">
        <v>0</v>
      </c>
      <c r="BI27" s="74">
        <v>0</v>
      </c>
      <c r="BJ27" s="105">
        <v>43.281999999999996</v>
      </c>
      <c r="BK27" s="74">
        <v>0</v>
      </c>
      <c r="BL27" s="74">
        <v>-2.9349999999999997E-3</v>
      </c>
      <c r="BM27" s="74">
        <v>-0.33518700000000001</v>
      </c>
      <c r="BN27" s="74">
        <v>-0.10636799999999999</v>
      </c>
      <c r="BO27" s="74" t="s">
        <v>13</v>
      </c>
      <c r="BP27" s="74" t="s">
        <v>13</v>
      </c>
      <c r="BQ27" s="74" t="s">
        <v>13</v>
      </c>
      <c r="BR27" s="78">
        <v>0.85731132075471694</v>
      </c>
      <c r="BS27" s="109">
        <v>0.74036174837069324</v>
      </c>
      <c r="BT27" s="109">
        <v>1.0161279587876995</v>
      </c>
      <c r="BU27" s="109">
        <v>0.99599672896108482</v>
      </c>
      <c r="BV27" s="109">
        <v>1.0074578957998359</v>
      </c>
      <c r="BW27" s="109">
        <v>1.0777389955753038</v>
      </c>
      <c r="BX27" s="109">
        <v>1.0163456904071684</v>
      </c>
      <c r="BY27" s="109">
        <v>0.96307818231197206</v>
      </c>
      <c r="BZ27" s="109">
        <v>1.0073478684724886</v>
      </c>
      <c r="CB27" s="74">
        <v>2</v>
      </c>
      <c r="CC27" s="13" t="s">
        <v>315</v>
      </c>
      <c r="CD27" s="13" t="s">
        <v>314</v>
      </c>
      <c r="CE27" s="76">
        <v>41974</v>
      </c>
    </row>
    <row r="28" spans="1:83" s="74" customFormat="1" ht="12.75">
      <c r="A28" s="75" t="s">
        <v>1078</v>
      </c>
      <c r="B28" s="104" t="s">
        <v>1079</v>
      </c>
      <c r="C28" s="75" t="s">
        <v>1080</v>
      </c>
      <c r="D28" s="75" t="s">
        <v>905</v>
      </c>
      <c r="E28" s="103">
        <v>42735</v>
      </c>
      <c r="F28" s="103">
        <v>42643</v>
      </c>
      <c r="G28" s="103">
        <v>35089</v>
      </c>
      <c r="H28" s="105">
        <v>198.09277</v>
      </c>
      <c r="I28" s="105">
        <v>1.69</v>
      </c>
      <c r="J28" s="105">
        <v>249.53377</v>
      </c>
      <c r="K28" s="105">
        <v>0.56899999999999995</v>
      </c>
      <c r="L28" s="105">
        <v>0</v>
      </c>
      <c r="M28" s="105">
        <v>0</v>
      </c>
      <c r="N28" s="105">
        <v>52.01</v>
      </c>
      <c r="O28" s="105">
        <v>7.4999999999999997E-2</v>
      </c>
      <c r="P28" s="105">
        <v>6.0999999999999999E-2</v>
      </c>
      <c r="Q28" s="105">
        <v>1.1080000000000001</v>
      </c>
      <c r="R28" s="105">
        <v>7.2999999999999995E-2</v>
      </c>
      <c r="S28" s="105">
        <v>0.249</v>
      </c>
      <c r="T28" s="105">
        <v>1</v>
      </c>
      <c r="U28" s="105">
        <v>0.65</v>
      </c>
      <c r="V28" s="105">
        <v>13.15</v>
      </c>
      <c r="W28" s="105">
        <v>0.5</v>
      </c>
      <c r="X28" s="105">
        <v>-32.728999999999999</v>
      </c>
      <c r="Y28" s="105">
        <v>-48.274999999999999</v>
      </c>
      <c r="Z28" s="105">
        <v>-50.957000000000001</v>
      </c>
      <c r="AA28" s="105">
        <v>-38.545999999999999</v>
      </c>
      <c r="AB28" s="105">
        <v>-48.357999999999997</v>
      </c>
      <c r="AC28" s="105">
        <v>-53</v>
      </c>
      <c r="AD28" s="105">
        <v>-55</v>
      </c>
      <c r="AE28" s="105">
        <v>-59</v>
      </c>
      <c r="AF28" s="106" t="s">
        <v>13</v>
      </c>
      <c r="AG28" s="106" t="s">
        <v>13</v>
      </c>
      <c r="AH28" s="106" t="s">
        <v>13</v>
      </c>
      <c r="AI28" s="106" t="s">
        <v>13</v>
      </c>
      <c r="AJ28" s="105">
        <v>-5.5780000000000003</v>
      </c>
      <c r="AK28" s="105">
        <v>-3.0939999999999999</v>
      </c>
      <c r="AL28" s="105">
        <v>-4.1180000000000003</v>
      </c>
      <c r="AM28" s="105">
        <v>-0.89600000000000002</v>
      </c>
      <c r="AN28" s="105">
        <v>-0.86099999999999999</v>
      </c>
      <c r="AO28" s="105">
        <v>-0.437</v>
      </c>
      <c r="AP28" s="107" t="s">
        <v>2248</v>
      </c>
      <c r="AQ28" s="108">
        <v>3.10215</v>
      </c>
      <c r="AR28" s="108">
        <v>1.74102</v>
      </c>
      <c r="AS28" s="108">
        <v>2.4790800000000002</v>
      </c>
      <c r="AT28" s="106">
        <v>0</v>
      </c>
      <c r="AU28" s="105">
        <v>-32.814</v>
      </c>
      <c r="AV28" s="105">
        <v>-48.482999999999997</v>
      </c>
      <c r="AW28" s="105">
        <v>-51.201000000000001</v>
      </c>
      <c r="AX28" s="105">
        <v>-38.642000000000003</v>
      </c>
      <c r="AY28" s="105">
        <v>-48.555</v>
      </c>
      <c r="AZ28" s="105">
        <v>52.820999999999998</v>
      </c>
      <c r="BA28" s="105">
        <v>92.658000000000001</v>
      </c>
      <c r="BB28" s="105">
        <v>49.872</v>
      </c>
      <c r="BC28" s="105">
        <v>43.402000000000001</v>
      </c>
      <c r="BD28" s="105">
        <v>83.581999999999994</v>
      </c>
      <c r="BE28" s="105">
        <v>2.63</v>
      </c>
      <c r="BF28" s="105">
        <v>311.26049999999998</v>
      </c>
      <c r="BG28" s="105">
        <v>0.82299999999999995</v>
      </c>
      <c r="BH28" s="74">
        <v>0</v>
      </c>
      <c r="BI28" s="74">
        <v>0</v>
      </c>
      <c r="BJ28" s="105">
        <v>66.024000000000001</v>
      </c>
      <c r="BK28" s="74">
        <v>0</v>
      </c>
      <c r="BL28" s="74">
        <v>2.8436090000000003</v>
      </c>
      <c r="BM28" s="74">
        <v>1.7376759999999998</v>
      </c>
      <c r="BN28" s="74">
        <v>9.0499999999999999E-4</v>
      </c>
      <c r="BO28" s="74" t="s">
        <v>13</v>
      </c>
      <c r="BP28" s="74" t="s">
        <v>13</v>
      </c>
      <c r="BQ28" s="74" t="s">
        <v>13</v>
      </c>
      <c r="BR28" s="78">
        <v>0.56498194945848368</v>
      </c>
      <c r="BS28" s="109">
        <v>0.76022699192998089</v>
      </c>
      <c r="BT28" s="109">
        <v>0.75325423670083858</v>
      </c>
      <c r="BU28" s="109">
        <v>0.80520266549599839</v>
      </c>
      <c r="BV28" s="109">
        <v>0.90589864721013202</v>
      </c>
      <c r="BW28" s="109">
        <v>0.9057602474049008</v>
      </c>
      <c r="BX28" s="109">
        <v>0.8745116303842424</v>
      </c>
      <c r="BY28" s="109">
        <v>0.84013884124992089</v>
      </c>
      <c r="BZ28" s="109">
        <v>0.83235412823632671</v>
      </c>
      <c r="CB28" s="74">
        <v>2</v>
      </c>
      <c r="CC28" s="13" t="s">
        <v>315</v>
      </c>
      <c r="CD28" s="13" t="s">
        <v>314</v>
      </c>
      <c r="CE28" s="76">
        <v>41974</v>
      </c>
    </row>
    <row r="29" spans="1:83" s="74" customFormat="1" ht="12.75">
      <c r="A29" s="75" t="s">
        <v>1081</v>
      </c>
      <c r="B29" s="104" t="s">
        <v>1082</v>
      </c>
      <c r="C29" s="75" t="s">
        <v>1083</v>
      </c>
      <c r="D29" s="75" t="s">
        <v>875</v>
      </c>
      <c r="E29" s="103">
        <v>42735</v>
      </c>
      <c r="F29" s="103">
        <v>42643</v>
      </c>
      <c r="G29" s="103">
        <v>39016</v>
      </c>
      <c r="H29" s="105">
        <v>157.44288</v>
      </c>
      <c r="I29" s="105">
        <v>4.1399999999999997</v>
      </c>
      <c r="J29" s="105">
        <v>565.85888</v>
      </c>
      <c r="K29" s="105">
        <v>0.28899999999999998</v>
      </c>
      <c r="L29" s="105">
        <v>0</v>
      </c>
      <c r="M29" s="105">
        <v>0</v>
      </c>
      <c r="N29" s="105">
        <v>408.70499999999998</v>
      </c>
      <c r="O29" s="105">
        <v>0</v>
      </c>
      <c r="P29" s="105">
        <v>34.530999999999999</v>
      </c>
      <c r="Q29" s="105">
        <v>31.591000000000001</v>
      </c>
      <c r="R29" s="105">
        <v>0</v>
      </c>
      <c r="S29" s="105">
        <v>66.122</v>
      </c>
      <c r="T29" s="105" t="s">
        <v>13</v>
      </c>
      <c r="U29" s="105">
        <v>26.25</v>
      </c>
      <c r="V29" s="105">
        <v>69</v>
      </c>
      <c r="W29" s="105">
        <v>93.786330000000007</v>
      </c>
      <c r="X29" s="105">
        <v>-60.804000000000002</v>
      </c>
      <c r="Y29" s="105">
        <v>-52.627000000000002</v>
      </c>
      <c r="Z29" s="105">
        <v>-42.197000000000003</v>
      </c>
      <c r="AA29" s="105">
        <v>-68.936999999999998</v>
      </c>
      <c r="AB29" s="105">
        <v>-14.413</v>
      </c>
      <c r="AC29" s="105">
        <v>-76.09</v>
      </c>
      <c r="AD29" s="105">
        <v>-78.344999999999999</v>
      </c>
      <c r="AE29" s="105" t="s">
        <v>13</v>
      </c>
      <c r="AF29" s="106">
        <v>-0.70219300000000007</v>
      </c>
      <c r="AG29" s="106">
        <v>-1.335728</v>
      </c>
      <c r="AH29" s="106">
        <v>-1.3635519999999999</v>
      </c>
      <c r="AI29" s="106">
        <v>-1.2764709999999999</v>
      </c>
      <c r="AJ29" s="105">
        <v>-8.8000000000000007</v>
      </c>
      <c r="AK29" s="105">
        <v>-46.713999999999999</v>
      </c>
      <c r="AL29" s="105">
        <v>-10.388999999999999</v>
      </c>
      <c r="AM29" s="105">
        <v>-0.48</v>
      </c>
      <c r="AN29" s="105">
        <v>-1.2410000000000001</v>
      </c>
      <c r="AO29" s="105">
        <v>-1.8580000000000001</v>
      </c>
      <c r="AP29" s="107" t="s">
        <v>2249</v>
      </c>
      <c r="AQ29" s="108">
        <v>2.5289000000000001</v>
      </c>
      <c r="AR29" s="108">
        <v>1.52376</v>
      </c>
      <c r="AS29" s="108">
        <v>1.8359799999999999</v>
      </c>
      <c r="AT29" s="106">
        <v>0</v>
      </c>
      <c r="AU29" s="105">
        <v>-60.762</v>
      </c>
      <c r="AV29" s="105">
        <v>-43.578000000000003</v>
      </c>
      <c r="AW29" s="105">
        <v>-40.325000000000003</v>
      </c>
      <c r="AX29" s="105">
        <v>-69.007999999999996</v>
      </c>
      <c r="AY29" s="105">
        <v>-5.03</v>
      </c>
      <c r="AZ29" s="105">
        <v>119.60299999999999</v>
      </c>
      <c r="BA29" s="105">
        <v>429.74</v>
      </c>
      <c r="BB29" s="105">
        <v>401.21100000000001</v>
      </c>
      <c r="BC29" s="105">
        <v>143.46899999999999</v>
      </c>
      <c r="BD29" s="105">
        <v>449.63600000000002</v>
      </c>
      <c r="BE29" s="105">
        <v>9</v>
      </c>
      <c r="BF29" s="105">
        <v>1228.905</v>
      </c>
      <c r="BG29" s="105">
        <v>0.50700000000000001</v>
      </c>
      <c r="BH29" s="74">
        <v>0</v>
      </c>
      <c r="BI29" s="74">
        <v>0</v>
      </c>
      <c r="BJ29" s="105">
        <v>462.70800000000003</v>
      </c>
      <c r="BK29" s="74">
        <v>0</v>
      </c>
      <c r="BL29" s="74">
        <v>0</v>
      </c>
      <c r="BM29" s="74">
        <v>5.4450620000000001</v>
      </c>
      <c r="BN29" s="74">
        <v>0.7053910000000001</v>
      </c>
      <c r="BO29" s="74" t="s">
        <v>13</v>
      </c>
      <c r="BP29" s="74" t="s">
        <v>13</v>
      </c>
      <c r="BQ29" s="74" t="s">
        <v>13</v>
      </c>
      <c r="BR29" s="78">
        <v>2.7824380361495361E-2</v>
      </c>
      <c r="BS29" s="109">
        <v>0.61039878806996517</v>
      </c>
      <c r="BT29" s="109">
        <v>0.65060803171501025</v>
      </c>
      <c r="BU29" s="109">
        <v>0.80172115434392432</v>
      </c>
      <c r="BV29" s="109">
        <v>0.8728708379384067</v>
      </c>
      <c r="BW29" s="109">
        <v>0.85388772335499374</v>
      </c>
      <c r="BX29" s="109">
        <v>0.84211164162369512</v>
      </c>
      <c r="BY29" s="109">
        <v>0.82093613565478285</v>
      </c>
      <c r="BZ29" s="109">
        <v>0.85930587479122611</v>
      </c>
      <c r="CB29" s="74">
        <v>2</v>
      </c>
      <c r="CC29" s="13" t="s">
        <v>315</v>
      </c>
      <c r="CD29" s="13" t="s">
        <v>314</v>
      </c>
      <c r="CE29" s="76">
        <v>41974</v>
      </c>
    </row>
    <row r="30" spans="1:83" s="74" customFormat="1" ht="12.75">
      <c r="A30" s="75" t="s">
        <v>1084</v>
      </c>
      <c r="B30" s="104" t="s">
        <v>1085</v>
      </c>
      <c r="C30" s="75" t="s">
        <v>1086</v>
      </c>
      <c r="D30" s="75" t="s">
        <v>905</v>
      </c>
      <c r="E30" s="103">
        <v>42551</v>
      </c>
      <c r="F30" s="103">
        <v>42643</v>
      </c>
      <c r="G30" s="103">
        <v>41680</v>
      </c>
      <c r="H30" s="105">
        <v>117.4936</v>
      </c>
      <c r="I30" s="105">
        <v>1.98</v>
      </c>
      <c r="J30" s="105">
        <v>118.69085</v>
      </c>
      <c r="K30" s="105">
        <v>0</v>
      </c>
      <c r="L30" s="105">
        <v>1.83091</v>
      </c>
      <c r="M30" s="105">
        <v>0</v>
      </c>
      <c r="N30" s="105">
        <v>3.0281600000000002</v>
      </c>
      <c r="O30" s="105">
        <v>0</v>
      </c>
      <c r="P30" s="105">
        <v>0</v>
      </c>
      <c r="Q30" s="105">
        <v>0</v>
      </c>
      <c r="R30" s="105">
        <v>0</v>
      </c>
      <c r="S30" s="105">
        <v>0</v>
      </c>
      <c r="T30" s="105" t="s">
        <v>13</v>
      </c>
      <c r="U30" s="105" t="s">
        <v>13</v>
      </c>
      <c r="V30" s="105" t="s">
        <v>13</v>
      </c>
      <c r="W30" s="105">
        <v>3.3725000000000001</v>
      </c>
      <c r="X30" s="105">
        <v>0</v>
      </c>
      <c r="Y30" s="105">
        <v>-17.70298</v>
      </c>
      <c r="Z30" s="105">
        <v>-20.600850000000001</v>
      </c>
      <c r="AA30" s="105">
        <v>0</v>
      </c>
      <c r="AB30" s="105">
        <v>-20.111059999999998</v>
      </c>
      <c r="AC30" s="105" t="s">
        <v>13</v>
      </c>
      <c r="AD30" s="105" t="s">
        <v>13</v>
      </c>
      <c r="AE30" s="105" t="s">
        <v>13</v>
      </c>
      <c r="AF30" s="106">
        <v>0</v>
      </c>
      <c r="AG30" s="106">
        <v>0</v>
      </c>
      <c r="AH30" s="106">
        <v>0</v>
      </c>
      <c r="AI30" s="106">
        <v>0</v>
      </c>
      <c r="AJ30" s="105">
        <v>-0.30668000000000001</v>
      </c>
      <c r="AK30" s="105">
        <v>-3.28626</v>
      </c>
      <c r="AL30" s="105">
        <v>-4.5768500000000003</v>
      </c>
      <c r="AM30" s="105">
        <v>-5.9639999999999999E-2</v>
      </c>
      <c r="AN30" s="105">
        <v>-4.6080000000000003E-2</v>
      </c>
      <c r="AO30" s="105">
        <v>0</v>
      </c>
      <c r="AP30" s="107" t="s">
        <v>1087</v>
      </c>
      <c r="AQ30" s="108">
        <v>1.6210899999999999</v>
      </c>
      <c r="AR30" s="108">
        <v>2.4197799999999998</v>
      </c>
      <c r="AS30" s="108">
        <v>1.8253200000000001</v>
      </c>
      <c r="AT30" s="106">
        <v>0</v>
      </c>
      <c r="AU30" s="105">
        <v>-6.5691899999999999</v>
      </c>
      <c r="AV30" s="105">
        <v>-17.721910000000001</v>
      </c>
      <c r="AW30" s="105">
        <v>-16.97109</v>
      </c>
      <c r="AX30" s="105">
        <v>-9.5054800000000004</v>
      </c>
      <c r="AY30" s="105">
        <v>-17.6479</v>
      </c>
      <c r="AZ30" s="105">
        <v>0.53986999999999996</v>
      </c>
      <c r="BA30" s="105">
        <v>-1.3610800000000001</v>
      </c>
      <c r="BB30" s="105">
        <v>-2.9960200000000001</v>
      </c>
      <c r="BC30" s="105">
        <v>8.6037599999999994</v>
      </c>
      <c r="BD30" s="105">
        <v>4.9843999999999999</v>
      </c>
      <c r="BE30" s="105">
        <v>1.3</v>
      </c>
      <c r="BF30" s="105">
        <v>35.483580000000003</v>
      </c>
      <c r="BG30" s="105">
        <v>0</v>
      </c>
      <c r="BH30" s="74">
        <v>13.7</v>
      </c>
      <c r="BI30" s="74">
        <v>0</v>
      </c>
      <c r="BJ30" s="105">
        <v>1.79111</v>
      </c>
      <c r="BK30" s="74" t="s">
        <v>874</v>
      </c>
      <c r="BL30" s="74">
        <v>0</v>
      </c>
      <c r="BM30" s="74">
        <v>0</v>
      </c>
      <c r="BN30" s="74">
        <v>0</v>
      </c>
      <c r="BO30" s="74">
        <v>0</v>
      </c>
      <c r="BP30" s="74">
        <v>0</v>
      </c>
      <c r="BQ30" s="74">
        <v>0</v>
      </c>
      <c r="BR30" s="78" t="s">
        <v>874</v>
      </c>
      <c r="BS30" s="109">
        <v>1.0131174505067317</v>
      </c>
      <c r="BT30" s="109">
        <v>1.1933416076473253</v>
      </c>
      <c r="BU30" s="109">
        <v>1.396853832524193</v>
      </c>
      <c r="BV30" s="109" t="s">
        <v>13</v>
      </c>
      <c r="BW30" s="109" t="s">
        <v>13</v>
      </c>
      <c r="BX30" s="109" t="s">
        <v>13</v>
      </c>
      <c r="BY30" s="109" t="s">
        <v>13</v>
      </c>
      <c r="BZ30" s="109" t="s">
        <v>13</v>
      </c>
      <c r="CB30" s="74">
        <v>2</v>
      </c>
      <c r="CC30" s="13" t="s">
        <v>315</v>
      </c>
      <c r="CD30" s="13" t="s">
        <v>314</v>
      </c>
      <c r="CE30" s="76">
        <v>41974</v>
      </c>
    </row>
    <row r="31" spans="1:83" s="74" customFormat="1" ht="12.75">
      <c r="A31" s="75" t="s">
        <v>1088</v>
      </c>
      <c r="B31" s="104" t="s">
        <v>1089</v>
      </c>
      <c r="C31" s="75" t="s">
        <v>2250</v>
      </c>
      <c r="D31" s="75" t="s">
        <v>875</v>
      </c>
      <c r="E31" s="103">
        <v>42735</v>
      </c>
      <c r="F31" s="103">
        <v>42643</v>
      </c>
      <c r="G31" s="103">
        <v>36622</v>
      </c>
      <c r="H31" s="105">
        <v>80.415350000000004</v>
      </c>
      <c r="I31" s="105">
        <v>3.2</v>
      </c>
      <c r="J31" s="105">
        <v>225.99635000000001</v>
      </c>
      <c r="K31" s="105">
        <v>0</v>
      </c>
      <c r="L31" s="105">
        <v>0</v>
      </c>
      <c r="M31" s="105">
        <v>0</v>
      </c>
      <c r="N31" s="105">
        <v>145.58099999999999</v>
      </c>
      <c r="O31" s="105">
        <v>37.786999999999999</v>
      </c>
      <c r="P31" s="105">
        <v>45.37</v>
      </c>
      <c r="Q31" s="105">
        <v>19.588000000000001</v>
      </c>
      <c r="R31" s="105">
        <v>45.87</v>
      </c>
      <c r="S31" s="105">
        <v>39.539000000000001</v>
      </c>
      <c r="T31" s="105">
        <v>14.41283</v>
      </c>
      <c r="U31" s="105">
        <v>20.44417</v>
      </c>
      <c r="V31" s="105">
        <v>23.681249999999999</v>
      </c>
      <c r="W31" s="105">
        <v>30.2775</v>
      </c>
      <c r="X31" s="105">
        <v>-29.771999999999998</v>
      </c>
      <c r="Y31" s="105">
        <v>-34.658000000000001</v>
      </c>
      <c r="Z31" s="105">
        <v>-71.244</v>
      </c>
      <c r="AA31" s="105">
        <v>-26.001999999999999</v>
      </c>
      <c r="AB31" s="105">
        <v>-45.798000000000002</v>
      </c>
      <c r="AC31" s="105">
        <v>-82</v>
      </c>
      <c r="AD31" s="105" t="s">
        <v>13</v>
      </c>
      <c r="AE31" s="105" t="s">
        <v>13</v>
      </c>
      <c r="AF31" s="106">
        <v>-2.6534609999999996</v>
      </c>
      <c r="AG31" s="106" t="s">
        <v>13</v>
      </c>
      <c r="AH31" s="106" t="s">
        <v>13</v>
      </c>
      <c r="AI31" s="106" t="s">
        <v>13</v>
      </c>
      <c r="AJ31" s="105">
        <v>-8.7490000000000006</v>
      </c>
      <c r="AK31" s="105">
        <v>-13.773999999999999</v>
      </c>
      <c r="AL31" s="105">
        <v>-10.603999999999999</v>
      </c>
      <c r="AM31" s="105">
        <v>-0.59599999999999997</v>
      </c>
      <c r="AN31" s="105">
        <v>-2.3889999999999998</v>
      </c>
      <c r="AO31" s="105">
        <v>-0.59299999999999997</v>
      </c>
      <c r="AP31" s="107" t="s">
        <v>2251</v>
      </c>
      <c r="AQ31" s="108">
        <v>2.7490399999999999</v>
      </c>
      <c r="AR31" s="108">
        <v>1.73122</v>
      </c>
      <c r="AS31" s="108">
        <v>3.2777099999999999</v>
      </c>
      <c r="AT31" s="106">
        <v>0</v>
      </c>
      <c r="AU31" s="105">
        <v>-30.242000000000001</v>
      </c>
      <c r="AV31" s="105">
        <v>-31.009</v>
      </c>
      <c r="AW31" s="105">
        <v>-76.046999999999997</v>
      </c>
      <c r="AX31" s="105">
        <v>-26.417000000000002</v>
      </c>
      <c r="AY31" s="105">
        <v>-40.703000000000003</v>
      </c>
      <c r="AZ31" s="105">
        <v>210.13900000000001</v>
      </c>
      <c r="BA31" s="105">
        <v>203.55799999999999</v>
      </c>
      <c r="BB31" s="105">
        <v>143.83600000000001</v>
      </c>
      <c r="BC31" s="105">
        <v>206.63300000000001</v>
      </c>
      <c r="BD31" s="105">
        <v>192.43899999999999</v>
      </c>
      <c r="BE31" s="105">
        <v>7.65</v>
      </c>
      <c r="BF31" s="105">
        <v>535.85955000000001</v>
      </c>
      <c r="BG31" s="105">
        <v>0</v>
      </c>
      <c r="BH31" s="74">
        <v>0</v>
      </c>
      <c r="BI31" s="74">
        <v>0</v>
      </c>
      <c r="BJ31" s="105">
        <v>219.32900000000001</v>
      </c>
      <c r="BK31" s="74" t="s">
        <v>874</v>
      </c>
      <c r="BL31" s="74">
        <v>-0.28001500000000001</v>
      </c>
      <c r="BM31" s="74">
        <v>-9.2349999999999988E-2</v>
      </c>
      <c r="BN31" s="74">
        <v>0.138069</v>
      </c>
      <c r="BO31" s="74" t="s">
        <v>13</v>
      </c>
      <c r="BP31" s="74" t="s">
        <v>13</v>
      </c>
      <c r="BQ31" s="74" t="s">
        <v>13</v>
      </c>
      <c r="BR31" s="78">
        <v>5.0439044312844593E-2</v>
      </c>
      <c r="BS31" s="109">
        <v>0.77908973534733306</v>
      </c>
      <c r="BT31" s="109">
        <v>0.75591191240814581</v>
      </c>
      <c r="BU31" s="109">
        <v>0.72988664995178043</v>
      </c>
      <c r="BV31" s="109">
        <v>0.69704641565401437</v>
      </c>
      <c r="BW31" s="109">
        <v>0.67878652003980433</v>
      </c>
      <c r="BX31" s="109">
        <v>0.68960930690777289</v>
      </c>
      <c r="BY31" s="109">
        <v>0.68075935270679633</v>
      </c>
      <c r="BZ31" s="109">
        <v>0.71199663925791412</v>
      </c>
      <c r="CB31" s="74">
        <v>2</v>
      </c>
      <c r="CC31" s="13" t="s">
        <v>315</v>
      </c>
      <c r="CD31" s="13" t="s">
        <v>314</v>
      </c>
      <c r="CE31" s="76">
        <v>41974</v>
      </c>
    </row>
    <row r="32" spans="1:83" s="74" customFormat="1" ht="12.75">
      <c r="A32" s="75" t="s">
        <v>1091</v>
      </c>
      <c r="B32" s="104" t="s">
        <v>1092</v>
      </c>
      <c r="C32" s="75" t="s">
        <v>1093</v>
      </c>
      <c r="D32" s="75" t="s">
        <v>873</v>
      </c>
      <c r="E32" s="103">
        <v>42735</v>
      </c>
      <c r="F32" s="103">
        <v>42643</v>
      </c>
      <c r="G32" s="103">
        <v>41844</v>
      </c>
      <c r="H32" s="105">
        <v>74.286450000000002</v>
      </c>
      <c r="I32" s="105">
        <v>7.35</v>
      </c>
      <c r="J32" s="105">
        <v>186.75745000000001</v>
      </c>
      <c r="K32" s="105">
        <v>0</v>
      </c>
      <c r="L32" s="105">
        <v>0</v>
      </c>
      <c r="M32" s="105">
        <v>0</v>
      </c>
      <c r="N32" s="105">
        <v>112.471</v>
      </c>
      <c r="O32" s="105">
        <v>4.657</v>
      </c>
      <c r="P32" s="105">
        <v>10.170999999999999</v>
      </c>
      <c r="Q32" s="105">
        <v>12.340999999999999</v>
      </c>
      <c r="R32" s="105">
        <v>6.4329999999999998</v>
      </c>
      <c r="S32" s="105">
        <v>9.51</v>
      </c>
      <c r="T32" s="105">
        <v>12.79575</v>
      </c>
      <c r="U32" s="105">
        <v>6.8425000000000002</v>
      </c>
      <c r="V32" s="105">
        <v>15.81367</v>
      </c>
      <c r="W32" s="105">
        <v>34.856999999999999</v>
      </c>
      <c r="X32" s="105">
        <v>-20.942</v>
      </c>
      <c r="Y32" s="105">
        <v>-40.228000000000002</v>
      </c>
      <c r="Z32" s="105">
        <v>-45.686</v>
      </c>
      <c r="AA32" s="105">
        <v>-29.64</v>
      </c>
      <c r="AB32" s="105">
        <v>-39.241999999999997</v>
      </c>
      <c r="AC32" s="105" t="s">
        <v>13</v>
      </c>
      <c r="AD32" s="105" t="s">
        <v>13</v>
      </c>
      <c r="AE32" s="105" t="s">
        <v>13</v>
      </c>
      <c r="AF32" s="106">
        <v>-2.4605779999999999</v>
      </c>
      <c r="AG32" s="106" t="s">
        <v>13</v>
      </c>
      <c r="AH32" s="106" t="s">
        <v>13</v>
      </c>
      <c r="AI32" s="106" t="s">
        <v>13</v>
      </c>
      <c r="AJ32" s="105">
        <v>-4.6360000000000001</v>
      </c>
      <c r="AK32" s="105">
        <v>-1.804</v>
      </c>
      <c r="AL32" s="105">
        <v>-4.335</v>
      </c>
      <c r="AM32" s="105">
        <v>-0.22800000000000001</v>
      </c>
      <c r="AN32" s="105">
        <v>-0.46100000000000002</v>
      </c>
      <c r="AO32" s="105">
        <v>-0.19500000000000001</v>
      </c>
      <c r="AP32" s="107" t="s">
        <v>2252</v>
      </c>
      <c r="AQ32" s="108">
        <v>4.7584099999999996</v>
      </c>
      <c r="AR32" s="108">
        <v>3.4573</v>
      </c>
      <c r="AS32" s="108">
        <v>3.1408800000000001</v>
      </c>
      <c r="AT32" s="106">
        <v>0</v>
      </c>
      <c r="AU32" s="105">
        <v>-26.437000000000001</v>
      </c>
      <c r="AV32" s="105">
        <v>-40.450000000000003</v>
      </c>
      <c r="AW32" s="105">
        <v>-51.198999999999998</v>
      </c>
      <c r="AX32" s="105">
        <v>-34.151000000000003</v>
      </c>
      <c r="AY32" s="105">
        <v>-39.445</v>
      </c>
      <c r="AZ32" s="105">
        <v>78.995999999999995</v>
      </c>
      <c r="BA32" s="105">
        <v>119.169</v>
      </c>
      <c r="BB32" s="105">
        <v>107.259</v>
      </c>
      <c r="BC32" s="105">
        <v>66.346000000000004</v>
      </c>
      <c r="BD32" s="105">
        <v>108.99299999999999</v>
      </c>
      <c r="BE32" s="105">
        <v>15.53</v>
      </c>
      <c r="BF32" s="105">
        <v>312.82413000000003</v>
      </c>
      <c r="BG32" s="105">
        <v>0</v>
      </c>
      <c r="BH32" s="74">
        <v>0</v>
      </c>
      <c r="BI32" s="74">
        <v>0</v>
      </c>
      <c r="BJ32" s="105">
        <v>120.49</v>
      </c>
      <c r="BK32" s="74">
        <v>0</v>
      </c>
      <c r="BL32" s="74">
        <v>0.62787899999999996</v>
      </c>
      <c r="BM32" s="74">
        <v>0</v>
      </c>
      <c r="BN32" s="74">
        <v>0</v>
      </c>
      <c r="BO32" s="74" t="s">
        <v>13</v>
      </c>
      <c r="BP32" s="74">
        <v>0</v>
      </c>
      <c r="BQ32" s="74">
        <v>0</v>
      </c>
      <c r="BR32" s="78">
        <v>2.3823028927963699E-2</v>
      </c>
      <c r="BS32" s="109">
        <v>0.85456554676673191</v>
      </c>
      <c r="BT32" s="109">
        <v>0.89607154655257915</v>
      </c>
      <c r="BU32" s="109">
        <v>0.87802203473928597</v>
      </c>
      <c r="BV32" s="109" t="s">
        <v>13</v>
      </c>
      <c r="BW32" s="109" t="s">
        <v>13</v>
      </c>
      <c r="BX32" s="109" t="s">
        <v>13</v>
      </c>
      <c r="BY32" s="109" t="s">
        <v>13</v>
      </c>
      <c r="BZ32" s="109" t="s">
        <v>13</v>
      </c>
      <c r="CB32" s="74">
        <v>2</v>
      </c>
      <c r="CC32" s="13" t="s">
        <v>315</v>
      </c>
      <c r="CD32" s="13" t="s">
        <v>314</v>
      </c>
      <c r="CE32" s="76">
        <v>41974</v>
      </c>
    </row>
    <row r="33" spans="1:83" s="74" customFormat="1" ht="12.75">
      <c r="A33" s="75" t="s">
        <v>1094</v>
      </c>
      <c r="B33" s="104" t="s">
        <v>1095</v>
      </c>
      <c r="C33" s="75" t="s">
        <v>1096</v>
      </c>
      <c r="D33" s="75" t="s">
        <v>873</v>
      </c>
      <c r="E33" s="103">
        <v>42735</v>
      </c>
      <c r="F33" s="103">
        <v>42643</v>
      </c>
      <c r="G33" s="103">
        <v>41548</v>
      </c>
      <c r="H33" s="105">
        <v>66.411569999999998</v>
      </c>
      <c r="I33" s="105">
        <v>2.94</v>
      </c>
      <c r="J33" s="105">
        <v>100.39557000000001</v>
      </c>
      <c r="K33" s="105">
        <v>12.635</v>
      </c>
      <c r="L33" s="105">
        <v>0</v>
      </c>
      <c r="M33" s="105">
        <v>0</v>
      </c>
      <c r="N33" s="105">
        <v>46.619</v>
      </c>
      <c r="O33" s="105">
        <v>0</v>
      </c>
      <c r="P33" s="105">
        <v>1.355</v>
      </c>
      <c r="Q33" s="105">
        <v>4.4509999999999996</v>
      </c>
      <c r="R33" s="105">
        <v>0</v>
      </c>
      <c r="S33" s="105">
        <v>2.431</v>
      </c>
      <c r="T33" s="105">
        <v>4.3366699999999998</v>
      </c>
      <c r="U33" s="105">
        <v>4.7973299999999997</v>
      </c>
      <c r="V33" s="105">
        <v>3.6767500000000002</v>
      </c>
      <c r="W33" s="105">
        <v>11.02525</v>
      </c>
      <c r="X33" s="105">
        <v>-23.363</v>
      </c>
      <c r="Y33" s="105">
        <v>-26.210999999999999</v>
      </c>
      <c r="Z33" s="105">
        <v>-30.332999999999998</v>
      </c>
      <c r="AA33" s="105">
        <v>-24.408000000000001</v>
      </c>
      <c r="AB33" s="105">
        <v>-27.094999999999999</v>
      </c>
      <c r="AC33" s="105" t="s">
        <v>13</v>
      </c>
      <c r="AD33" s="105" t="s">
        <v>13</v>
      </c>
      <c r="AE33" s="105" t="s">
        <v>13</v>
      </c>
      <c r="AF33" s="106" t="s">
        <v>13</v>
      </c>
      <c r="AG33" s="106" t="s">
        <v>13</v>
      </c>
      <c r="AH33" s="106" t="s">
        <v>13</v>
      </c>
      <c r="AI33" s="106" t="s">
        <v>13</v>
      </c>
      <c r="AJ33" s="105">
        <v>-3.2069999999999999</v>
      </c>
      <c r="AK33" s="105">
        <v>-4.774</v>
      </c>
      <c r="AL33" s="105">
        <v>-5.8730000000000002</v>
      </c>
      <c r="AM33" s="105">
        <v>-0.76100000000000001</v>
      </c>
      <c r="AN33" s="105">
        <v>-1.591</v>
      </c>
      <c r="AO33" s="105">
        <v>-0.59499999999999997</v>
      </c>
      <c r="AP33" s="107" t="s">
        <v>2253</v>
      </c>
      <c r="AQ33" s="108">
        <v>2.4091</v>
      </c>
      <c r="AR33" s="108">
        <v>1.9785600000000001</v>
      </c>
      <c r="AS33" s="108">
        <v>1.22512</v>
      </c>
      <c r="AT33" s="106">
        <v>0</v>
      </c>
      <c r="AU33" s="105">
        <v>-25.388999999999999</v>
      </c>
      <c r="AV33" s="105">
        <v>-28.779</v>
      </c>
      <c r="AW33" s="105">
        <v>-32.968000000000004</v>
      </c>
      <c r="AX33" s="105">
        <v>-25.882999999999999</v>
      </c>
      <c r="AY33" s="105">
        <v>-29.992000000000001</v>
      </c>
      <c r="AZ33" s="105">
        <v>33.576000000000001</v>
      </c>
      <c r="BA33" s="105">
        <v>44.994999999999997</v>
      </c>
      <c r="BB33" s="105">
        <v>25.373000000000001</v>
      </c>
      <c r="BC33" s="105">
        <v>28.34</v>
      </c>
      <c r="BD33" s="105">
        <v>38.037999999999997</v>
      </c>
      <c r="BE33" s="105">
        <v>2.85</v>
      </c>
      <c r="BF33" s="105">
        <v>81.843450000000004</v>
      </c>
      <c r="BG33" s="105">
        <v>19.129000000000001</v>
      </c>
      <c r="BH33" s="74">
        <v>0</v>
      </c>
      <c r="BI33" s="74">
        <v>0</v>
      </c>
      <c r="BJ33" s="105">
        <v>72.856999999999999</v>
      </c>
      <c r="BK33" s="74">
        <v>0</v>
      </c>
      <c r="BL33" s="74">
        <v>0</v>
      </c>
      <c r="BM33" s="74">
        <v>0.40233400000000002</v>
      </c>
      <c r="BN33" s="74">
        <v>0</v>
      </c>
      <c r="BO33" s="74" t="s">
        <v>13</v>
      </c>
      <c r="BP33" s="74" t="s">
        <v>13</v>
      </c>
      <c r="BQ33" s="74">
        <v>0</v>
      </c>
      <c r="BR33" s="78">
        <v>0.19950572904965178</v>
      </c>
      <c r="BS33" s="109">
        <v>0.83694308969446407</v>
      </c>
      <c r="BT33" s="109">
        <v>0.87702243861868245</v>
      </c>
      <c r="BU33" s="109">
        <v>0.81948065839335027</v>
      </c>
      <c r="BV33" s="109">
        <v>0.82425686431352063</v>
      </c>
      <c r="BW33" s="109" t="s">
        <v>13</v>
      </c>
      <c r="BX33" s="109" t="s">
        <v>13</v>
      </c>
      <c r="BY33" s="109" t="s">
        <v>13</v>
      </c>
      <c r="BZ33" s="109" t="s">
        <v>13</v>
      </c>
      <c r="CB33" s="74">
        <v>2</v>
      </c>
      <c r="CC33" s="13" t="s">
        <v>315</v>
      </c>
      <c r="CD33" s="13" t="s">
        <v>314</v>
      </c>
      <c r="CE33" s="76">
        <v>41974</v>
      </c>
    </row>
    <row r="34" spans="1:83" s="74" customFormat="1" ht="12.75">
      <c r="A34" s="75" t="s">
        <v>1097</v>
      </c>
      <c r="B34" s="104" t="s">
        <v>1098</v>
      </c>
      <c r="C34" s="75" t="s">
        <v>1099</v>
      </c>
      <c r="D34" s="75" t="s">
        <v>875</v>
      </c>
      <c r="E34" s="103">
        <v>42643</v>
      </c>
      <c r="F34" s="103">
        <v>42551</v>
      </c>
      <c r="G34" s="103">
        <v>37999</v>
      </c>
      <c r="H34" s="105">
        <v>61.0702</v>
      </c>
      <c r="I34" s="105">
        <v>1.44</v>
      </c>
      <c r="J34" s="105">
        <v>102.94919</v>
      </c>
      <c r="K34" s="105">
        <v>3.32328</v>
      </c>
      <c r="L34" s="105">
        <v>2.0000000000000002E-5</v>
      </c>
      <c r="M34" s="105">
        <v>-0.55518999999999996</v>
      </c>
      <c r="N34" s="105">
        <v>44.647100000000002</v>
      </c>
      <c r="O34" s="105">
        <v>0.17499999999999999</v>
      </c>
      <c r="P34" s="105">
        <v>0.38200000000000001</v>
      </c>
      <c r="Q34" s="105">
        <v>0.17083000000000001</v>
      </c>
      <c r="R34" s="105">
        <v>0.30199999999999999</v>
      </c>
      <c r="S34" s="105">
        <v>0.255</v>
      </c>
      <c r="T34" s="105">
        <v>0.16639999999999999</v>
      </c>
      <c r="U34" s="105">
        <v>6.2992999999999997</v>
      </c>
      <c r="V34" s="105">
        <v>28.625</v>
      </c>
      <c r="W34" s="105">
        <v>79.375</v>
      </c>
      <c r="X34" s="105">
        <v>-36.145229999999998</v>
      </c>
      <c r="Y34" s="105">
        <v>-76.656549999999996</v>
      </c>
      <c r="Z34" s="105">
        <v>-80.013900000000007</v>
      </c>
      <c r="AA34" s="105">
        <v>-65.601849999999999</v>
      </c>
      <c r="AB34" s="105">
        <v>-75.325130000000001</v>
      </c>
      <c r="AC34" s="105" t="s">
        <v>13</v>
      </c>
      <c r="AD34" s="105" t="s">
        <v>13</v>
      </c>
      <c r="AE34" s="105" t="s">
        <v>13</v>
      </c>
      <c r="AF34" s="106">
        <v>1</v>
      </c>
      <c r="AG34" s="106" t="s">
        <v>13</v>
      </c>
      <c r="AH34" s="106" t="s">
        <v>13</v>
      </c>
      <c r="AI34" s="106" t="s">
        <v>13</v>
      </c>
      <c r="AJ34" s="105">
        <v>-6.7481799999999996</v>
      </c>
      <c r="AK34" s="105">
        <v>-5.1615900000000003</v>
      </c>
      <c r="AL34" s="105">
        <v>-9.5248500000000007</v>
      </c>
      <c r="AM34" s="105">
        <v>-1.35721</v>
      </c>
      <c r="AN34" s="105">
        <v>-1.60103</v>
      </c>
      <c r="AO34" s="105">
        <v>-1.98271</v>
      </c>
      <c r="AP34" s="107" t="s">
        <v>1774</v>
      </c>
      <c r="AQ34" s="108">
        <v>1.14314</v>
      </c>
      <c r="AR34" s="108">
        <v>0.72738999999999998</v>
      </c>
      <c r="AS34" s="108">
        <v>2.0830000000000002</v>
      </c>
      <c r="AT34" s="106">
        <v>0</v>
      </c>
      <c r="AU34" s="105">
        <v>-50.099939999999997</v>
      </c>
      <c r="AV34" s="105">
        <v>-89.628280000000004</v>
      </c>
      <c r="AW34" s="105">
        <v>-84.244150000000005</v>
      </c>
      <c r="AX34" s="105">
        <v>-70.614959999999996</v>
      </c>
      <c r="AY34" s="105">
        <v>-88.630009999999999</v>
      </c>
      <c r="AZ34" s="105">
        <v>185.80779000000001</v>
      </c>
      <c r="BA34" s="105">
        <v>130.74439000000001</v>
      </c>
      <c r="BB34" s="105">
        <v>59.425170000000001</v>
      </c>
      <c r="BC34" s="105">
        <v>145.70966999999999</v>
      </c>
      <c r="BD34" s="105">
        <v>92.368390000000005</v>
      </c>
      <c r="BE34" s="105">
        <v>5.3</v>
      </c>
      <c r="BF34" s="105">
        <v>315.63979</v>
      </c>
      <c r="BG34" s="105">
        <v>0.75834000000000001</v>
      </c>
      <c r="BH34" s="74">
        <v>2.0000000000000002E-5</v>
      </c>
      <c r="BI34" s="74">
        <v>-0.55518999999999996</v>
      </c>
      <c r="BJ34" s="105">
        <v>98.754260000000002</v>
      </c>
      <c r="BK34" s="74" t="s">
        <v>874</v>
      </c>
      <c r="BL34" s="74">
        <v>-1.1977999999999999E-2</v>
      </c>
      <c r="BM34" s="74">
        <v>-0.16197199999999998</v>
      </c>
      <c r="BN34" s="74">
        <v>-0.10419200000000001</v>
      </c>
      <c r="BO34" s="74" t="s">
        <v>13</v>
      </c>
      <c r="BP34" s="74" t="s">
        <v>13</v>
      </c>
      <c r="BQ34" s="74" t="s">
        <v>13</v>
      </c>
      <c r="BR34" s="78">
        <v>19.153602997131649</v>
      </c>
      <c r="BS34" s="109">
        <v>0.73661696293375278</v>
      </c>
      <c r="BT34" s="109">
        <v>0.72102275983348885</v>
      </c>
      <c r="BU34" s="109">
        <v>0.83310850932360714</v>
      </c>
      <c r="BV34" s="109">
        <v>0.79059769874606856</v>
      </c>
      <c r="BW34" s="109">
        <v>0.74884430504061683</v>
      </c>
      <c r="BX34" s="109">
        <v>0.75486080704272351</v>
      </c>
      <c r="BY34" s="109">
        <v>0.79750215502601585</v>
      </c>
      <c r="BZ34" s="109">
        <v>0.85359327331403279</v>
      </c>
      <c r="CB34" s="74">
        <v>2</v>
      </c>
      <c r="CC34" s="13" t="s">
        <v>315</v>
      </c>
      <c r="CD34" s="13" t="s">
        <v>314</v>
      </c>
      <c r="CE34" s="76">
        <v>41974</v>
      </c>
    </row>
    <row r="35" spans="1:83" s="74" customFormat="1" ht="12.75">
      <c r="A35" s="75" t="s">
        <v>1100</v>
      </c>
      <c r="B35" s="104" t="s">
        <v>1101</v>
      </c>
      <c r="C35" s="75" t="s">
        <v>1102</v>
      </c>
      <c r="D35" s="75" t="s">
        <v>873</v>
      </c>
      <c r="E35" s="103">
        <v>42735</v>
      </c>
      <c r="F35" s="103">
        <v>42643</v>
      </c>
      <c r="G35" s="103">
        <v>41186</v>
      </c>
      <c r="H35" s="105">
        <v>57.866100000000003</v>
      </c>
      <c r="I35" s="105">
        <v>2.4500000000000002</v>
      </c>
      <c r="J35" s="105">
        <v>129.66210000000001</v>
      </c>
      <c r="K35" s="105">
        <v>19.786999999999999</v>
      </c>
      <c r="L35" s="105">
        <v>0</v>
      </c>
      <c r="M35" s="105">
        <v>0</v>
      </c>
      <c r="N35" s="105">
        <v>91.582999999999998</v>
      </c>
      <c r="O35" s="105">
        <v>8.9039999999999999</v>
      </c>
      <c r="P35" s="105">
        <v>14.118</v>
      </c>
      <c r="Q35" s="105">
        <v>12.036</v>
      </c>
      <c r="R35" s="105">
        <v>7.6689999999999996</v>
      </c>
      <c r="S35" s="105">
        <v>20.759</v>
      </c>
      <c r="T35" s="105">
        <v>2.2724000000000002</v>
      </c>
      <c r="U35" s="105">
        <v>7.6288</v>
      </c>
      <c r="V35" s="105">
        <v>6.8360000000000003</v>
      </c>
      <c r="W35" s="105">
        <v>8.0254999999999992</v>
      </c>
      <c r="X35" s="105">
        <v>-38.576999999999998</v>
      </c>
      <c r="Y35" s="105">
        <v>-55.360999999999997</v>
      </c>
      <c r="Z35" s="105">
        <v>-61.517000000000003</v>
      </c>
      <c r="AA35" s="105">
        <v>-43.42</v>
      </c>
      <c r="AB35" s="105">
        <v>-47.567</v>
      </c>
      <c r="AC35" s="105" t="s">
        <v>13</v>
      </c>
      <c r="AD35" s="105" t="s">
        <v>13</v>
      </c>
      <c r="AE35" s="105" t="s">
        <v>13</v>
      </c>
      <c r="AF35" s="106" t="s">
        <v>13</v>
      </c>
      <c r="AG35" s="106" t="s">
        <v>13</v>
      </c>
      <c r="AH35" s="106" t="s">
        <v>13</v>
      </c>
      <c r="AI35" s="106" t="s">
        <v>13</v>
      </c>
      <c r="AJ35" s="105">
        <v>-7.9349999999999996</v>
      </c>
      <c r="AK35" s="105">
        <v>-8.3249999999999993</v>
      </c>
      <c r="AL35" s="105">
        <v>-1.905</v>
      </c>
      <c r="AM35" s="105">
        <v>-1.3120000000000001</v>
      </c>
      <c r="AN35" s="105">
        <v>-0.89900000000000002</v>
      </c>
      <c r="AO35" s="105">
        <v>-1.236</v>
      </c>
      <c r="AP35" s="107" t="s">
        <v>2254</v>
      </c>
      <c r="AQ35" s="108">
        <v>1.8595299999999999</v>
      </c>
      <c r="AR35" s="108">
        <v>1.01509</v>
      </c>
      <c r="AS35" s="108">
        <v>1.9244399999999999</v>
      </c>
      <c r="AT35" s="106">
        <v>0</v>
      </c>
      <c r="AU35" s="105">
        <v>-36.439</v>
      </c>
      <c r="AV35" s="105">
        <v>-70.69</v>
      </c>
      <c r="AW35" s="105">
        <v>-69.042000000000002</v>
      </c>
      <c r="AX35" s="105">
        <v>-56.68</v>
      </c>
      <c r="AY35" s="105">
        <v>-55.747999999999998</v>
      </c>
      <c r="AZ35" s="105">
        <v>74.08</v>
      </c>
      <c r="BA35" s="105">
        <v>125.86199999999999</v>
      </c>
      <c r="BB35" s="105">
        <v>72.685000000000002</v>
      </c>
      <c r="BC35" s="105">
        <v>132.01400000000001</v>
      </c>
      <c r="BD35" s="105">
        <v>124.078</v>
      </c>
      <c r="BE35" s="105">
        <v>7.66</v>
      </c>
      <c r="BF35" s="105">
        <v>400.94738000000001</v>
      </c>
      <c r="BG35" s="105">
        <v>0</v>
      </c>
      <c r="BH35" s="74">
        <v>0</v>
      </c>
      <c r="BI35" s="74">
        <v>0</v>
      </c>
      <c r="BJ35" s="105">
        <v>130.32599999999999</v>
      </c>
      <c r="BK35" s="74" t="s">
        <v>874</v>
      </c>
      <c r="BL35" s="74">
        <v>0.16264900000000002</v>
      </c>
      <c r="BM35" s="74">
        <v>-0.114812</v>
      </c>
      <c r="BN35" s="74">
        <v>0</v>
      </c>
      <c r="BO35" s="74" t="s">
        <v>13</v>
      </c>
      <c r="BP35" s="74" t="s">
        <v>13</v>
      </c>
      <c r="BQ35" s="74">
        <v>0</v>
      </c>
      <c r="BR35" s="74">
        <v>0.1664174144233965</v>
      </c>
      <c r="BS35" s="109">
        <v>1.0446789664928366</v>
      </c>
      <c r="BT35" s="109">
        <v>0.91431217256686126</v>
      </c>
      <c r="BU35" s="109">
        <v>0.94732611198066297</v>
      </c>
      <c r="BV35" s="109">
        <v>0.86622688036044537</v>
      </c>
      <c r="BW35" s="109">
        <v>0.85920187744439425</v>
      </c>
      <c r="BX35" s="109" t="s">
        <v>13</v>
      </c>
      <c r="BY35" s="109" t="s">
        <v>13</v>
      </c>
      <c r="BZ35" s="109" t="s">
        <v>13</v>
      </c>
      <c r="CB35" s="74">
        <v>2</v>
      </c>
      <c r="CC35" s="13" t="s">
        <v>315</v>
      </c>
      <c r="CD35" s="13" t="s">
        <v>314</v>
      </c>
      <c r="CE35" s="76">
        <v>41974</v>
      </c>
    </row>
    <row r="36" spans="1:83" s="74" customFormat="1" ht="12.75">
      <c r="A36" s="75" t="s">
        <v>1103</v>
      </c>
      <c r="B36" s="104" t="s">
        <v>1104</v>
      </c>
      <c r="C36" s="75" t="s">
        <v>1105</v>
      </c>
      <c r="D36" s="75" t="s">
        <v>904</v>
      </c>
      <c r="E36" s="103">
        <v>42643</v>
      </c>
      <c r="F36" s="103">
        <v>42551</v>
      </c>
      <c r="G36" s="103">
        <v>30658</v>
      </c>
      <c r="H36" s="105">
        <v>27.601040000000001</v>
      </c>
      <c r="I36" s="105">
        <v>0.21110000000000001</v>
      </c>
      <c r="J36" s="105">
        <v>32.817689999999999</v>
      </c>
      <c r="K36" s="105">
        <v>2.31E-3</v>
      </c>
      <c r="L36" s="105">
        <v>0</v>
      </c>
      <c r="M36" s="105">
        <v>0</v>
      </c>
      <c r="N36" s="105">
        <v>5.21896</v>
      </c>
      <c r="O36" s="105">
        <v>0.21167</v>
      </c>
      <c r="P36" s="105">
        <v>0.79149999999999998</v>
      </c>
      <c r="Q36" s="105">
        <v>0.11742</v>
      </c>
      <c r="R36" s="105">
        <v>0.28772999999999999</v>
      </c>
      <c r="S36" s="105">
        <v>0.54152</v>
      </c>
      <c r="T36" s="105" t="s">
        <v>13</v>
      </c>
      <c r="U36" s="105" t="s">
        <v>13</v>
      </c>
      <c r="V36" s="105" t="s">
        <v>13</v>
      </c>
      <c r="W36" s="105" t="s">
        <v>13</v>
      </c>
      <c r="X36" s="105">
        <v>-23.876750000000001</v>
      </c>
      <c r="Y36" s="105">
        <v>-34.245420000000003</v>
      </c>
      <c r="Z36" s="105">
        <v>-26.61788</v>
      </c>
      <c r="AA36" s="105">
        <v>-31.402699999999999</v>
      </c>
      <c r="AB36" s="105">
        <v>-29.892060000000001</v>
      </c>
      <c r="AC36" s="105" t="s">
        <v>13</v>
      </c>
      <c r="AD36" s="105" t="s">
        <v>13</v>
      </c>
      <c r="AE36" s="105" t="s">
        <v>13</v>
      </c>
      <c r="AF36" s="106" t="s">
        <v>13</v>
      </c>
      <c r="AG36" s="106" t="s">
        <v>13</v>
      </c>
      <c r="AH36" s="106" t="s">
        <v>13</v>
      </c>
      <c r="AI36" s="106" t="s">
        <v>13</v>
      </c>
      <c r="AJ36" s="105">
        <v>0.84887000000000001</v>
      </c>
      <c r="AK36" s="105">
        <v>-0.55613000000000001</v>
      </c>
      <c r="AL36" s="105">
        <v>-1.92119</v>
      </c>
      <c r="AM36" s="105">
        <v>-7.553E-2</v>
      </c>
      <c r="AN36" s="105">
        <v>-9.3679999999999999E-2</v>
      </c>
      <c r="AO36" s="105">
        <v>-4.8189999999999997E-2</v>
      </c>
      <c r="AP36" s="107" t="s">
        <v>1775</v>
      </c>
      <c r="AQ36" s="108">
        <v>0.69415000000000004</v>
      </c>
      <c r="AR36" s="108">
        <v>0.88060000000000005</v>
      </c>
      <c r="AS36" s="108">
        <v>-0.74370999999999998</v>
      </c>
      <c r="AT36" s="106">
        <v>0</v>
      </c>
      <c r="AU36" s="105">
        <v>-21.844339999999999</v>
      </c>
      <c r="AV36" s="105">
        <v>-32.052480000000003</v>
      </c>
      <c r="AW36" s="105">
        <v>-20.19632</v>
      </c>
      <c r="AX36" s="105">
        <v>-30.87717</v>
      </c>
      <c r="AY36" s="105">
        <v>-24.48752</v>
      </c>
      <c r="AZ36" s="105">
        <v>15.03739</v>
      </c>
      <c r="BA36" s="105">
        <v>3.9266200000000002</v>
      </c>
      <c r="BB36" s="105">
        <v>-3.7738200000000002</v>
      </c>
      <c r="BC36" s="105">
        <v>11.838939999999999</v>
      </c>
      <c r="BD36" s="105">
        <v>3.5317400000000001</v>
      </c>
      <c r="BE36" s="105">
        <v>0.42</v>
      </c>
      <c r="BF36" s="105">
        <v>54.588299999999997</v>
      </c>
      <c r="BG36" s="105">
        <v>1.2582100000000001</v>
      </c>
      <c r="BH36" s="74">
        <v>0</v>
      </c>
      <c r="BI36" s="74">
        <v>0</v>
      </c>
      <c r="BJ36" s="105">
        <v>5.72668</v>
      </c>
      <c r="BK36" s="74">
        <v>0</v>
      </c>
      <c r="BL36" s="74">
        <v>-0.25518299999999999</v>
      </c>
      <c r="BM36" s="74">
        <v>-0.22491599999999998</v>
      </c>
      <c r="BN36" s="74">
        <v>-0.32625999999999999</v>
      </c>
      <c r="BO36" s="74" t="s">
        <v>13</v>
      </c>
      <c r="BP36" s="74" t="s">
        <v>13</v>
      </c>
      <c r="BQ36" s="74" t="s">
        <v>13</v>
      </c>
      <c r="BR36" s="74">
        <v>1.3761710100493956</v>
      </c>
      <c r="BS36" s="109">
        <v>0.83803751866109888</v>
      </c>
      <c r="BT36" s="109">
        <v>0.79234406162523929</v>
      </c>
      <c r="BU36" s="109">
        <v>0.79750368267574068</v>
      </c>
      <c r="BV36" s="109">
        <v>0.78543514696831052</v>
      </c>
      <c r="BW36" s="109">
        <v>0.7775543150554266</v>
      </c>
      <c r="BX36" s="109">
        <v>0.75058668801827222</v>
      </c>
      <c r="BY36" s="109">
        <v>0.74456570064465366</v>
      </c>
      <c r="BZ36" s="109">
        <v>0.8644817081877354</v>
      </c>
      <c r="CB36" s="74">
        <v>2</v>
      </c>
      <c r="CC36" s="13" t="s">
        <v>315</v>
      </c>
      <c r="CD36" s="13" t="s">
        <v>314</v>
      </c>
      <c r="CE36" s="76">
        <v>41974</v>
      </c>
    </row>
    <row r="37" spans="1:83" s="74" customFormat="1" ht="12.75">
      <c r="A37" s="75" t="s">
        <v>1106</v>
      </c>
      <c r="B37" s="104" t="s">
        <v>1107</v>
      </c>
      <c r="C37" s="75" t="s">
        <v>1108</v>
      </c>
      <c r="D37" s="75" t="s">
        <v>905</v>
      </c>
      <c r="E37" s="103">
        <v>42735</v>
      </c>
      <c r="F37" s="103">
        <v>42643</v>
      </c>
      <c r="G37" s="103">
        <v>42508</v>
      </c>
      <c r="H37" s="105">
        <v>11.525690000000001</v>
      </c>
      <c r="I37" s="105">
        <v>2.1</v>
      </c>
      <c r="J37" s="105">
        <v>24.549689999999998</v>
      </c>
      <c r="K37" s="105">
        <v>5.6109999999999998</v>
      </c>
      <c r="L37" s="105">
        <v>0</v>
      </c>
      <c r="M37" s="105">
        <v>0</v>
      </c>
      <c r="N37" s="105">
        <v>18.635000000000002</v>
      </c>
      <c r="O37" s="105">
        <v>0</v>
      </c>
      <c r="P37" s="105">
        <v>1.2</v>
      </c>
      <c r="Q37" s="105">
        <v>0</v>
      </c>
      <c r="R37" s="105">
        <v>1.2</v>
      </c>
      <c r="S37" s="105">
        <v>0.375</v>
      </c>
      <c r="T37" s="105" t="s">
        <v>13</v>
      </c>
      <c r="U37" s="105">
        <v>8.3330000000000002</v>
      </c>
      <c r="V37" s="105">
        <v>4.6665000000000001</v>
      </c>
      <c r="W37" s="105">
        <v>4.6665000000000001</v>
      </c>
      <c r="X37" s="105">
        <v>0</v>
      </c>
      <c r="Y37" s="105">
        <v>-5.0789999999999997</v>
      </c>
      <c r="Z37" s="105">
        <v>-16.576000000000001</v>
      </c>
      <c r="AA37" s="105">
        <v>-5.0789999999999997</v>
      </c>
      <c r="AB37" s="105">
        <v>-5.476</v>
      </c>
      <c r="AC37" s="105" t="s">
        <v>13</v>
      </c>
      <c r="AD37" s="105" t="s">
        <v>13</v>
      </c>
      <c r="AE37" s="105" t="s">
        <v>13</v>
      </c>
      <c r="AF37" s="106">
        <v>0</v>
      </c>
      <c r="AG37" s="106">
        <v>0</v>
      </c>
      <c r="AH37" s="106">
        <v>0</v>
      </c>
      <c r="AI37" s="106">
        <v>0</v>
      </c>
      <c r="AJ37" s="105">
        <v>0</v>
      </c>
      <c r="AK37" s="105">
        <v>-3.08</v>
      </c>
      <c r="AL37" s="105">
        <v>-0.82499999999999996</v>
      </c>
      <c r="AM37" s="105">
        <v>0</v>
      </c>
      <c r="AN37" s="105">
        <v>-5.2999999999999999E-2</v>
      </c>
      <c r="AO37" s="105">
        <v>-0.26100000000000001</v>
      </c>
      <c r="AP37" s="107" t="s">
        <v>2255</v>
      </c>
      <c r="AQ37" s="108">
        <v>2.5502899999999999</v>
      </c>
      <c r="AR37" s="108">
        <v>0</v>
      </c>
      <c r="AS37" s="108">
        <v>0</v>
      </c>
      <c r="AT37" s="106">
        <v>0</v>
      </c>
      <c r="AU37" s="105">
        <v>0</v>
      </c>
      <c r="AV37" s="105">
        <v>-6.8490000000000002</v>
      </c>
      <c r="AW37" s="105">
        <v>-18.920999999999999</v>
      </c>
      <c r="AX37" s="105">
        <v>-6.8490000000000002</v>
      </c>
      <c r="AY37" s="105">
        <v>-7.3769999999999998</v>
      </c>
      <c r="AZ37" s="105">
        <v>0</v>
      </c>
      <c r="BA37" s="105">
        <v>-13.135999999999999</v>
      </c>
      <c r="BB37" s="105">
        <v>12.477</v>
      </c>
      <c r="BC37" s="105">
        <v>-13.135999999999999</v>
      </c>
      <c r="BD37" s="105">
        <v>-20.013999999999999</v>
      </c>
      <c r="BE37" s="105">
        <v>0</v>
      </c>
      <c r="BF37" s="105">
        <v>0</v>
      </c>
      <c r="BG37" s="105">
        <v>0</v>
      </c>
      <c r="BH37" s="74">
        <v>0</v>
      </c>
      <c r="BI37" s="74">
        <v>0</v>
      </c>
      <c r="BJ37" s="105">
        <v>0</v>
      </c>
      <c r="BK37" s="74">
        <v>0</v>
      </c>
      <c r="BL37" s="74">
        <v>0</v>
      </c>
      <c r="BM37" s="74">
        <v>0</v>
      </c>
      <c r="BN37" s="74">
        <v>0</v>
      </c>
      <c r="BO37" s="74">
        <v>0</v>
      </c>
      <c r="BP37" s="74">
        <v>0</v>
      </c>
      <c r="BQ37" s="74">
        <v>0</v>
      </c>
      <c r="BR37" s="74" t="s">
        <v>874</v>
      </c>
      <c r="BS37" s="78">
        <v>1.5649349868976454</v>
      </c>
      <c r="BT37" s="78" t="s">
        <v>13</v>
      </c>
      <c r="BU37" s="78" t="s">
        <v>13</v>
      </c>
      <c r="BV37" s="78" t="s">
        <v>13</v>
      </c>
      <c r="BW37" s="78" t="s">
        <v>13</v>
      </c>
      <c r="BX37" s="78" t="s">
        <v>13</v>
      </c>
      <c r="BY37" s="78" t="s">
        <v>13</v>
      </c>
      <c r="BZ37" s="78" t="s">
        <v>13</v>
      </c>
      <c r="CB37" s="74">
        <v>2</v>
      </c>
      <c r="CC37" s="13" t="s">
        <v>315</v>
      </c>
      <c r="CD37" s="13" t="s">
        <v>314</v>
      </c>
      <c r="CE37" s="76">
        <v>41974</v>
      </c>
    </row>
    <row r="38" spans="1:83" s="74" customFormat="1" ht="12.75">
      <c r="A38" s="75" t="s">
        <v>1110</v>
      </c>
      <c r="B38" s="104" t="s">
        <v>1111</v>
      </c>
      <c r="C38" s="75" t="s">
        <v>1112</v>
      </c>
      <c r="D38" s="75" t="s">
        <v>1113</v>
      </c>
      <c r="E38" s="103">
        <v>42735</v>
      </c>
      <c r="F38" s="103" t="s">
        <v>640</v>
      </c>
      <c r="G38" s="103">
        <v>42690</v>
      </c>
      <c r="H38" s="105">
        <v>0</v>
      </c>
      <c r="I38" s="105">
        <v>0.11</v>
      </c>
      <c r="J38" s="105">
        <v>9.8748500000000003</v>
      </c>
      <c r="K38" s="105">
        <v>0</v>
      </c>
      <c r="L38" s="105">
        <v>0</v>
      </c>
      <c r="M38" s="105">
        <v>0</v>
      </c>
      <c r="N38" s="105">
        <v>0</v>
      </c>
      <c r="O38" s="105">
        <v>0</v>
      </c>
      <c r="P38" s="105">
        <v>0</v>
      </c>
      <c r="Q38" s="105">
        <v>0</v>
      </c>
      <c r="R38" s="105">
        <v>0</v>
      </c>
      <c r="S38" s="105">
        <v>0</v>
      </c>
      <c r="T38" s="105" t="s">
        <v>13</v>
      </c>
      <c r="U38" s="105" t="s">
        <v>13</v>
      </c>
      <c r="V38" s="105" t="s">
        <v>13</v>
      </c>
      <c r="W38" s="105" t="s">
        <v>13</v>
      </c>
      <c r="X38" s="105">
        <v>0</v>
      </c>
      <c r="Y38" s="105">
        <v>0</v>
      </c>
      <c r="Z38" s="105">
        <v>0</v>
      </c>
      <c r="AA38" s="105">
        <v>0</v>
      </c>
      <c r="AB38" s="105">
        <v>0</v>
      </c>
      <c r="AC38" s="105" t="s">
        <v>13</v>
      </c>
      <c r="AD38" s="105" t="s">
        <v>13</v>
      </c>
      <c r="AE38" s="105" t="s">
        <v>13</v>
      </c>
      <c r="AF38" s="106">
        <v>0</v>
      </c>
      <c r="AG38" s="106">
        <v>0</v>
      </c>
      <c r="AH38" s="106">
        <v>0</v>
      </c>
      <c r="AI38" s="106">
        <v>0</v>
      </c>
      <c r="AJ38" s="105">
        <v>0</v>
      </c>
      <c r="AK38" s="105">
        <v>0</v>
      </c>
      <c r="AL38" s="105">
        <v>0</v>
      </c>
      <c r="AM38" s="105">
        <v>0</v>
      </c>
      <c r="AN38" s="105">
        <v>0</v>
      </c>
      <c r="AO38" s="105">
        <v>0</v>
      </c>
      <c r="AP38" s="107" t="s">
        <v>2256</v>
      </c>
      <c r="AQ38" s="108">
        <v>0</v>
      </c>
      <c r="AR38" s="108">
        <v>0</v>
      </c>
      <c r="AS38" s="108">
        <v>0</v>
      </c>
      <c r="AT38" s="106">
        <v>0</v>
      </c>
      <c r="AU38" s="105">
        <v>0</v>
      </c>
      <c r="AV38" s="105">
        <v>0</v>
      </c>
      <c r="AW38" s="105">
        <v>0</v>
      </c>
      <c r="AX38" s="105">
        <v>0</v>
      </c>
      <c r="AY38" s="105">
        <v>0</v>
      </c>
      <c r="AZ38" s="105">
        <v>0</v>
      </c>
      <c r="BA38" s="105">
        <v>0</v>
      </c>
      <c r="BB38" s="105">
        <v>0</v>
      </c>
      <c r="BC38" s="105">
        <v>0</v>
      </c>
      <c r="BD38" s="105">
        <v>0</v>
      </c>
      <c r="BE38" s="105">
        <v>0</v>
      </c>
      <c r="BF38" s="105">
        <v>0</v>
      </c>
      <c r="BG38" s="105">
        <v>0</v>
      </c>
      <c r="BH38" s="74">
        <v>0</v>
      </c>
      <c r="BI38" s="74">
        <v>0</v>
      </c>
      <c r="BJ38" s="105">
        <v>0</v>
      </c>
      <c r="BK38" s="74" t="s">
        <v>874</v>
      </c>
      <c r="BL38" s="74">
        <v>0</v>
      </c>
      <c r="BM38" s="74">
        <v>0</v>
      </c>
      <c r="BN38" s="74">
        <v>0</v>
      </c>
      <c r="BO38" s="74">
        <v>0</v>
      </c>
      <c r="BP38" s="74">
        <v>0</v>
      </c>
      <c r="BQ38" s="74">
        <v>0</v>
      </c>
      <c r="BR38" s="74" t="s">
        <v>874</v>
      </c>
      <c r="BS38" s="78">
        <v>1.7695764740700834</v>
      </c>
      <c r="BT38" s="78" t="s">
        <v>13</v>
      </c>
      <c r="BU38" s="78" t="s">
        <v>13</v>
      </c>
      <c r="BV38" s="78" t="s">
        <v>13</v>
      </c>
      <c r="BW38" s="78" t="s">
        <v>13</v>
      </c>
      <c r="BX38" s="78" t="s">
        <v>13</v>
      </c>
      <c r="BY38" s="78" t="s">
        <v>13</v>
      </c>
      <c r="BZ38" s="78" t="s">
        <v>13</v>
      </c>
      <c r="CB38" s="74">
        <v>2</v>
      </c>
      <c r="CC38" s="13" t="s">
        <v>315</v>
      </c>
      <c r="CD38" s="13" t="s">
        <v>314</v>
      </c>
      <c r="CE38" s="76">
        <v>41974</v>
      </c>
    </row>
    <row r="39" spans="1:83" s="74" customFormat="1" ht="12.75">
      <c r="A39" s="75" t="s">
        <v>1114</v>
      </c>
      <c r="B39" s="104" t="s">
        <v>1115</v>
      </c>
      <c r="C39" s="75" t="s">
        <v>1116</v>
      </c>
      <c r="D39" s="75" t="s">
        <v>905</v>
      </c>
      <c r="E39" s="103">
        <v>42735</v>
      </c>
      <c r="F39" s="103">
        <v>42643</v>
      </c>
      <c r="G39" s="103">
        <v>41039</v>
      </c>
      <c r="H39" s="105">
        <v>5.5867699999999996</v>
      </c>
      <c r="I39" s="105">
        <v>1.51</v>
      </c>
      <c r="J39" s="105">
        <v>9.9657699999999991</v>
      </c>
      <c r="K39" s="105">
        <v>0</v>
      </c>
      <c r="L39" s="105">
        <v>0</v>
      </c>
      <c r="M39" s="105">
        <v>0</v>
      </c>
      <c r="N39" s="105">
        <v>4.3789999999999996</v>
      </c>
      <c r="O39" s="105">
        <v>8.5999999999999993E-2</v>
      </c>
      <c r="P39" s="105">
        <v>4.8000000000000001E-2</v>
      </c>
      <c r="Q39" s="105">
        <v>1.9E-2</v>
      </c>
      <c r="R39" s="105">
        <v>7.0999999999999994E-2</v>
      </c>
      <c r="S39" s="105">
        <v>3.4000000000000002E-2</v>
      </c>
      <c r="T39" s="105">
        <v>1.9E-2</v>
      </c>
      <c r="U39" s="105" t="s">
        <v>13</v>
      </c>
      <c r="V39" s="105">
        <v>1.3</v>
      </c>
      <c r="W39" s="105">
        <v>2.3094999999999999</v>
      </c>
      <c r="X39" s="105">
        <v>-8.9489999999999998</v>
      </c>
      <c r="Y39" s="105">
        <v>-9.8420000000000005</v>
      </c>
      <c r="Z39" s="105">
        <v>-9.24</v>
      </c>
      <c r="AA39" s="105">
        <v>-8.7390000000000008</v>
      </c>
      <c r="AB39" s="105">
        <v>-10.16</v>
      </c>
      <c r="AC39" s="105">
        <v>-7.7789999999999999</v>
      </c>
      <c r="AD39" s="105">
        <v>-10.406000000000001</v>
      </c>
      <c r="AE39" s="105" t="s">
        <v>13</v>
      </c>
      <c r="AF39" s="106" t="s">
        <v>13</v>
      </c>
      <c r="AG39" s="106" t="s">
        <v>13</v>
      </c>
      <c r="AH39" s="106" t="s">
        <v>13</v>
      </c>
      <c r="AI39" s="106" t="s">
        <v>13</v>
      </c>
      <c r="AJ39" s="105">
        <v>-0.59599999999999997</v>
      </c>
      <c r="AK39" s="105">
        <v>-1.1830000000000001</v>
      </c>
      <c r="AL39" s="105">
        <v>-1.494</v>
      </c>
      <c r="AM39" s="105">
        <v>-0.154</v>
      </c>
      <c r="AN39" s="105">
        <v>-4.8000000000000001E-2</v>
      </c>
      <c r="AO39" s="105">
        <v>-0.02</v>
      </c>
      <c r="AP39" s="107" t="s">
        <v>2257</v>
      </c>
      <c r="AQ39" s="108">
        <v>0.57706999999999997</v>
      </c>
      <c r="AR39" s="108">
        <v>0.72043999999999997</v>
      </c>
      <c r="AS39" s="108">
        <v>2.2772399999999999</v>
      </c>
      <c r="AT39" s="106">
        <v>0</v>
      </c>
      <c r="AU39" s="105">
        <v>-9.0039999999999996</v>
      </c>
      <c r="AV39" s="105">
        <v>-9.9109999999999996</v>
      </c>
      <c r="AW39" s="105">
        <v>-9.2710000000000008</v>
      </c>
      <c r="AX39" s="105">
        <v>-8.8000000000000007</v>
      </c>
      <c r="AY39" s="105">
        <v>-10.223000000000001</v>
      </c>
      <c r="AZ39" s="105">
        <v>9.7449999999999992</v>
      </c>
      <c r="BA39" s="105">
        <v>11.032</v>
      </c>
      <c r="BB39" s="105">
        <v>3.036</v>
      </c>
      <c r="BC39" s="105">
        <v>7.8550000000000004</v>
      </c>
      <c r="BD39" s="105">
        <v>8.89</v>
      </c>
      <c r="BE39" s="105">
        <v>3.6520000000000001</v>
      </c>
      <c r="BF39" s="105">
        <v>23.865459999999999</v>
      </c>
      <c r="BG39" s="105">
        <v>0</v>
      </c>
      <c r="BH39" s="74">
        <v>0</v>
      </c>
      <c r="BI39" s="74">
        <v>0</v>
      </c>
      <c r="BJ39" s="105">
        <v>12.035</v>
      </c>
      <c r="BK39" s="74">
        <v>0</v>
      </c>
      <c r="BL39" s="74">
        <v>-0.52996799999999999</v>
      </c>
      <c r="BM39" s="74">
        <v>-0.64081199999999994</v>
      </c>
      <c r="BN39" s="74">
        <v>0</v>
      </c>
      <c r="BO39" s="74" t="s">
        <v>13</v>
      </c>
      <c r="BP39" s="74" t="s">
        <v>13</v>
      </c>
      <c r="BQ39" s="74" t="s">
        <v>13</v>
      </c>
      <c r="BR39" s="74">
        <v>3.0526315789473686</v>
      </c>
      <c r="BS39" s="78">
        <v>1.0089141372390369</v>
      </c>
      <c r="BT39" s="78">
        <v>0.94144155911266458</v>
      </c>
      <c r="BU39" s="78">
        <v>0.9097061604101625</v>
      </c>
      <c r="BV39" s="78">
        <v>0.92299971134205117</v>
      </c>
      <c r="BW39" s="78">
        <v>0.98778150228867834</v>
      </c>
      <c r="BX39" s="78" t="s">
        <v>13</v>
      </c>
      <c r="BY39" s="78" t="s">
        <v>13</v>
      </c>
      <c r="BZ39" s="78" t="s">
        <v>13</v>
      </c>
      <c r="CB39" s="74">
        <v>2</v>
      </c>
      <c r="CC39" s="13" t="s">
        <v>315</v>
      </c>
      <c r="CD39" s="13" t="s">
        <v>314</v>
      </c>
      <c r="CE39" s="76">
        <v>41974</v>
      </c>
    </row>
    <row r="40" spans="1:83" s="74" customFormat="1" ht="12.75">
      <c r="A40" s="75" t="s">
        <v>1117</v>
      </c>
      <c r="B40" s="104" t="s">
        <v>1118</v>
      </c>
      <c r="C40" s="75" t="s">
        <v>1119</v>
      </c>
      <c r="D40" s="75" t="s">
        <v>1120</v>
      </c>
      <c r="E40" s="103">
        <v>42551</v>
      </c>
      <c r="F40" s="103">
        <v>42643</v>
      </c>
      <c r="G40" s="103">
        <v>37380</v>
      </c>
      <c r="H40" s="105">
        <v>2.5731899999999999</v>
      </c>
      <c r="I40" s="105">
        <v>7.0860000000000006E-2</v>
      </c>
      <c r="J40" s="105">
        <v>12.459519999999999</v>
      </c>
      <c r="K40" s="105">
        <v>0</v>
      </c>
      <c r="L40" s="105">
        <v>0</v>
      </c>
      <c r="M40" s="105">
        <v>0</v>
      </c>
      <c r="N40" s="105">
        <v>10.266360000000001</v>
      </c>
      <c r="O40" s="105">
        <v>1.3834900000000001</v>
      </c>
      <c r="P40" s="105">
        <v>2.3238099999999999</v>
      </c>
      <c r="Q40" s="105">
        <v>7.3621299999999996</v>
      </c>
      <c r="R40" s="105">
        <v>1.464</v>
      </c>
      <c r="S40" s="105">
        <v>2.2444700000000002</v>
      </c>
      <c r="T40" s="105" t="s">
        <v>13</v>
      </c>
      <c r="U40" s="105" t="s">
        <v>13</v>
      </c>
      <c r="V40" s="105" t="s">
        <v>13</v>
      </c>
      <c r="W40" s="105" t="s">
        <v>13</v>
      </c>
      <c r="X40" s="105">
        <v>-7.1390900000000004</v>
      </c>
      <c r="Y40" s="105">
        <v>-11.77862</v>
      </c>
      <c r="Z40" s="105">
        <v>-8.8061900000000009</v>
      </c>
      <c r="AA40" s="105">
        <v>-7.3262999999999998</v>
      </c>
      <c r="AB40" s="105">
        <v>-14.801729999999999</v>
      </c>
      <c r="AC40" s="105" t="s">
        <v>13</v>
      </c>
      <c r="AD40" s="105" t="s">
        <v>13</v>
      </c>
      <c r="AE40" s="105" t="s">
        <v>13</v>
      </c>
      <c r="AF40" s="106">
        <v>0.98323700000000003</v>
      </c>
      <c r="AG40" s="106">
        <v>-1.1961470000000001</v>
      </c>
      <c r="AH40" s="106">
        <v>-1.231546</v>
      </c>
      <c r="AI40" s="106">
        <v>-1.5975010000000001</v>
      </c>
      <c r="AJ40" s="105">
        <v>2.0745800000000001</v>
      </c>
      <c r="AK40" s="105">
        <v>0</v>
      </c>
      <c r="AL40" s="105">
        <v>4.5115600000000002</v>
      </c>
      <c r="AM40" s="105">
        <v>-0.20032</v>
      </c>
      <c r="AN40" s="105">
        <v>-0.25659999999999999</v>
      </c>
      <c r="AO40" s="105">
        <v>-0.22534999999999999</v>
      </c>
      <c r="AP40" s="107" t="s">
        <v>2258</v>
      </c>
      <c r="AQ40" s="108">
        <v>0.81386999999999998</v>
      </c>
      <c r="AR40" s="108">
        <v>0.71555000000000002</v>
      </c>
      <c r="AS40" s="108">
        <v>2.2686700000000002</v>
      </c>
      <c r="AT40" s="106">
        <v>0</v>
      </c>
      <c r="AU40" s="105">
        <v>-6.8915600000000001</v>
      </c>
      <c r="AV40" s="105">
        <v>-12.4275</v>
      </c>
      <c r="AW40" s="105">
        <v>-11.761010000000001</v>
      </c>
      <c r="AX40" s="105">
        <v>-7.1332399999999998</v>
      </c>
      <c r="AY40" s="105">
        <v>-16.411899999999999</v>
      </c>
      <c r="AZ40" s="105">
        <v>25.908449999999998</v>
      </c>
      <c r="BA40" s="105">
        <v>16.786529999999999</v>
      </c>
      <c r="BB40" s="105">
        <v>15.12743</v>
      </c>
      <c r="BC40" s="105">
        <v>24.235710000000001</v>
      </c>
      <c r="BD40" s="105">
        <v>19.870370000000001</v>
      </c>
      <c r="BE40" s="105">
        <v>0.193</v>
      </c>
      <c r="BF40" s="105">
        <v>28.280519999999999</v>
      </c>
      <c r="BG40" s="105">
        <v>0</v>
      </c>
      <c r="BH40" s="74">
        <v>0</v>
      </c>
      <c r="BI40" s="74">
        <v>0</v>
      </c>
      <c r="BJ40" s="105">
        <v>16.767620000000001</v>
      </c>
      <c r="BK40" s="74" t="s">
        <v>874</v>
      </c>
      <c r="BL40" s="74">
        <v>1.4643839999999999</v>
      </c>
      <c r="BM40" s="74">
        <v>0.95988200000000001</v>
      </c>
      <c r="BN40" s="74">
        <v>1.0547329999999999</v>
      </c>
      <c r="BO40" s="74" t="s">
        <v>13</v>
      </c>
      <c r="BP40" s="74" t="s">
        <v>13</v>
      </c>
      <c r="BQ40" s="74" t="s">
        <v>13</v>
      </c>
      <c r="BR40" s="74">
        <v>3.5398722923936421E-2</v>
      </c>
      <c r="BS40" s="78">
        <v>1.204711380134504</v>
      </c>
      <c r="BT40" s="78">
        <v>0.97983618266092853</v>
      </c>
      <c r="BU40" s="78">
        <v>0.98094228131580063</v>
      </c>
      <c r="BV40" s="78">
        <v>0.98012544660078516</v>
      </c>
      <c r="BW40" s="78">
        <v>0.97562854984021263</v>
      </c>
      <c r="BX40" s="78">
        <v>0.97346982530604764</v>
      </c>
      <c r="BY40" s="78">
        <v>0.99209649294656366</v>
      </c>
      <c r="BZ40" s="78">
        <v>1.0373487423697918</v>
      </c>
      <c r="CB40" s="74">
        <v>2</v>
      </c>
      <c r="CC40" s="13" t="s">
        <v>315</v>
      </c>
      <c r="CD40" s="13" t="s">
        <v>314</v>
      </c>
      <c r="CE40" s="76">
        <v>41974</v>
      </c>
    </row>
    <row r="41" spans="1:83" s="74" customFormat="1" ht="12.75">
      <c r="A41" s="75" t="s">
        <v>1121</v>
      </c>
      <c r="B41" s="104" t="s">
        <v>1122</v>
      </c>
      <c r="C41" s="75" t="s">
        <v>1123</v>
      </c>
      <c r="D41" s="75" t="s">
        <v>905</v>
      </c>
      <c r="E41" s="103">
        <v>42735</v>
      </c>
      <c r="F41" s="103">
        <v>42643</v>
      </c>
      <c r="G41" s="103">
        <v>36872</v>
      </c>
      <c r="H41" s="105">
        <v>-1.0658099999999999</v>
      </c>
      <c r="I41" s="105">
        <v>3.2240000000000002</v>
      </c>
      <c r="J41" s="105">
        <v>7.33019</v>
      </c>
      <c r="K41" s="105">
        <v>0</v>
      </c>
      <c r="L41" s="105">
        <v>0</v>
      </c>
      <c r="M41" s="105">
        <v>0</v>
      </c>
      <c r="N41" s="105">
        <v>8.3960000000000008</v>
      </c>
      <c r="O41" s="105">
        <v>2.657</v>
      </c>
      <c r="P41" s="105">
        <v>4.2539999999999996</v>
      </c>
      <c r="Q41" s="105">
        <v>0.64900000000000002</v>
      </c>
      <c r="R41" s="105">
        <v>6.0410000000000004</v>
      </c>
      <c r="S41" s="105">
        <v>0.88500000000000001</v>
      </c>
      <c r="T41" s="105">
        <v>0.6</v>
      </c>
      <c r="U41" s="105">
        <v>0.7</v>
      </c>
      <c r="V41" s="105">
        <v>1.2</v>
      </c>
      <c r="W41" s="105">
        <v>2.2999999999999998</v>
      </c>
      <c r="X41" s="105">
        <v>-3.069</v>
      </c>
      <c r="Y41" s="105">
        <v>-3.7189999999999999</v>
      </c>
      <c r="Z41" s="105">
        <v>-6.6529999999999996</v>
      </c>
      <c r="AA41" s="105">
        <v>-2.3559999999999999</v>
      </c>
      <c r="AB41" s="105">
        <v>-6.47</v>
      </c>
      <c r="AC41" s="105">
        <v>-6.7</v>
      </c>
      <c r="AD41" s="105">
        <v>-7</v>
      </c>
      <c r="AE41" s="105">
        <v>-7.9</v>
      </c>
      <c r="AF41" s="106">
        <v>-2.6209550000000004</v>
      </c>
      <c r="AG41" s="106" t="s">
        <v>13</v>
      </c>
      <c r="AH41" s="106" t="s">
        <v>13</v>
      </c>
      <c r="AI41" s="106" t="s">
        <v>13</v>
      </c>
      <c r="AJ41" s="105">
        <v>-1.6259999999999999</v>
      </c>
      <c r="AK41" s="105">
        <v>-1.091</v>
      </c>
      <c r="AL41" s="105">
        <v>-0.94599999999999995</v>
      </c>
      <c r="AM41" s="105">
        <v>-5.1999999999999998E-2</v>
      </c>
      <c r="AN41" s="105">
        <v>-4.9000000000000002E-2</v>
      </c>
      <c r="AO41" s="105">
        <v>-7.6999999999999999E-2</v>
      </c>
      <c r="AP41" s="107" t="s">
        <v>2259</v>
      </c>
      <c r="AQ41" s="108">
        <v>3.45566</v>
      </c>
      <c r="AR41" s="108">
        <v>2.1473800000000001</v>
      </c>
      <c r="AS41" s="108">
        <v>2.9849299999999999</v>
      </c>
      <c r="AT41" s="106">
        <v>0</v>
      </c>
      <c r="AU41" s="105">
        <v>-5.1180000000000003</v>
      </c>
      <c r="AV41" s="105">
        <v>-3.1869999999999998</v>
      </c>
      <c r="AW41" s="105">
        <v>-5.9039999999999999</v>
      </c>
      <c r="AX41" s="105">
        <v>-2.5150000000000001</v>
      </c>
      <c r="AY41" s="105">
        <v>-6.5449999999999999</v>
      </c>
      <c r="AZ41" s="105">
        <v>11.441000000000001</v>
      </c>
      <c r="BA41" s="105">
        <v>9.0679999999999996</v>
      </c>
      <c r="BB41" s="105">
        <v>6.0449999999999999</v>
      </c>
      <c r="BC41" s="105">
        <v>13.298</v>
      </c>
      <c r="BD41" s="105">
        <v>7.68</v>
      </c>
      <c r="BE41" s="105">
        <v>16.7</v>
      </c>
      <c r="BF41" s="105">
        <v>28.831469999999999</v>
      </c>
      <c r="BG41" s="105">
        <v>0</v>
      </c>
      <c r="BH41" s="74">
        <v>0</v>
      </c>
      <c r="BI41" s="74">
        <v>0</v>
      </c>
      <c r="BJ41" s="105">
        <v>9.9049999999999994</v>
      </c>
      <c r="BK41" s="74">
        <v>0</v>
      </c>
      <c r="BL41" s="74">
        <v>-0.50577300000000003</v>
      </c>
      <c r="BM41" s="74">
        <v>-0.49562399999999995</v>
      </c>
      <c r="BN41" s="74">
        <v>-0.49390099999999998</v>
      </c>
      <c r="BO41" s="74" t="s">
        <v>13</v>
      </c>
      <c r="BP41" s="74" t="s">
        <v>13</v>
      </c>
      <c r="BQ41" s="74" t="s">
        <v>13</v>
      </c>
      <c r="BR41" s="74">
        <v>0.14637904468412943</v>
      </c>
      <c r="BS41" s="78">
        <v>1.3374273785259052</v>
      </c>
      <c r="BT41" s="78">
        <v>1.0969190492665144</v>
      </c>
      <c r="BU41" s="78">
        <v>0.99510388967342045</v>
      </c>
      <c r="BV41" s="78">
        <v>1.1138625987660433</v>
      </c>
      <c r="BW41" s="78">
        <v>1.0170750567026225</v>
      </c>
      <c r="BX41" s="78">
        <v>0.95780285250433184</v>
      </c>
      <c r="BY41" s="78">
        <v>1.0592397659511921</v>
      </c>
      <c r="BZ41" s="78">
        <v>1.0569467467471498</v>
      </c>
      <c r="CB41" s="74">
        <v>2</v>
      </c>
      <c r="CC41" s="13" t="s">
        <v>315</v>
      </c>
      <c r="CD41" s="13" t="s">
        <v>314</v>
      </c>
      <c r="CE41" s="76">
        <v>41974</v>
      </c>
    </row>
    <row r="42" spans="1:83" s="74" customFormat="1" ht="12.75">
      <c r="A42" s="75" t="s">
        <v>1124</v>
      </c>
      <c r="B42" s="104" t="s">
        <v>1125</v>
      </c>
      <c r="C42" s="75" t="s">
        <v>1126</v>
      </c>
      <c r="D42" s="75" t="s">
        <v>875</v>
      </c>
      <c r="E42" s="103">
        <v>42735</v>
      </c>
      <c r="F42" s="103">
        <v>42643</v>
      </c>
      <c r="G42" s="103">
        <v>40497</v>
      </c>
      <c r="H42" s="105">
        <v>-4.3520399999999997</v>
      </c>
      <c r="I42" s="105">
        <v>2.65</v>
      </c>
      <c r="J42" s="105">
        <v>145.32996</v>
      </c>
      <c r="K42" s="105">
        <v>0</v>
      </c>
      <c r="L42" s="105">
        <v>0</v>
      </c>
      <c r="M42" s="105">
        <v>0</v>
      </c>
      <c r="N42" s="105">
        <v>149.68199999999999</v>
      </c>
      <c r="O42" s="105">
        <v>18.13</v>
      </c>
      <c r="P42" s="105">
        <v>16.536999999999999</v>
      </c>
      <c r="Q42" s="105">
        <v>14.372</v>
      </c>
      <c r="R42" s="105">
        <v>14.952999999999999</v>
      </c>
      <c r="S42" s="105">
        <v>24.873000000000001</v>
      </c>
      <c r="T42" s="105">
        <v>2.1284999999999998</v>
      </c>
      <c r="U42" s="105">
        <v>3.05688</v>
      </c>
      <c r="V42" s="105">
        <v>7.1647699999999999</v>
      </c>
      <c r="W42" s="105">
        <v>13.67234</v>
      </c>
      <c r="X42" s="105">
        <v>-24.097999999999999</v>
      </c>
      <c r="Y42" s="105">
        <v>-42.131999999999998</v>
      </c>
      <c r="Z42" s="105">
        <v>-52.988</v>
      </c>
      <c r="AA42" s="105">
        <v>-32.442999999999998</v>
      </c>
      <c r="AB42" s="105">
        <v>-36.369999999999997</v>
      </c>
      <c r="AC42" s="105">
        <v>-35.170549999999999</v>
      </c>
      <c r="AD42" s="105">
        <v>-30.898340000000001</v>
      </c>
      <c r="AE42" s="105">
        <v>-8.7640799999999999</v>
      </c>
      <c r="AF42" s="106">
        <v>-2.6877949999999999</v>
      </c>
      <c r="AG42" s="106" t="s">
        <v>13</v>
      </c>
      <c r="AH42" s="106" t="s">
        <v>13</v>
      </c>
      <c r="AI42" s="106" t="s">
        <v>13</v>
      </c>
      <c r="AJ42" s="105">
        <v>-16.507999999999999</v>
      </c>
      <c r="AK42" s="105">
        <v>-9.8989999999999991</v>
      </c>
      <c r="AL42" s="105">
        <v>-6.2619999999999996</v>
      </c>
      <c r="AM42" s="105">
        <v>-0.92700000000000005</v>
      </c>
      <c r="AN42" s="105">
        <v>-1.4359999999999999</v>
      </c>
      <c r="AO42" s="105">
        <v>-2.5710000000000002</v>
      </c>
      <c r="AP42" s="107" t="s">
        <v>2260</v>
      </c>
      <c r="AQ42" s="108">
        <v>1.7009399999999999</v>
      </c>
      <c r="AR42" s="108">
        <v>0.79812000000000005</v>
      </c>
      <c r="AS42" s="108">
        <v>1.4831300000000001</v>
      </c>
      <c r="AT42" s="106">
        <v>0</v>
      </c>
      <c r="AU42" s="105">
        <v>-35.267000000000003</v>
      </c>
      <c r="AV42" s="105">
        <v>-62.024999999999999</v>
      </c>
      <c r="AW42" s="105">
        <v>-170.733</v>
      </c>
      <c r="AX42" s="105">
        <v>-38.837000000000003</v>
      </c>
      <c r="AY42" s="105">
        <v>-61.121000000000002</v>
      </c>
      <c r="AZ42" s="105">
        <v>95.495999999999995</v>
      </c>
      <c r="BA42" s="105">
        <v>553.80700000000002</v>
      </c>
      <c r="BB42" s="105">
        <v>416.625</v>
      </c>
      <c r="BC42" s="105">
        <v>88.034999999999997</v>
      </c>
      <c r="BD42" s="105">
        <v>547.67899999999997</v>
      </c>
      <c r="BE42" s="105">
        <v>4.0999999999999996</v>
      </c>
      <c r="BF42" s="105">
        <v>223.73614000000001</v>
      </c>
      <c r="BG42" s="105">
        <v>0</v>
      </c>
      <c r="BH42" s="74">
        <v>0</v>
      </c>
      <c r="BI42" s="74">
        <v>0</v>
      </c>
      <c r="BJ42" s="105">
        <v>196.095</v>
      </c>
      <c r="BK42" s="74" t="s">
        <v>874</v>
      </c>
      <c r="BL42" s="74">
        <v>-0.109652</v>
      </c>
      <c r="BM42" s="74">
        <v>5.9115000000000001E-2</v>
      </c>
      <c r="BN42" s="74">
        <v>-2.5300000000000001E-3</v>
      </c>
      <c r="BO42" s="74" t="s">
        <v>13</v>
      </c>
      <c r="BP42" s="74" t="s">
        <v>13</v>
      </c>
      <c r="BQ42" s="74" t="s">
        <v>13</v>
      </c>
      <c r="BR42" s="74">
        <v>6.4639576955190653E-2</v>
      </c>
      <c r="BS42" s="78">
        <v>0.54921515354175443</v>
      </c>
      <c r="BT42" s="78">
        <v>0.6368240548266475</v>
      </c>
      <c r="BU42" s="78">
        <v>0.8118930978537976</v>
      </c>
      <c r="BV42" s="78">
        <v>0.74958228537678606</v>
      </c>
      <c r="BW42" s="78">
        <v>0.75033367742199064</v>
      </c>
      <c r="BX42" s="78">
        <v>0.73646736437477023</v>
      </c>
      <c r="BY42" s="78">
        <v>0.73833756066271383</v>
      </c>
      <c r="BZ42" s="78" t="s">
        <v>13</v>
      </c>
      <c r="CB42" s="74">
        <v>2</v>
      </c>
      <c r="CC42" s="13" t="s">
        <v>315</v>
      </c>
      <c r="CD42" s="13" t="s">
        <v>314</v>
      </c>
      <c r="CE42" s="76">
        <v>41974</v>
      </c>
    </row>
    <row r="43" spans="1:83">
      <c r="A43" s="102" t="s">
        <v>877</v>
      </c>
      <c r="E43" s="103"/>
      <c r="F43" s="103"/>
      <c r="G43" s="103"/>
      <c r="H43" s="105"/>
      <c r="I43" s="105"/>
      <c r="K43" s="105"/>
      <c r="M43" s="105"/>
      <c r="N43" s="105"/>
      <c r="O43" s="105"/>
      <c r="P43" s="105"/>
      <c r="Q43" s="105"/>
      <c r="R43" s="105"/>
      <c r="S43" s="105"/>
      <c r="U43" s="105"/>
      <c r="V43" s="105"/>
      <c r="W43" s="105"/>
      <c r="X43" s="105"/>
      <c r="Y43" s="105"/>
      <c r="Z43" s="105"/>
      <c r="AA43" s="105"/>
      <c r="AB43" s="105"/>
      <c r="AC43" s="105"/>
      <c r="AE43" s="105"/>
      <c r="AF43" s="106"/>
      <c r="AG43" s="106"/>
      <c r="AH43" s="106"/>
      <c r="AI43" s="106"/>
      <c r="AJ43" s="105"/>
      <c r="AK43" s="105"/>
      <c r="AL43" s="105"/>
      <c r="AM43" s="105"/>
      <c r="AN43" s="105"/>
      <c r="AO43" s="105"/>
      <c r="AP43" s="107"/>
      <c r="AQ43" s="108"/>
      <c r="AR43" s="108"/>
      <c r="AS43" s="108"/>
      <c r="AU43" s="105"/>
      <c r="AV43" s="105"/>
      <c r="AW43" s="105"/>
      <c r="AX43" s="105"/>
      <c r="AY43" s="105"/>
      <c r="AZ43" s="105"/>
      <c r="BA43" s="105"/>
      <c r="BB43" s="105"/>
      <c r="BC43" s="105"/>
      <c r="BD43" s="105"/>
      <c r="BE43" s="105"/>
      <c r="BF43" s="105"/>
      <c r="BG43" s="105"/>
      <c r="BH43" s="71"/>
      <c r="BI43" s="71"/>
      <c r="BJ43" s="105"/>
      <c r="BK43" s="71"/>
      <c r="BL43" s="71"/>
      <c r="BM43" s="71"/>
      <c r="BN43" s="71"/>
      <c r="BO43" s="71"/>
      <c r="BP43" s="71"/>
      <c r="BQ43" s="71"/>
      <c r="BR43" s="71"/>
      <c r="BS43" s="71"/>
      <c r="BT43" s="71"/>
      <c r="BU43" s="71"/>
      <c r="BV43" s="71"/>
      <c r="BW43" s="71"/>
      <c r="BX43" s="71"/>
      <c r="BY43" s="71"/>
      <c r="BZ43" s="71"/>
    </row>
    <row r="44" spans="1:83">
      <c r="A44" s="75" t="s">
        <v>1021</v>
      </c>
      <c r="B44" s="104" t="s">
        <v>1022</v>
      </c>
      <c r="C44" s="75" t="s">
        <v>1023</v>
      </c>
      <c r="D44" s="75" t="s">
        <v>875</v>
      </c>
      <c r="E44" s="103">
        <v>42735</v>
      </c>
      <c r="F44" s="103">
        <v>42643</v>
      </c>
      <c r="G44" s="103">
        <v>42034</v>
      </c>
      <c r="H44" s="105">
        <v>1387.752</v>
      </c>
      <c r="I44" s="105">
        <v>55.01</v>
      </c>
      <c r="J44" s="103">
        <v>1692.82537</v>
      </c>
      <c r="K44" s="105">
        <v>1.57541</v>
      </c>
      <c r="L44" s="105">
        <v>0</v>
      </c>
      <c r="M44" s="105">
        <v>0</v>
      </c>
      <c r="N44" s="105">
        <v>306.64877999999999</v>
      </c>
      <c r="O44" s="105">
        <v>0.02</v>
      </c>
      <c r="P44" s="105">
        <v>5.4798200000000001</v>
      </c>
      <c r="Q44" s="105">
        <v>21.077839999999998</v>
      </c>
      <c r="R44" s="105">
        <v>0.63392999999999999</v>
      </c>
      <c r="S44" s="105">
        <v>22.063669999999998</v>
      </c>
      <c r="T44" s="105">
        <v>5.1977599999999997</v>
      </c>
      <c r="U44" s="105">
        <v>15.26943</v>
      </c>
      <c r="V44" s="105">
        <v>163.61997</v>
      </c>
      <c r="W44" s="105">
        <v>345.17433</v>
      </c>
      <c r="X44" s="105">
        <v>0</v>
      </c>
      <c r="Y44" s="105">
        <v>-47.957880000000003</v>
      </c>
      <c r="Z44" s="105">
        <v>-90.806719999999999</v>
      </c>
      <c r="AA44" s="105">
        <v>-23.410540000000001</v>
      </c>
      <c r="AB44" s="105">
        <v>-45.584829999999997</v>
      </c>
      <c r="AC44" s="105">
        <v>-115.42700000000001</v>
      </c>
      <c r="AD44" s="75">
        <v>-120.71899999999999</v>
      </c>
      <c r="AE44" s="105">
        <v>39.859000000000002</v>
      </c>
      <c r="AF44" s="106">
        <v>1</v>
      </c>
      <c r="AG44" s="106" t="s">
        <v>13</v>
      </c>
      <c r="AH44" s="106" t="s">
        <v>13</v>
      </c>
      <c r="AI44" s="106" t="s">
        <v>13</v>
      </c>
      <c r="AJ44" s="105">
        <v>-4.9917899999999999</v>
      </c>
      <c r="AK44" s="105">
        <v>-16.47682</v>
      </c>
      <c r="AL44" s="105">
        <v>-21.251919999999998</v>
      </c>
      <c r="AM44" s="105">
        <v>-4.9638400000000003</v>
      </c>
      <c r="AN44" s="105">
        <v>-9.8108599999999999</v>
      </c>
      <c r="AO44" s="105">
        <v>-8.9101400000000002</v>
      </c>
      <c r="AP44" s="107" t="s">
        <v>2234</v>
      </c>
      <c r="AQ44" s="108">
        <v>3.96387</v>
      </c>
      <c r="AR44" s="108">
        <v>2.5267900000000001</v>
      </c>
      <c r="AS44" s="108">
        <v>0</v>
      </c>
      <c r="AT44" s="75">
        <v>0</v>
      </c>
      <c r="AU44" s="105">
        <v>-80.413039999999995</v>
      </c>
      <c r="AV44" s="105">
        <v>-49.986550000000001</v>
      </c>
      <c r="AW44" s="105">
        <v>-92.970100000000002</v>
      </c>
      <c r="AX44" s="105">
        <v>-24.324809999999999</v>
      </c>
      <c r="AY44" s="105">
        <v>-47.125779999999999</v>
      </c>
      <c r="AZ44" s="105">
        <v>62.724530000000001</v>
      </c>
      <c r="BA44" s="105">
        <v>191.69951</v>
      </c>
      <c r="BB44" s="105">
        <v>359.52107000000001</v>
      </c>
      <c r="BC44" s="105">
        <v>55.205719999999999</v>
      </c>
      <c r="BD44" s="105">
        <v>290.5378</v>
      </c>
      <c r="BE44" s="105">
        <v>34.299999999999997</v>
      </c>
      <c r="BF44" s="105">
        <v>919.13576</v>
      </c>
      <c r="BG44" s="105">
        <v>0</v>
      </c>
      <c r="BH44" s="74">
        <v>0</v>
      </c>
      <c r="BI44" s="74">
        <v>0</v>
      </c>
      <c r="BJ44" s="105">
        <v>212.1592</v>
      </c>
      <c r="BK44" s="74">
        <v>0</v>
      </c>
      <c r="BL44" s="74">
        <v>31.463699000000002</v>
      </c>
      <c r="BM44" s="74">
        <v>0</v>
      </c>
      <c r="BN44" s="74">
        <v>0</v>
      </c>
      <c r="BO44" s="74">
        <v>0</v>
      </c>
      <c r="BP44" s="74">
        <v>0</v>
      </c>
      <c r="BQ44" s="74">
        <v>0</v>
      </c>
      <c r="BR44" s="74">
        <v>0.14711327156862375</v>
      </c>
      <c r="BS44" s="78">
        <v>0.77767472070583177</v>
      </c>
      <c r="BT44" s="78">
        <v>0.7672442493850854</v>
      </c>
      <c r="BU44" s="78" t="s">
        <v>13</v>
      </c>
      <c r="BV44" s="78" t="s">
        <v>13</v>
      </c>
      <c r="BW44" s="78" t="s">
        <v>13</v>
      </c>
      <c r="BX44" s="78" t="s">
        <v>13</v>
      </c>
      <c r="BY44" s="78" t="s">
        <v>13</v>
      </c>
      <c r="BZ44" s="78" t="s">
        <v>13</v>
      </c>
    </row>
    <row r="45" spans="1:83">
      <c r="A45" s="75" t="s">
        <v>1025</v>
      </c>
      <c r="B45" s="104" t="s">
        <v>1026</v>
      </c>
      <c r="C45" s="75" t="s">
        <v>1027</v>
      </c>
      <c r="D45" s="75" t="s">
        <v>873</v>
      </c>
      <c r="E45" s="103">
        <v>42735</v>
      </c>
      <c r="F45" s="103">
        <v>42643</v>
      </c>
      <c r="G45" s="103">
        <v>42662</v>
      </c>
      <c r="H45" s="105">
        <v>825.52904000000001</v>
      </c>
      <c r="I45" s="105">
        <v>21.82</v>
      </c>
      <c r="J45" s="103">
        <v>868.62804000000006</v>
      </c>
      <c r="K45" s="105">
        <v>0</v>
      </c>
      <c r="L45" s="105">
        <v>185.565</v>
      </c>
      <c r="M45" s="105">
        <v>-5.0999999999999997E-2</v>
      </c>
      <c r="N45" s="105">
        <v>228.613</v>
      </c>
      <c r="O45" s="105">
        <v>0</v>
      </c>
      <c r="P45" s="105">
        <v>0</v>
      </c>
      <c r="Q45" s="105">
        <v>3.0670000000000002</v>
      </c>
      <c r="R45" s="105">
        <v>0</v>
      </c>
      <c r="S45" s="105">
        <v>0.247</v>
      </c>
      <c r="T45" s="105">
        <v>4.0599999999999996</v>
      </c>
      <c r="U45" s="105">
        <v>9.8339999999999996</v>
      </c>
      <c r="V45" s="105">
        <v>11.1845</v>
      </c>
      <c r="W45" s="105">
        <v>13.087</v>
      </c>
      <c r="X45" s="105">
        <v>0</v>
      </c>
      <c r="Y45" s="105">
        <v>-6.5890000000000004</v>
      </c>
      <c r="Z45" s="105">
        <v>-54.414000000000001</v>
      </c>
      <c r="AA45" s="105">
        <v>-6.5890000000000004</v>
      </c>
      <c r="AB45" s="105">
        <v>-25.602</v>
      </c>
      <c r="AC45" s="105" t="s">
        <v>13</v>
      </c>
      <c r="AD45" s="75" t="s">
        <v>13</v>
      </c>
      <c r="AE45" s="105" t="s">
        <v>13</v>
      </c>
      <c r="AF45" s="106" t="s">
        <v>13</v>
      </c>
      <c r="AG45" s="106" t="s">
        <v>13</v>
      </c>
      <c r="AH45" s="106" t="s">
        <v>13</v>
      </c>
      <c r="AI45" s="106" t="s">
        <v>13</v>
      </c>
      <c r="AJ45" s="105">
        <v>0</v>
      </c>
      <c r="AK45" s="105">
        <v>-2.1230000000000002</v>
      </c>
      <c r="AL45" s="105">
        <v>-75.058999999999997</v>
      </c>
      <c r="AM45" s="105">
        <v>0</v>
      </c>
      <c r="AN45" s="105">
        <v>0</v>
      </c>
      <c r="AO45" s="105">
        <v>-3.2909999999999999</v>
      </c>
      <c r="AP45" s="107" t="s">
        <v>2235</v>
      </c>
      <c r="AQ45" s="108">
        <v>2.30735</v>
      </c>
      <c r="AR45" s="108">
        <v>0</v>
      </c>
      <c r="AS45" s="108">
        <v>0</v>
      </c>
      <c r="AT45" s="75">
        <v>0</v>
      </c>
      <c r="AU45" s="105">
        <v>0</v>
      </c>
      <c r="AV45" s="105">
        <v>-6.8</v>
      </c>
      <c r="AW45" s="105">
        <v>-52.585999999999999</v>
      </c>
      <c r="AX45" s="105">
        <v>-6.8</v>
      </c>
      <c r="AY45" s="105">
        <v>-25.827999999999999</v>
      </c>
      <c r="AZ45" s="105">
        <v>0</v>
      </c>
      <c r="BA45" s="105">
        <v>-0.70399999999999996</v>
      </c>
      <c r="BB45" s="105">
        <v>123.033</v>
      </c>
      <c r="BC45" s="105">
        <v>-0.70399999999999996</v>
      </c>
      <c r="BD45" s="105">
        <v>35.396999999999998</v>
      </c>
      <c r="BE45" s="105">
        <v>0</v>
      </c>
      <c r="BF45" s="105">
        <v>0</v>
      </c>
      <c r="BG45" s="105">
        <v>0</v>
      </c>
      <c r="BH45" s="74">
        <v>0</v>
      </c>
      <c r="BI45" s="74">
        <v>0</v>
      </c>
      <c r="BJ45" s="105">
        <v>0</v>
      </c>
      <c r="BK45" s="74" t="s">
        <v>874</v>
      </c>
      <c r="BL45" s="74">
        <v>0</v>
      </c>
      <c r="BM45" s="74">
        <v>0</v>
      </c>
      <c r="BN45" s="74">
        <v>0</v>
      </c>
      <c r="BO45" s="74">
        <v>0</v>
      </c>
      <c r="BP45" s="74">
        <v>0</v>
      </c>
      <c r="BQ45" s="74">
        <v>0</v>
      </c>
      <c r="BR45" s="74">
        <v>0.18650146723182259</v>
      </c>
      <c r="BS45" s="78">
        <v>0.92672097514187046</v>
      </c>
      <c r="BT45" s="78" t="s">
        <v>13</v>
      </c>
      <c r="BU45" s="78" t="s">
        <v>13</v>
      </c>
      <c r="BV45" s="78" t="s">
        <v>13</v>
      </c>
      <c r="BW45" s="78" t="s">
        <v>13</v>
      </c>
      <c r="BX45" s="78" t="s">
        <v>13</v>
      </c>
      <c r="BY45" s="78" t="s">
        <v>13</v>
      </c>
      <c r="BZ45" s="78" t="s">
        <v>13</v>
      </c>
    </row>
    <row r="46" spans="1:83">
      <c r="A46" s="75" t="s">
        <v>1029</v>
      </c>
      <c r="B46" s="104" t="s">
        <v>1030</v>
      </c>
      <c r="C46" s="75" t="s">
        <v>1031</v>
      </c>
      <c r="D46" s="75" t="s">
        <v>873</v>
      </c>
      <c r="E46" s="103">
        <v>42735</v>
      </c>
      <c r="F46" s="103">
        <v>42643</v>
      </c>
      <c r="G46" s="103">
        <v>42319</v>
      </c>
      <c r="H46" s="105">
        <v>674.67870000000005</v>
      </c>
      <c r="I46" s="105">
        <v>35.6</v>
      </c>
      <c r="J46" s="103">
        <v>835.72670000000005</v>
      </c>
      <c r="K46" s="105">
        <v>9.2999999999999999E-2</v>
      </c>
      <c r="L46" s="105">
        <v>7.8739999999999997</v>
      </c>
      <c r="M46" s="105">
        <v>0</v>
      </c>
      <c r="N46" s="105">
        <v>169.01499999999999</v>
      </c>
      <c r="O46" s="105">
        <v>0</v>
      </c>
      <c r="P46" s="105">
        <v>0.152</v>
      </c>
      <c r="Q46" s="105">
        <v>0.80900000000000005</v>
      </c>
      <c r="R46" s="105">
        <v>0</v>
      </c>
      <c r="S46" s="105">
        <v>0.152</v>
      </c>
      <c r="T46" s="105">
        <v>1.0029999999999999</v>
      </c>
      <c r="U46" s="105">
        <v>2.5</v>
      </c>
      <c r="V46" s="105">
        <v>6.6666699999999999</v>
      </c>
      <c r="W46" s="105">
        <v>10</v>
      </c>
      <c r="X46" s="105">
        <v>-7.9151999999999996</v>
      </c>
      <c r="Y46" s="105">
        <v>-13.316000000000001</v>
      </c>
      <c r="Z46" s="105">
        <v>-43.581000000000003</v>
      </c>
      <c r="AA46" s="105">
        <v>-5.1130000000000004</v>
      </c>
      <c r="AB46" s="105">
        <v>-18.905000000000001</v>
      </c>
      <c r="AC46" s="105" t="s">
        <v>13</v>
      </c>
      <c r="AD46" s="75" t="s">
        <v>13</v>
      </c>
      <c r="AE46" s="105" t="s">
        <v>13</v>
      </c>
      <c r="AF46" s="106" t="s">
        <v>13</v>
      </c>
      <c r="AG46" s="106" t="s">
        <v>13</v>
      </c>
      <c r="AH46" s="106" t="s">
        <v>13</v>
      </c>
      <c r="AI46" s="106" t="s">
        <v>13</v>
      </c>
      <c r="AJ46" s="105">
        <v>-0.107</v>
      </c>
      <c r="AK46" s="105">
        <v>-1.4650000000000001</v>
      </c>
      <c r="AL46" s="105">
        <v>-8.2379999999999995</v>
      </c>
      <c r="AM46" s="105">
        <v>-0.1128</v>
      </c>
      <c r="AN46" s="105">
        <v>-0.91500000000000004</v>
      </c>
      <c r="AO46" s="105">
        <v>-3.8079999999999998</v>
      </c>
      <c r="AP46" s="107" t="s">
        <v>2236</v>
      </c>
      <c r="AQ46" s="108">
        <v>2.0005299999999999</v>
      </c>
      <c r="AR46" s="108">
        <v>1.8613599999999999</v>
      </c>
      <c r="AS46" s="108">
        <v>0</v>
      </c>
      <c r="AT46" s="75">
        <v>0</v>
      </c>
      <c r="AU46" s="105">
        <v>-7.9631999999999996</v>
      </c>
      <c r="AV46" s="105">
        <v>-13.85</v>
      </c>
      <c r="AW46" s="105">
        <v>-44.045999999999999</v>
      </c>
      <c r="AX46" s="105">
        <v>-5.2290000000000001</v>
      </c>
      <c r="AY46" s="105">
        <v>-19.2</v>
      </c>
      <c r="AZ46" s="105">
        <v>-7.7619999999999996</v>
      </c>
      <c r="BA46" s="105">
        <v>67.397000000000006</v>
      </c>
      <c r="BB46" s="105">
        <v>159.00800000000001</v>
      </c>
      <c r="BC46" s="105">
        <v>2.0270000000000001</v>
      </c>
      <c r="BD46" s="105">
        <v>161.36500000000001</v>
      </c>
      <c r="BE46" s="105">
        <v>14.06</v>
      </c>
      <c r="BF46" s="105">
        <v>303.01301000000001</v>
      </c>
      <c r="BG46" s="105">
        <v>0.156</v>
      </c>
      <c r="BH46" s="74">
        <v>70.516999999999996</v>
      </c>
      <c r="BI46" s="74">
        <v>0</v>
      </c>
      <c r="BJ46" s="105">
        <v>66.040000000000006</v>
      </c>
      <c r="BK46" s="74" t="s">
        <v>874</v>
      </c>
      <c r="BL46" s="74">
        <v>0</v>
      </c>
      <c r="BM46" s="74">
        <v>0</v>
      </c>
      <c r="BN46" s="74">
        <v>0</v>
      </c>
      <c r="BO46" s="74">
        <v>0</v>
      </c>
      <c r="BP46" s="74">
        <v>0</v>
      </c>
      <c r="BQ46" s="74">
        <v>0</v>
      </c>
      <c r="BR46" s="74">
        <v>0.56365883807169348</v>
      </c>
      <c r="BS46" s="78">
        <v>0.81416033280155464</v>
      </c>
      <c r="BT46" s="78">
        <v>0.79703443847278144</v>
      </c>
      <c r="BU46" s="78" t="s">
        <v>13</v>
      </c>
      <c r="BV46" s="78" t="s">
        <v>13</v>
      </c>
      <c r="BW46" s="78" t="s">
        <v>13</v>
      </c>
      <c r="BX46" s="78" t="s">
        <v>13</v>
      </c>
      <c r="BY46" s="78" t="s">
        <v>13</v>
      </c>
      <c r="BZ46" s="78" t="s">
        <v>13</v>
      </c>
    </row>
    <row r="47" spans="1:83">
      <c r="A47" s="75" t="s">
        <v>1033</v>
      </c>
      <c r="B47" s="104" t="s">
        <v>1034</v>
      </c>
      <c r="C47" s="75" t="s">
        <v>1035</v>
      </c>
      <c r="D47" s="75" t="s">
        <v>875</v>
      </c>
      <c r="E47" s="103">
        <v>42735</v>
      </c>
      <c r="F47" s="103">
        <v>42643</v>
      </c>
      <c r="G47" s="103">
        <v>42264</v>
      </c>
      <c r="H47" s="105">
        <v>497.30718000000002</v>
      </c>
      <c r="I47" s="105">
        <v>22.25</v>
      </c>
      <c r="J47" s="103">
        <v>589.07718</v>
      </c>
      <c r="K47" s="105">
        <v>0</v>
      </c>
      <c r="L47" s="105">
        <v>0</v>
      </c>
      <c r="M47" s="105">
        <v>0</v>
      </c>
      <c r="N47" s="105">
        <v>91.77</v>
      </c>
      <c r="O47" s="105">
        <v>6.0869999999999997</v>
      </c>
      <c r="P47" s="105">
        <v>4.2880000000000003</v>
      </c>
      <c r="Q47" s="105">
        <v>7.3410000000000002</v>
      </c>
      <c r="R47" s="105">
        <v>6.12</v>
      </c>
      <c r="S47" s="105">
        <v>7.5880000000000001</v>
      </c>
      <c r="T47" s="105">
        <v>3.71333</v>
      </c>
      <c r="U47" s="105">
        <v>8</v>
      </c>
      <c r="V47" s="105">
        <v>10</v>
      </c>
      <c r="W47" s="105">
        <v>65</v>
      </c>
      <c r="X47" s="105">
        <v>0</v>
      </c>
      <c r="Y47" s="105">
        <v>0</v>
      </c>
      <c r="Z47" s="105">
        <v>-50.012</v>
      </c>
      <c r="AA47" s="105">
        <v>0</v>
      </c>
      <c r="AB47" s="105">
        <v>-23</v>
      </c>
      <c r="AC47" s="105">
        <v>-59.632570000000001</v>
      </c>
      <c r="AD47" s="75">
        <v>-88.3446</v>
      </c>
      <c r="AE47" s="105">
        <v>-111.44589999999999</v>
      </c>
      <c r="AF47" s="106" t="s">
        <v>13</v>
      </c>
      <c r="AG47" s="106" t="s">
        <v>13</v>
      </c>
      <c r="AH47" s="106" t="s">
        <v>13</v>
      </c>
      <c r="AI47" s="106" t="s">
        <v>13</v>
      </c>
      <c r="AJ47" s="105">
        <v>-2.91</v>
      </c>
      <c r="AK47" s="105">
        <v>-3.1720000000000002</v>
      </c>
      <c r="AL47" s="105">
        <v>-9.532</v>
      </c>
      <c r="AM47" s="105">
        <v>0</v>
      </c>
      <c r="AN47" s="105">
        <v>-0.39400000000000002</v>
      </c>
      <c r="AO47" s="105">
        <v>-3.8420000000000001</v>
      </c>
      <c r="AP47" s="75" t="s">
        <v>2237</v>
      </c>
      <c r="AQ47" s="108">
        <v>2.2391800000000002</v>
      </c>
      <c r="AR47" s="108">
        <v>1.37985</v>
      </c>
      <c r="AS47" s="108">
        <v>0</v>
      </c>
      <c r="AT47" s="75">
        <v>0</v>
      </c>
      <c r="AU47" s="105">
        <v>-5.3869999999999996</v>
      </c>
      <c r="AV47" s="105">
        <v>-19.971</v>
      </c>
      <c r="AW47" s="105">
        <v>-48.534999999999997</v>
      </c>
      <c r="AX47" s="105">
        <v>-4.0030000000000001</v>
      </c>
      <c r="AY47" s="105">
        <v>-22.811</v>
      </c>
      <c r="AZ47" s="105">
        <v>-2.1429999999999998</v>
      </c>
      <c r="BA47" s="105">
        <v>221.80799999999999</v>
      </c>
      <c r="BB47" s="105">
        <v>180.226</v>
      </c>
      <c r="BC47" s="105">
        <v>-5.6980000000000004</v>
      </c>
      <c r="BD47" s="105">
        <v>216.80799999999999</v>
      </c>
      <c r="BE47" s="105">
        <v>14.67</v>
      </c>
      <c r="BF47" s="105">
        <v>386.01862</v>
      </c>
      <c r="BG47" s="105">
        <v>0</v>
      </c>
      <c r="BH47" s="74">
        <v>0</v>
      </c>
      <c r="BI47" s="74">
        <v>0</v>
      </c>
      <c r="BJ47" s="105">
        <v>213.34899999999999</v>
      </c>
      <c r="BK47" s="74" t="s">
        <v>874</v>
      </c>
      <c r="BL47" s="74">
        <v>0</v>
      </c>
      <c r="BM47" s="74">
        <v>0</v>
      </c>
      <c r="BN47" s="74">
        <v>0</v>
      </c>
      <c r="BO47" s="74">
        <v>0</v>
      </c>
      <c r="BP47" s="74">
        <v>0</v>
      </c>
      <c r="BQ47" s="74">
        <v>0</v>
      </c>
      <c r="BR47" s="74">
        <v>4.1002588203242062E-2</v>
      </c>
      <c r="BS47" s="78">
        <v>0.66008168675338585</v>
      </c>
      <c r="BT47" s="78">
        <v>0.74596470213292698</v>
      </c>
      <c r="BU47" s="78" t="s">
        <v>13</v>
      </c>
      <c r="BV47" s="78" t="s">
        <v>13</v>
      </c>
      <c r="BW47" s="78" t="s">
        <v>13</v>
      </c>
      <c r="BX47" s="78" t="s">
        <v>13</v>
      </c>
      <c r="BY47" s="78" t="s">
        <v>13</v>
      </c>
      <c r="BZ47" s="78" t="s">
        <v>13</v>
      </c>
    </row>
    <row r="48" spans="1:83">
      <c r="A48" s="75" t="s">
        <v>1037</v>
      </c>
      <c r="B48" s="104" t="s">
        <v>1038</v>
      </c>
      <c r="C48" s="75" t="s">
        <v>1039</v>
      </c>
      <c r="D48" s="75" t="s">
        <v>875</v>
      </c>
      <c r="E48" s="103">
        <v>42735</v>
      </c>
      <c r="F48" s="103">
        <v>42643</v>
      </c>
      <c r="G48" s="103">
        <v>36137</v>
      </c>
      <c r="H48" s="105">
        <v>404.75846999999999</v>
      </c>
      <c r="I48" s="105">
        <v>7.08</v>
      </c>
      <c r="J48" s="103">
        <v>524.34855000000005</v>
      </c>
      <c r="K48" s="105">
        <v>0</v>
      </c>
      <c r="L48" s="105">
        <v>0</v>
      </c>
      <c r="M48" s="105">
        <v>9.6269999999999994E-2</v>
      </c>
      <c r="N48" s="105">
        <v>119.68635</v>
      </c>
      <c r="O48" s="105">
        <v>9.7393199999999993</v>
      </c>
      <c r="P48" s="105">
        <v>37.09366</v>
      </c>
      <c r="Q48" s="105">
        <v>32.789969999999997</v>
      </c>
      <c r="R48" s="105">
        <v>10.456770000000001</v>
      </c>
      <c r="S48" s="105">
        <v>40.572110000000002</v>
      </c>
      <c r="T48" s="105">
        <v>32.808399999999999</v>
      </c>
      <c r="U48" s="105">
        <v>27.338999999999999</v>
      </c>
      <c r="V48" s="105">
        <v>27.245329999999999</v>
      </c>
      <c r="W48" s="105">
        <v>80.738</v>
      </c>
      <c r="X48" s="105">
        <v>-35.705069999999999</v>
      </c>
      <c r="Y48" s="105">
        <v>-29.94896</v>
      </c>
      <c r="Z48" s="105">
        <v>-66.610519999999994</v>
      </c>
      <c r="AA48" s="105">
        <v>-37.926690000000001</v>
      </c>
      <c r="AB48" s="105">
        <v>-33.365070000000003</v>
      </c>
      <c r="AC48" s="105" t="s">
        <v>13</v>
      </c>
      <c r="AD48" s="75" t="s">
        <v>13</v>
      </c>
      <c r="AE48" s="105" t="s">
        <v>13</v>
      </c>
      <c r="AF48" s="106">
        <v>-1.4520359999999999</v>
      </c>
      <c r="AG48" s="106">
        <v>-2.0314290000000002</v>
      </c>
      <c r="AH48" s="106">
        <v>-2.1164719999999999</v>
      </c>
      <c r="AI48" s="106">
        <v>-1.996308</v>
      </c>
      <c r="AJ48" s="105">
        <v>-5.2192499999999997</v>
      </c>
      <c r="AK48" s="105">
        <v>-4.9868100000000002</v>
      </c>
      <c r="AL48" s="105">
        <v>-20.830970000000001</v>
      </c>
      <c r="AM48" s="105">
        <v>-1.1342000000000001</v>
      </c>
      <c r="AN48" s="105">
        <v>-2.1277300000000001</v>
      </c>
      <c r="AO48" s="105">
        <v>-3.4981599999999999</v>
      </c>
      <c r="AP48" s="75" t="s">
        <v>2238</v>
      </c>
      <c r="AQ48" s="108">
        <v>2.85806</v>
      </c>
      <c r="AR48" s="108">
        <v>2.1826099999999999</v>
      </c>
      <c r="AS48" s="108">
        <v>3.1770299999999998</v>
      </c>
      <c r="AT48" s="75">
        <v>0</v>
      </c>
      <c r="AU48" s="105">
        <v>-44.195450000000001</v>
      </c>
      <c r="AV48" s="105">
        <v>-18.563279999999999</v>
      </c>
      <c r="AW48" s="105">
        <v>-65.458910000000003</v>
      </c>
      <c r="AX48" s="105">
        <v>-36.140129999999999</v>
      </c>
      <c r="AY48" s="105">
        <v>-29.10284</v>
      </c>
      <c r="AZ48" s="105">
        <v>117.04424</v>
      </c>
      <c r="BA48" s="105">
        <v>193.38558</v>
      </c>
      <c r="BB48" s="105">
        <v>146.97815</v>
      </c>
      <c r="BC48" s="105">
        <v>111.53758999999999</v>
      </c>
      <c r="BD48" s="105">
        <v>175.93305000000001</v>
      </c>
      <c r="BE48" s="105">
        <v>5.75</v>
      </c>
      <c r="BF48" s="105">
        <v>415.05225000000002</v>
      </c>
      <c r="BG48" s="105">
        <v>0</v>
      </c>
      <c r="BH48" s="74">
        <v>0</v>
      </c>
      <c r="BI48" s="74">
        <v>0.24582999999999999</v>
      </c>
      <c r="BJ48" s="105">
        <v>170.78235000000001</v>
      </c>
      <c r="BK48" s="74">
        <v>0</v>
      </c>
      <c r="BL48" s="74">
        <v>0.83487300000000009</v>
      </c>
      <c r="BM48" s="74">
        <v>0.36606900000000003</v>
      </c>
      <c r="BN48" s="74">
        <v>0.25523299999999999</v>
      </c>
      <c r="BO48" s="74" t="s">
        <v>13</v>
      </c>
      <c r="BP48" s="74" t="s">
        <v>13</v>
      </c>
      <c r="BQ48" s="74" t="s">
        <v>13</v>
      </c>
      <c r="BR48" s="74">
        <v>8.5042468779324906E-2</v>
      </c>
      <c r="BS48" s="78">
        <v>0.62500700103077034</v>
      </c>
      <c r="BT48" s="78">
        <v>0.6189501235098539</v>
      </c>
      <c r="BU48" s="78">
        <v>0.65354069738568776</v>
      </c>
      <c r="BV48" s="78">
        <v>0.77214933500830729</v>
      </c>
      <c r="BW48" s="78">
        <v>0.75967062904787386</v>
      </c>
      <c r="BX48" s="78">
        <v>0.7315267347243225</v>
      </c>
      <c r="BY48" s="78">
        <v>0.70943612296271397</v>
      </c>
      <c r="BZ48" s="78">
        <v>1.0083075894994566</v>
      </c>
    </row>
    <row r="49" spans="1:83">
      <c r="A49" s="75" t="s">
        <v>1040</v>
      </c>
      <c r="B49" s="104" t="s">
        <v>1041</v>
      </c>
      <c r="C49" s="75" t="s">
        <v>1042</v>
      </c>
      <c r="D49" s="75" t="s">
        <v>875</v>
      </c>
      <c r="E49" s="103">
        <v>42643</v>
      </c>
      <c r="F49" s="103">
        <v>42551</v>
      </c>
      <c r="G49" s="103">
        <v>41354</v>
      </c>
      <c r="H49" s="105">
        <v>389.81500999999997</v>
      </c>
      <c r="I49" s="105">
        <v>31.44</v>
      </c>
      <c r="J49" s="103">
        <v>598.48901000000001</v>
      </c>
      <c r="K49" s="105">
        <v>0.70699999999999996</v>
      </c>
      <c r="L49" s="105">
        <v>1.2370000000000001</v>
      </c>
      <c r="M49" s="105">
        <v>0</v>
      </c>
      <c r="N49" s="105">
        <v>218.465</v>
      </c>
      <c r="O49" s="105">
        <v>46.453000000000003</v>
      </c>
      <c r="P49" s="105">
        <v>149.101</v>
      </c>
      <c r="Q49" s="105">
        <v>89.843000000000004</v>
      </c>
      <c r="R49" s="105">
        <v>124.346</v>
      </c>
      <c r="S49" s="105">
        <v>131.827</v>
      </c>
      <c r="T49" s="105">
        <v>52.526000000000003</v>
      </c>
      <c r="U49" s="105" t="s">
        <v>13</v>
      </c>
      <c r="V49" s="105" t="s">
        <v>13</v>
      </c>
      <c r="W49" s="105" t="s">
        <v>13</v>
      </c>
      <c r="X49" s="105">
        <v>19.925000000000001</v>
      </c>
      <c r="Y49" s="105">
        <v>115.693</v>
      </c>
      <c r="Z49" s="105">
        <v>39.024000000000001</v>
      </c>
      <c r="AA49" s="105">
        <v>95.058000000000007</v>
      </c>
      <c r="AB49" s="105">
        <v>90.381</v>
      </c>
      <c r="AC49" s="105" t="s">
        <v>13</v>
      </c>
      <c r="AD49" s="75" t="s">
        <v>13</v>
      </c>
      <c r="AE49" s="105" t="s">
        <v>13</v>
      </c>
      <c r="AF49" s="106">
        <v>1</v>
      </c>
      <c r="AG49" s="106">
        <v>0.43435699999999999</v>
      </c>
      <c r="AH49" s="106">
        <v>0.41866300000000001</v>
      </c>
      <c r="AI49" s="106">
        <v>0.325901</v>
      </c>
      <c r="AJ49" s="105">
        <v>11.523</v>
      </c>
      <c r="AK49" s="105">
        <v>11.042</v>
      </c>
      <c r="AL49" s="105">
        <v>13.827</v>
      </c>
      <c r="AM49" s="105">
        <v>-0.745</v>
      </c>
      <c r="AN49" s="105">
        <v>-1.2410000000000001</v>
      </c>
      <c r="AO49" s="105">
        <v>-5.9029999999999996</v>
      </c>
      <c r="AP49" s="75" t="s">
        <v>1043</v>
      </c>
      <c r="AQ49" s="108">
        <v>1.92893</v>
      </c>
      <c r="AR49" s="108">
        <v>1.4072</v>
      </c>
      <c r="AS49" s="108">
        <v>0.80625000000000002</v>
      </c>
      <c r="AT49" s="75">
        <v>0</v>
      </c>
      <c r="AU49" s="105">
        <v>35.036999999999999</v>
      </c>
      <c r="AV49" s="105">
        <v>68.138000000000005</v>
      </c>
      <c r="AW49" s="105">
        <v>29.28</v>
      </c>
      <c r="AX49" s="105">
        <v>81.816999999999993</v>
      </c>
      <c r="AY49" s="105">
        <v>63.171999999999997</v>
      </c>
      <c r="AZ49" s="105">
        <v>154.62799999999999</v>
      </c>
      <c r="BA49" s="105">
        <v>229.739</v>
      </c>
      <c r="BB49" s="105">
        <v>270.24400000000003</v>
      </c>
      <c r="BC49" s="105">
        <v>195.14</v>
      </c>
      <c r="BD49" s="105">
        <v>265.56900000000002</v>
      </c>
      <c r="BE49" s="105">
        <v>30.58</v>
      </c>
      <c r="BF49" s="105">
        <v>574.75327000000004</v>
      </c>
      <c r="BG49" s="105">
        <v>0.76100000000000001</v>
      </c>
      <c r="BH49" s="74">
        <v>1.276</v>
      </c>
      <c r="BI49" s="74">
        <v>0</v>
      </c>
      <c r="BJ49" s="105">
        <v>145.20500000000001</v>
      </c>
      <c r="BK49" s="74" t="s">
        <v>874</v>
      </c>
      <c r="BL49" s="74">
        <v>0.390706</v>
      </c>
      <c r="BM49" s="74">
        <v>0.40256900000000001</v>
      </c>
      <c r="BN49" s="74">
        <v>0</v>
      </c>
      <c r="BO49" s="74">
        <v>0.39948</v>
      </c>
      <c r="BP49" s="74">
        <v>0.58389099999999994</v>
      </c>
      <c r="BQ49" s="74">
        <v>0</v>
      </c>
      <c r="BR49" s="74">
        <v>1.5694044054628629E-2</v>
      </c>
      <c r="BS49" s="78">
        <v>0.50325979341735505</v>
      </c>
      <c r="BT49" s="78">
        <v>0.62241218308329371</v>
      </c>
      <c r="BU49" s="78">
        <v>0.61508994844412945</v>
      </c>
      <c r="BV49" s="78">
        <v>0.59320343181979973</v>
      </c>
      <c r="BW49" s="78" t="s">
        <v>13</v>
      </c>
      <c r="BX49" s="78" t="s">
        <v>13</v>
      </c>
      <c r="BY49" s="78" t="s">
        <v>13</v>
      </c>
      <c r="BZ49" s="78" t="s">
        <v>13</v>
      </c>
    </row>
    <row r="50" spans="1:83">
      <c r="A50" s="75" t="s">
        <v>1044</v>
      </c>
      <c r="B50" s="104" t="s">
        <v>1045</v>
      </c>
      <c r="C50" s="75" t="s">
        <v>1046</v>
      </c>
      <c r="D50" s="75" t="s">
        <v>875</v>
      </c>
      <c r="E50" s="103">
        <v>42735</v>
      </c>
      <c r="F50" s="103">
        <v>42643</v>
      </c>
      <c r="G50" s="103">
        <v>42403</v>
      </c>
      <c r="H50" s="105">
        <v>340.68457000000001</v>
      </c>
      <c r="I50" s="105">
        <v>14.27</v>
      </c>
      <c r="J50" s="103">
        <v>508.51056999999997</v>
      </c>
      <c r="K50" s="105">
        <v>32.048000000000002</v>
      </c>
      <c r="L50" s="105">
        <v>0</v>
      </c>
      <c r="M50" s="105">
        <v>0</v>
      </c>
      <c r="N50" s="105">
        <v>199.874</v>
      </c>
      <c r="O50" s="105">
        <v>0</v>
      </c>
      <c r="P50" s="105">
        <v>0.83699999999999997</v>
      </c>
      <c r="Q50" s="105">
        <v>5.9470000000000001</v>
      </c>
      <c r="R50" s="105">
        <v>0</v>
      </c>
      <c r="S50" s="105">
        <v>1.629</v>
      </c>
      <c r="T50" s="105">
        <v>6.7316000000000003</v>
      </c>
      <c r="U50" s="105">
        <v>6.8207500000000003</v>
      </c>
      <c r="V50" s="105">
        <v>6.9707499999999998</v>
      </c>
      <c r="W50" s="105">
        <v>5.38</v>
      </c>
      <c r="X50" s="105">
        <v>-5.2169999999999996</v>
      </c>
      <c r="Y50" s="105">
        <v>-27.739000000000001</v>
      </c>
      <c r="Z50" s="105">
        <v>-69.715000000000003</v>
      </c>
      <c r="AA50" s="105">
        <v>-12.566000000000001</v>
      </c>
      <c r="AB50" s="105">
        <v>-34.841000000000001</v>
      </c>
      <c r="AC50" s="105">
        <v>-74.872140000000002</v>
      </c>
      <c r="AD50" s="75">
        <v>-86.281800000000004</v>
      </c>
      <c r="AE50" s="105">
        <v>-102.31648</v>
      </c>
      <c r="AF50" s="106" t="s">
        <v>13</v>
      </c>
      <c r="AG50" s="106" t="s">
        <v>13</v>
      </c>
      <c r="AH50" s="106" t="s">
        <v>13</v>
      </c>
      <c r="AI50" s="106" t="s">
        <v>13</v>
      </c>
      <c r="AJ50" s="105">
        <v>-2.0510000000000002</v>
      </c>
      <c r="AK50" s="105">
        <v>-3.3879999999999999</v>
      </c>
      <c r="AL50" s="105">
        <v>-10.182</v>
      </c>
      <c r="AM50" s="105">
        <v>-0.159</v>
      </c>
      <c r="AN50" s="105">
        <v>-1.2789999999999999</v>
      </c>
      <c r="AO50" s="105">
        <v>-3.218</v>
      </c>
      <c r="AP50" s="75" t="s">
        <v>2239</v>
      </c>
      <c r="AQ50" s="108">
        <v>4.2358700000000002</v>
      </c>
      <c r="AR50" s="108">
        <v>0</v>
      </c>
      <c r="AS50" s="108">
        <v>0</v>
      </c>
      <c r="AT50" s="75">
        <v>0</v>
      </c>
      <c r="AU50" s="105">
        <v>-5.274</v>
      </c>
      <c r="AV50" s="105">
        <v>-65.677999999999997</v>
      </c>
      <c r="AW50" s="105">
        <v>-70.44</v>
      </c>
      <c r="AX50" s="105">
        <v>-13.685</v>
      </c>
      <c r="AY50" s="105">
        <v>-72.900000000000006</v>
      </c>
      <c r="AZ50" s="105">
        <v>0.34799999999999998</v>
      </c>
      <c r="BA50" s="105">
        <v>127.476</v>
      </c>
      <c r="BB50" s="105">
        <v>170.17599999999999</v>
      </c>
      <c r="BC50" s="105">
        <v>5.48</v>
      </c>
      <c r="BD50" s="105">
        <v>116.801</v>
      </c>
      <c r="BE50" s="105">
        <v>0</v>
      </c>
      <c r="BF50" s="105">
        <v>0</v>
      </c>
      <c r="BG50" s="105">
        <v>1.8260000000000001</v>
      </c>
      <c r="BH50" s="74">
        <v>199.816</v>
      </c>
      <c r="BI50" s="74">
        <v>0</v>
      </c>
      <c r="BJ50" s="105">
        <v>155.30099999999999</v>
      </c>
      <c r="BK50" s="74">
        <v>0</v>
      </c>
      <c r="BL50" s="74">
        <v>0</v>
      </c>
      <c r="BM50" s="74">
        <v>0</v>
      </c>
      <c r="BN50" s="74">
        <v>0</v>
      </c>
      <c r="BO50" s="74">
        <v>0</v>
      </c>
      <c r="BP50" s="74">
        <v>0</v>
      </c>
      <c r="BQ50" s="74">
        <v>0</v>
      </c>
      <c r="BR50" s="74">
        <v>0.1449470321170338</v>
      </c>
      <c r="BS50" s="78">
        <v>0.89665359846864712</v>
      </c>
      <c r="BT50" s="78" t="s">
        <v>13</v>
      </c>
      <c r="BU50" s="78" t="s">
        <v>13</v>
      </c>
      <c r="BV50" s="78" t="s">
        <v>13</v>
      </c>
      <c r="BW50" s="78" t="s">
        <v>13</v>
      </c>
      <c r="BX50" s="78" t="s">
        <v>13</v>
      </c>
      <c r="BY50" s="78" t="s">
        <v>13</v>
      </c>
      <c r="BZ50" s="78" t="s">
        <v>13</v>
      </c>
    </row>
    <row r="51" spans="1:83">
      <c r="A51" s="75" t="s">
        <v>1048</v>
      </c>
      <c r="B51" s="104" t="s">
        <v>1049</v>
      </c>
      <c r="C51" s="75" t="s">
        <v>1050</v>
      </c>
      <c r="D51" s="75" t="s">
        <v>875</v>
      </c>
      <c r="E51" s="103">
        <v>42735</v>
      </c>
      <c r="F51" s="103">
        <v>42643</v>
      </c>
      <c r="G51" s="103">
        <v>42213</v>
      </c>
      <c r="H51" s="105">
        <v>337.18270000000001</v>
      </c>
      <c r="I51" s="105">
        <v>6.54</v>
      </c>
      <c r="J51" s="103">
        <v>538.73569999999995</v>
      </c>
      <c r="K51" s="105">
        <v>7.7030000000000003</v>
      </c>
      <c r="L51" s="105">
        <v>0</v>
      </c>
      <c r="M51" s="105">
        <v>0</v>
      </c>
      <c r="N51" s="105">
        <v>209.256</v>
      </c>
      <c r="O51" s="105">
        <v>0.6</v>
      </c>
      <c r="P51" s="105">
        <v>0.32</v>
      </c>
      <c r="Q51" s="105">
        <v>4.3999999999999997E-2</v>
      </c>
      <c r="R51" s="105">
        <v>0.64100000000000001</v>
      </c>
      <c r="S51" s="105">
        <v>0.23599999999999999</v>
      </c>
      <c r="T51" s="105">
        <v>4.2000000000000003E-2</v>
      </c>
      <c r="U51" s="105">
        <v>6.3329999999999997E-2</v>
      </c>
      <c r="V51" s="105">
        <v>7.3999999999999996E-2</v>
      </c>
      <c r="W51" s="105">
        <v>25</v>
      </c>
      <c r="X51" s="105">
        <v>-2.2650000000000001</v>
      </c>
      <c r="Y51" s="105">
        <v>-187.99199999999999</v>
      </c>
      <c r="Z51" s="105">
        <v>-149.721</v>
      </c>
      <c r="AA51" s="105">
        <v>-5.5389999999999997</v>
      </c>
      <c r="AB51" s="105">
        <v>-237.404</v>
      </c>
      <c r="AC51" s="105">
        <v>-49.87</v>
      </c>
      <c r="AD51" s="75">
        <v>-97.143000000000001</v>
      </c>
      <c r="AE51" s="105" t="s">
        <v>13</v>
      </c>
      <c r="AF51" s="106">
        <v>1</v>
      </c>
      <c r="AG51" s="106" t="s">
        <v>13</v>
      </c>
      <c r="AH51" s="106" t="s">
        <v>13</v>
      </c>
      <c r="AI51" s="106" t="s">
        <v>13</v>
      </c>
      <c r="AJ51" s="105">
        <v>-2.61</v>
      </c>
      <c r="AK51" s="105">
        <v>-5.0119999999999996</v>
      </c>
      <c r="AL51" s="105">
        <v>-5.0170000000000003</v>
      </c>
      <c r="AM51" s="105">
        <v>-3.0000000000000001E-3</v>
      </c>
      <c r="AN51" s="105">
        <v>-1.323</v>
      </c>
      <c r="AO51" s="105">
        <v>-6.157</v>
      </c>
      <c r="AP51" s="75" t="s">
        <v>2240</v>
      </c>
      <c r="AQ51" s="108">
        <v>3.3885999999999998</v>
      </c>
      <c r="AR51" s="108">
        <v>2.1240000000000001</v>
      </c>
      <c r="AS51" s="108">
        <v>0</v>
      </c>
      <c r="AT51" s="75">
        <v>0</v>
      </c>
      <c r="AU51" s="105">
        <v>-2.0470000000000002</v>
      </c>
      <c r="AV51" s="105">
        <v>-212.78899999999999</v>
      </c>
      <c r="AW51" s="105">
        <v>-123.393</v>
      </c>
      <c r="AX51" s="105">
        <v>-6.1849999999999996</v>
      </c>
      <c r="AY51" s="105">
        <v>-236.876</v>
      </c>
      <c r="AZ51" s="105">
        <v>-2.895</v>
      </c>
      <c r="BA51" s="105">
        <v>362.93099999999998</v>
      </c>
      <c r="BB51" s="105">
        <v>310.89100000000002</v>
      </c>
      <c r="BC51" s="105">
        <v>57.591000000000001</v>
      </c>
      <c r="BD51" s="105">
        <v>355.995</v>
      </c>
      <c r="BE51" s="105">
        <v>12.96</v>
      </c>
      <c r="BF51" s="105">
        <v>1052.61609</v>
      </c>
      <c r="BG51" s="105">
        <v>0</v>
      </c>
      <c r="BH51" s="74">
        <v>0</v>
      </c>
      <c r="BI51" s="74">
        <v>0</v>
      </c>
      <c r="BJ51" s="105">
        <v>358.61599999999999</v>
      </c>
      <c r="BK51" s="74" t="s">
        <v>874</v>
      </c>
      <c r="BL51" s="74">
        <v>0</v>
      </c>
      <c r="BM51" s="74">
        <v>0</v>
      </c>
      <c r="BN51" s="74">
        <v>0</v>
      </c>
      <c r="BO51" s="74">
        <v>0</v>
      </c>
      <c r="BP51" s="74">
        <v>0</v>
      </c>
      <c r="BQ51" s="74">
        <v>0</v>
      </c>
      <c r="BR51" s="74">
        <v>51.340909090909093</v>
      </c>
      <c r="BS51" s="78">
        <v>0.82806905565295919</v>
      </c>
      <c r="BT51" s="78">
        <v>0.87724623477379815</v>
      </c>
      <c r="BU51" s="78" t="s">
        <v>13</v>
      </c>
      <c r="BV51" s="78" t="s">
        <v>13</v>
      </c>
      <c r="BW51" s="78" t="s">
        <v>13</v>
      </c>
      <c r="BX51" s="78" t="s">
        <v>13</v>
      </c>
      <c r="BY51" s="78" t="s">
        <v>13</v>
      </c>
      <c r="BZ51" s="78" t="s">
        <v>13</v>
      </c>
    </row>
    <row r="52" spans="1:83">
      <c r="A52" s="75" t="s">
        <v>1052</v>
      </c>
      <c r="B52" s="104" t="s">
        <v>1053</v>
      </c>
      <c r="C52" s="75" t="s">
        <v>1054</v>
      </c>
      <c r="D52" s="75" t="s">
        <v>1055</v>
      </c>
      <c r="E52" s="103">
        <v>42735</v>
      </c>
      <c r="F52" s="103">
        <v>42643</v>
      </c>
      <c r="G52" s="103">
        <v>41642</v>
      </c>
      <c r="H52" s="105">
        <v>311.30250000000001</v>
      </c>
      <c r="I52" s="105">
        <v>0.44424999999999998</v>
      </c>
      <c r="J52" s="103">
        <v>317.20850000000002</v>
      </c>
      <c r="K52" s="105">
        <v>0</v>
      </c>
      <c r="L52" s="105">
        <v>0</v>
      </c>
      <c r="M52" s="105">
        <v>0</v>
      </c>
      <c r="N52" s="105">
        <v>5.9059999999999997</v>
      </c>
      <c r="O52" s="105">
        <v>0</v>
      </c>
      <c r="P52" s="105">
        <v>8.6999999999999994E-2</v>
      </c>
      <c r="Q52" s="105">
        <v>0</v>
      </c>
      <c r="R52" s="105">
        <v>8.9999999999999993E-3</v>
      </c>
      <c r="S52" s="105">
        <v>7.8E-2</v>
      </c>
      <c r="T52" s="105" t="s">
        <v>13</v>
      </c>
      <c r="U52" s="105" t="s">
        <v>13</v>
      </c>
      <c r="V52" s="105" t="s">
        <v>13</v>
      </c>
      <c r="W52" s="105" t="s">
        <v>13</v>
      </c>
      <c r="X52" s="105">
        <v>-4.9130000000000003</v>
      </c>
      <c r="Y52" s="105">
        <v>-11.057</v>
      </c>
      <c r="Z52" s="105">
        <v>-55.07</v>
      </c>
      <c r="AA52" s="105">
        <v>-5.6</v>
      </c>
      <c r="AB52" s="105">
        <v>-53.238</v>
      </c>
      <c r="AC52" s="105" t="s">
        <v>13</v>
      </c>
      <c r="AD52" s="75" t="s">
        <v>13</v>
      </c>
      <c r="AE52" s="105" t="s">
        <v>13</v>
      </c>
      <c r="AF52" s="106">
        <v>0</v>
      </c>
      <c r="AG52" s="106">
        <v>0</v>
      </c>
      <c r="AH52" s="106">
        <v>0</v>
      </c>
      <c r="AI52" s="106">
        <v>0</v>
      </c>
      <c r="AJ52" s="105">
        <v>-7.36</v>
      </c>
      <c r="AK52" s="105">
        <v>-3.339</v>
      </c>
      <c r="AL52" s="105">
        <v>-2.3010000000000002</v>
      </c>
      <c r="AM52" s="105">
        <v>-7.0000000000000001E-3</v>
      </c>
      <c r="AN52" s="105">
        <v>-0.218</v>
      </c>
      <c r="AO52" s="105">
        <v>-0.17100000000000001</v>
      </c>
      <c r="AP52" s="75" t="s">
        <v>2241</v>
      </c>
      <c r="AQ52" s="108">
        <v>1.18737</v>
      </c>
      <c r="AR52" s="108">
        <v>0.52164999999999995</v>
      </c>
      <c r="AS52" s="108">
        <v>3.17441</v>
      </c>
      <c r="AT52" s="75">
        <v>0</v>
      </c>
      <c r="AU52" s="105">
        <v>1.014</v>
      </c>
      <c r="AV52" s="105">
        <v>-21.58</v>
      </c>
      <c r="AW52" s="105">
        <v>-39.569000000000003</v>
      </c>
      <c r="AX52" s="105">
        <v>-9.9000000000000005E-2</v>
      </c>
      <c r="AY52" s="105">
        <v>-50.122</v>
      </c>
      <c r="AZ52" s="105">
        <v>3.9780000000000002</v>
      </c>
      <c r="BA52" s="105">
        <v>196.75299999999999</v>
      </c>
      <c r="BB52" s="105">
        <v>167.822</v>
      </c>
      <c r="BC52" s="105">
        <v>184.869</v>
      </c>
      <c r="BD52" s="105">
        <v>167.59399999999999</v>
      </c>
      <c r="BE52" s="105">
        <v>0.64</v>
      </c>
      <c r="BF52" s="105">
        <v>444.3999</v>
      </c>
      <c r="BG52" s="105">
        <v>0</v>
      </c>
      <c r="BH52" s="74">
        <v>0</v>
      </c>
      <c r="BI52" s="74">
        <v>0</v>
      </c>
      <c r="BJ52" s="105">
        <v>12.413</v>
      </c>
      <c r="BK52" s="74" t="s">
        <v>874</v>
      </c>
      <c r="BL52" s="74">
        <v>0</v>
      </c>
      <c r="BM52" s="74">
        <v>0</v>
      </c>
      <c r="BN52" s="74">
        <v>0</v>
      </c>
      <c r="BO52" s="74" t="s">
        <v>13</v>
      </c>
      <c r="BP52" s="74">
        <v>0</v>
      </c>
      <c r="BQ52" s="74">
        <v>0</v>
      </c>
      <c r="BR52" s="74" t="s">
        <v>874</v>
      </c>
      <c r="BS52" s="78">
        <v>0.78212139552972182</v>
      </c>
      <c r="BT52" s="78">
        <v>0.82210152397422587</v>
      </c>
      <c r="BU52" s="78">
        <v>0.8052399960875728</v>
      </c>
      <c r="BV52" s="78" t="s">
        <v>13</v>
      </c>
      <c r="BW52" s="78" t="s">
        <v>13</v>
      </c>
      <c r="BX52" s="78" t="s">
        <v>13</v>
      </c>
      <c r="BY52" s="78" t="s">
        <v>13</v>
      </c>
      <c r="BZ52" s="78" t="s">
        <v>13</v>
      </c>
    </row>
    <row r="53" spans="1:83">
      <c r="A53" s="75" t="s">
        <v>1056</v>
      </c>
      <c r="B53" s="104" t="s">
        <v>1057</v>
      </c>
      <c r="C53" s="75" t="s">
        <v>1058</v>
      </c>
      <c r="D53" s="75" t="s">
        <v>873</v>
      </c>
      <c r="E53" s="103">
        <v>42735</v>
      </c>
      <c r="F53" s="103">
        <v>42643</v>
      </c>
      <c r="G53" s="103">
        <v>42496</v>
      </c>
      <c r="H53" s="105">
        <v>276.30846000000003</v>
      </c>
      <c r="I53" s="105">
        <v>15.75</v>
      </c>
      <c r="J53" s="103">
        <v>566.92646000000002</v>
      </c>
      <c r="K53" s="105">
        <v>0</v>
      </c>
      <c r="L53" s="105">
        <v>0</v>
      </c>
      <c r="M53" s="105">
        <v>0</v>
      </c>
      <c r="N53" s="105">
        <v>290.61799999999999</v>
      </c>
      <c r="O53" s="105">
        <v>0</v>
      </c>
      <c r="P53" s="105">
        <v>4.351</v>
      </c>
      <c r="Q53" s="105">
        <v>12.545</v>
      </c>
      <c r="R53" s="105">
        <v>0</v>
      </c>
      <c r="S53" s="105">
        <v>6.0439999999999996</v>
      </c>
      <c r="T53" s="105">
        <v>16.55</v>
      </c>
      <c r="U53" s="105">
        <v>24.891249999999999</v>
      </c>
      <c r="V53" s="105">
        <v>32.833329999999997</v>
      </c>
      <c r="W53" s="105">
        <v>32.78</v>
      </c>
      <c r="X53" s="105">
        <v>0</v>
      </c>
      <c r="Y53" s="105">
        <v>0</v>
      </c>
      <c r="Z53" s="105">
        <v>-25.997</v>
      </c>
      <c r="AA53" s="105">
        <v>-5.2214999999999998</v>
      </c>
      <c r="AB53" s="105">
        <v>-13.081</v>
      </c>
      <c r="AC53" s="105">
        <v>-29.22</v>
      </c>
      <c r="AD53" s="75">
        <v>-33.585999999999999</v>
      </c>
      <c r="AE53" s="105">
        <v>-36</v>
      </c>
      <c r="AF53" s="106">
        <v>-0.98357899999999998</v>
      </c>
      <c r="AG53" s="106">
        <v>-2.0722989999999997</v>
      </c>
      <c r="AH53" s="106">
        <v>-2.138541</v>
      </c>
      <c r="AI53" s="106">
        <v>-2.097728</v>
      </c>
      <c r="AJ53" s="105">
        <v>0</v>
      </c>
      <c r="AK53" s="105">
        <v>-8.7449999999999992</v>
      </c>
      <c r="AL53" s="105">
        <v>-20.548999999999999</v>
      </c>
      <c r="AM53" s="105">
        <v>0</v>
      </c>
      <c r="AN53" s="105">
        <v>-2.1175000000000002</v>
      </c>
      <c r="AO53" s="105">
        <v>-3.609</v>
      </c>
      <c r="AP53" s="75" t="s">
        <v>2242</v>
      </c>
      <c r="AQ53" s="108">
        <v>-0.56881000000000004</v>
      </c>
      <c r="AR53" s="108">
        <v>0</v>
      </c>
      <c r="AS53" s="108">
        <v>0</v>
      </c>
      <c r="AT53" s="75">
        <v>0</v>
      </c>
      <c r="AU53" s="105">
        <v>0</v>
      </c>
      <c r="AV53" s="105">
        <v>-14.368499999999999</v>
      </c>
      <c r="AW53" s="105">
        <v>-26.315999999999999</v>
      </c>
      <c r="AX53" s="105">
        <v>-14.3085</v>
      </c>
      <c r="AY53" s="105">
        <v>-12.397</v>
      </c>
      <c r="AZ53" s="105">
        <v>0</v>
      </c>
      <c r="BA53" s="105">
        <v>72.259</v>
      </c>
      <c r="BB53" s="105">
        <v>218.124</v>
      </c>
      <c r="BC53" s="105">
        <v>7.5659999999999998</v>
      </c>
      <c r="BD53" s="105">
        <v>67.355999999999995</v>
      </c>
      <c r="BE53" s="105">
        <v>0</v>
      </c>
      <c r="BF53" s="105">
        <v>0</v>
      </c>
      <c r="BG53" s="105">
        <v>0</v>
      </c>
      <c r="BH53" s="74">
        <v>88.516000000000005</v>
      </c>
      <c r="BI53" s="74">
        <v>0</v>
      </c>
      <c r="BJ53" s="105">
        <v>82.611999999999995</v>
      </c>
      <c r="BK53" s="74">
        <v>0</v>
      </c>
      <c r="BL53" s="74">
        <v>0</v>
      </c>
      <c r="BM53" s="74">
        <v>0</v>
      </c>
      <c r="BN53" s="74">
        <v>0</v>
      </c>
      <c r="BO53" s="74">
        <v>0</v>
      </c>
      <c r="BP53" s="74">
        <v>0</v>
      </c>
      <c r="BQ53" s="74">
        <v>0</v>
      </c>
      <c r="BR53" s="74">
        <v>6.6241530490235151E-2</v>
      </c>
      <c r="BS53" s="78">
        <v>0.73849289680398411</v>
      </c>
      <c r="BT53" s="78" t="s">
        <v>13</v>
      </c>
      <c r="BU53" s="78" t="s">
        <v>13</v>
      </c>
      <c r="BV53" s="78" t="s">
        <v>13</v>
      </c>
      <c r="BW53" s="78" t="s">
        <v>13</v>
      </c>
      <c r="BX53" s="78" t="s">
        <v>13</v>
      </c>
      <c r="BY53" s="78" t="s">
        <v>13</v>
      </c>
      <c r="BZ53" s="78" t="s">
        <v>13</v>
      </c>
    </row>
    <row r="54" spans="1:83">
      <c r="A54" s="73"/>
      <c r="J54" s="103"/>
      <c r="M54" s="77"/>
      <c r="N54" s="77"/>
      <c r="O54" s="77"/>
      <c r="P54" s="77"/>
      <c r="Q54" s="77"/>
      <c r="R54" s="77"/>
      <c r="S54" s="77"/>
      <c r="T54" s="77"/>
      <c r="U54" s="77"/>
      <c r="V54" s="77"/>
      <c r="W54" s="77"/>
      <c r="X54" s="77"/>
      <c r="Y54" s="77"/>
      <c r="Z54" s="77"/>
      <c r="AA54" s="77"/>
      <c r="AB54" s="77"/>
      <c r="AC54" s="77"/>
      <c r="AD54" s="77"/>
      <c r="AE54" s="77"/>
      <c r="AF54" s="77"/>
      <c r="AG54" s="77"/>
      <c r="AH54" s="77"/>
      <c r="AI54" s="77"/>
      <c r="AJ54" s="77"/>
      <c r="AK54" s="77"/>
      <c r="AL54" s="77"/>
      <c r="AM54" s="77"/>
      <c r="AN54" s="77"/>
      <c r="AO54" s="77"/>
      <c r="AP54" s="77"/>
      <c r="AQ54" s="73"/>
      <c r="AR54" s="77"/>
      <c r="AS54" s="73"/>
      <c r="AT54" s="77"/>
      <c r="AU54" s="73"/>
      <c r="AV54" s="73"/>
      <c r="AW54" s="73"/>
      <c r="AX54" s="73"/>
      <c r="AY54" s="73"/>
      <c r="AZ54" s="73"/>
      <c r="BA54" s="73"/>
      <c r="BB54" s="73"/>
      <c r="BC54" s="77"/>
      <c r="BD54" s="73"/>
      <c r="BE54" s="73"/>
      <c r="BF54" s="73"/>
      <c r="BG54" s="73"/>
      <c r="BH54" s="73"/>
      <c r="BI54" s="73"/>
      <c r="BJ54" s="73"/>
      <c r="BK54" s="73"/>
      <c r="BL54" s="73"/>
      <c r="BM54" s="73"/>
      <c r="BN54" s="73"/>
      <c r="BO54" s="73"/>
      <c r="BP54" s="73"/>
      <c r="BQ54" s="73"/>
      <c r="BR54" s="73"/>
      <c r="BS54" s="73"/>
      <c r="BT54" s="73"/>
      <c r="BU54" s="73"/>
      <c r="BV54" s="73"/>
      <c r="BW54" s="73"/>
      <c r="BX54" s="73"/>
      <c r="BY54" s="73"/>
      <c r="BZ54" s="73"/>
      <c r="CE54" s="73"/>
    </row>
    <row r="55" spans="1:83">
      <c r="A55" s="73"/>
      <c r="J55" s="103"/>
      <c r="L55" s="100"/>
      <c r="M55" s="77"/>
      <c r="N55" s="77"/>
      <c r="O55" s="77"/>
      <c r="P55" s="77"/>
      <c r="Q55" s="77"/>
      <c r="R55" s="77"/>
      <c r="S55" s="77"/>
      <c r="T55" s="77"/>
      <c r="U55" s="77"/>
      <c r="V55" s="77"/>
      <c r="W55" s="77"/>
      <c r="X55" s="77"/>
      <c r="Y55" s="77"/>
      <c r="Z55" s="77"/>
      <c r="AA55" s="77"/>
      <c r="AB55" s="77"/>
      <c r="AC55" s="77"/>
      <c r="AD55" s="77"/>
      <c r="AE55" s="77"/>
      <c r="AF55" s="77"/>
      <c r="AG55" s="77"/>
      <c r="AH55" s="77"/>
      <c r="AI55" s="77"/>
      <c r="AJ55" s="77"/>
      <c r="AK55" s="77"/>
      <c r="AL55" s="77"/>
      <c r="AM55" s="77"/>
      <c r="AN55" s="77"/>
      <c r="AO55" s="77"/>
      <c r="AP55" s="77"/>
      <c r="AQ55" s="73"/>
      <c r="AR55" s="77"/>
      <c r="AS55" s="73"/>
      <c r="AT55" s="77"/>
      <c r="AU55" s="73"/>
      <c r="AV55" s="73"/>
      <c r="AW55" s="73"/>
      <c r="AX55" s="73"/>
      <c r="AY55" s="73"/>
      <c r="AZ55" s="73"/>
      <c r="BA55" s="73"/>
      <c r="BB55" s="73"/>
      <c r="BC55" s="77"/>
      <c r="BD55" s="73"/>
      <c r="BE55" s="73"/>
      <c r="BF55" s="73"/>
      <c r="BG55" s="73"/>
      <c r="BH55" s="73"/>
      <c r="BI55" s="73"/>
      <c r="BJ55" s="73"/>
      <c r="BK55" s="73"/>
      <c r="BL55" s="73"/>
      <c r="BM55" s="73"/>
      <c r="BN55" s="73"/>
      <c r="BO55" s="73"/>
      <c r="BP55" s="73"/>
      <c r="BQ55" s="73"/>
      <c r="BR55" s="73"/>
      <c r="BS55" s="73"/>
      <c r="BT55" s="73"/>
      <c r="BU55" s="73"/>
      <c r="BV55" s="73"/>
      <c r="BW55" s="73"/>
      <c r="BX55" s="73"/>
      <c r="BY55" s="73"/>
      <c r="BZ55" s="73"/>
      <c r="CE55" s="73"/>
    </row>
    <row r="56" spans="1:83" ht="12.75">
      <c r="A56" s="73"/>
      <c r="B56" s="111" t="s">
        <v>128</v>
      </c>
      <c r="C56" s="112" t="s">
        <v>856</v>
      </c>
      <c r="D56" s="113" t="s">
        <v>857</v>
      </c>
      <c r="E56" s="114" t="s">
        <v>127</v>
      </c>
      <c r="F56" s="115"/>
      <c r="G56" s="115"/>
      <c r="H56" s="115"/>
      <c r="I56" s="115"/>
      <c r="J56" s="116"/>
      <c r="K56" s="117"/>
      <c r="L56" s="100"/>
      <c r="M56" s="77"/>
      <c r="N56" s="77"/>
      <c r="O56" s="77"/>
      <c r="P56" s="77"/>
      <c r="Q56" s="77"/>
      <c r="R56" s="77"/>
      <c r="S56" s="77"/>
      <c r="T56" s="77"/>
      <c r="U56" s="77"/>
      <c r="V56" s="77"/>
      <c r="W56" s="77"/>
      <c r="X56" s="77"/>
      <c r="Y56" s="77"/>
      <c r="Z56" s="77"/>
      <c r="AA56" s="77"/>
      <c r="AB56" s="77"/>
      <c r="AC56" s="77"/>
      <c r="AD56" s="77"/>
      <c r="AE56" s="77"/>
      <c r="AF56" s="77"/>
      <c r="AG56" s="77"/>
      <c r="AH56" s="77"/>
      <c r="AI56" s="77"/>
      <c r="AJ56" s="77"/>
      <c r="AK56" s="77"/>
      <c r="AL56" s="77"/>
      <c r="AM56" s="77"/>
      <c r="AN56" s="77"/>
      <c r="AO56" s="77"/>
      <c r="AP56" s="77"/>
      <c r="AQ56" s="73"/>
      <c r="AR56" s="77"/>
      <c r="AS56" s="73"/>
      <c r="AT56" s="77"/>
      <c r="AU56" s="73"/>
      <c r="AV56" s="73"/>
      <c r="AW56" s="73"/>
      <c r="AX56" s="73"/>
      <c r="AY56" s="73"/>
      <c r="AZ56" s="73"/>
      <c r="BA56" s="73"/>
      <c r="BB56" s="73"/>
      <c r="BC56" s="77"/>
      <c r="BD56" s="73"/>
      <c r="BE56" s="73"/>
      <c r="BF56" s="73"/>
      <c r="BG56" s="73"/>
      <c r="BH56" s="73"/>
      <c r="BI56" s="73"/>
      <c r="BJ56" s="73"/>
      <c r="BK56" s="73"/>
      <c r="BL56" s="73"/>
      <c r="BM56" s="73"/>
      <c r="BN56" s="73"/>
      <c r="BO56" s="73"/>
      <c r="BP56" s="73"/>
      <c r="BQ56" s="73"/>
      <c r="BR56" s="73"/>
      <c r="BS56" s="73"/>
      <c r="BT56" s="73"/>
      <c r="BU56" s="73"/>
      <c r="BV56" s="73"/>
      <c r="BW56" s="73"/>
      <c r="BX56" s="73"/>
      <c r="BY56" s="73"/>
      <c r="BZ56" s="73"/>
      <c r="CE56" s="73"/>
    </row>
    <row r="57" spans="1:83" ht="12.75">
      <c r="A57" s="73"/>
      <c r="B57" s="118" t="s">
        <v>131</v>
      </c>
      <c r="C57" s="119">
        <v>8.3333333333333329E-2</v>
      </c>
      <c r="D57" s="120">
        <v>3.8E-3</v>
      </c>
      <c r="E57" s="121" t="s">
        <v>879</v>
      </c>
      <c r="F57" s="122"/>
      <c r="G57" s="122"/>
      <c r="H57" s="122"/>
      <c r="I57" s="122"/>
      <c r="J57" s="123"/>
      <c r="K57" s="124"/>
      <c r="M57" s="77"/>
      <c r="N57" s="77"/>
      <c r="O57" s="77"/>
      <c r="P57" s="77"/>
      <c r="Q57" s="77"/>
      <c r="R57" s="77"/>
      <c r="S57" s="77"/>
      <c r="T57" s="77"/>
      <c r="U57" s="77"/>
      <c r="V57" s="77"/>
      <c r="W57" s="77"/>
      <c r="X57" s="77"/>
      <c r="Y57" s="77"/>
      <c r="Z57" s="77"/>
      <c r="AA57" s="77"/>
      <c r="AB57" s="77"/>
      <c r="AC57" s="77"/>
      <c r="AD57" s="77"/>
      <c r="AE57" s="77"/>
      <c r="AF57" s="77"/>
      <c r="AG57" s="77"/>
      <c r="AH57" s="77"/>
      <c r="AI57" s="77"/>
      <c r="AJ57" s="77"/>
      <c r="AK57" s="77"/>
      <c r="AL57" s="77"/>
      <c r="AM57" s="77"/>
      <c r="AN57" s="77"/>
      <c r="AO57" s="77"/>
      <c r="AP57" s="77"/>
      <c r="AQ57" s="73"/>
      <c r="AR57" s="77"/>
      <c r="AS57" s="73"/>
      <c r="AT57" s="77"/>
      <c r="AU57" s="73"/>
      <c r="AV57" s="73"/>
      <c r="AW57" s="73"/>
      <c r="AX57" s="73"/>
      <c r="AY57" s="73"/>
      <c r="AZ57" s="73"/>
      <c r="BA57" s="73"/>
      <c r="BB57" s="73"/>
      <c r="BC57" s="77"/>
      <c r="BD57" s="73"/>
      <c r="BE57" s="73"/>
      <c r="BF57" s="73"/>
      <c r="BG57" s="73"/>
      <c r="BH57" s="73"/>
      <c r="BI57" s="73"/>
      <c r="BJ57" s="73"/>
      <c r="BK57" s="73"/>
      <c r="BL57" s="73"/>
      <c r="BM57" s="73"/>
      <c r="BN57" s="73"/>
      <c r="BO57" s="73"/>
      <c r="BP57" s="73"/>
      <c r="BQ57" s="73"/>
      <c r="BR57" s="73"/>
      <c r="BS57" s="73"/>
      <c r="BT57" s="73"/>
      <c r="BU57" s="73"/>
      <c r="BV57" s="73"/>
      <c r="BW57" s="73"/>
      <c r="BX57" s="73"/>
      <c r="BY57" s="73"/>
      <c r="BZ57" s="73"/>
      <c r="CE57" s="73"/>
    </row>
    <row r="58" spans="1:83" ht="12.75">
      <c r="A58" s="73"/>
      <c r="B58" s="125" t="s">
        <v>132</v>
      </c>
      <c r="C58" s="126">
        <v>0.25</v>
      </c>
      <c r="D58" s="90">
        <v>4.7999999999999996E-3</v>
      </c>
      <c r="E58" s="121" t="s">
        <v>880</v>
      </c>
      <c r="F58" s="122"/>
      <c r="G58" s="122"/>
      <c r="H58" s="122"/>
      <c r="I58" s="122"/>
      <c r="J58" s="123"/>
      <c r="K58" s="124"/>
      <c r="M58" s="77"/>
      <c r="N58" s="77"/>
      <c r="O58" s="77"/>
      <c r="P58" s="77"/>
      <c r="Q58" s="77"/>
      <c r="R58" s="77"/>
      <c r="S58" s="77"/>
      <c r="T58" s="77"/>
      <c r="U58" s="77"/>
      <c r="V58" s="77"/>
      <c r="W58" s="77"/>
      <c r="X58" s="77"/>
      <c r="Y58" s="77"/>
      <c r="Z58" s="77"/>
      <c r="AA58" s="77"/>
      <c r="AB58" s="77"/>
      <c r="AC58" s="77"/>
      <c r="AD58" s="77"/>
      <c r="AE58" s="77"/>
      <c r="AF58" s="77"/>
      <c r="AG58" s="77"/>
      <c r="AH58" s="77"/>
      <c r="AI58" s="77"/>
      <c r="AJ58" s="77"/>
      <c r="AK58" s="77"/>
      <c r="AL58" s="77"/>
      <c r="AM58" s="77"/>
      <c r="AN58" s="77"/>
      <c r="AO58" s="77"/>
      <c r="AP58" s="77"/>
      <c r="AQ58" s="73"/>
      <c r="AR58" s="77"/>
      <c r="AS58" s="73"/>
      <c r="AT58" s="77"/>
      <c r="AU58" s="73"/>
      <c r="AV58" s="73"/>
      <c r="AW58" s="73"/>
      <c r="AX58" s="73"/>
      <c r="AY58" s="73"/>
      <c r="AZ58" s="73"/>
      <c r="BA58" s="73"/>
      <c r="BB58" s="73"/>
      <c r="BC58" s="77"/>
      <c r="BD58" s="73"/>
      <c r="BE58" s="73"/>
      <c r="BF58" s="73"/>
      <c r="BG58" s="73"/>
      <c r="BH58" s="73"/>
      <c r="BI58" s="73"/>
      <c r="BJ58" s="73"/>
      <c r="BK58" s="73"/>
      <c r="BL58" s="73"/>
      <c r="BM58" s="73"/>
      <c r="BN58" s="73"/>
      <c r="BO58" s="73"/>
      <c r="BP58" s="73"/>
      <c r="BQ58" s="73"/>
      <c r="BR58" s="73"/>
      <c r="BS58" s="73"/>
      <c r="BT58" s="73"/>
      <c r="BU58" s="73"/>
      <c r="BV58" s="73"/>
      <c r="BW58" s="73"/>
      <c r="BX58" s="73"/>
      <c r="BY58" s="73"/>
      <c r="BZ58" s="73"/>
      <c r="CE58" s="73"/>
    </row>
    <row r="59" spans="1:83" ht="12.75">
      <c r="A59" s="73"/>
      <c r="B59" s="125" t="s">
        <v>133</v>
      </c>
      <c r="C59" s="126">
        <v>0.5</v>
      </c>
      <c r="D59" s="90">
        <v>6.1999999999999998E-3</v>
      </c>
      <c r="E59" s="121" t="s">
        <v>881</v>
      </c>
      <c r="F59" s="122"/>
      <c r="G59" s="122"/>
      <c r="H59" s="122"/>
      <c r="I59" s="122"/>
      <c r="J59" s="123"/>
      <c r="K59" s="124"/>
      <c r="M59" s="77"/>
      <c r="N59" s="77"/>
      <c r="O59" s="77"/>
      <c r="P59" s="77"/>
      <c r="Q59" s="77"/>
      <c r="R59" s="77"/>
      <c r="S59" s="77"/>
      <c r="T59" s="77"/>
      <c r="U59" s="77"/>
      <c r="V59" s="77"/>
      <c r="W59" s="77"/>
      <c r="X59" s="77"/>
      <c r="Y59" s="77"/>
      <c r="Z59" s="77"/>
      <c r="AA59" s="77"/>
      <c r="AB59" s="77"/>
      <c r="AC59" s="77"/>
      <c r="AD59" s="77"/>
      <c r="AE59" s="77"/>
      <c r="AF59" s="77"/>
      <c r="AG59" s="77"/>
      <c r="AH59" s="77"/>
      <c r="AI59" s="77"/>
      <c r="AJ59" s="77"/>
      <c r="AK59" s="77"/>
      <c r="AL59" s="77"/>
      <c r="AM59" s="77"/>
      <c r="AN59" s="77"/>
      <c r="AO59" s="77"/>
      <c r="AP59" s="77"/>
      <c r="AQ59" s="73"/>
      <c r="AR59" s="77"/>
      <c r="AS59" s="73"/>
      <c r="AT59" s="77"/>
      <c r="AU59" s="73"/>
      <c r="AV59" s="73"/>
      <c r="AW59" s="73"/>
      <c r="AX59" s="73"/>
      <c r="AY59" s="73"/>
      <c r="AZ59" s="73"/>
      <c r="BA59" s="73"/>
      <c r="BB59" s="73"/>
      <c r="BC59" s="77"/>
      <c r="BD59" s="73"/>
      <c r="BE59" s="73"/>
      <c r="BF59" s="73"/>
      <c r="BG59" s="73"/>
      <c r="BH59" s="73"/>
      <c r="BI59" s="73"/>
      <c r="BJ59" s="73"/>
      <c r="BK59" s="73"/>
      <c r="BL59" s="73"/>
      <c r="BM59" s="73"/>
      <c r="BN59" s="73"/>
      <c r="BO59" s="73"/>
      <c r="BP59" s="73"/>
      <c r="BQ59" s="73"/>
      <c r="BR59" s="73"/>
      <c r="BS59" s="73"/>
      <c r="BT59" s="73"/>
      <c r="BU59" s="73"/>
      <c r="BV59" s="73"/>
      <c r="BW59" s="73"/>
      <c r="BX59" s="73"/>
      <c r="BY59" s="73"/>
      <c r="BZ59" s="73"/>
      <c r="CE59" s="73"/>
    </row>
    <row r="60" spans="1:83" ht="12.75">
      <c r="A60" s="73"/>
      <c r="B60" s="125" t="s">
        <v>134</v>
      </c>
      <c r="C60" s="126">
        <v>1</v>
      </c>
      <c r="D60" s="90">
        <v>8.0000000000000002E-3</v>
      </c>
      <c r="E60" s="121" t="s">
        <v>882</v>
      </c>
      <c r="F60" s="122"/>
      <c r="G60" s="122"/>
      <c r="H60" s="122"/>
      <c r="I60" s="122"/>
      <c r="J60" s="123"/>
      <c r="K60" s="124"/>
      <c r="M60" s="77"/>
      <c r="N60" s="77"/>
      <c r="O60" s="77"/>
      <c r="P60" s="77"/>
      <c r="Q60" s="77"/>
      <c r="R60" s="77"/>
      <c r="S60" s="77"/>
      <c r="T60" s="77"/>
      <c r="U60" s="77"/>
      <c r="V60" s="77"/>
      <c r="W60" s="77"/>
      <c r="X60" s="77"/>
      <c r="Y60" s="77"/>
      <c r="Z60" s="77"/>
      <c r="AA60" s="77"/>
      <c r="AB60" s="77"/>
      <c r="AC60" s="77"/>
      <c r="AD60" s="77"/>
      <c r="AE60" s="77"/>
      <c r="AF60" s="77"/>
      <c r="AG60" s="77"/>
      <c r="AH60" s="77"/>
      <c r="AI60" s="77"/>
      <c r="AJ60" s="77"/>
      <c r="AK60" s="77"/>
      <c r="AL60" s="77"/>
      <c r="AM60" s="77"/>
      <c r="AN60" s="77"/>
      <c r="AO60" s="77"/>
      <c r="AP60" s="77"/>
      <c r="AQ60" s="73"/>
      <c r="AR60" s="77"/>
      <c r="AS60" s="73"/>
      <c r="AT60" s="77"/>
      <c r="AU60" s="73"/>
      <c r="AV60" s="73"/>
      <c r="AW60" s="73"/>
      <c r="AX60" s="73"/>
      <c r="AY60" s="73"/>
      <c r="AZ60" s="73"/>
      <c r="BA60" s="73"/>
      <c r="BB60" s="73"/>
      <c r="BC60" s="77"/>
      <c r="BD60" s="73"/>
      <c r="BE60" s="73"/>
      <c r="BF60" s="73"/>
      <c r="BG60" s="73"/>
      <c r="BH60" s="73"/>
      <c r="BI60" s="73"/>
      <c r="BJ60" s="73"/>
      <c r="BK60" s="73"/>
      <c r="BL60" s="73"/>
      <c r="BM60" s="73"/>
      <c r="BN60" s="73"/>
      <c r="BO60" s="73"/>
      <c r="BP60" s="73"/>
      <c r="BQ60" s="73"/>
      <c r="BR60" s="73"/>
      <c r="BS60" s="73"/>
      <c r="BT60" s="73"/>
      <c r="BU60" s="73"/>
      <c r="BV60" s="73"/>
      <c r="BW60" s="73"/>
      <c r="BX60" s="73"/>
      <c r="BY60" s="73"/>
      <c r="BZ60" s="73"/>
      <c r="CE60" s="73"/>
    </row>
    <row r="61" spans="1:83" ht="12.75">
      <c r="A61" s="73"/>
      <c r="B61" s="125" t="s">
        <v>135</v>
      </c>
      <c r="C61" s="126">
        <v>2</v>
      </c>
      <c r="D61" s="90">
        <v>1.11E-2</v>
      </c>
      <c r="E61" s="121" t="s">
        <v>883</v>
      </c>
      <c r="F61" s="122"/>
      <c r="G61" s="122"/>
      <c r="H61" s="122"/>
      <c r="I61" s="122"/>
      <c r="J61" s="123"/>
      <c r="K61" s="124"/>
      <c r="M61" s="77"/>
      <c r="N61" s="77"/>
      <c r="O61" s="77"/>
      <c r="P61" s="77"/>
      <c r="Q61" s="77"/>
      <c r="R61" s="77"/>
      <c r="S61" s="77"/>
      <c r="T61" s="77"/>
      <c r="U61" s="77"/>
      <c r="V61" s="77"/>
      <c r="W61" s="77"/>
      <c r="X61" s="77"/>
      <c r="Y61" s="77"/>
      <c r="Z61" s="77"/>
      <c r="AA61" s="77"/>
      <c r="AB61" s="77"/>
      <c r="AC61" s="77"/>
      <c r="AD61" s="77"/>
      <c r="AE61" s="77"/>
      <c r="AF61" s="77"/>
      <c r="AG61" s="77"/>
      <c r="AH61" s="77"/>
      <c r="AI61" s="77"/>
      <c r="AJ61" s="77"/>
      <c r="AK61" s="77"/>
      <c r="AL61" s="77"/>
      <c r="AM61" s="77"/>
      <c r="AN61" s="77"/>
      <c r="AO61" s="77"/>
      <c r="AP61" s="77"/>
      <c r="AQ61" s="73"/>
      <c r="AR61" s="77"/>
      <c r="AS61" s="73"/>
      <c r="AT61" s="77"/>
      <c r="AU61" s="73"/>
      <c r="AV61" s="73"/>
      <c r="AW61" s="73"/>
      <c r="AX61" s="73"/>
      <c r="AY61" s="73"/>
      <c r="AZ61" s="73"/>
      <c r="BA61" s="73"/>
      <c r="BB61" s="73"/>
      <c r="BC61" s="77"/>
      <c r="BD61" s="73"/>
      <c r="BE61" s="73"/>
      <c r="BF61" s="73"/>
      <c r="BG61" s="73"/>
      <c r="BH61" s="73"/>
      <c r="BI61" s="73"/>
      <c r="BJ61" s="73"/>
      <c r="BK61" s="73"/>
      <c r="BL61" s="73"/>
      <c r="BM61" s="73"/>
      <c r="BN61" s="73"/>
      <c r="BO61" s="73"/>
      <c r="BP61" s="73"/>
      <c r="BQ61" s="73"/>
      <c r="BR61" s="73"/>
      <c r="BS61" s="73"/>
      <c r="BT61" s="73"/>
      <c r="BU61" s="73"/>
      <c r="BV61" s="73"/>
      <c r="BW61" s="73"/>
      <c r="BX61" s="73"/>
      <c r="BY61" s="73"/>
      <c r="BZ61" s="73"/>
      <c r="CE61" s="73"/>
    </row>
    <row r="62" spans="1:83" ht="12.75">
      <c r="A62" s="73"/>
      <c r="B62" s="125" t="s">
        <v>136</v>
      </c>
      <c r="C62" s="126">
        <v>3</v>
      </c>
      <c r="D62" s="90">
        <v>1.3999999999999999E-2</v>
      </c>
      <c r="E62" s="121" t="s">
        <v>884</v>
      </c>
      <c r="F62" s="122"/>
      <c r="G62" s="122"/>
      <c r="H62" s="122"/>
      <c r="I62" s="122"/>
      <c r="J62" s="123"/>
      <c r="K62" s="124"/>
      <c r="M62" s="77"/>
      <c r="N62" s="77"/>
      <c r="O62" s="77"/>
      <c r="P62" s="77"/>
      <c r="Q62" s="77"/>
      <c r="R62" s="77"/>
      <c r="S62" s="77"/>
      <c r="T62" s="77"/>
      <c r="U62" s="77"/>
      <c r="V62" s="77"/>
      <c r="W62" s="77"/>
      <c r="X62" s="77"/>
      <c r="Y62" s="77"/>
      <c r="Z62" s="77"/>
      <c r="AA62" s="77"/>
      <c r="AB62" s="77"/>
      <c r="AC62" s="77"/>
      <c r="AD62" s="77"/>
      <c r="AE62" s="77"/>
      <c r="AF62" s="77"/>
      <c r="AG62" s="77"/>
      <c r="AH62" s="77"/>
      <c r="AI62" s="77"/>
      <c r="AJ62" s="77"/>
      <c r="AK62" s="77"/>
      <c r="AL62" s="77"/>
      <c r="AM62" s="77"/>
      <c r="AN62" s="77"/>
      <c r="AO62" s="77"/>
      <c r="AP62" s="77"/>
      <c r="AQ62" s="73"/>
      <c r="AR62" s="77"/>
      <c r="AS62" s="73"/>
      <c r="AT62" s="77"/>
      <c r="AU62" s="73"/>
      <c r="AV62" s="73"/>
      <c r="AW62" s="73"/>
      <c r="AX62" s="73"/>
      <c r="AY62" s="73"/>
      <c r="AZ62" s="73"/>
      <c r="BA62" s="73"/>
      <c r="BB62" s="73"/>
      <c r="BC62" s="77"/>
      <c r="BD62" s="73"/>
      <c r="BE62" s="73"/>
      <c r="BF62" s="73"/>
      <c r="BG62" s="73"/>
      <c r="BH62" s="73"/>
      <c r="BI62" s="73"/>
      <c r="BJ62" s="73"/>
      <c r="BK62" s="73"/>
      <c r="BL62" s="73"/>
      <c r="BM62" s="73"/>
      <c r="BN62" s="73"/>
      <c r="BO62" s="73"/>
      <c r="BP62" s="73"/>
      <c r="BQ62" s="73"/>
      <c r="BR62" s="73"/>
      <c r="BS62" s="73"/>
      <c r="BT62" s="73"/>
      <c r="BU62" s="73"/>
      <c r="BV62" s="73"/>
      <c r="BW62" s="73"/>
      <c r="BX62" s="73"/>
      <c r="BY62" s="73"/>
      <c r="BZ62" s="73"/>
      <c r="CE62" s="73"/>
    </row>
    <row r="63" spans="1:83" ht="12.75">
      <c r="A63" s="73"/>
      <c r="B63" s="125" t="s">
        <v>137</v>
      </c>
      <c r="C63" s="126">
        <v>5</v>
      </c>
      <c r="D63" s="90">
        <v>1.83E-2</v>
      </c>
      <c r="E63" s="121" t="s">
        <v>885</v>
      </c>
      <c r="F63" s="122"/>
      <c r="G63" s="122"/>
      <c r="H63" s="122"/>
      <c r="I63" s="122"/>
      <c r="J63" s="123"/>
      <c r="K63" s="124"/>
      <c r="M63" s="77"/>
      <c r="N63" s="77"/>
      <c r="O63" s="77"/>
      <c r="P63" s="77"/>
      <c r="Q63" s="77"/>
      <c r="R63" s="77"/>
      <c r="S63" s="77"/>
      <c r="T63" s="77"/>
      <c r="U63" s="77"/>
      <c r="V63" s="77"/>
      <c r="W63" s="77"/>
      <c r="X63" s="77"/>
      <c r="Y63" s="77"/>
      <c r="Z63" s="77"/>
      <c r="AA63" s="77"/>
      <c r="AB63" s="77"/>
      <c r="AC63" s="77"/>
      <c r="AD63" s="77"/>
      <c r="AE63" s="77"/>
      <c r="AF63" s="77"/>
      <c r="AG63" s="77"/>
      <c r="AH63" s="77"/>
      <c r="AI63" s="77"/>
      <c r="AJ63" s="77"/>
      <c r="AK63" s="77"/>
      <c r="AL63" s="77"/>
      <c r="AM63" s="77"/>
      <c r="AN63" s="77"/>
      <c r="AO63" s="77"/>
      <c r="AP63" s="77"/>
      <c r="AQ63" s="73"/>
      <c r="AR63" s="77"/>
      <c r="AS63" s="73"/>
      <c r="AT63" s="77"/>
      <c r="AU63" s="73"/>
      <c r="AV63" s="73"/>
      <c r="AW63" s="73"/>
      <c r="AX63" s="73"/>
      <c r="AY63" s="73"/>
      <c r="AZ63" s="73"/>
      <c r="BA63" s="73"/>
      <c r="BB63" s="73"/>
      <c r="BC63" s="77"/>
      <c r="BD63" s="73"/>
      <c r="BE63" s="73"/>
      <c r="BF63" s="73"/>
      <c r="BG63" s="73"/>
      <c r="BH63" s="73"/>
      <c r="BI63" s="73"/>
      <c r="BJ63" s="73"/>
      <c r="BK63" s="73"/>
      <c r="BL63" s="73"/>
      <c r="BM63" s="73"/>
      <c r="BN63" s="73"/>
      <c r="BO63" s="73"/>
      <c r="BP63" s="73"/>
      <c r="BQ63" s="73"/>
      <c r="BR63" s="73"/>
      <c r="BS63" s="73"/>
      <c r="BT63" s="73"/>
      <c r="BU63" s="73"/>
      <c r="BV63" s="73"/>
      <c r="BW63" s="73"/>
      <c r="BX63" s="73"/>
      <c r="BY63" s="73"/>
      <c r="BZ63" s="73"/>
      <c r="CE63" s="73"/>
    </row>
    <row r="64" spans="1:83" ht="12.75">
      <c r="A64" s="73"/>
      <c r="B64" s="125" t="s">
        <v>138</v>
      </c>
      <c r="C64" s="126">
        <v>7</v>
      </c>
      <c r="D64" s="90">
        <v>2.18E-2</v>
      </c>
      <c r="E64" s="121" t="s">
        <v>886</v>
      </c>
      <c r="F64" s="122"/>
      <c r="G64" s="122"/>
      <c r="H64" s="122"/>
      <c r="I64" s="122"/>
      <c r="J64" s="123"/>
      <c r="K64" s="124"/>
      <c r="M64" s="77"/>
      <c r="N64" s="77"/>
      <c r="O64" s="77"/>
      <c r="P64" s="77"/>
      <c r="Q64" s="77"/>
      <c r="R64" s="77"/>
      <c r="S64" s="77"/>
      <c r="T64" s="77"/>
      <c r="U64" s="77"/>
      <c r="V64" s="77"/>
      <c r="W64" s="77"/>
      <c r="X64" s="77"/>
      <c r="Y64" s="77"/>
      <c r="Z64" s="77"/>
      <c r="AA64" s="77"/>
      <c r="AB64" s="77"/>
      <c r="AC64" s="77"/>
      <c r="AD64" s="77"/>
      <c r="AE64" s="77"/>
      <c r="AF64" s="77"/>
      <c r="AG64" s="77"/>
      <c r="AH64" s="77"/>
      <c r="AI64" s="77"/>
      <c r="AJ64" s="77"/>
      <c r="AK64" s="77"/>
      <c r="AL64" s="77"/>
      <c r="AM64" s="77"/>
      <c r="AN64" s="77"/>
      <c r="AO64" s="77"/>
      <c r="AP64" s="77"/>
      <c r="AQ64" s="73"/>
      <c r="AR64" s="77"/>
      <c r="AS64" s="73"/>
      <c r="AT64" s="77"/>
      <c r="AU64" s="73"/>
      <c r="AV64" s="73"/>
      <c r="AW64" s="73"/>
      <c r="AX64" s="73"/>
      <c r="AY64" s="73"/>
      <c r="AZ64" s="73"/>
      <c r="BA64" s="73"/>
      <c r="BB64" s="73"/>
      <c r="BC64" s="77"/>
      <c r="BD64" s="73"/>
      <c r="BE64" s="73"/>
      <c r="BF64" s="73"/>
      <c r="BG64" s="73"/>
      <c r="BH64" s="73"/>
      <c r="BI64" s="73"/>
      <c r="BJ64" s="73"/>
      <c r="BK64" s="73"/>
      <c r="BL64" s="73"/>
      <c r="BM64" s="73"/>
      <c r="BN64" s="73"/>
      <c r="BO64" s="73"/>
      <c r="BP64" s="73"/>
      <c r="BQ64" s="73"/>
      <c r="BR64" s="73"/>
      <c r="BS64" s="73"/>
      <c r="BT64" s="73"/>
      <c r="BU64" s="73"/>
      <c r="BV64" s="73"/>
      <c r="BW64" s="73"/>
      <c r="BX64" s="73"/>
      <c r="BY64" s="73"/>
      <c r="BZ64" s="73"/>
      <c r="CE64" s="73"/>
    </row>
    <row r="65" spans="1:83" ht="12.75">
      <c r="A65" s="73"/>
      <c r="B65" s="125" t="s">
        <v>139</v>
      </c>
      <c r="C65" s="126">
        <v>10</v>
      </c>
      <c r="D65" s="90">
        <v>2.3700000000000002E-2</v>
      </c>
      <c r="E65" s="121" t="s">
        <v>887</v>
      </c>
      <c r="F65" s="122"/>
      <c r="G65" s="122"/>
      <c r="H65" s="122"/>
      <c r="I65" s="122"/>
      <c r="J65" s="123"/>
      <c r="K65" s="124"/>
      <c r="M65" s="77"/>
      <c r="N65" s="77"/>
      <c r="O65" s="77"/>
      <c r="P65" s="77"/>
      <c r="Q65" s="77"/>
      <c r="R65" s="77"/>
      <c r="S65" s="77"/>
      <c r="T65" s="77"/>
      <c r="U65" s="77"/>
      <c r="V65" s="77"/>
      <c r="W65" s="77"/>
      <c r="X65" s="77"/>
      <c r="Y65" s="77"/>
      <c r="Z65" s="77"/>
      <c r="AA65" s="77"/>
      <c r="AB65" s="77"/>
      <c r="AC65" s="77"/>
      <c r="AD65" s="77"/>
      <c r="AE65" s="77"/>
      <c r="AF65" s="77"/>
      <c r="AG65" s="77"/>
      <c r="AH65" s="77"/>
      <c r="AI65" s="77"/>
      <c r="AJ65" s="77"/>
      <c r="AK65" s="77"/>
      <c r="AL65" s="77"/>
      <c r="AM65" s="77"/>
      <c r="AN65" s="77"/>
      <c r="AO65" s="77"/>
      <c r="AP65" s="77"/>
      <c r="AQ65" s="73"/>
      <c r="AR65" s="77"/>
      <c r="AS65" s="73"/>
      <c r="AT65" s="77"/>
      <c r="AU65" s="73"/>
      <c r="AV65" s="73"/>
      <c r="AW65" s="73"/>
      <c r="AX65" s="73"/>
      <c r="AY65" s="73"/>
      <c r="AZ65" s="73"/>
      <c r="BA65" s="73"/>
      <c r="BB65" s="73"/>
      <c r="BC65" s="77"/>
      <c r="BD65" s="73"/>
      <c r="BE65" s="73"/>
      <c r="BF65" s="73"/>
      <c r="BG65" s="73"/>
      <c r="BH65" s="73"/>
      <c r="BI65" s="73"/>
      <c r="BJ65" s="73"/>
      <c r="BK65" s="73"/>
      <c r="BL65" s="73"/>
      <c r="BM65" s="73"/>
      <c r="BN65" s="73"/>
      <c r="BO65" s="73"/>
      <c r="BP65" s="73"/>
      <c r="BQ65" s="73"/>
      <c r="BR65" s="73"/>
      <c r="BS65" s="73"/>
      <c r="BT65" s="73"/>
      <c r="BU65" s="73"/>
      <c r="BV65" s="73"/>
      <c r="BW65" s="73"/>
      <c r="BX65" s="73"/>
      <c r="BY65" s="73"/>
      <c r="BZ65" s="73"/>
      <c r="CE65" s="73"/>
    </row>
    <row r="66" spans="1:83" ht="12.75">
      <c r="A66" s="73"/>
      <c r="B66" s="125" t="s">
        <v>140</v>
      </c>
      <c r="C66" s="126">
        <v>20</v>
      </c>
      <c r="D66" s="90">
        <v>2.7300000000000001E-2</v>
      </c>
      <c r="E66" s="121" t="s">
        <v>888</v>
      </c>
      <c r="F66" s="122"/>
      <c r="G66" s="122"/>
      <c r="H66" s="122"/>
      <c r="I66" s="122"/>
      <c r="J66" s="123"/>
      <c r="K66" s="124"/>
      <c r="M66" s="77"/>
      <c r="N66" s="77"/>
      <c r="O66" s="77"/>
      <c r="P66" s="77"/>
      <c r="Q66" s="77"/>
      <c r="R66" s="77"/>
      <c r="S66" s="77"/>
      <c r="T66" s="77"/>
      <c r="U66" s="77"/>
      <c r="V66" s="77"/>
      <c r="W66" s="77"/>
      <c r="X66" s="77"/>
      <c r="Y66" s="77"/>
      <c r="Z66" s="77"/>
      <c r="AA66" s="77"/>
      <c r="AB66" s="77"/>
      <c r="AC66" s="77"/>
      <c r="AD66" s="77"/>
      <c r="AE66" s="77"/>
      <c r="AF66" s="77"/>
      <c r="AG66" s="77"/>
      <c r="AH66" s="77"/>
      <c r="AI66" s="77"/>
      <c r="AJ66" s="77"/>
      <c r="AK66" s="77"/>
      <c r="AL66" s="77"/>
      <c r="AM66" s="77"/>
      <c r="AN66" s="77"/>
      <c r="AO66" s="77"/>
      <c r="AP66" s="77"/>
      <c r="AQ66" s="73"/>
      <c r="AR66" s="77"/>
      <c r="AS66" s="73"/>
      <c r="AT66" s="77"/>
      <c r="AU66" s="73"/>
      <c r="AV66" s="73"/>
      <c r="AW66" s="73"/>
      <c r="AX66" s="73"/>
      <c r="AY66" s="73"/>
      <c r="AZ66" s="73"/>
      <c r="BA66" s="73"/>
      <c r="BB66" s="73"/>
      <c r="BC66" s="77"/>
      <c r="BD66" s="73"/>
      <c r="BE66" s="73"/>
      <c r="BF66" s="73"/>
      <c r="BG66" s="73"/>
      <c r="BH66" s="73"/>
      <c r="BI66" s="73"/>
      <c r="BJ66" s="73"/>
      <c r="BK66" s="73"/>
      <c r="BL66" s="73"/>
      <c r="BM66" s="73"/>
      <c r="BN66" s="73"/>
      <c r="BO66" s="73"/>
      <c r="BP66" s="73"/>
      <c r="BQ66" s="73"/>
      <c r="BR66" s="73"/>
      <c r="BS66" s="73"/>
      <c r="BT66" s="73"/>
      <c r="BU66" s="73"/>
      <c r="BV66" s="73"/>
      <c r="BW66" s="73"/>
      <c r="BX66" s="73"/>
      <c r="BY66" s="73"/>
      <c r="BZ66" s="73"/>
      <c r="CE66" s="73"/>
    </row>
    <row r="67" spans="1:83" ht="12.75">
      <c r="A67" s="73"/>
      <c r="B67" s="127" t="s">
        <v>141</v>
      </c>
      <c r="C67" s="128">
        <v>30</v>
      </c>
      <c r="D67" s="80">
        <v>3.0200000000000001E-2</v>
      </c>
      <c r="E67" s="129" t="s">
        <v>889</v>
      </c>
      <c r="F67" s="130"/>
      <c r="G67" s="130"/>
      <c r="H67" s="130"/>
      <c r="I67" s="130"/>
      <c r="J67" s="131"/>
      <c r="K67" s="132"/>
      <c r="M67" s="77"/>
      <c r="N67" s="77"/>
      <c r="O67" s="77"/>
      <c r="P67" s="77"/>
      <c r="Q67" s="77"/>
      <c r="R67" s="77"/>
      <c r="S67" s="77"/>
      <c r="T67" s="77"/>
      <c r="U67" s="77"/>
      <c r="V67" s="77"/>
      <c r="W67" s="77"/>
      <c r="X67" s="77"/>
      <c r="Y67" s="77"/>
      <c r="Z67" s="77"/>
      <c r="AA67" s="77"/>
      <c r="AB67" s="77"/>
      <c r="AC67" s="77"/>
      <c r="AD67" s="77"/>
      <c r="AE67" s="77"/>
      <c r="AF67" s="77"/>
      <c r="AG67" s="77"/>
      <c r="AH67" s="77"/>
      <c r="AI67" s="77"/>
      <c r="AJ67" s="77"/>
      <c r="AK67" s="77"/>
      <c r="AL67" s="77"/>
      <c r="AM67" s="77"/>
      <c r="AN67" s="77"/>
      <c r="AO67" s="77"/>
      <c r="AP67" s="77"/>
      <c r="AQ67" s="73"/>
      <c r="AR67" s="77"/>
      <c r="AS67" s="73"/>
      <c r="AT67" s="77"/>
      <c r="AU67" s="73"/>
      <c r="AV67" s="73"/>
      <c r="AW67" s="73"/>
      <c r="AX67" s="73"/>
      <c r="AY67" s="73"/>
      <c r="AZ67" s="73"/>
      <c r="BA67" s="73"/>
      <c r="BB67" s="73"/>
      <c r="BC67" s="77"/>
      <c r="BD67" s="73"/>
      <c r="BE67" s="73"/>
      <c r="BF67" s="73"/>
      <c r="BG67" s="73"/>
      <c r="BH67" s="73"/>
      <c r="BI67" s="73"/>
      <c r="BJ67" s="73"/>
      <c r="BK67" s="73"/>
      <c r="BL67" s="73"/>
      <c r="BM67" s="73"/>
      <c r="BN67" s="73"/>
      <c r="BO67" s="73"/>
      <c r="BP67" s="73"/>
      <c r="BQ67" s="73"/>
      <c r="BR67" s="73"/>
      <c r="BS67" s="73"/>
      <c r="BT67" s="73"/>
      <c r="BU67" s="73"/>
      <c r="BV67" s="73"/>
      <c r="BW67" s="73"/>
      <c r="BX67" s="73"/>
      <c r="BY67" s="73"/>
      <c r="BZ67" s="73"/>
      <c r="CE67" s="73"/>
    </row>
    <row r="70" spans="1:83">
      <c r="A70" s="73"/>
      <c r="B70" s="133" t="s">
        <v>858</v>
      </c>
      <c r="K70" s="77"/>
      <c r="L70" s="77"/>
      <c r="M70" s="77"/>
      <c r="N70" s="77"/>
      <c r="O70" s="77"/>
      <c r="P70" s="77"/>
      <c r="Q70" s="77"/>
      <c r="R70" s="77"/>
      <c r="S70" s="77"/>
      <c r="T70" s="77"/>
      <c r="U70" s="77"/>
      <c r="V70" s="77"/>
      <c r="W70" s="77"/>
      <c r="X70" s="77"/>
      <c r="Y70" s="77"/>
      <c r="Z70" s="77"/>
      <c r="AA70" s="77"/>
      <c r="AB70" s="77"/>
      <c r="AC70" s="77"/>
      <c r="AD70" s="77"/>
      <c r="AE70" s="77"/>
      <c r="AF70" s="77"/>
      <c r="AG70" s="77"/>
      <c r="AH70" s="77"/>
      <c r="AI70" s="77"/>
      <c r="AJ70" s="77"/>
      <c r="AK70" s="77"/>
      <c r="AL70" s="77"/>
      <c r="AM70" s="77"/>
      <c r="AN70" s="77"/>
      <c r="AO70" s="77"/>
      <c r="AP70" s="77"/>
      <c r="AQ70" s="73"/>
      <c r="AR70" s="77"/>
      <c r="AS70" s="73"/>
      <c r="AT70" s="77"/>
      <c r="AU70" s="73"/>
      <c r="AV70" s="73"/>
      <c r="AW70" s="73"/>
      <c r="AX70" s="73"/>
      <c r="AY70" s="73"/>
      <c r="AZ70" s="73"/>
      <c r="BA70" s="73"/>
      <c r="BB70" s="73"/>
      <c r="BC70" s="77"/>
      <c r="BD70" s="73"/>
      <c r="BE70" s="73"/>
      <c r="BF70" s="73"/>
      <c r="BG70" s="73"/>
      <c r="BH70" s="73"/>
      <c r="BI70" s="73"/>
      <c r="BJ70" s="73"/>
      <c r="BK70" s="73"/>
      <c r="BL70" s="73"/>
      <c r="BM70" s="73"/>
      <c r="BN70" s="73"/>
      <c r="BO70" s="73"/>
      <c r="BP70" s="73"/>
      <c r="BQ70" s="73"/>
      <c r="BR70" s="73"/>
      <c r="BS70" s="73"/>
      <c r="BT70" s="73"/>
      <c r="BU70" s="73"/>
      <c r="BV70" s="73"/>
      <c r="BW70" s="73"/>
      <c r="BX70" s="73"/>
      <c r="BY70" s="73"/>
      <c r="BZ70" s="73"/>
      <c r="CE70" s="73"/>
    </row>
    <row r="71" spans="1:83" ht="12.75">
      <c r="A71" s="73"/>
      <c r="B71" s="134" t="s">
        <v>859</v>
      </c>
      <c r="C71" s="135">
        <v>4.82E-2</v>
      </c>
      <c r="D71" s="136" t="s">
        <v>983</v>
      </c>
      <c r="E71" s="137"/>
      <c r="F71" s="137"/>
      <c r="G71" s="137"/>
      <c r="H71" s="137"/>
      <c r="I71" s="137"/>
      <c r="J71" s="138"/>
      <c r="K71" s="77"/>
      <c r="L71" s="77"/>
      <c r="M71" s="77"/>
      <c r="N71" s="77"/>
      <c r="O71" s="77"/>
      <c r="P71" s="77"/>
      <c r="Q71" s="77"/>
      <c r="R71" s="77"/>
      <c r="S71" s="77"/>
      <c r="T71" s="77"/>
      <c r="U71" s="77"/>
      <c r="V71" s="77"/>
      <c r="W71" s="77"/>
      <c r="X71" s="77"/>
      <c r="Y71" s="77"/>
      <c r="Z71" s="77"/>
      <c r="AA71" s="77"/>
      <c r="AB71" s="77"/>
      <c r="AC71" s="77"/>
      <c r="AD71" s="77"/>
      <c r="AE71" s="77"/>
      <c r="AF71" s="77"/>
      <c r="AG71" s="77"/>
      <c r="AH71" s="77"/>
      <c r="AI71" s="77"/>
      <c r="AJ71" s="77"/>
      <c r="AK71" s="77"/>
      <c r="AL71" s="77"/>
      <c r="AM71" s="77"/>
      <c r="AN71" s="77"/>
      <c r="AO71" s="77"/>
      <c r="AP71" s="77"/>
      <c r="AQ71" s="73"/>
      <c r="AR71" s="77"/>
      <c r="AS71" s="73"/>
      <c r="AT71" s="77"/>
      <c r="AU71" s="73"/>
      <c r="AV71" s="73"/>
      <c r="AW71" s="73"/>
      <c r="AX71" s="73"/>
      <c r="AY71" s="73"/>
      <c r="AZ71" s="73"/>
      <c r="BA71" s="73"/>
      <c r="BB71" s="73"/>
      <c r="BC71" s="77"/>
      <c r="BD71" s="73"/>
      <c r="BE71" s="73"/>
      <c r="BF71" s="73"/>
      <c r="BG71" s="73"/>
      <c r="BH71" s="73"/>
      <c r="BI71" s="73"/>
      <c r="BJ71" s="73"/>
      <c r="BK71" s="73"/>
      <c r="BL71" s="73"/>
      <c r="BM71" s="73"/>
      <c r="BN71" s="73"/>
      <c r="BO71" s="73"/>
      <c r="BP71" s="73"/>
      <c r="BQ71" s="73"/>
      <c r="BR71" s="73"/>
      <c r="BS71" s="73"/>
      <c r="BT71" s="73"/>
      <c r="BU71" s="73"/>
      <c r="BV71" s="73"/>
      <c r="BW71" s="73"/>
      <c r="BX71" s="73"/>
      <c r="BY71" s="73"/>
      <c r="BZ71" s="73"/>
      <c r="CE71" s="73"/>
    </row>
    <row r="73" spans="1:83">
      <c r="A73" s="73"/>
      <c r="B73" s="133" t="s">
        <v>860</v>
      </c>
      <c r="K73" s="77"/>
      <c r="L73" s="77"/>
      <c r="M73" s="77"/>
      <c r="N73" s="77"/>
      <c r="O73" s="77"/>
      <c r="P73" s="77"/>
      <c r="Q73" s="77"/>
      <c r="R73" s="77"/>
      <c r="S73" s="77"/>
      <c r="T73" s="77"/>
      <c r="U73" s="77"/>
      <c r="V73" s="77"/>
      <c r="W73" s="77"/>
      <c r="X73" s="77"/>
      <c r="Y73" s="77"/>
      <c r="Z73" s="77"/>
      <c r="AA73" s="77"/>
      <c r="AB73" s="77"/>
      <c r="AC73" s="77"/>
      <c r="AD73" s="77"/>
      <c r="AE73" s="77"/>
      <c r="AF73" s="77"/>
      <c r="AG73" s="77"/>
      <c r="AH73" s="77"/>
      <c r="AI73" s="77"/>
      <c r="AJ73" s="77"/>
      <c r="AK73" s="77"/>
      <c r="AL73" s="77"/>
      <c r="AM73" s="77"/>
      <c r="AN73" s="77"/>
      <c r="AO73" s="77"/>
      <c r="AP73" s="77"/>
      <c r="AQ73" s="73"/>
      <c r="AR73" s="77"/>
      <c r="AS73" s="73"/>
      <c r="AT73" s="77"/>
      <c r="AU73" s="73"/>
      <c r="AV73" s="73"/>
      <c r="AW73" s="73"/>
      <c r="AX73" s="73"/>
      <c r="AY73" s="73"/>
      <c r="AZ73" s="73"/>
      <c r="BA73" s="73"/>
      <c r="BB73" s="73"/>
      <c r="BC73" s="77"/>
      <c r="BD73" s="73"/>
      <c r="BE73" s="73"/>
      <c r="BF73" s="73"/>
      <c r="BG73" s="73"/>
      <c r="BH73" s="73"/>
      <c r="BI73" s="73"/>
      <c r="BJ73" s="73"/>
      <c r="BK73" s="73"/>
      <c r="BL73" s="73"/>
      <c r="BM73" s="73"/>
      <c r="BN73" s="73"/>
      <c r="BO73" s="73"/>
      <c r="BP73" s="73"/>
      <c r="BQ73" s="73"/>
      <c r="BR73" s="73"/>
      <c r="BS73" s="73"/>
      <c r="BT73" s="73"/>
      <c r="BU73" s="73"/>
      <c r="BV73" s="73"/>
      <c r="BW73" s="73"/>
      <c r="BX73" s="73"/>
      <c r="BY73" s="73"/>
      <c r="BZ73" s="73"/>
      <c r="CE73" s="73"/>
    </row>
    <row r="74" spans="1:83" ht="12.75">
      <c r="A74" s="73"/>
      <c r="B74" s="134" t="s">
        <v>861</v>
      </c>
      <c r="C74" s="135">
        <v>3.5000000000000003E-2</v>
      </c>
      <c r="D74" s="136"/>
      <c r="E74" s="137"/>
      <c r="F74" s="137"/>
      <c r="G74" s="137"/>
      <c r="H74" s="137"/>
      <c r="I74" s="137"/>
      <c r="J74" s="138"/>
      <c r="K74" s="77"/>
      <c r="L74" s="77"/>
      <c r="M74" s="77"/>
      <c r="N74" s="77"/>
      <c r="O74" s="77"/>
      <c r="P74" s="77"/>
      <c r="Q74" s="77"/>
      <c r="R74" s="77"/>
      <c r="S74" s="77"/>
      <c r="T74" s="77"/>
      <c r="U74" s="77"/>
      <c r="V74" s="77"/>
      <c r="W74" s="77"/>
      <c r="X74" s="77"/>
      <c r="Y74" s="77"/>
      <c r="Z74" s="77"/>
      <c r="AA74" s="77"/>
      <c r="AB74" s="77"/>
      <c r="AC74" s="77"/>
      <c r="AD74" s="77"/>
      <c r="AE74" s="77"/>
      <c r="AF74" s="77"/>
      <c r="AG74" s="77"/>
      <c r="AH74" s="77"/>
      <c r="AI74" s="77"/>
      <c r="AJ74" s="77"/>
      <c r="AK74" s="77"/>
      <c r="AL74" s="77"/>
      <c r="AM74" s="77"/>
      <c r="AN74" s="77"/>
      <c r="AO74" s="77"/>
      <c r="AP74" s="77"/>
      <c r="AQ74" s="73"/>
      <c r="AR74" s="77"/>
      <c r="AS74" s="73"/>
      <c r="AT74" s="77"/>
      <c r="AU74" s="73"/>
      <c r="AV74" s="73"/>
      <c r="AW74" s="73"/>
      <c r="AX74" s="73"/>
      <c r="AY74" s="73"/>
      <c r="AZ74" s="73"/>
      <c r="BA74" s="73"/>
      <c r="BB74" s="73"/>
      <c r="BC74" s="77"/>
      <c r="BD74" s="73"/>
      <c r="BE74" s="73"/>
      <c r="BF74" s="73"/>
      <c r="BG74" s="73"/>
      <c r="BH74" s="73"/>
      <c r="BI74" s="73"/>
      <c r="BJ74" s="73"/>
      <c r="BK74" s="73"/>
      <c r="BL74" s="73"/>
      <c r="BM74" s="73"/>
      <c r="BN74" s="73"/>
      <c r="BO74" s="73"/>
      <c r="BP74" s="73"/>
      <c r="BQ74" s="73"/>
      <c r="BR74" s="73"/>
      <c r="BS74" s="73"/>
      <c r="BT74" s="73"/>
      <c r="BU74" s="73"/>
      <c r="BV74" s="73"/>
      <c r="BW74" s="73"/>
      <c r="BX74" s="73"/>
      <c r="BY74" s="73"/>
      <c r="BZ74" s="73"/>
      <c r="CE74" s="73"/>
    </row>
  </sheetData>
  <pageMargins left="0.7" right="0.7" top="0.75" bottom="0.75" header="0.3" footer="0.3"/>
  <pageSetup paperSize="9" orientation="portrait" horizontalDpi="90" verticalDpi="90" r:id="rId1"/>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54">
    <tabColor rgb="FFFF0000"/>
  </sheetPr>
  <dimension ref="B1:AL71"/>
  <sheetViews>
    <sheetView showGridLines="0" view="pageBreakPreview" topLeftCell="F1" zoomScale="60" zoomScaleNormal="100" workbookViewId="0">
      <selection activeCell="X23" sqref="X23"/>
    </sheetView>
  </sheetViews>
  <sheetFormatPr defaultRowHeight="12.75" outlineLevelCol="1"/>
  <cols>
    <col min="1" max="1" width="2.83203125" style="62" customWidth="1"/>
    <col min="2" max="2" width="11.83203125" style="62" customWidth="1"/>
    <col min="3" max="4" width="26.33203125" style="62" customWidth="1"/>
    <col min="5" max="5" width="26.33203125" style="62" customWidth="1" outlineLevel="1"/>
    <col min="6" max="6" width="13.83203125" style="62" bestFit="1" customWidth="1"/>
    <col min="7" max="7" width="10" style="62" customWidth="1" outlineLevel="1"/>
    <col min="8" max="8" width="2.83203125" style="62" customWidth="1"/>
    <col min="9" max="11" width="16.33203125" style="62" customWidth="1"/>
    <col min="12" max="12" width="15.6640625" style="62" customWidth="1"/>
    <col min="13" max="13" width="2.83203125" style="62" customWidth="1"/>
    <col min="14" max="16" width="19.1640625" style="62" customWidth="1"/>
    <col min="17" max="17" width="2.83203125" style="62" customWidth="1"/>
    <col min="18" max="20" width="11.33203125" style="62" customWidth="1"/>
    <col min="21" max="22" width="11.33203125" style="62" customWidth="1" outlineLevel="1"/>
    <col min="23" max="23" width="2.83203125" style="62" customWidth="1"/>
    <col min="24" max="26" width="11.33203125" style="62" customWidth="1" outlineLevel="1"/>
    <col min="27" max="27" width="2.83203125" style="62" customWidth="1" outlineLevel="1"/>
    <col min="28" max="30" width="11.33203125" style="62" customWidth="1" outlineLevel="1"/>
    <col min="31" max="31" width="2.83203125" style="62" customWidth="1" outlineLevel="1"/>
    <col min="32" max="32" width="11.33203125" customWidth="1"/>
    <col min="33" max="33" width="2.83203125" customWidth="1"/>
    <col min="34" max="34" width="12.1640625" style="62" customWidth="1"/>
    <col min="35" max="35" width="11.6640625" style="62" customWidth="1"/>
    <col min="36" max="36" width="2.83203125" style="62" customWidth="1"/>
    <col min="37" max="37" width="24.6640625" style="62" customWidth="1"/>
    <col min="38" max="38" width="10.33203125" style="62" customWidth="1"/>
    <col min="39" max="16384" width="9.33203125" style="62"/>
  </cols>
  <sheetData>
    <row r="1" spans="2:38" ht="10.7" customHeight="1" thickBot="1">
      <c r="AF1" s="62"/>
      <c r="AG1" s="62"/>
    </row>
    <row r="2" spans="2:38" ht="16.5" customHeight="1" thickTop="1">
      <c r="B2" s="4" t="s">
        <v>734</v>
      </c>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K2" s="52" t="s">
        <v>87</v>
      </c>
      <c r="AL2" s="53">
        <v>42704</v>
      </c>
    </row>
    <row r="3" spans="2:38" ht="15.75" customHeight="1">
      <c r="B3" s="5" t="s">
        <v>900</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K3" s="51" t="s">
        <v>489</v>
      </c>
      <c r="AL3" s="55" t="s">
        <v>491</v>
      </c>
    </row>
    <row r="4" spans="2:38" ht="16.5" customHeight="1" thickBot="1">
      <c r="B4" s="6" t="s">
        <v>825</v>
      </c>
      <c r="C4" s="6"/>
      <c r="D4" s="6"/>
      <c r="E4" s="6"/>
      <c r="F4" s="6"/>
      <c r="G4" s="6"/>
      <c r="H4" s="6"/>
      <c r="I4" s="6"/>
      <c r="J4" s="6"/>
      <c r="K4" s="6"/>
      <c r="L4" s="6"/>
      <c r="M4" s="6"/>
      <c r="N4" s="7"/>
      <c r="O4" s="7"/>
      <c r="P4" s="7"/>
      <c r="Q4" s="7" t="s">
        <v>88</v>
      </c>
      <c r="R4" s="7"/>
      <c r="S4" s="7"/>
      <c r="T4" s="7"/>
      <c r="U4" s="7"/>
      <c r="V4" s="7"/>
      <c r="W4" s="7"/>
      <c r="X4" s="7"/>
      <c r="Y4" s="7"/>
      <c r="Z4" s="7"/>
      <c r="AA4" s="7"/>
      <c r="AB4" s="7"/>
      <c r="AC4" s="7"/>
      <c r="AD4" s="7"/>
      <c r="AE4" s="7"/>
      <c r="AF4" s="7"/>
      <c r="AG4" s="7"/>
      <c r="AH4" s="7"/>
      <c r="AI4" s="7"/>
      <c r="AK4" s="51" t="s">
        <v>490</v>
      </c>
      <c r="AL4" s="55" t="s">
        <v>492</v>
      </c>
    </row>
    <row r="5" spans="2:38" s="8" customFormat="1" ht="12.75" customHeight="1" thickTop="1">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19" t="s">
        <v>89</v>
      </c>
      <c r="AL5" s="54" t="s">
        <v>90</v>
      </c>
    </row>
    <row r="6" spans="2:38" ht="12.75" customHeight="1">
      <c r="AF6" s="62"/>
      <c r="AG6" s="62"/>
    </row>
    <row r="7" spans="2:38" ht="12.75" customHeight="1">
      <c r="I7" s="10" t="s">
        <v>505</v>
      </c>
      <c r="J7" s="217"/>
      <c r="K7" s="217"/>
      <c r="L7" s="12"/>
      <c r="N7" s="10" t="s">
        <v>374</v>
      </c>
      <c r="O7" s="11"/>
      <c r="P7" s="12"/>
      <c r="R7" s="58" t="s">
        <v>373</v>
      </c>
      <c r="S7" s="60"/>
      <c r="T7" s="65"/>
      <c r="U7" s="60"/>
      <c r="V7" s="61"/>
      <c r="X7" s="10" t="s">
        <v>375</v>
      </c>
      <c r="Y7" s="11"/>
      <c r="Z7" s="12"/>
      <c r="AB7" s="10" t="s">
        <v>376</v>
      </c>
      <c r="AC7" s="11"/>
      <c r="AD7" s="12"/>
      <c r="AF7" s="2114" t="s">
        <v>633</v>
      </c>
      <c r="AG7" s="62"/>
      <c r="AH7" s="10" t="s">
        <v>379</v>
      </c>
      <c r="AI7" s="63"/>
    </row>
    <row r="8" spans="2:38" s="2" customFormat="1" ht="30.75" customHeight="1">
      <c r="B8" s="31" t="s">
        <v>368</v>
      </c>
      <c r="C8" s="29" t="s">
        <v>975</v>
      </c>
      <c r="D8" s="29" t="s">
        <v>369</v>
      </c>
      <c r="E8" s="29" t="s">
        <v>509</v>
      </c>
      <c r="F8" s="66" t="s">
        <v>370</v>
      </c>
      <c r="G8" s="30" t="s">
        <v>372</v>
      </c>
      <c r="I8" s="31" t="s">
        <v>153</v>
      </c>
      <c r="J8" s="218" t="s">
        <v>2374</v>
      </c>
      <c r="K8" s="218" t="s">
        <v>2375</v>
      </c>
      <c r="L8" s="30" t="s">
        <v>506</v>
      </c>
      <c r="M8" s="28"/>
      <c r="N8" s="31" t="s">
        <v>168</v>
      </c>
      <c r="O8" s="29" t="s">
        <v>181</v>
      </c>
      <c r="P8" s="30" t="s">
        <v>182</v>
      </c>
      <c r="R8" s="31" t="s">
        <v>168</v>
      </c>
      <c r="S8" s="29" t="s">
        <v>181</v>
      </c>
      <c r="T8" s="66" t="s">
        <v>182</v>
      </c>
      <c r="U8" s="29" t="s">
        <v>507</v>
      </c>
      <c r="V8" s="30" t="s">
        <v>508</v>
      </c>
      <c r="X8" s="31" t="s">
        <v>168</v>
      </c>
      <c r="Y8" s="29" t="s">
        <v>181</v>
      </c>
      <c r="Z8" s="30" t="s">
        <v>182</v>
      </c>
      <c r="AB8" s="31" t="s">
        <v>168</v>
      </c>
      <c r="AC8" s="29" t="s">
        <v>181</v>
      </c>
      <c r="AD8" s="30" t="s">
        <v>182</v>
      </c>
      <c r="AF8" s="2115"/>
      <c r="AH8" s="26" t="s">
        <v>377</v>
      </c>
      <c r="AI8" s="27" t="s">
        <v>378</v>
      </c>
      <c r="AK8" s="91" t="s">
        <v>371</v>
      </c>
    </row>
    <row r="9" spans="2:38" ht="12.75" customHeight="1">
      <c r="AF9" s="62"/>
      <c r="AG9" s="62"/>
    </row>
    <row r="10" spans="2:38" s="40" customFormat="1" ht="12.75" customHeight="1">
      <c r="B10" s="89">
        <v>42174</v>
      </c>
      <c r="C10" s="84" t="s">
        <v>910</v>
      </c>
      <c r="D10" s="84" t="s">
        <v>911</v>
      </c>
      <c r="E10" s="84" t="s">
        <v>906</v>
      </c>
      <c r="F10" s="88">
        <v>1</v>
      </c>
      <c r="G10" s="87" t="s">
        <v>901</v>
      </c>
      <c r="I10" s="86">
        <v>8623.2993399999996</v>
      </c>
      <c r="J10" s="86"/>
      <c r="K10" s="86"/>
      <c r="L10" s="86">
        <v>8955.5517299999992</v>
      </c>
      <c r="M10" s="44"/>
      <c r="N10" s="86">
        <v>5.8330000000000002</v>
      </c>
      <c r="O10" s="86">
        <v>-209.39500000000001</v>
      </c>
      <c r="P10" s="86">
        <v>-215.7</v>
      </c>
      <c r="Q10" s="44"/>
      <c r="R10" s="45">
        <v>1478.3643648208467</v>
      </c>
      <c r="S10" s="45">
        <v>-41.181973495069123</v>
      </c>
      <c r="T10" s="45">
        <v>-39.978207417709783</v>
      </c>
      <c r="U10" s="83">
        <v>11.42728</v>
      </c>
      <c r="V10" s="83" t="s">
        <v>874</v>
      </c>
      <c r="W10" s="44"/>
      <c r="X10" s="86">
        <v>16.040900000000001</v>
      </c>
      <c r="Y10" s="86">
        <v>-271.76409999999998</v>
      </c>
      <c r="Z10" s="43" t="s">
        <v>874</v>
      </c>
      <c r="AA10" s="44"/>
      <c r="AB10" s="45">
        <v>537.5820147248595</v>
      </c>
      <c r="AC10" s="45">
        <v>-31.730825889070704</v>
      </c>
      <c r="AD10" s="83" t="s">
        <v>13</v>
      </c>
      <c r="AE10" s="84"/>
      <c r="AF10" s="45"/>
      <c r="AG10" s="44"/>
      <c r="AH10" s="85">
        <v>1.2368589999999999</v>
      </c>
      <c r="AI10" s="85">
        <v>1.4347749999999999</v>
      </c>
      <c r="AK10" s="57" t="s">
        <v>912</v>
      </c>
      <c r="AL10" s="40" t="s">
        <v>913</v>
      </c>
    </row>
    <row r="11" spans="2:38" s="40" customFormat="1" ht="12.75" customHeight="1">
      <c r="B11" s="39">
        <v>42139</v>
      </c>
      <c r="C11" s="40" t="s">
        <v>914</v>
      </c>
      <c r="D11" s="40" t="s">
        <v>915</v>
      </c>
      <c r="E11" s="40" t="s">
        <v>906</v>
      </c>
      <c r="F11" s="41">
        <v>1</v>
      </c>
      <c r="G11" s="42" t="s">
        <v>901</v>
      </c>
      <c r="I11" s="43">
        <v>42.191209999999998</v>
      </c>
      <c r="J11" s="43"/>
      <c r="K11" s="43"/>
      <c r="L11" s="43">
        <v>32.759169999999997</v>
      </c>
      <c r="M11" s="44"/>
      <c r="N11" s="43">
        <v>0</v>
      </c>
      <c r="O11" s="43">
        <v>0</v>
      </c>
      <c r="P11" s="43">
        <v>0</v>
      </c>
      <c r="Q11" s="44"/>
      <c r="R11" s="45" t="s">
        <v>13</v>
      </c>
      <c r="S11" s="45" t="s">
        <v>13</v>
      </c>
      <c r="T11" s="45" t="s">
        <v>13</v>
      </c>
      <c r="U11" s="45">
        <v>5.1156100000000002</v>
      </c>
      <c r="V11" s="45" t="s">
        <v>874</v>
      </c>
      <c r="W11" s="44"/>
      <c r="X11" s="43">
        <v>0</v>
      </c>
      <c r="Y11" s="43">
        <v>0</v>
      </c>
      <c r="Z11" s="43">
        <v>0</v>
      </c>
      <c r="AA11" s="44"/>
      <c r="AB11" s="45" t="s">
        <v>13</v>
      </c>
      <c r="AC11" s="45" t="s">
        <v>13</v>
      </c>
      <c r="AD11" s="45" t="s">
        <v>13</v>
      </c>
      <c r="AF11" s="45"/>
      <c r="AG11" s="44"/>
      <c r="AH11" s="46" t="s">
        <v>874</v>
      </c>
      <c r="AI11" s="46" t="s">
        <v>874</v>
      </c>
      <c r="AK11" s="57" t="s">
        <v>916</v>
      </c>
      <c r="AL11" s="40" t="s">
        <v>917</v>
      </c>
    </row>
    <row r="12" spans="2:38" s="40" customFormat="1" ht="12.75" customHeight="1">
      <c r="B12" s="39">
        <v>42033</v>
      </c>
      <c r="C12" s="40" t="s">
        <v>918</v>
      </c>
      <c r="D12" s="40" t="s">
        <v>919</v>
      </c>
      <c r="E12" s="40" t="s">
        <v>906</v>
      </c>
      <c r="F12" s="41">
        <v>1</v>
      </c>
      <c r="G12" s="42" t="s">
        <v>901</v>
      </c>
      <c r="I12" s="43">
        <v>775.39449000000002</v>
      </c>
      <c r="J12" s="43"/>
      <c r="K12" s="43"/>
      <c r="L12" s="43">
        <v>846.49251000000004</v>
      </c>
      <c r="M12" s="44"/>
      <c r="N12" s="43">
        <v>21.066389999999998</v>
      </c>
      <c r="O12" s="43">
        <v>-18.281590000000001</v>
      </c>
      <c r="P12" s="43">
        <v>-19.488579999999999</v>
      </c>
      <c r="Q12" s="44"/>
      <c r="R12" s="45">
        <v>36.80718386016779</v>
      </c>
      <c r="S12" s="45">
        <v>-42.413952506319198</v>
      </c>
      <c r="T12" s="45">
        <v>-39.787120970332374</v>
      </c>
      <c r="U12" s="45">
        <v>9.6306100000000008</v>
      </c>
      <c r="V12" s="45" t="s">
        <v>874</v>
      </c>
      <c r="W12" s="44"/>
      <c r="X12" s="43">
        <v>0</v>
      </c>
      <c r="Y12" s="43">
        <v>-47.567399999999999</v>
      </c>
      <c r="Z12" s="43" t="s">
        <v>874</v>
      </c>
      <c r="AA12" s="44"/>
      <c r="AB12" s="45" t="s">
        <v>13</v>
      </c>
      <c r="AC12" s="45">
        <v>-16.300964315897023</v>
      </c>
      <c r="AD12" s="45" t="s">
        <v>13</v>
      </c>
      <c r="AF12" s="45"/>
      <c r="AG12" s="44"/>
      <c r="AH12" s="46">
        <v>0.50551299999999999</v>
      </c>
      <c r="AI12" s="46">
        <v>0.477935</v>
      </c>
      <c r="AK12" s="57" t="s">
        <v>920</v>
      </c>
      <c r="AL12" s="40" t="s">
        <v>921</v>
      </c>
    </row>
    <row r="13" spans="2:38" s="40" customFormat="1" ht="12.75" customHeight="1">
      <c r="B13" s="39">
        <v>41820</v>
      </c>
      <c r="C13" s="40" t="s">
        <v>908</v>
      </c>
      <c r="D13" s="40" t="s">
        <v>922</v>
      </c>
      <c r="E13" s="40" t="s">
        <v>906</v>
      </c>
      <c r="F13" s="41">
        <v>1</v>
      </c>
      <c r="G13" s="42" t="s">
        <v>901</v>
      </c>
      <c r="I13" s="43">
        <v>154.91475</v>
      </c>
      <c r="J13" s="43"/>
      <c r="K13" s="43"/>
      <c r="L13" s="43">
        <v>154.91475</v>
      </c>
      <c r="M13" s="44"/>
      <c r="N13" s="43">
        <v>0</v>
      </c>
      <c r="O13" s="43">
        <v>0</v>
      </c>
      <c r="P13" s="43">
        <v>0</v>
      </c>
      <c r="Q13" s="44"/>
      <c r="R13" s="45" t="s">
        <v>13</v>
      </c>
      <c r="S13" s="45" t="s">
        <v>13</v>
      </c>
      <c r="T13" s="45" t="s">
        <v>13</v>
      </c>
      <c r="U13" s="45" t="s">
        <v>640</v>
      </c>
      <c r="V13" s="45" t="s">
        <v>640</v>
      </c>
      <c r="W13" s="44"/>
      <c r="X13" s="43">
        <v>0</v>
      </c>
      <c r="Y13" s="43">
        <v>0</v>
      </c>
      <c r="Z13" s="43">
        <v>0</v>
      </c>
      <c r="AA13" s="44"/>
      <c r="AB13" s="45" t="s">
        <v>13</v>
      </c>
      <c r="AC13" s="45" t="s">
        <v>13</v>
      </c>
      <c r="AD13" s="45" t="s">
        <v>13</v>
      </c>
      <c r="AF13" s="45"/>
      <c r="AG13" s="44"/>
      <c r="AH13" s="46" t="s">
        <v>874</v>
      </c>
      <c r="AI13" s="46" t="s">
        <v>874</v>
      </c>
      <c r="AK13" s="69" t="s">
        <v>923</v>
      </c>
      <c r="AL13" s="40" t="s">
        <v>924</v>
      </c>
    </row>
    <row r="14" spans="2:38" s="40" customFormat="1" ht="12.75" customHeight="1">
      <c r="B14" s="39">
        <v>41792</v>
      </c>
      <c r="C14" s="40" t="s">
        <v>909</v>
      </c>
      <c r="D14" s="40" t="s">
        <v>925</v>
      </c>
      <c r="E14" s="40" t="s">
        <v>906</v>
      </c>
      <c r="F14" s="41">
        <v>1</v>
      </c>
      <c r="G14" s="42" t="s">
        <v>901</v>
      </c>
      <c r="I14" s="43">
        <v>0</v>
      </c>
      <c r="J14" s="43"/>
      <c r="K14" s="43"/>
      <c r="L14" s="43">
        <v>0</v>
      </c>
      <c r="M14" s="44"/>
      <c r="N14" s="43">
        <v>0</v>
      </c>
      <c r="O14" s="43">
        <v>0</v>
      </c>
      <c r="P14" s="43">
        <v>0</v>
      </c>
      <c r="Q14" s="44"/>
      <c r="R14" s="45" t="s">
        <v>13</v>
      </c>
      <c r="S14" s="45" t="s">
        <v>13</v>
      </c>
      <c r="T14" s="45" t="s">
        <v>13</v>
      </c>
      <c r="U14" s="45" t="s">
        <v>640</v>
      </c>
      <c r="V14" s="45" t="s">
        <v>640</v>
      </c>
      <c r="W14" s="44"/>
      <c r="X14" s="43">
        <v>0</v>
      </c>
      <c r="Y14" s="43">
        <v>0</v>
      </c>
      <c r="Z14" s="43">
        <v>0</v>
      </c>
      <c r="AA14" s="44"/>
      <c r="AB14" s="45" t="s">
        <v>13</v>
      </c>
      <c r="AC14" s="45" t="s">
        <v>13</v>
      </c>
      <c r="AD14" s="45" t="s">
        <v>13</v>
      </c>
      <c r="AF14" s="45"/>
      <c r="AG14" s="44"/>
      <c r="AH14" s="46" t="s">
        <v>874</v>
      </c>
      <c r="AI14" s="46" t="s">
        <v>874</v>
      </c>
      <c r="AK14" s="69" t="s">
        <v>926</v>
      </c>
      <c r="AL14" s="40" t="s">
        <v>927</v>
      </c>
    </row>
    <row r="15" spans="2:38" s="40" customFormat="1" ht="12.75" customHeight="1">
      <c r="B15" s="39">
        <v>41670</v>
      </c>
      <c r="C15" s="40" t="s">
        <v>928</v>
      </c>
      <c r="D15" s="40" t="s">
        <v>929</v>
      </c>
      <c r="E15" s="40" t="s">
        <v>906</v>
      </c>
      <c r="F15" s="41">
        <v>0.90760000000000007</v>
      </c>
      <c r="G15" s="42" t="s">
        <v>901</v>
      </c>
      <c r="I15" s="43">
        <v>9.8267000000000007</v>
      </c>
      <c r="J15" s="43"/>
      <c r="K15" s="43"/>
      <c r="L15" s="43">
        <v>9.1719600000000003</v>
      </c>
      <c r="M15" s="44"/>
      <c r="N15" s="43">
        <v>2.15462</v>
      </c>
      <c r="O15" s="43">
        <v>0</v>
      </c>
      <c r="P15" s="43">
        <v>-2.2469600000000001</v>
      </c>
      <c r="Q15" s="44"/>
      <c r="R15" s="45">
        <v>4.5607578134427422</v>
      </c>
      <c r="S15" s="45" t="s">
        <v>13</v>
      </c>
      <c r="T15" s="45">
        <v>-4.3733310784348634</v>
      </c>
      <c r="U15" s="45">
        <v>1.8689899999999999</v>
      </c>
      <c r="V15" s="45" t="s">
        <v>874</v>
      </c>
      <c r="W15" s="44"/>
      <c r="X15" s="43">
        <v>0</v>
      </c>
      <c r="Y15" s="43">
        <v>0</v>
      </c>
      <c r="Z15" s="43">
        <v>0</v>
      </c>
      <c r="AA15" s="44"/>
      <c r="AB15" s="45" t="s">
        <v>13</v>
      </c>
      <c r="AC15" s="45" t="s">
        <v>13</v>
      </c>
      <c r="AD15" s="45" t="s">
        <v>13</v>
      </c>
      <c r="AF15" s="45"/>
      <c r="AG15" s="44"/>
      <c r="AH15" s="46" t="s">
        <v>874</v>
      </c>
      <c r="AI15" s="46" t="s">
        <v>874</v>
      </c>
      <c r="AK15" s="69" t="s">
        <v>930</v>
      </c>
      <c r="AL15" s="40" t="s">
        <v>931</v>
      </c>
    </row>
    <row r="16" spans="2:38" s="40" customFormat="1" ht="12.75" customHeight="1">
      <c r="B16" s="39">
        <v>41548</v>
      </c>
      <c r="C16" s="40" t="s">
        <v>1090</v>
      </c>
      <c r="D16" s="40" t="s">
        <v>932</v>
      </c>
      <c r="E16" s="40" t="s">
        <v>906</v>
      </c>
      <c r="F16" s="41">
        <v>1</v>
      </c>
      <c r="G16" s="42" t="s">
        <v>901</v>
      </c>
      <c r="I16" s="43">
        <v>69.375990000000002</v>
      </c>
      <c r="J16" s="43"/>
      <c r="K16" s="43"/>
      <c r="L16" s="43">
        <v>72.898989999999998</v>
      </c>
      <c r="M16" s="44"/>
      <c r="N16" s="43">
        <v>0.60199999999999998</v>
      </c>
      <c r="O16" s="43">
        <v>-5.1040000000000001</v>
      </c>
      <c r="P16" s="43">
        <v>-5.14</v>
      </c>
      <c r="Q16" s="44"/>
      <c r="R16" s="45">
        <v>115.24250830564785</v>
      </c>
      <c r="S16" s="45">
        <v>-13.592474529780564</v>
      </c>
      <c r="T16" s="45">
        <v>-13.497274319066149</v>
      </c>
      <c r="U16" s="45" t="s">
        <v>874</v>
      </c>
      <c r="V16" s="45" t="s">
        <v>874</v>
      </c>
      <c r="W16" s="44"/>
      <c r="X16" s="43">
        <v>0</v>
      </c>
      <c r="Y16" s="43">
        <v>0</v>
      </c>
      <c r="Z16" s="43">
        <v>0</v>
      </c>
      <c r="AA16" s="44"/>
      <c r="AB16" s="45" t="s">
        <v>13</v>
      </c>
      <c r="AC16" s="45" t="s">
        <v>13</v>
      </c>
      <c r="AD16" s="45" t="s">
        <v>13</v>
      </c>
      <c r="AF16" s="45"/>
      <c r="AG16" s="44"/>
      <c r="AH16" s="46" t="s">
        <v>874</v>
      </c>
      <c r="AI16" s="46" t="s">
        <v>874</v>
      </c>
      <c r="AK16" s="69" t="s">
        <v>933</v>
      </c>
      <c r="AL16" s="40" t="s">
        <v>1776</v>
      </c>
    </row>
    <row r="17" spans="2:38" s="40" customFormat="1" ht="12.75" customHeight="1">
      <c r="B17" s="39" t="s">
        <v>878</v>
      </c>
      <c r="C17" s="40" t="s">
        <v>878</v>
      </c>
      <c r="D17" s="40" t="s">
        <v>878</v>
      </c>
      <c r="E17" s="40" t="s">
        <v>876</v>
      </c>
      <c r="F17" s="41" t="e">
        <v>#VALUE!</v>
      </c>
      <c r="G17" s="42" t="s">
        <v>878</v>
      </c>
      <c r="I17" s="43" t="s">
        <v>878</v>
      </c>
      <c r="J17" s="43"/>
      <c r="K17" s="43"/>
      <c r="L17" s="43" t="s">
        <v>878</v>
      </c>
      <c r="M17" s="44"/>
      <c r="N17" s="43" t="s">
        <v>878</v>
      </c>
      <c r="O17" s="43" t="s">
        <v>878</v>
      </c>
      <c r="P17" s="43" t="s">
        <v>878</v>
      </c>
      <c r="Q17" s="44"/>
      <c r="R17" s="45" t="s">
        <v>13</v>
      </c>
      <c r="S17" s="45" t="s">
        <v>13</v>
      </c>
      <c r="T17" s="45" t="s">
        <v>13</v>
      </c>
      <c r="U17" s="45" t="s">
        <v>878</v>
      </c>
      <c r="V17" s="45" t="s">
        <v>878</v>
      </c>
      <c r="W17" s="44"/>
      <c r="X17" s="43" t="s">
        <v>878</v>
      </c>
      <c r="Y17" s="43" t="s">
        <v>878</v>
      </c>
      <c r="Z17" s="43" t="s">
        <v>878</v>
      </c>
      <c r="AA17" s="44"/>
      <c r="AB17" s="45" t="s">
        <v>13</v>
      </c>
      <c r="AC17" s="45" t="s">
        <v>13</v>
      </c>
      <c r="AD17" s="45" t="s">
        <v>13</v>
      </c>
      <c r="AF17" s="45"/>
      <c r="AG17" s="44"/>
      <c r="AH17" s="46" t="e">
        <v>#VALUE!</v>
      </c>
      <c r="AI17" s="46" t="e">
        <v>#VALUE!</v>
      </c>
      <c r="AK17" s="69">
        <v>0</v>
      </c>
      <c r="AL17" s="40" t="s">
        <v>876</v>
      </c>
    </row>
    <row r="18" spans="2:38" s="40" customFormat="1" ht="12.75" customHeight="1">
      <c r="B18" s="39" t="s">
        <v>878</v>
      </c>
      <c r="C18" s="40" t="s">
        <v>878</v>
      </c>
      <c r="D18" s="40" t="s">
        <v>878</v>
      </c>
      <c r="E18" s="40" t="s">
        <v>876</v>
      </c>
      <c r="F18" s="41" t="e">
        <v>#VALUE!</v>
      </c>
      <c r="G18" s="42" t="s">
        <v>878</v>
      </c>
      <c r="I18" s="43" t="s">
        <v>878</v>
      </c>
      <c r="J18" s="43"/>
      <c r="K18" s="43"/>
      <c r="L18" s="43" t="s">
        <v>878</v>
      </c>
      <c r="M18" s="44"/>
      <c r="N18" s="43" t="s">
        <v>878</v>
      </c>
      <c r="O18" s="43" t="s">
        <v>878</v>
      </c>
      <c r="P18" s="43" t="s">
        <v>878</v>
      </c>
      <c r="Q18" s="44"/>
      <c r="R18" s="45" t="s">
        <v>13</v>
      </c>
      <c r="S18" s="45" t="s">
        <v>13</v>
      </c>
      <c r="T18" s="45" t="s">
        <v>13</v>
      </c>
      <c r="U18" s="45" t="s">
        <v>878</v>
      </c>
      <c r="V18" s="45" t="s">
        <v>878</v>
      </c>
      <c r="W18" s="44"/>
      <c r="X18" s="43" t="s">
        <v>878</v>
      </c>
      <c r="Y18" s="43" t="s">
        <v>878</v>
      </c>
      <c r="Z18" s="43" t="s">
        <v>878</v>
      </c>
      <c r="AA18" s="44"/>
      <c r="AB18" s="45" t="s">
        <v>13</v>
      </c>
      <c r="AC18" s="45" t="s">
        <v>13</v>
      </c>
      <c r="AD18" s="45" t="s">
        <v>13</v>
      </c>
      <c r="AF18" s="45"/>
      <c r="AG18" s="44"/>
      <c r="AH18" s="46" t="e">
        <v>#VALUE!</v>
      </c>
      <c r="AI18" s="46" t="e">
        <v>#VALUE!</v>
      </c>
      <c r="AK18" s="69">
        <v>0</v>
      </c>
      <c r="AL18" s="40" t="s">
        <v>876</v>
      </c>
    </row>
    <row r="19" spans="2:38" s="40" customFormat="1" ht="12.75" customHeight="1">
      <c r="B19" s="39" t="s">
        <v>878</v>
      </c>
      <c r="C19" s="40" t="s">
        <v>878</v>
      </c>
      <c r="D19" s="40" t="s">
        <v>878</v>
      </c>
      <c r="E19" s="40" t="s">
        <v>876</v>
      </c>
      <c r="F19" s="41" t="e">
        <v>#VALUE!</v>
      </c>
      <c r="G19" s="42" t="s">
        <v>878</v>
      </c>
      <c r="I19" s="43" t="s">
        <v>878</v>
      </c>
      <c r="J19" s="43"/>
      <c r="K19" s="43"/>
      <c r="L19" s="43" t="s">
        <v>878</v>
      </c>
      <c r="M19" s="44"/>
      <c r="N19" s="43" t="s">
        <v>878</v>
      </c>
      <c r="O19" s="43" t="s">
        <v>878</v>
      </c>
      <c r="P19" s="43" t="s">
        <v>878</v>
      </c>
      <c r="Q19" s="44"/>
      <c r="R19" s="45" t="s">
        <v>13</v>
      </c>
      <c r="S19" s="45" t="s">
        <v>13</v>
      </c>
      <c r="T19" s="45" t="s">
        <v>13</v>
      </c>
      <c r="U19" s="45" t="s">
        <v>878</v>
      </c>
      <c r="V19" s="45" t="s">
        <v>878</v>
      </c>
      <c r="W19" s="44"/>
      <c r="X19" s="43" t="s">
        <v>878</v>
      </c>
      <c r="Y19" s="43" t="s">
        <v>878</v>
      </c>
      <c r="Z19" s="43" t="s">
        <v>878</v>
      </c>
      <c r="AA19" s="44"/>
      <c r="AB19" s="45" t="s">
        <v>13</v>
      </c>
      <c r="AC19" s="45" t="s">
        <v>13</v>
      </c>
      <c r="AD19" s="45" t="s">
        <v>13</v>
      </c>
      <c r="AF19" s="45"/>
      <c r="AG19" s="44"/>
      <c r="AH19" s="46" t="e">
        <v>#VALUE!</v>
      </c>
      <c r="AI19" s="46" t="e">
        <v>#VALUE!</v>
      </c>
      <c r="AK19" s="69">
        <v>0</v>
      </c>
      <c r="AL19" s="40" t="s">
        <v>876</v>
      </c>
    </row>
    <row r="20" spans="2:38" s="40" customFormat="1" ht="12.75" customHeight="1">
      <c r="B20" s="39" t="s">
        <v>878</v>
      </c>
      <c r="C20" s="40" t="s">
        <v>878</v>
      </c>
      <c r="D20" s="40" t="s">
        <v>878</v>
      </c>
      <c r="E20" s="40" t="s">
        <v>876</v>
      </c>
      <c r="F20" s="41" t="e">
        <v>#VALUE!</v>
      </c>
      <c r="G20" s="42" t="s">
        <v>878</v>
      </c>
      <c r="I20" s="43" t="s">
        <v>878</v>
      </c>
      <c r="J20" s="43"/>
      <c r="K20" s="43"/>
      <c r="L20" s="43" t="s">
        <v>878</v>
      </c>
      <c r="M20" s="44"/>
      <c r="N20" s="43" t="s">
        <v>878</v>
      </c>
      <c r="O20" s="43" t="s">
        <v>878</v>
      </c>
      <c r="P20" s="43" t="s">
        <v>878</v>
      </c>
      <c r="Q20" s="44"/>
      <c r="R20" s="45" t="s">
        <v>13</v>
      </c>
      <c r="S20" s="45" t="s">
        <v>13</v>
      </c>
      <c r="T20" s="45" t="s">
        <v>13</v>
      </c>
      <c r="U20" s="45" t="s">
        <v>878</v>
      </c>
      <c r="V20" s="45" t="s">
        <v>878</v>
      </c>
      <c r="W20" s="44"/>
      <c r="X20" s="43" t="s">
        <v>878</v>
      </c>
      <c r="Y20" s="43" t="s">
        <v>878</v>
      </c>
      <c r="Z20" s="43" t="s">
        <v>878</v>
      </c>
      <c r="AA20" s="44"/>
      <c r="AB20" s="45" t="s">
        <v>13</v>
      </c>
      <c r="AC20" s="45" t="s">
        <v>13</v>
      </c>
      <c r="AD20" s="45" t="s">
        <v>13</v>
      </c>
      <c r="AF20" s="45"/>
      <c r="AG20" s="44"/>
      <c r="AH20" s="46" t="e">
        <v>#VALUE!</v>
      </c>
      <c r="AI20" s="46" t="e">
        <v>#VALUE!</v>
      </c>
      <c r="AK20" s="69">
        <v>0</v>
      </c>
      <c r="AL20" s="40" t="s">
        <v>876</v>
      </c>
    </row>
    <row r="21" spans="2:38" s="40" customFormat="1" ht="12.75" customHeight="1">
      <c r="B21" s="39" t="s">
        <v>878</v>
      </c>
      <c r="C21" s="40" t="s">
        <v>878</v>
      </c>
      <c r="D21" s="40" t="s">
        <v>878</v>
      </c>
      <c r="E21" s="40" t="s">
        <v>876</v>
      </c>
      <c r="F21" s="41" t="e">
        <v>#VALUE!</v>
      </c>
      <c r="G21" s="42" t="s">
        <v>878</v>
      </c>
      <c r="I21" s="43" t="s">
        <v>878</v>
      </c>
      <c r="J21" s="43"/>
      <c r="K21" s="43"/>
      <c r="L21" s="43" t="s">
        <v>878</v>
      </c>
      <c r="M21" s="44"/>
      <c r="N21" s="43" t="s">
        <v>878</v>
      </c>
      <c r="O21" s="43" t="s">
        <v>878</v>
      </c>
      <c r="P21" s="43" t="s">
        <v>878</v>
      </c>
      <c r="Q21" s="44"/>
      <c r="R21" s="45" t="s">
        <v>13</v>
      </c>
      <c r="S21" s="45" t="s">
        <v>13</v>
      </c>
      <c r="T21" s="45" t="s">
        <v>13</v>
      </c>
      <c r="U21" s="45" t="s">
        <v>878</v>
      </c>
      <c r="V21" s="45" t="s">
        <v>878</v>
      </c>
      <c r="W21" s="44"/>
      <c r="X21" s="43" t="s">
        <v>878</v>
      </c>
      <c r="Y21" s="43" t="s">
        <v>878</v>
      </c>
      <c r="Z21" s="43" t="s">
        <v>878</v>
      </c>
      <c r="AA21" s="44"/>
      <c r="AB21" s="45" t="s">
        <v>13</v>
      </c>
      <c r="AC21" s="45" t="s">
        <v>13</v>
      </c>
      <c r="AD21" s="45" t="s">
        <v>13</v>
      </c>
      <c r="AF21" s="45"/>
      <c r="AG21" s="44"/>
      <c r="AH21" s="46" t="e">
        <v>#VALUE!</v>
      </c>
      <c r="AI21" s="46" t="e">
        <v>#VALUE!</v>
      </c>
      <c r="AK21" s="69">
        <v>0</v>
      </c>
      <c r="AL21" s="40" t="s">
        <v>876</v>
      </c>
    </row>
    <row r="22" spans="2:38" s="40" customFormat="1" ht="12.75" customHeight="1">
      <c r="B22" s="39" t="s">
        <v>878</v>
      </c>
      <c r="C22" s="40" t="s">
        <v>878</v>
      </c>
      <c r="D22" s="40" t="s">
        <v>878</v>
      </c>
      <c r="E22" s="40" t="s">
        <v>876</v>
      </c>
      <c r="F22" s="41" t="e">
        <v>#VALUE!</v>
      </c>
      <c r="G22" s="42" t="s">
        <v>878</v>
      </c>
      <c r="I22" s="43" t="s">
        <v>878</v>
      </c>
      <c r="J22" s="43"/>
      <c r="K22" s="43"/>
      <c r="L22" s="43" t="s">
        <v>878</v>
      </c>
      <c r="M22" s="44"/>
      <c r="N22" s="43" t="s">
        <v>878</v>
      </c>
      <c r="O22" s="43" t="s">
        <v>878</v>
      </c>
      <c r="P22" s="43" t="s">
        <v>878</v>
      </c>
      <c r="Q22" s="44"/>
      <c r="R22" s="45" t="s">
        <v>13</v>
      </c>
      <c r="S22" s="45" t="s">
        <v>13</v>
      </c>
      <c r="T22" s="45" t="s">
        <v>13</v>
      </c>
      <c r="U22" s="45" t="s">
        <v>878</v>
      </c>
      <c r="V22" s="45" t="s">
        <v>878</v>
      </c>
      <c r="W22" s="44"/>
      <c r="X22" s="43" t="s">
        <v>878</v>
      </c>
      <c r="Y22" s="43" t="s">
        <v>878</v>
      </c>
      <c r="Z22" s="43" t="s">
        <v>878</v>
      </c>
      <c r="AA22" s="44"/>
      <c r="AB22" s="45" t="s">
        <v>13</v>
      </c>
      <c r="AC22" s="45" t="s">
        <v>13</v>
      </c>
      <c r="AD22" s="45" t="s">
        <v>13</v>
      </c>
      <c r="AF22" s="45"/>
      <c r="AG22" s="44"/>
      <c r="AH22" s="46" t="e">
        <v>#VALUE!</v>
      </c>
      <c r="AI22" s="46" t="e">
        <v>#VALUE!</v>
      </c>
      <c r="AK22" s="69">
        <v>0</v>
      </c>
      <c r="AL22" s="40" t="s">
        <v>876</v>
      </c>
    </row>
    <row r="23" spans="2:38" s="40" customFormat="1" ht="12.75" customHeight="1">
      <c r="B23" s="39" t="s">
        <v>878</v>
      </c>
      <c r="C23" s="40" t="s">
        <v>878</v>
      </c>
      <c r="D23" s="40" t="s">
        <v>878</v>
      </c>
      <c r="E23" s="40" t="s">
        <v>876</v>
      </c>
      <c r="F23" s="41" t="e">
        <v>#VALUE!</v>
      </c>
      <c r="G23" s="42" t="s">
        <v>878</v>
      </c>
      <c r="I23" s="43" t="s">
        <v>878</v>
      </c>
      <c r="J23" s="43"/>
      <c r="K23" s="43"/>
      <c r="L23" s="43" t="s">
        <v>878</v>
      </c>
      <c r="M23" s="44"/>
      <c r="N23" s="43" t="s">
        <v>878</v>
      </c>
      <c r="O23" s="43" t="s">
        <v>878</v>
      </c>
      <c r="P23" s="43" t="s">
        <v>878</v>
      </c>
      <c r="Q23" s="44"/>
      <c r="R23" s="45" t="s">
        <v>13</v>
      </c>
      <c r="S23" s="45" t="s">
        <v>13</v>
      </c>
      <c r="T23" s="45" t="s">
        <v>13</v>
      </c>
      <c r="U23" s="45" t="s">
        <v>878</v>
      </c>
      <c r="V23" s="45" t="s">
        <v>878</v>
      </c>
      <c r="W23" s="44"/>
      <c r="X23" s="43" t="s">
        <v>878</v>
      </c>
      <c r="Y23" s="43" t="s">
        <v>878</v>
      </c>
      <c r="Z23" s="43" t="s">
        <v>878</v>
      </c>
      <c r="AA23" s="44"/>
      <c r="AB23" s="45" t="s">
        <v>13</v>
      </c>
      <c r="AC23" s="45" t="s">
        <v>13</v>
      </c>
      <c r="AD23" s="45" t="s">
        <v>13</v>
      </c>
      <c r="AF23" s="45"/>
      <c r="AG23" s="44"/>
      <c r="AH23" s="46" t="e">
        <v>#VALUE!</v>
      </c>
      <c r="AI23" s="46" t="e">
        <v>#VALUE!</v>
      </c>
      <c r="AK23" s="69">
        <v>0</v>
      </c>
      <c r="AL23" s="40" t="s">
        <v>876</v>
      </c>
    </row>
    <row r="24" spans="2:38" s="40" customFormat="1" ht="12.75" customHeight="1">
      <c r="B24" s="39" t="s">
        <v>878</v>
      </c>
      <c r="C24" s="40" t="s">
        <v>878</v>
      </c>
      <c r="D24" s="40" t="s">
        <v>878</v>
      </c>
      <c r="E24" s="40" t="s">
        <v>876</v>
      </c>
      <c r="F24" s="41" t="e">
        <v>#VALUE!</v>
      </c>
      <c r="G24" s="42" t="s">
        <v>878</v>
      </c>
      <c r="I24" s="43" t="s">
        <v>878</v>
      </c>
      <c r="J24" s="43"/>
      <c r="K24" s="43"/>
      <c r="L24" s="43" t="s">
        <v>878</v>
      </c>
      <c r="M24" s="44"/>
      <c r="N24" s="43" t="s">
        <v>878</v>
      </c>
      <c r="O24" s="43" t="s">
        <v>878</v>
      </c>
      <c r="P24" s="43" t="s">
        <v>878</v>
      </c>
      <c r="Q24" s="44"/>
      <c r="R24" s="45" t="s">
        <v>13</v>
      </c>
      <c r="S24" s="45" t="s">
        <v>13</v>
      </c>
      <c r="T24" s="45" t="s">
        <v>13</v>
      </c>
      <c r="U24" s="45" t="s">
        <v>878</v>
      </c>
      <c r="V24" s="45" t="s">
        <v>878</v>
      </c>
      <c r="W24" s="44"/>
      <c r="X24" s="43" t="s">
        <v>878</v>
      </c>
      <c r="Y24" s="43" t="s">
        <v>878</v>
      </c>
      <c r="Z24" s="43" t="s">
        <v>878</v>
      </c>
      <c r="AA24" s="44"/>
      <c r="AB24" s="45" t="s">
        <v>13</v>
      </c>
      <c r="AC24" s="45" t="s">
        <v>13</v>
      </c>
      <c r="AD24" s="45" t="s">
        <v>13</v>
      </c>
      <c r="AF24" s="45"/>
      <c r="AG24" s="44"/>
      <c r="AH24" s="46" t="e">
        <v>#VALUE!</v>
      </c>
      <c r="AI24" s="46" t="e">
        <v>#VALUE!</v>
      </c>
      <c r="AK24" s="69">
        <v>0</v>
      </c>
      <c r="AL24" s="40" t="s">
        <v>876</v>
      </c>
    </row>
    <row r="25" spans="2:38" s="40" customFormat="1" ht="12.75" customHeight="1">
      <c r="B25" s="39" t="s">
        <v>878</v>
      </c>
      <c r="C25" s="40" t="s">
        <v>878</v>
      </c>
      <c r="D25" s="40" t="s">
        <v>878</v>
      </c>
      <c r="E25" s="40" t="s">
        <v>876</v>
      </c>
      <c r="F25" s="41" t="e">
        <v>#VALUE!</v>
      </c>
      <c r="G25" s="42" t="s">
        <v>878</v>
      </c>
      <c r="I25" s="43" t="s">
        <v>878</v>
      </c>
      <c r="J25" s="43"/>
      <c r="K25" s="43"/>
      <c r="L25" s="43" t="s">
        <v>878</v>
      </c>
      <c r="M25" s="44"/>
      <c r="N25" s="43" t="s">
        <v>878</v>
      </c>
      <c r="O25" s="43" t="s">
        <v>878</v>
      </c>
      <c r="P25" s="43" t="s">
        <v>878</v>
      </c>
      <c r="Q25" s="44"/>
      <c r="R25" s="45" t="s">
        <v>13</v>
      </c>
      <c r="S25" s="45" t="s">
        <v>13</v>
      </c>
      <c r="T25" s="45" t="s">
        <v>13</v>
      </c>
      <c r="U25" s="45" t="s">
        <v>878</v>
      </c>
      <c r="V25" s="45" t="s">
        <v>878</v>
      </c>
      <c r="W25" s="44"/>
      <c r="X25" s="43" t="s">
        <v>878</v>
      </c>
      <c r="Y25" s="43" t="s">
        <v>878</v>
      </c>
      <c r="Z25" s="43" t="s">
        <v>878</v>
      </c>
      <c r="AA25" s="44"/>
      <c r="AB25" s="45" t="s">
        <v>13</v>
      </c>
      <c r="AC25" s="45" t="s">
        <v>13</v>
      </c>
      <c r="AD25" s="45" t="s">
        <v>13</v>
      </c>
      <c r="AF25" s="45"/>
      <c r="AG25" s="44"/>
      <c r="AH25" s="46" t="e">
        <v>#VALUE!</v>
      </c>
      <c r="AI25" s="46" t="e">
        <v>#VALUE!</v>
      </c>
      <c r="AK25" s="69">
        <v>0</v>
      </c>
      <c r="AL25" s="40" t="s">
        <v>876</v>
      </c>
    </row>
    <row r="26" spans="2:38" s="40" customFormat="1" ht="12.75" customHeight="1">
      <c r="B26" s="39" t="s">
        <v>878</v>
      </c>
      <c r="C26" s="40" t="s">
        <v>878</v>
      </c>
      <c r="D26" s="40" t="s">
        <v>878</v>
      </c>
      <c r="E26" s="40" t="s">
        <v>876</v>
      </c>
      <c r="F26" s="41" t="e">
        <v>#VALUE!</v>
      </c>
      <c r="G26" s="42" t="s">
        <v>878</v>
      </c>
      <c r="I26" s="43" t="s">
        <v>878</v>
      </c>
      <c r="J26" s="43"/>
      <c r="K26" s="43"/>
      <c r="L26" s="43" t="s">
        <v>878</v>
      </c>
      <c r="M26" s="44"/>
      <c r="N26" s="43" t="s">
        <v>878</v>
      </c>
      <c r="O26" s="43" t="s">
        <v>878</v>
      </c>
      <c r="P26" s="43" t="s">
        <v>878</v>
      </c>
      <c r="Q26" s="44"/>
      <c r="R26" s="45" t="s">
        <v>13</v>
      </c>
      <c r="S26" s="45" t="s">
        <v>13</v>
      </c>
      <c r="T26" s="45" t="s">
        <v>13</v>
      </c>
      <c r="U26" s="45" t="s">
        <v>878</v>
      </c>
      <c r="V26" s="45" t="s">
        <v>878</v>
      </c>
      <c r="W26" s="44"/>
      <c r="X26" s="43" t="s">
        <v>878</v>
      </c>
      <c r="Y26" s="43" t="s">
        <v>878</v>
      </c>
      <c r="Z26" s="43" t="s">
        <v>878</v>
      </c>
      <c r="AA26" s="44"/>
      <c r="AB26" s="45" t="s">
        <v>13</v>
      </c>
      <c r="AC26" s="45" t="s">
        <v>13</v>
      </c>
      <c r="AD26" s="45" t="s">
        <v>13</v>
      </c>
      <c r="AF26" s="45"/>
      <c r="AG26" s="44"/>
      <c r="AH26" s="46" t="e">
        <v>#VALUE!</v>
      </c>
      <c r="AI26" s="46" t="e">
        <v>#VALUE!</v>
      </c>
      <c r="AK26" s="69">
        <v>0</v>
      </c>
      <c r="AL26" s="40" t="s">
        <v>876</v>
      </c>
    </row>
    <row r="27" spans="2:38" s="40" customFormat="1" ht="12.75" customHeight="1">
      <c r="B27" s="39" t="s">
        <v>878</v>
      </c>
      <c r="C27" s="40" t="s">
        <v>878</v>
      </c>
      <c r="D27" s="40" t="s">
        <v>878</v>
      </c>
      <c r="E27" s="40" t="s">
        <v>876</v>
      </c>
      <c r="F27" s="41" t="e">
        <v>#VALUE!</v>
      </c>
      <c r="G27" s="42" t="s">
        <v>878</v>
      </c>
      <c r="I27" s="43" t="s">
        <v>878</v>
      </c>
      <c r="J27" s="43"/>
      <c r="K27" s="43"/>
      <c r="L27" s="43" t="s">
        <v>878</v>
      </c>
      <c r="M27" s="44"/>
      <c r="N27" s="43" t="s">
        <v>878</v>
      </c>
      <c r="O27" s="43" t="s">
        <v>878</v>
      </c>
      <c r="P27" s="43" t="s">
        <v>878</v>
      </c>
      <c r="Q27" s="44"/>
      <c r="R27" s="45" t="s">
        <v>13</v>
      </c>
      <c r="S27" s="45" t="s">
        <v>13</v>
      </c>
      <c r="T27" s="45" t="s">
        <v>13</v>
      </c>
      <c r="U27" s="45" t="s">
        <v>878</v>
      </c>
      <c r="V27" s="45" t="s">
        <v>878</v>
      </c>
      <c r="W27" s="44"/>
      <c r="X27" s="43" t="s">
        <v>878</v>
      </c>
      <c r="Y27" s="43" t="s">
        <v>878</v>
      </c>
      <c r="Z27" s="43" t="s">
        <v>878</v>
      </c>
      <c r="AA27" s="44"/>
      <c r="AB27" s="45" t="s">
        <v>13</v>
      </c>
      <c r="AC27" s="45" t="s">
        <v>13</v>
      </c>
      <c r="AD27" s="45" t="s">
        <v>13</v>
      </c>
      <c r="AF27" s="45"/>
      <c r="AG27" s="44"/>
      <c r="AH27" s="46" t="e">
        <v>#VALUE!</v>
      </c>
      <c r="AI27" s="46" t="e">
        <v>#VALUE!</v>
      </c>
      <c r="AK27" s="69">
        <v>0</v>
      </c>
      <c r="AL27" s="40" t="s">
        <v>876</v>
      </c>
    </row>
    <row r="28" spans="2:38" s="40" customFormat="1" ht="12.75" customHeight="1">
      <c r="B28" s="39" t="s">
        <v>878</v>
      </c>
      <c r="C28" s="40" t="s">
        <v>878</v>
      </c>
      <c r="D28" s="40" t="s">
        <v>878</v>
      </c>
      <c r="E28" s="40" t="s">
        <v>876</v>
      </c>
      <c r="F28" s="41" t="e">
        <v>#VALUE!</v>
      </c>
      <c r="G28" s="42" t="s">
        <v>878</v>
      </c>
      <c r="I28" s="43" t="s">
        <v>878</v>
      </c>
      <c r="J28" s="43"/>
      <c r="K28" s="43"/>
      <c r="L28" s="43" t="s">
        <v>878</v>
      </c>
      <c r="M28" s="44"/>
      <c r="N28" s="43" t="s">
        <v>878</v>
      </c>
      <c r="O28" s="43" t="s">
        <v>878</v>
      </c>
      <c r="P28" s="43" t="s">
        <v>878</v>
      </c>
      <c r="Q28" s="44"/>
      <c r="R28" s="45" t="s">
        <v>13</v>
      </c>
      <c r="S28" s="45" t="s">
        <v>13</v>
      </c>
      <c r="T28" s="45" t="s">
        <v>13</v>
      </c>
      <c r="U28" s="45" t="s">
        <v>878</v>
      </c>
      <c r="V28" s="45" t="s">
        <v>878</v>
      </c>
      <c r="W28" s="44"/>
      <c r="X28" s="43" t="s">
        <v>878</v>
      </c>
      <c r="Y28" s="43" t="s">
        <v>878</v>
      </c>
      <c r="Z28" s="43" t="s">
        <v>878</v>
      </c>
      <c r="AA28" s="44"/>
      <c r="AB28" s="45" t="s">
        <v>13</v>
      </c>
      <c r="AC28" s="45" t="s">
        <v>13</v>
      </c>
      <c r="AD28" s="45" t="s">
        <v>13</v>
      </c>
      <c r="AF28" s="45"/>
      <c r="AG28" s="44"/>
      <c r="AH28" s="46" t="e">
        <v>#VALUE!</v>
      </c>
      <c r="AI28" s="46" t="e">
        <v>#VALUE!</v>
      </c>
      <c r="AK28" s="69">
        <v>0</v>
      </c>
      <c r="AL28" s="40" t="s">
        <v>876</v>
      </c>
    </row>
    <row r="29" spans="2:38" s="40" customFormat="1" ht="12.75" customHeight="1">
      <c r="B29" s="39" t="s">
        <v>878</v>
      </c>
      <c r="C29" s="40" t="s">
        <v>878</v>
      </c>
      <c r="D29" s="40" t="s">
        <v>878</v>
      </c>
      <c r="E29" s="40" t="s">
        <v>876</v>
      </c>
      <c r="F29" s="41" t="e">
        <v>#VALUE!</v>
      </c>
      <c r="G29" s="42" t="s">
        <v>878</v>
      </c>
      <c r="I29" s="43" t="s">
        <v>878</v>
      </c>
      <c r="J29" s="43"/>
      <c r="K29" s="43"/>
      <c r="L29" s="43" t="s">
        <v>878</v>
      </c>
      <c r="M29" s="44"/>
      <c r="N29" s="43" t="s">
        <v>878</v>
      </c>
      <c r="O29" s="43" t="s">
        <v>878</v>
      </c>
      <c r="P29" s="43" t="s">
        <v>878</v>
      </c>
      <c r="Q29" s="44"/>
      <c r="R29" s="45" t="s">
        <v>13</v>
      </c>
      <c r="S29" s="45" t="s">
        <v>13</v>
      </c>
      <c r="T29" s="45" t="s">
        <v>13</v>
      </c>
      <c r="U29" s="45" t="s">
        <v>878</v>
      </c>
      <c r="V29" s="45" t="s">
        <v>878</v>
      </c>
      <c r="W29" s="44"/>
      <c r="X29" s="43" t="s">
        <v>878</v>
      </c>
      <c r="Y29" s="43" t="s">
        <v>878</v>
      </c>
      <c r="Z29" s="43" t="s">
        <v>878</v>
      </c>
      <c r="AA29" s="44"/>
      <c r="AB29" s="45" t="s">
        <v>13</v>
      </c>
      <c r="AC29" s="45" t="s">
        <v>13</v>
      </c>
      <c r="AD29" s="45" t="s">
        <v>13</v>
      </c>
      <c r="AF29" s="45"/>
      <c r="AG29" s="44"/>
      <c r="AH29" s="46" t="e">
        <v>#VALUE!</v>
      </c>
      <c r="AI29" s="46" t="e">
        <v>#VALUE!</v>
      </c>
      <c r="AK29" s="69">
        <v>0</v>
      </c>
      <c r="AL29" s="40" t="s">
        <v>876</v>
      </c>
    </row>
    <row r="30" spans="2:38" s="40" customFormat="1" ht="12.75" customHeight="1">
      <c r="B30" s="39"/>
      <c r="F30" s="41"/>
      <c r="G30" s="42"/>
      <c r="I30" s="43"/>
      <c r="J30" s="43"/>
      <c r="K30" s="43"/>
      <c r="L30" s="43"/>
      <c r="M30" s="44"/>
      <c r="N30" s="43"/>
      <c r="O30" s="43"/>
      <c r="P30" s="43"/>
      <c r="Q30" s="44"/>
      <c r="R30" s="45"/>
      <c r="S30" s="45"/>
      <c r="T30" s="45"/>
      <c r="U30" s="45"/>
      <c r="V30" s="45"/>
      <c r="W30" s="44"/>
      <c r="X30" s="43"/>
      <c r="Y30" s="43"/>
      <c r="Z30" s="43"/>
      <c r="AA30" s="44"/>
      <c r="AB30" s="45"/>
      <c r="AC30" s="45"/>
      <c r="AD30" s="45"/>
      <c r="AF30" s="45"/>
      <c r="AG30" s="44"/>
      <c r="AH30" s="46"/>
      <c r="AI30" s="46"/>
      <c r="AK30" s="69">
        <v>0</v>
      </c>
      <c r="AL30" s="40" t="s">
        <v>876</v>
      </c>
    </row>
    <row r="31" spans="2:38" s="40" customFormat="1" ht="12.75" customHeight="1">
      <c r="B31" s="39"/>
      <c r="F31" s="41"/>
      <c r="G31" s="42"/>
      <c r="I31" s="43"/>
      <c r="J31" s="43"/>
      <c r="K31" s="43"/>
      <c r="L31" s="43"/>
      <c r="M31" s="44"/>
      <c r="N31" s="43"/>
      <c r="O31" s="43"/>
      <c r="P31" s="43"/>
      <c r="Q31" s="44"/>
      <c r="R31" s="45"/>
      <c r="S31" s="45"/>
      <c r="T31" s="45"/>
      <c r="U31" s="45"/>
      <c r="V31" s="45"/>
      <c r="W31" s="44"/>
      <c r="X31" s="43"/>
      <c r="Y31" s="43"/>
      <c r="Z31" s="43"/>
      <c r="AA31" s="44"/>
      <c r="AB31" s="45"/>
      <c r="AC31" s="45"/>
      <c r="AD31" s="45"/>
      <c r="AF31" s="45"/>
      <c r="AG31" s="44"/>
      <c r="AH31" s="46"/>
      <c r="AI31" s="46"/>
      <c r="AK31" s="69">
        <v>0</v>
      </c>
      <c r="AL31" s="40" t="s">
        <v>876</v>
      </c>
    </row>
    <row r="32" spans="2:38" s="40" customFormat="1" ht="12.75" customHeight="1">
      <c r="B32" s="39"/>
      <c r="F32" s="41"/>
      <c r="G32" s="42"/>
      <c r="I32" s="43"/>
      <c r="J32" s="43"/>
      <c r="K32" s="43"/>
      <c r="L32" s="43"/>
      <c r="M32" s="44"/>
      <c r="N32" s="43"/>
      <c r="O32" s="43"/>
      <c r="P32" s="43"/>
      <c r="Q32" s="44"/>
      <c r="R32" s="45"/>
      <c r="S32" s="45"/>
      <c r="T32" s="45"/>
      <c r="U32" s="45"/>
      <c r="V32" s="45"/>
      <c r="W32" s="44"/>
      <c r="X32" s="43"/>
      <c r="Y32" s="43"/>
      <c r="Z32" s="43"/>
      <c r="AA32" s="44"/>
      <c r="AB32" s="45"/>
      <c r="AC32" s="45"/>
      <c r="AD32" s="45"/>
      <c r="AF32" s="45"/>
      <c r="AG32" s="44"/>
      <c r="AH32" s="46"/>
      <c r="AI32" s="46"/>
      <c r="AK32" s="69">
        <v>0</v>
      </c>
      <c r="AL32" s="40" t="s">
        <v>876</v>
      </c>
    </row>
    <row r="33" spans="2:38" s="40" customFormat="1" ht="12.75" customHeight="1">
      <c r="B33" s="39"/>
      <c r="F33" s="41"/>
      <c r="G33" s="42"/>
      <c r="I33" s="43"/>
      <c r="J33" s="43"/>
      <c r="K33" s="43"/>
      <c r="L33" s="43"/>
      <c r="M33" s="44"/>
      <c r="N33" s="43"/>
      <c r="O33" s="43"/>
      <c r="P33" s="43"/>
      <c r="Q33" s="44"/>
      <c r="R33" s="45"/>
      <c r="S33" s="45"/>
      <c r="T33" s="45"/>
      <c r="U33" s="45"/>
      <c r="V33" s="45"/>
      <c r="W33" s="44"/>
      <c r="X33" s="43"/>
      <c r="Y33" s="43"/>
      <c r="Z33" s="43"/>
      <c r="AA33" s="44"/>
      <c r="AB33" s="45"/>
      <c r="AC33" s="45"/>
      <c r="AD33" s="45"/>
      <c r="AF33" s="45"/>
      <c r="AG33" s="44"/>
      <c r="AH33" s="46"/>
      <c r="AI33" s="46"/>
      <c r="AK33" s="69">
        <v>0</v>
      </c>
      <c r="AL33" s="40" t="s">
        <v>876</v>
      </c>
    </row>
    <row r="34" spans="2:38" s="40" customFormat="1" ht="12.75" customHeight="1">
      <c r="B34" s="39"/>
      <c r="F34" s="41"/>
      <c r="G34" s="42"/>
      <c r="I34" s="43"/>
      <c r="J34" s="43"/>
      <c r="K34" s="43"/>
      <c r="L34" s="43"/>
      <c r="M34" s="44"/>
      <c r="N34" s="43"/>
      <c r="O34" s="43"/>
      <c r="P34" s="43"/>
      <c r="Q34" s="44"/>
      <c r="R34" s="45"/>
      <c r="S34" s="45"/>
      <c r="T34" s="45"/>
      <c r="U34" s="45"/>
      <c r="V34" s="45"/>
      <c r="W34" s="44"/>
      <c r="X34" s="43"/>
      <c r="Y34" s="43"/>
      <c r="Z34" s="43"/>
      <c r="AA34" s="44"/>
      <c r="AB34" s="45"/>
      <c r="AC34" s="45"/>
      <c r="AD34" s="45"/>
      <c r="AF34" s="45"/>
      <c r="AG34" s="44"/>
      <c r="AH34" s="46"/>
      <c r="AI34" s="46"/>
      <c r="AK34" s="69">
        <v>0</v>
      </c>
      <c r="AL34" s="40" t="s">
        <v>876</v>
      </c>
    </row>
    <row r="35" spans="2:38" s="40" customFormat="1" ht="12.75" customHeight="1">
      <c r="B35" s="39"/>
      <c r="F35" s="41"/>
      <c r="G35" s="42"/>
      <c r="I35" s="43"/>
      <c r="J35" s="43"/>
      <c r="K35" s="43"/>
      <c r="L35" s="43"/>
      <c r="M35" s="44"/>
      <c r="N35" s="43"/>
      <c r="O35" s="43"/>
      <c r="P35" s="43"/>
      <c r="Q35" s="44"/>
      <c r="R35" s="45"/>
      <c r="S35" s="45"/>
      <c r="T35" s="45"/>
      <c r="U35" s="45"/>
      <c r="V35" s="45"/>
      <c r="W35" s="44"/>
      <c r="X35" s="43"/>
      <c r="Y35" s="43"/>
      <c r="Z35" s="43"/>
      <c r="AA35" s="44"/>
      <c r="AB35" s="45"/>
      <c r="AC35" s="45"/>
      <c r="AD35" s="45"/>
      <c r="AF35" s="45"/>
      <c r="AG35" s="44"/>
      <c r="AH35" s="46"/>
      <c r="AI35" s="46"/>
      <c r="AK35" s="69">
        <v>0</v>
      </c>
      <c r="AL35" s="40" t="s">
        <v>876</v>
      </c>
    </row>
    <row r="36" spans="2:38" s="40" customFormat="1" ht="12.75" customHeight="1">
      <c r="B36" s="39"/>
      <c r="F36" s="41"/>
      <c r="G36" s="42"/>
      <c r="I36" s="43"/>
      <c r="J36" s="43"/>
      <c r="K36" s="43"/>
      <c r="L36" s="43"/>
      <c r="M36" s="44"/>
      <c r="N36" s="43"/>
      <c r="O36" s="43"/>
      <c r="P36" s="43"/>
      <c r="Q36" s="44"/>
      <c r="R36" s="45"/>
      <c r="S36" s="45"/>
      <c r="T36" s="45"/>
      <c r="U36" s="45"/>
      <c r="V36" s="45"/>
      <c r="W36" s="44"/>
      <c r="X36" s="43"/>
      <c r="Y36" s="43"/>
      <c r="Z36" s="43"/>
      <c r="AA36" s="44"/>
      <c r="AB36" s="45"/>
      <c r="AC36" s="45"/>
      <c r="AD36" s="45"/>
      <c r="AF36" s="45"/>
      <c r="AG36" s="44"/>
      <c r="AH36" s="46"/>
      <c r="AI36" s="46"/>
      <c r="AK36" s="69">
        <v>0</v>
      </c>
      <c r="AL36" s="40" t="s">
        <v>876</v>
      </c>
    </row>
    <row r="37" spans="2:38" s="40" customFormat="1" ht="12.75" customHeight="1">
      <c r="B37" s="39"/>
      <c r="F37" s="41"/>
      <c r="G37" s="42"/>
      <c r="I37" s="43"/>
      <c r="J37" s="43"/>
      <c r="K37" s="43"/>
      <c r="L37" s="43"/>
      <c r="M37" s="44"/>
      <c r="N37" s="43"/>
      <c r="O37" s="43"/>
      <c r="P37" s="43"/>
      <c r="Q37" s="44"/>
      <c r="R37" s="45"/>
      <c r="S37" s="45"/>
      <c r="T37" s="45"/>
      <c r="U37" s="45"/>
      <c r="V37" s="45"/>
      <c r="W37" s="44"/>
      <c r="X37" s="43"/>
      <c r="Y37" s="43"/>
      <c r="Z37" s="43"/>
      <c r="AA37" s="44"/>
      <c r="AB37" s="45"/>
      <c r="AC37" s="45"/>
      <c r="AD37" s="45"/>
      <c r="AF37" s="45"/>
      <c r="AG37" s="44"/>
      <c r="AH37" s="46"/>
      <c r="AI37" s="46"/>
      <c r="AK37" s="69">
        <v>0</v>
      </c>
      <c r="AL37" s="40" t="s">
        <v>876</v>
      </c>
    </row>
    <row r="38" spans="2:38" s="40" customFormat="1" ht="12.75" customHeight="1">
      <c r="B38" s="39"/>
      <c r="F38" s="41"/>
      <c r="G38" s="42"/>
      <c r="I38" s="43"/>
      <c r="J38" s="43"/>
      <c r="K38" s="43"/>
      <c r="L38" s="43"/>
      <c r="M38" s="44"/>
      <c r="N38" s="43"/>
      <c r="O38" s="43"/>
      <c r="P38" s="43"/>
      <c r="Q38" s="44"/>
      <c r="R38" s="45"/>
      <c r="S38" s="45"/>
      <c r="T38" s="45"/>
      <c r="U38" s="45"/>
      <c r="V38" s="45"/>
      <c r="W38" s="44"/>
      <c r="X38" s="43"/>
      <c r="Y38" s="43"/>
      <c r="Z38" s="43"/>
      <c r="AA38" s="44"/>
      <c r="AB38" s="45"/>
      <c r="AC38" s="45"/>
      <c r="AD38" s="45"/>
      <c r="AF38" s="45"/>
      <c r="AG38" s="44"/>
      <c r="AH38" s="46"/>
      <c r="AI38" s="46"/>
      <c r="AK38" s="69">
        <v>0</v>
      </c>
      <c r="AL38" s="40" t="s">
        <v>876</v>
      </c>
    </row>
    <row r="39" spans="2:38" s="40" customFormat="1" ht="12.75" customHeight="1">
      <c r="B39" s="39"/>
      <c r="F39" s="41"/>
      <c r="G39" s="42"/>
      <c r="I39" s="43"/>
      <c r="J39" s="43"/>
      <c r="K39" s="43"/>
      <c r="L39" s="43"/>
      <c r="M39" s="44"/>
      <c r="N39" s="43"/>
      <c r="O39" s="43"/>
      <c r="P39" s="43"/>
      <c r="Q39" s="44"/>
      <c r="R39" s="45"/>
      <c r="S39" s="45"/>
      <c r="T39" s="45"/>
      <c r="U39" s="45"/>
      <c r="V39" s="45"/>
      <c r="W39" s="44"/>
      <c r="X39" s="43"/>
      <c r="Y39" s="43"/>
      <c r="Z39" s="43"/>
      <c r="AA39" s="44"/>
      <c r="AB39" s="45"/>
      <c r="AC39" s="45"/>
      <c r="AD39" s="45"/>
      <c r="AF39" s="45"/>
      <c r="AG39" s="44"/>
      <c r="AH39" s="46"/>
      <c r="AI39" s="46"/>
      <c r="AK39" s="69">
        <v>0</v>
      </c>
      <c r="AL39" s="40" t="s">
        <v>876</v>
      </c>
    </row>
    <row r="40" spans="2:38" s="40" customFormat="1" ht="12.75" customHeight="1">
      <c r="B40" s="39"/>
      <c r="F40" s="41"/>
      <c r="G40" s="42"/>
      <c r="I40" s="43"/>
      <c r="J40" s="43"/>
      <c r="K40" s="43"/>
      <c r="L40" s="43"/>
      <c r="M40" s="44"/>
      <c r="N40" s="43"/>
      <c r="O40" s="43"/>
      <c r="P40" s="43"/>
      <c r="Q40" s="44"/>
      <c r="R40" s="45"/>
      <c r="S40" s="45"/>
      <c r="T40" s="45"/>
      <c r="U40" s="45"/>
      <c r="V40" s="45"/>
      <c r="W40" s="44"/>
      <c r="X40" s="43"/>
      <c r="Y40" s="43"/>
      <c r="Z40" s="43"/>
      <c r="AA40" s="44"/>
      <c r="AB40" s="45"/>
      <c r="AC40" s="45"/>
      <c r="AD40" s="45"/>
      <c r="AF40" s="45"/>
      <c r="AG40" s="44"/>
      <c r="AH40" s="46"/>
      <c r="AI40" s="46"/>
      <c r="AK40" s="69"/>
    </row>
    <row r="41" spans="2:38" s="40" customFormat="1" ht="12.75" customHeight="1">
      <c r="B41" s="39"/>
      <c r="F41" s="41"/>
      <c r="G41" s="42"/>
      <c r="I41" s="43"/>
      <c r="J41" s="43"/>
      <c r="K41" s="43"/>
      <c r="L41" s="43"/>
      <c r="M41" s="44"/>
      <c r="N41" s="43"/>
      <c r="O41" s="43"/>
      <c r="P41" s="43"/>
      <c r="Q41" s="44"/>
      <c r="R41" s="45"/>
      <c r="S41" s="45"/>
      <c r="T41" s="45"/>
      <c r="U41" s="45"/>
      <c r="V41" s="45"/>
      <c r="W41" s="44"/>
      <c r="X41" s="43"/>
      <c r="Y41" s="43"/>
      <c r="Z41" s="43"/>
      <c r="AA41" s="44"/>
      <c r="AB41" s="45"/>
      <c r="AC41" s="45"/>
      <c r="AD41" s="45"/>
      <c r="AF41" s="45"/>
      <c r="AG41" s="44"/>
      <c r="AH41" s="46"/>
      <c r="AI41" s="46"/>
      <c r="AK41" s="69"/>
    </row>
    <row r="42" spans="2:38" s="40" customFormat="1" ht="12.75" customHeight="1">
      <c r="B42" s="39"/>
      <c r="F42" s="41"/>
      <c r="G42" s="42"/>
      <c r="I42" s="43"/>
      <c r="J42" s="43"/>
      <c r="K42" s="43"/>
      <c r="L42" s="43"/>
      <c r="M42" s="44"/>
      <c r="N42" s="43"/>
      <c r="O42" s="43"/>
      <c r="P42" s="43"/>
      <c r="Q42" s="44"/>
      <c r="R42" s="45"/>
      <c r="S42" s="45"/>
      <c r="T42" s="45"/>
      <c r="U42" s="45"/>
      <c r="V42" s="45"/>
      <c r="W42" s="44"/>
      <c r="X42" s="43"/>
      <c r="Y42" s="43"/>
      <c r="Z42" s="43"/>
      <c r="AA42" s="44"/>
      <c r="AB42" s="45"/>
      <c r="AC42" s="45"/>
      <c r="AD42" s="45"/>
      <c r="AF42" s="45"/>
      <c r="AG42" s="44"/>
      <c r="AH42" s="46"/>
      <c r="AI42" s="46"/>
      <c r="AK42" s="69"/>
    </row>
    <row r="43" spans="2:38" s="40" customFormat="1" ht="12.75" customHeight="1">
      <c r="B43" s="39"/>
      <c r="F43" s="41"/>
      <c r="G43" s="42"/>
      <c r="I43" s="43"/>
      <c r="J43" s="43"/>
      <c r="K43" s="43"/>
      <c r="L43" s="43"/>
      <c r="M43" s="44"/>
      <c r="N43" s="43"/>
      <c r="O43" s="43"/>
      <c r="P43" s="43"/>
      <c r="Q43" s="44"/>
      <c r="R43" s="45"/>
      <c r="S43" s="45"/>
      <c r="T43" s="45"/>
      <c r="U43" s="45"/>
      <c r="V43" s="45"/>
      <c r="W43" s="44"/>
      <c r="X43" s="43"/>
      <c r="Y43" s="43"/>
      <c r="Z43" s="43"/>
      <c r="AA43" s="44"/>
      <c r="AB43" s="45"/>
      <c r="AC43" s="45"/>
      <c r="AD43" s="45"/>
      <c r="AF43" s="45"/>
      <c r="AG43" s="44"/>
      <c r="AH43" s="46"/>
      <c r="AI43" s="46"/>
      <c r="AK43" s="69"/>
    </row>
    <row r="44" spans="2:38" s="40" customFormat="1" ht="12.75" customHeight="1">
      <c r="B44" s="39"/>
      <c r="F44" s="41"/>
      <c r="G44" s="42"/>
      <c r="I44" s="43"/>
      <c r="J44" s="43"/>
      <c r="K44" s="43"/>
      <c r="L44" s="43"/>
      <c r="M44" s="44"/>
      <c r="N44" s="43"/>
      <c r="O44" s="43"/>
      <c r="P44" s="43"/>
      <c r="Q44" s="44"/>
      <c r="R44" s="45"/>
      <c r="S44" s="45"/>
      <c r="T44" s="45"/>
      <c r="U44" s="45"/>
      <c r="V44" s="45"/>
      <c r="W44" s="44"/>
      <c r="X44" s="43"/>
      <c r="Y44" s="43"/>
      <c r="Z44" s="43"/>
      <c r="AA44" s="44"/>
      <c r="AB44" s="45"/>
      <c r="AC44" s="45"/>
      <c r="AD44" s="45"/>
      <c r="AF44" s="45"/>
      <c r="AG44" s="44"/>
      <c r="AH44" s="46"/>
      <c r="AI44" s="46"/>
      <c r="AK44" s="69"/>
    </row>
    <row r="45" spans="2:38" s="40" customFormat="1" ht="12.75" customHeight="1">
      <c r="B45" s="39"/>
      <c r="F45" s="41"/>
      <c r="G45" s="42"/>
      <c r="I45" s="43"/>
      <c r="J45" s="43"/>
      <c r="K45" s="43"/>
      <c r="L45" s="43"/>
      <c r="M45" s="44"/>
      <c r="N45" s="43"/>
      <c r="O45" s="43"/>
      <c r="P45" s="43"/>
      <c r="Q45" s="44"/>
      <c r="R45" s="45"/>
      <c r="S45" s="45"/>
      <c r="T45" s="45"/>
      <c r="U45" s="45"/>
      <c r="V45" s="45"/>
      <c r="W45" s="44"/>
      <c r="X45" s="43"/>
      <c r="Y45" s="43"/>
      <c r="Z45" s="43"/>
      <c r="AA45" s="44"/>
      <c r="AB45" s="45"/>
      <c r="AC45" s="45"/>
      <c r="AD45" s="45"/>
      <c r="AF45" s="62"/>
      <c r="AG45" s="62"/>
      <c r="AH45" s="46"/>
      <c r="AI45" s="46"/>
      <c r="AK45" s="69"/>
    </row>
    <row r="46" spans="2:38" s="40" customFormat="1" ht="12.75" customHeight="1">
      <c r="B46" s="39"/>
      <c r="F46" s="41"/>
      <c r="G46" s="42"/>
      <c r="I46" s="43"/>
      <c r="J46" s="43"/>
      <c r="K46" s="43"/>
      <c r="L46" s="43"/>
      <c r="M46" s="44"/>
      <c r="N46" s="43"/>
      <c r="O46" s="43"/>
      <c r="P46" s="43"/>
      <c r="Q46" s="44"/>
      <c r="R46" s="45"/>
      <c r="S46" s="45"/>
      <c r="T46" s="45"/>
      <c r="U46" s="45"/>
      <c r="V46" s="45"/>
      <c r="W46" s="44"/>
      <c r="X46" s="43"/>
      <c r="Y46" s="43"/>
      <c r="Z46" s="43"/>
      <c r="AA46" s="44"/>
      <c r="AB46" s="45"/>
      <c r="AC46" s="45"/>
      <c r="AD46" s="45"/>
      <c r="AF46" s="62"/>
      <c r="AG46" s="62"/>
      <c r="AH46" s="46"/>
      <c r="AI46" s="46"/>
      <c r="AK46" s="69"/>
    </row>
    <row r="47" spans="2:38" s="40" customFormat="1" ht="12.75" customHeight="1">
      <c r="B47" s="39" t="s">
        <v>111</v>
      </c>
      <c r="F47" s="41"/>
      <c r="G47" s="42"/>
      <c r="I47" s="43">
        <v>8623.2993399999996</v>
      </c>
      <c r="J47" s="43"/>
      <c r="K47" s="43"/>
      <c r="L47" s="43"/>
      <c r="M47" s="44"/>
      <c r="N47" s="43">
        <v>21.066389999999998</v>
      </c>
      <c r="O47" s="43">
        <v>0</v>
      </c>
      <c r="P47" s="43">
        <v>0</v>
      </c>
      <c r="Q47" s="44"/>
      <c r="R47" s="45">
        <v>1478.3643648208467</v>
      </c>
      <c r="S47" s="45">
        <v>-13.592474529780564</v>
      </c>
      <c r="T47" s="45">
        <v>-4.3733310784348634</v>
      </c>
      <c r="U47" s="45">
        <v>11.42728</v>
      </c>
      <c r="V47" s="45">
        <v>0</v>
      </c>
      <c r="W47" s="44"/>
      <c r="X47" s="43">
        <v>16.040900000000001</v>
      </c>
      <c r="Y47" s="43">
        <v>0</v>
      </c>
      <c r="Z47" s="43">
        <v>0</v>
      </c>
      <c r="AA47" s="44"/>
      <c r="AB47" s="45">
        <v>537.5820147248595</v>
      </c>
      <c r="AC47" s="45">
        <v>-16.300964315897023</v>
      </c>
      <c r="AD47" s="45">
        <v>0</v>
      </c>
      <c r="AF47" s="221"/>
      <c r="AG47" s="220"/>
      <c r="AH47" s="46" t="e">
        <v>#VALUE!</v>
      </c>
      <c r="AI47" s="46" t="e">
        <v>#VALUE!</v>
      </c>
      <c r="AK47" s="69"/>
    </row>
    <row r="48" spans="2:38" s="40" customFormat="1" ht="12.75" customHeight="1">
      <c r="B48" s="39" t="s">
        <v>115</v>
      </c>
      <c r="F48" s="41"/>
      <c r="G48" s="42"/>
      <c r="I48" s="43">
        <v>465.15462000000002</v>
      </c>
      <c r="J48" s="43"/>
      <c r="K48" s="43"/>
      <c r="L48" s="43"/>
      <c r="M48" s="44"/>
      <c r="N48" s="43">
        <v>3.9938099999999999</v>
      </c>
      <c r="O48" s="43">
        <v>0</v>
      </c>
      <c r="P48" s="43">
        <v>0</v>
      </c>
      <c r="Q48" s="44"/>
      <c r="R48" s="45">
        <v>456.02297243444758</v>
      </c>
      <c r="S48" s="45">
        <v>-27.387224012424845</v>
      </c>
      <c r="T48" s="45">
        <v>-11.216288508908328</v>
      </c>
      <c r="U48" s="45">
        <v>10.079777500000001</v>
      </c>
      <c r="V48" s="45" t="e">
        <v>#NUM!</v>
      </c>
      <c r="W48" s="44"/>
      <c r="X48" s="43">
        <v>0</v>
      </c>
      <c r="Y48" s="43">
        <v>0</v>
      </c>
      <c r="Z48" s="43">
        <v>0</v>
      </c>
      <c r="AA48" s="44"/>
      <c r="AB48" s="45">
        <v>537.5820147248595</v>
      </c>
      <c r="AC48" s="45">
        <v>-20.158429709190443</v>
      </c>
      <c r="AD48" s="45" t="e">
        <v>#NUM!</v>
      </c>
      <c r="AF48" s="22"/>
      <c r="AG48" s="14"/>
      <c r="AH48" s="46" t="e">
        <v>#VALUE!</v>
      </c>
      <c r="AI48" s="46" t="e">
        <v>#VALUE!</v>
      </c>
      <c r="AK48" s="69"/>
    </row>
    <row r="49" spans="2:37" s="40" customFormat="1" ht="12.75" customHeight="1">
      <c r="B49" s="39" t="s">
        <v>113</v>
      </c>
      <c r="F49" s="41"/>
      <c r="G49" s="42"/>
      <c r="I49" s="43">
        <v>1382.1432114285715</v>
      </c>
      <c r="J49" s="43"/>
      <c r="K49" s="43"/>
      <c r="L49" s="43"/>
      <c r="M49" s="44"/>
      <c r="N49" s="43">
        <v>4.2365728571428569</v>
      </c>
      <c r="O49" s="43">
        <v>-33.254370000000002</v>
      </c>
      <c r="P49" s="43">
        <v>-34.653648571428569</v>
      </c>
      <c r="Q49" s="44"/>
      <c r="R49" s="45">
        <v>408.74370370002623</v>
      </c>
      <c r="S49" s="45">
        <v>-32.396133510389625</v>
      </c>
      <c r="T49" s="45">
        <v>-24.40898344638579</v>
      </c>
      <c r="U49" s="45">
        <v>7.0106225000000002</v>
      </c>
      <c r="V49" s="45" t="e">
        <v>#DIV/0!</v>
      </c>
      <c r="W49" s="44"/>
      <c r="X49" s="43">
        <v>2.2915571428571431</v>
      </c>
      <c r="Y49" s="43">
        <v>-45.618785714285714</v>
      </c>
      <c r="Z49" s="43">
        <v>0</v>
      </c>
      <c r="AA49" s="44"/>
      <c r="AB49" s="45">
        <v>537.5820147248595</v>
      </c>
      <c r="AC49" s="45">
        <v>-24.015895102483864</v>
      </c>
      <c r="AD49" s="45" t="e">
        <v>#DIV/0!</v>
      </c>
      <c r="AF49" s="22"/>
      <c r="AG49" s="14"/>
      <c r="AH49" s="46" t="e">
        <v>#VALUE!</v>
      </c>
      <c r="AI49" s="46" t="e">
        <v>#VALUE!</v>
      </c>
      <c r="AK49" s="69"/>
    </row>
    <row r="50" spans="2:37" s="40" customFormat="1" ht="12.75" customHeight="1">
      <c r="B50" s="39" t="s">
        <v>44</v>
      </c>
      <c r="F50" s="41"/>
      <c r="G50" s="42"/>
      <c r="I50" s="43">
        <v>69.375990000000002</v>
      </c>
      <c r="J50" s="43"/>
      <c r="K50" s="43"/>
      <c r="L50" s="43"/>
      <c r="M50" s="44"/>
      <c r="N50" s="43">
        <v>0.60199999999999998</v>
      </c>
      <c r="O50" s="43">
        <v>0</v>
      </c>
      <c r="P50" s="43">
        <v>-2.2469600000000001</v>
      </c>
      <c r="Q50" s="44"/>
      <c r="R50" s="45">
        <v>76.024846082907828</v>
      </c>
      <c r="S50" s="45">
        <v>-41.181973495069123</v>
      </c>
      <c r="T50" s="45">
        <v>-26.642197644699262</v>
      </c>
      <c r="U50" s="45">
        <v>7.3731100000000005</v>
      </c>
      <c r="V50" s="45" t="e">
        <v>#NUM!</v>
      </c>
      <c r="W50" s="44"/>
      <c r="X50" s="43">
        <v>0</v>
      </c>
      <c r="Y50" s="43">
        <v>0</v>
      </c>
      <c r="Z50" s="43">
        <v>0</v>
      </c>
      <c r="AA50" s="44"/>
      <c r="AB50" s="45">
        <v>537.5820147248595</v>
      </c>
      <c r="AC50" s="45">
        <v>-24.015895102483864</v>
      </c>
      <c r="AD50" s="45" t="e">
        <v>#NUM!</v>
      </c>
      <c r="AF50" s="22"/>
      <c r="AG50" s="14"/>
      <c r="AH50" s="46" t="e">
        <v>#VALUE!</v>
      </c>
      <c r="AI50" s="46" t="e">
        <v>#VALUE!</v>
      </c>
      <c r="AK50" s="69"/>
    </row>
    <row r="51" spans="2:37" s="40" customFormat="1" ht="12.75" customHeight="1">
      <c r="B51" s="39" t="s">
        <v>114</v>
      </c>
      <c r="F51" s="41"/>
      <c r="G51" s="42"/>
      <c r="I51" s="43">
        <v>26.008955</v>
      </c>
      <c r="J51" s="43"/>
      <c r="K51" s="43"/>
      <c r="L51" s="43"/>
      <c r="M51" s="44"/>
      <c r="N51" s="43">
        <v>0</v>
      </c>
      <c r="O51" s="43">
        <v>-11.692795</v>
      </c>
      <c r="P51" s="43">
        <v>-12.31429</v>
      </c>
      <c r="Q51" s="44"/>
      <c r="R51" s="45">
        <v>28.745577348486528</v>
      </c>
      <c r="S51" s="45">
        <v>-41.79796300069416</v>
      </c>
      <c r="T51" s="45">
        <v>-39.834892582176728</v>
      </c>
      <c r="U51" s="45">
        <v>4.3039550000000002</v>
      </c>
      <c r="V51" s="45" t="e">
        <v>#NUM!</v>
      </c>
      <c r="W51" s="44"/>
      <c r="X51" s="43">
        <v>0</v>
      </c>
      <c r="Y51" s="43">
        <v>-23.7837</v>
      </c>
      <c r="Z51" s="43">
        <v>0</v>
      </c>
      <c r="AA51" s="44"/>
      <c r="AB51" s="45">
        <v>537.5820147248595</v>
      </c>
      <c r="AC51" s="45">
        <v>-27.873360495777284</v>
      </c>
      <c r="AD51" s="45" t="e">
        <v>#NUM!</v>
      </c>
      <c r="AF51" s="22"/>
      <c r="AG51" s="14"/>
      <c r="AH51" s="46" t="e">
        <v>#VALUE!</v>
      </c>
      <c r="AI51" s="46" t="e">
        <v>#VALUE!</v>
      </c>
      <c r="AK51" s="69"/>
    </row>
    <row r="52" spans="2:37" s="40" customFormat="1" ht="12.75" customHeight="1">
      <c r="B52" s="39" t="s">
        <v>112</v>
      </c>
      <c r="F52" s="41"/>
      <c r="G52" s="42"/>
      <c r="I52" s="43">
        <v>0</v>
      </c>
      <c r="J52" s="43"/>
      <c r="K52" s="43"/>
      <c r="L52" s="43"/>
      <c r="M52" s="44"/>
      <c r="N52" s="43">
        <v>0</v>
      </c>
      <c r="O52" s="43">
        <v>-209.39500000000001</v>
      </c>
      <c r="P52" s="43">
        <v>-215.7</v>
      </c>
      <c r="Q52" s="44"/>
      <c r="R52" s="45">
        <v>4.5607578134427422</v>
      </c>
      <c r="S52" s="45">
        <v>-42.413952506319198</v>
      </c>
      <c r="T52" s="45">
        <v>-39.978207417709783</v>
      </c>
      <c r="U52" s="45">
        <v>1.8689899999999999</v>
      </c>
      <c r="V52" s="45">
        <v>0</v>
      </c>
      <c r="W52" s="44"/>
      <c r="X52" s="43">
        <v>0</v>
      </c>
      <c r="Y52" s="43">
        <v>-271.76409999999998</v>
      </c>
      <c r="Z52" s="43">
        <v>0</v>
      </c>
      <c r="AA52" s="44"/>
      <c r="AB52" s="45">
        <v>537.5820147248595</v>
      </c>
      <c r="AC52" s="45">
        <v>-31.730825889070704</v>
      </c>
      <c r="AD52" s="45">
        <v>0</v>
      </c>
      <c r="AF52" s="25"/>
      <c r="AG52" s="48"/>
      <c r="AH52" s="46" t="e">
        <v>#VALUE!</v>
      </c>
      <c r="AI52" s="46" t="e">
        <v>#VALUE!</v>
      </c>
      <c r="AK52" s="69"/>
    </row>
    <row r="53" spans="2:37" s="40" customFormat="1" ht="12.75" customHeight="1">
      <c r="B53" s="39"/>
      <c r="F53" s="41"/>
      <c r="G53" s="42"/>
      <c r="I53" s="43"/>
      <c r="J53" s="43"/>
      <c r="K53" s="43"/>
      <c r="L53" s="43"/>
      <c r="M53" s="44"/>
      <c r="N53" s="43"/>
      <c r="O53" s="43"/>
      <c r="P53" s="43"/>
      <c r="Q53" s="44"/>
      <c r="R53" s="45"/>
      <c r="S53" s="45"/>
      <c r="T53" s="45"/>
      <c r="U53" s="45"/>
      <c r="V53" s="45"/>
      <c r="W53" s="44"/>
      <c r="X53" s="43"/>
      <c r="Y53" s="43"/>
      <c r="Z53" s="43"/>
      <c r="AA53" s="44"/>
      <c r="AB53" s="45"/>
      <c r="AC53" s="45"/>
      <c r="AD53" s="45"/>
      <c r="AF53" s="62"/>
      <c r="AG53" s="62"/>
      <c r="AH53" s="46"/>
      <c r="AI53" s="46"/>
      <c r="AK53" s="69"/>
    </row>
    <row r="54" spans="2:37" s="40" customFormat="1" ht="12.75" customHeight="1">
      <c r="B54" s="39"/>
      <c r="F54" s="41"/>
      <c r="G54" s="42"/>
      <c r="I54" s="43"/>
      <c r="J54" s="43"/>
      <c r="K54" s="43"/>
      <c r="L54" s="43"/>
      <c r="M54" s="44"/>
      <c r="N54" s="43"/>
      <c r="O54" s="43"/>
      <c r="P54" s="43"/>
      <c r="Q54" s="44"/>
      <c r="R54" s="45"/>
      <c r="S54" s="45"/>
      <c r="T54" s="45"/>
      <c r="U54" s="45"/>
      <c r="V54" s="45"/>
      <c r="W54" s="44"/>
      <c r="X54" s="43"/>
      <c r="Y54" s="43"/>
      <c r="Z54" s="43"/>
      <c r="AA54" s="44"/>
      <c r="AB54" s="45"/>
      <c r="AC54" s="45"/>
      <c r="AD54" s="45"/>
      <c r="AF54" s="62"/>
      <c r="AG54" s="62"/>
      <c r="AH54" s="46"/>
      <c r="AI54" s="46"/>
      <c r="AK54" s="69"/>
    </row>
    <row r="55" spans="2:37" s="40" customFormat="1" ht="12.75" customHeight="1">
      <c r="B55" s="39" t="s">
        <v>116</v>
      </c>
      <c r="F55" s="41"/>
      <c r="G55" s="42"/>
      <c r="I55" s="43"/>
      <c r="J55" s="43"/>
      <c r="K55" s="43"/>
      <c r="L55" s="43"/>
      <c r="M55" s="44"/>
      <c r="N55" s="43"/>
      <c r="O55" s="43"/>
      <c r="P55" s="43"/>
      <c r="Q55" s="44"/>
      <c r="R55" s="45"/>
      <c r="S55" s="45"/>
      <c r="T55" s="45"/>
      <c r="U55" s="45"/>
      <c r="V55" s="45"/>
      <c r="W55" s="44"/>
      <c r="X55" s="43"/>
      <c r="Y55" s="43"/>
      <c r="Z55" s="43"/>
      <c r="AA55" s="44"/>
      <c r="AB55" s="45"/>
      <c r="AC55" s="45"/>
      <c r="AD55" s="45"/>
      <c r="AF55" s="62"/>
      <c r="AG55" s="62"/>
      <c r="AH55" s="46"/>
      <c r="AI55" s="46"/>
      <c r="AK55" s="69"/>
    </row>
    <row r="56" spans="2:37" s="40" customFormat="1" ht="12.75" customHeight="1">
      <c r="B56" s="39"/>
      <c r="F56" s="41"/>
      <c r="G56" s="42"/>
      <c r="I56" s="43"/>
      <c r="J56" s="43"/>
      <c r="K56" s="43"/>
      <c r="L56" s="43"/>
      <c r="M56" s="44"/>
      <c r="N56" s="43"/>
      <c r="O56" s="43"/>
      <c r="P56" s="43"/>
      <c r="Q56" s="44"/>
      <c r="R56" s="45"/>
      <c r="S56" s="45"/>
      <c r="T56" s="45"/>
      <c r="U56" s="45"/>
      <c r="V56" s="45"/>
      <c r="W56" s="44"/>
      <c r="X56" s="43"/>
      <c r="Y56" s="43"/>
      <c r="Z56" s="43"/>
      <c r="AA56" s="44"/>
      <c r="AB56" s="45"/>
      <c r="AC56" s="45"/>
      <c r="AD56" s="45"/>
      <c r="AF56" s="62"/>
      <c r="AG56" s="62"/>
      <c r="AH56" s="46"/>
      <c r="AI56" s="46"/>
      <c r="AK56" s="69"/>
    </row>
    <row r="57" spans="2:37" s="40" customFormat="1" ht="12.75" customHeight="1">
      <c r="B57" s="39"/>
      <c r="F57" s="41"/>
      <c r="G57" s="42"/>
      <c r="I57" s="43"/>
      <c r="J57" s="43"/>
      <c r="K57" s="43"/>
      <c r="L57" s="43"/>
      <c r="M57" s="44"/>
      <c r="N57" s="43"/>
      <c r="O57" s="43"/>
      <c r="P57" s="43"/>
      <c r="Q57" s="44"/>
      <c r="R57" s="45"/>
      <c r="S57" s="45"/>
      <c r="T57" s="45"/>
      <c r="U57" s="45"/>
      <c r="V57" s="45"/>
      <c r="W57" s="44"/>
      <c r="X57" s="43"/>
      <c r="Y57" s="43"/>
      <c r="Z57" s="43"/>
      <c r="AA57" s="44"/>
      <c r="AB57" s="45"/>
      <c r="AC57" s="45"/>
      <c r="AD57" s="45"/>
      <c r="AF57" s="62"/>
      <c r="AG57" s="62"/>
      <c r="AH57" s="46"/>
      <c r="AI57" s="46"/>
      <c r="AK57" s="69"/>
    </row>
    <row r="58" spans="2:37" s="40" customFormat="1" ht="12.75" customHeight="1">
      <c r="B58" s="39"/>
      <c r="F58" s="41"/>
      <c r="G58" s="42"/>
      <c r="I58" s="43"/>
      <c r="J58" s="43"/>
      <c r="K58" s="43"/>
      <c r="L58" s="43"/>
      <c r="M58" s="44"/>
      <c r="N58" s="43"/>
      <c r="O58" s="43"/>
      <c r="P58" s="43"/>
      <c r="Q58" s="44"/>
      <c r="R58" s="45"/>
      <c r="S58" s="45"/>
      <c r="T58" s="45"/>
      <c r="U58" s="45"/>
      <c r="V58" s="45"/>
      <c r="W58" s="44"/>
      <c r="X58" s="43"/>
      <c r="Y58" s="43"/>
      <c r="Z58" s="43"/>
      <c r="AA58" s="44"/>
      <c r="AB58" s="45"/>
      <c r="AC58" s="45"/>
      <c r="AD58" s="45"/>
      <c r="AF58"/>
      <c r="AG58"/>
      <c r="AH58" s="46"/>
      <c r="AI58" s="46"/>
      <c r="AK58" s="69"/>
    </row>
    <row r="59" spans="2:37" ht="12.75" customHeight="1"/>
    <row r="60" spans="2:37" ht="12.75" customHeight="1"/>
    <row r="61" spans="2:37" ht="12.75" customHeight="1">
      <c r="B61" s="17"/>
      <c r="C61" s="47"/>
      <c r="D61" s="47"/>
      <c r="E61" s="15"/>
      <c r="F61" s="47"/>
      <c r="G61" s="47"/>
      <c r="H61" s="47"/>
      <c r="I61" s="32"/>
      <c r="J61" s="219"/>
      <c r="K61" s="219"/>
      <c r="L61" s="56"/>
      <c r="M61" s="47"/>
      <c r="N61" s="32"/>
      <c r="O61" s="32"/>
      <c r="P61" s="32"/>
      <c r="Q61" s="67"/>
      <c r="R61" s="20"/>
      <c r="S61" s="20"/>
      <c r="T61" s="20"/>
      <c r="U61" s="20"/>
      <c r="V61" s="20"/>
      <c r="W61" s="47"/>
      <c r="X61" s="32"/>
      <c r="Y61" s="32"/>
      <c r="Z61" s="32"/>
      <c r="AA61" s="47"/>
      <c r="AB61" s="20"/>
      <c r="AC61" s="20"/>
      <c r="AD61" s="20"/>
      <c r="AE61" s="47"/>
      <c r="AH61" s="33"/>
      <c r="AI61" s="34"/>
    </row>
    <row r="62" spans="2:37" ht="12.75" customHeight="1">
      <c r="B62" s="21"/>
      <c r="C62" s="14"/>
      <c r="D62" s="14"/>
      <c r="E62" s="14"/>
      <c r="F62" s="14"/>
      <c r="G62" s="14"/>
      <c r="H62" s="14"/>
      <c r="I62" s="23"/>
      <c r="J62" s="23"/>
      <c r="K62" s="23"/>
      <c r="L62" s="23"/>
      <c r="M62" s="14"/>
      <c r="N62" s="23"/>
      <c r="O62" s="23"/>
      <c r="P62" s="23"/>
      <c r="Q62" s="16"/>
      <c r="R62" s="22"/>
      <c r="S62" s="22"/>
      <c r="T62" s="22"/>
      <c r="U62" s="22"/>
      <c r="V62" s="22"/>
      <c r="W62" s="14"/>
      <c r="X62" s="23"/>
      <c r="Y62" s="23"/>
      <c r="Z62" s="23"/>
      <c r="AA62" s="14"/>
      <c r="AB62" s="22"/>
      <c r="AC62" s="22"/>
      <c r="AD62" s="22"/>
      <c r="AE62" s="14"/>
      <c r="AH62" s="35"/>
      <c r="AI62" s="36"/>
    </row>
    <row r="63" spans="2:37" ht="12.75" customHeight="1">
      <c r="B63" s="21"/>
      <c r="C63" s="14"/>
      <c r="D63" s="14"/>
      <c r="E63" s="14"/>
      <c r="F63" s="14"/>
      <c r="G63" s="14"/>
      <c r="H63" s="14"/>
      <c r="I63" s="23"/>
      <c r="J63" s="23"/>
      <c r="K63" s="23"/>
      <c r="L63" s="23"/>
      <c r="M63" s="14"/>
      <c r="N63" s="23"/>
      <c r="O63" s="23"/>
      <c r="P63" s="23"/>
      <c r="Q63" s="16"/>
      <c r="R63" s="22"/>
      <c r="S63" s="22"/>
      <c r="T63" s="22"/>
      <c r="U63" s="22"/>
      <c r="V63" s="22"/>
      <c r="W63" s="14"/>
      <c r="X63" s="23"/>
      <c r="Y63" s="23"/>
      <c r="Z63" s="23"/>
      <c r="AA63" s="14"/>
      <c r="AB63" s="22"/>
      <c r="AC63" s="22"/>
      <c r="AD63" s="22"/>
      <c r="AE63" s="14"/>
      <c r="AH63" s="35"/>
      <c r="AI63" s="36"/>
    </row>
    <row r="64" spans="2:37" ht="12.75" customHeight="1">
      <c r="B64" s="21"/>
      <c r="C64" s="14"/>
      <c r="D64" s="14"/>
      <c r="E64" s="14"/>
      <c r="F64" s="14"/>
      <c r="G64" s="14"/>
      <c r="H64" s="14"/>
      <c r="I64" s="23"/>
      <c r="J64" s="23"/>
      <c r="K64" s="23"/>
      <c r="L64" s="23"/>
      <c r="M64" s="14"/>
      <c r="N64" s="23"/>
      <c r="O64" s="23"/>
      <c r="P64" s="23"/>
      <c r="Q64" s="16"/>
      <c r="R64" s="22"/>
      <c r="S64" s="22"/>
      <c r="T64" s="22"/>
      <c r="U64" s="22"/>
      <c r="V64" s="22"/>
      <c r="W64" s="14"/>
      <c r="X64" s="23"/>
      <c r="Y64" s="23"/>
      <c r="Z64" s="23"/>
      <c r="AA64" s="14"/>
      <c r="AB64" s="22"/>
      <c r="AC64" s="22"/>
      <c r="AD64" s="22"/>
      <c r="AE64" s="14"/>
      <c r="AH64" s="35"/>
      <c r="AI64" s="36"/>
    </row>
    <row r="65" spans="2:35" ht="12.75" customHeight="1">
      <c r="B65" s="21"/>
      <c r="C65" s="14"/>
      <c r="D65" s="14"/>
      <c r="E65" s="14"/>
      <c r="F65" s="14"/>
      <c r="G65" s="14"/>
      <c r="H65" s="14"/>
      <c r="I65" s="23"/>
      <c r="J65" s="23"/>
      <c r="K65" s="23"/>
      <c r="L65" s="23"/>
      <c r="M65" s="14"/>
      <c r="N65" s="23"/>
      <c r="O65" s="23"/>
      <c r="P65" s="23"/>
      <c r="Q65" s="16"/>
      <c r="R65" s="22"/>
      <c r="S65" s="22"/>
      <c r="T65" s="22"/>
      <c r="U65" s="22"/>
      <c r="V65" s="22"/>
      <c r="W65" s="14"/>
      <c r="X65" s="23"/>
      <c r="Y65" s="23"/>
      <c r="Z65" s="23"/>
      <c r="AA65" s="14"/>
      <c r="AB65" s="22"/>
      <c r="AC65" s="22"/>
      <c r="AD65" s="22"/>
      <c r="AE65" s="14"/>
      <c r="AH65" s="35"/>
      <c r="AI65" s="36"/>
    </row>
    <row r="66" spans="2:35" ht="12.75" customHeight="1">
      <c r="B66" s="24"/>
      <c r="C66" s="48"/>
      <c r="D66" s="48"/>
      <c r="E66" s="48"/>
      <c r="F66" s="48"/>
      <c r="G66" s="48"/>
      <c r="H66" s="48"/>
      <c r="I66" s="18"/>
      <c r="J66" s="18"/>
      <c r="K66" s="18"/>
      <c r="L66" s="18"/>
      <c r="M66" s="48"/>
      <c r="N66" s="18"/>
      <c r="O66" s="18"/>
      <c r="P66" s="18"/>
      <c r="Q66" s="68"/>
      <c r="R66" s="25"/>
      <c r="S66" s="25"/>
      <c r="T66" s="25"/>
      <c r="U66" s="25"/>
      <c r="V66" s="25"/>
      <c r="W66" s="48"/>
      <c r="X66" s="18"/>
      <c r="Y66" s="18"/>
      <c r="Z66" s="18"/>
      <c r="AA66" s="48"/>
      <c r="AB66" s="25"/>
      <c r="AC66" s="25"/>
      <c r="AD66" s="25"/>
      <c r="AE66" s="48"/>
      <c r="AH66" s="37"/>
      <c r="AI66" s="38"/>
    </row>
    <row r="67" spans="2:35" ht="12.75" customHeight="1"/>
    <row r="68" spans="2:35" ht="12.75" customHeight="1"/>
    <row r="69" spans="2:35" ht="12.75" customHeight="1">
      <c r="B69" s="3"/>
    </row>
    <row r="70" spans="2:35" ht="12.75" customHeight="1"/>
    <row r="71" spans="2:35" ht="12.75" customHeight="1"/>
  </sheetData>
  <mergeCells count="1">
    <mergeCell ref="AF7:AF8"/>
  </mergeCells>
  <conditionalFormatting sqref="AI4">
    <cfRule type="cellIs" dxfId="23" priority="3" stopIfTrue="1" operator="equal">
      <formula>"input"</formula>
    </cfRule>
  </conditionalFormatting>
  <conditionalFormatting sqref="R4">
    <cfRule type="cellIs" dxfId="22" priority="7" stopIfTrue="1" operator="equal">
      <formula>"input"</formula>
    </cfRule>
  </conditionalFormatting>
  <conditionalFormatting sqref="B4:M4">
    <cfRule type="cellIs" dxfId="21" priority="13" stopIfTrue="1" operator="equal">
      <formula>"input"</formula>
    </cfRule>
  </conditionalFormatting>
  <conditionalFormatting sqref="N4">
    <cfRule type="cellIs" dxfId="20" priority="11" stopIfTrue="1" operator="equal">
      <formula>"input"</formula>
    </cfRule>
  </conditionalFormatting>
  <conditionalFormatting sqref="N4">
    <cfRule type="cellIs" dxfId="19" priority="12" stopIfTrue="1" operator="equal">
      <formula>"input"</formula>
    </cfRule>
  </conditionalFormatting>
  <conditionalFormatting sqref="O4:Q4">
    <cfRule type="cellIs" dxfId="18" priority="9" stopIfTrue="1" operator="equal">
      <formula>"input"</formula>
    </cfRule>
  </conditionalFormatting>
  <conditionalFormatting sqref="O4:Q4">
    <cfRule type="cellIs" dxfId="17" priority="10" stopIfTrue="1" operator="equal">
      <formula>"input"</formula>
    </cfRule>
  </conditionalFormatting>
  <conditionalFormatting sqref="R4">
    <cfRule type="cellIs" dxfId="16" priority="8" stopIfTrue="1" operator="equal">
      <formula>"input"</formula>
    </cfRule>
  </conditionalFormatting>
  <conditionalFormatting sqref="S4:AE4 AH4">
    <cfRule type="cellIs" dxfId="15" priority="5" stopIfTrue="1" operator="equal">
      <formula>"input"</formula>
    </cfRule>
  </conditionalFormatting>
  <conditionalFormatting sqref="S4:AE4 AH4">
    <cfRule type="cellIs" dxfId="14" priority="6" stopIfTrue="1" operator="equal">
      <formula>"input"</formula>
    </cfRule>
  </conditionalFormatting>
  <conditionalFormatting sqref="AI4">
    <cfRule type="cellIs" dxfId="13" priority="4" stopIfTrue="1" operator="equal">
      <formula>"input"</formula>
    </cfRule>
  </conditionalFormatting>
  <conditionalFormatting sqref="AF4:AG4">
    <cfRule type="cellIs" dxfId="12" priority="1" stopIfTrue="1" operator="equal">
      <formula>"input"</formula>
    </cfRule>
  </conditionalFormatting>
  <conditionalFormatting sqref="AF4:AG4">
    <cfRule type="cellIs" dxfId="11" priority="2" stopIfTrue="1" operator="equal">
      <formula>"input"</formula>
    </cfRule>
  </conditionalFormatting>
  <pageMargins left="0.7" right="0.7" top="0.75" bottom="0.75" header="0.3" footer="0.3"/>
  <pageSetup scale="68" orientation="portrait" r:id="rId1"/>
  <colBreaks count="1" manualBreakCount="1">
    <brk id="17" max="39" man="1"/>
  </colBreaks>
  <legacy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56"/>
  <dimension ref="A1:CH74"/>
  <sheetViews>
    <sheetView showGridLines="0" view="pageBreakPreview" topLeftCell="A4" zoomScaleNormal="100" zoomScaleSheetLayoutView="100" workbookViewId="0">
      <selection activeCell="D19" sqref="D19:D20"/>
    </sheetView>
  </sheetViews>
  <sheetFormatPr defaultRowHeight="11.25" outlineLevelCol="1"/>
  <cols>
    <col min="1" max="1" width="40.1640625" style="77" bestFit="1" customWidth="1"/>
    <col min="2" max="2" width="14.83203125" style="77" bestFit="1" customWidth="1"/>
    <col min="3" max="3" width="25.1640625" style="75" bestFit="1" customWidth="1"/>
    <col min="4" max="4" width="19" style="75" bestFit="1" customWidth="1"/>
    <col min="5" max="9" width="17.83203125" style="75" customWidth="1"/>
    <col min="10" max="10" width="15.33203125" style="75" customWidth="1"/>
    <col min="11" max="11" width="14" style="75" customWidth="1"/>
    <col min="12" max="12" width="15.6640625" style="75" bestFit="1" customWidth="1"/>
    <col min="13" max="13" width="16.1640625" style="75" customWidth="1"/>
    <col min="14" max="16" width="14.83203125" style="75" bestFit="1" customWidth="1"/>
    <col min="17" max="18" width="14.83203125" style="75" customWidth="1"/>
    <col min="19" max="23" width="14.83203125" style="75" bestFit="1" customWidth="1"/>
    <col min="24" max="24" width="14.83203125" style="75" customWidth="1"/>
    <col min="25" max="29" width="14.83203125" style="75" bestFit="1" customWidth="1"/>
    <col min="30" max="30" width="17" style="75" bestFit="1" customWidth="1"/>
    <col min="31" max="31" width="14.83203125" style="75" bestFit="1" customWidth="1"/>
    <col min="32" max="32" width="19.1640625" style="75" customWidth="1"/>
    <col min="33" max="33" width="19.5" style="75" customWidth="1"/>
    <col min="34" max="34" width="21.1640625" style="75" customWidth="1"/>
    <col min="35" max="35" width="19" style="75" bestFit="1" customWidth="1"/>
    <col min="36" max="36" width="12.83203125" style="75" customWidth="1"/>
    <col min="37" max="37" width="15.33203125" style="75" customWidth="1"/>
    <col min="38" max="38" width="13.1640625" style="75" customWidth="1"/>
    <col min="39" max="39" width="18.5" style="75" bestFit="1" customWidth="1"/>
    <col min="40" max="40" width="14.83203125" style="75" bestFit="1" customWidth="1"/>
    <col min="41" max="42" width="14.83203125" style="75" customWidth="1"/>
    <col min="43" max="43" width="14.83203125" style="74" customWidth="1"/>
    <col min="44" max="44" width="14.83203125" style="75" customWidth="1"/>
    <col min="45" max="45" width="11.1640625" style="74" customWidth="1"/>
    <col min="46" max="46" width="14.83203125" style="75" bestFit="1" customWidth="1"/>
    <col min="47" max="50" width="14.83203125" style="74" customWidth="1"/>
    <col min="51" max="51" width="16" style="74" customWidth="1"/>
    <col min="52" max="54" width="14.83203125" style="74" customWidth="1"/>
    <col min="55" max="55" width="14.83203125" style="75" customWidth="1"/>
    <col min="56" max="69" width="14.83203125" style="74" customWidth="1"/>
    <col min="70" max="70" width="17" style="74" customWidth="1" outlineLevel="1"/>
    <col min="71" max="78" width="9.33203125" style="74"/>
    <col min="79" max="82" width="9.33203125" style="73"/>
    <col min="83" max="83" width="9.33203125" style="110"/>
    <col min="84" max="16384" width="9.33203125" style="73"/>
  </cols>
  <sheetData>
    <row r="1" spans="1:86" s="70" customFormat="1">
      <c r="A1" s="77" t="s">
        <v>832</v>
      </c>
      <c r="B1" s="92">
        <f>'MASTER PubCo Inputs'!C6</f>
        <v>42735</v>
      </c>
      <c r="C1" s="75"/>
      <c r="D1" s="75"/>
      <c r="E1" s="75"/>
      <c r="F1" s="75"/>
      <c r="G1" s="75"/>
      <c r="H1" s="75"/>
      <c r="I1" s="75"/>
      <c r="J1" s="75"/>
      <c r="K1" s="75"/>
      <c r="L1" s="75"/>
      <c r="M1" s="75"/>
      <c r="N1" s="75"/>
      <c r="O1" s="75"/>
      <c r="P1" s="75"/>
      <c r="Q1" s="75"/>
      <c r="R1" s="75"/>
      <c r="S1" s="75"/>
      <c r="T1" s="75"/>
      <c r="U1" s="75"/>
      <c r="V1" s="75"/>
      <c r="W1" s="75"/>
      <c r="X1" s="75"/>
      <c r="Y1" s="75"/>
      <c r="Z1" s="75"/>
      <c r="AA1" s="75"/>
      <c r="AB1" s="75"/>
      <c r="AC1" s="75"/>
      <c r="AD1" s="75"/>
      <c r="AE1" s="75"/>
      <c r="AF1" s="75"/>
      <c r="AG1" s="75"/>
      <c r="AH1" s="75"/>
      <c r="AI1" s="75"/>
      <c r="AJ1" s="75"/>
      <c r="AK1" s="75"/>
      <c r="AL1" s="75"/>
      <c r="AM1" s="75"/>
      <c r="AN1" s="75"/>
      <c r="AO1" s="75"/>
      <c r="AP1" s="75"/>
      <c r="AQ1" s="71"/>
      <c r="AR1" s="75"/>
      <c r="AS1" s="72"/>
      <c r="AT1" s="75"/>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row>
    <row r="2" spans="1:86" s="70" customFormat="1">
      <c r="A2" s="77" t="s">
        <v>833</v>
      </c>
      <c r="B2" s="92" t="str">
        <f>'Capital IQ Sheet-GPC'!B2</f>
        <v>CY2014</v>
      </c>
      <c r="C2" s="75"/>
      <c r="D2" s="75"/>
      <c r="E2" s="75"/>
      <c r="F2" s="75"/>
      <c r="G2" s="75"/>
      <c r="H2" s="75"/>
      <c r="I2" s="75"/>
      <c r="J2" s="75"/>
      <c r="K2" s="140" t="s">
        <v>87</v>
      </c>
      <c r="L2" s="141">
        <f>B1</f>
        <v>42735</v>
      </c>
      <c r="M2" s="75"/>
      <c r="N2" s="75"/>
      <c r="O2" s="75"/>
      <c r="P2" s="75"/>
      <c r="Q2" s="75"/>
      <c r="R2" s="75"/>
      <c r="S2" s="75"/>
      <c r="T2" s="75"/>
      <c r="U2" s="75"/>
      <c r="V2" s="75"/>
      <c r="W2" s="75"/>
      <c r="X2" s="75"/>
      <c r="Y2" s="75"/>
      <c r="Z2" s="75"/>
      <c r="AA2" s="75"/>
      <c r="AB2" s="75"/>
      <c r="AC2" s="75"/>
      <c r="AD2" s="75"/>
      <c r="AE2" s="75"/>
      <c r="AF2" s="75"/>
      <c r="AG2" s="75"/>
      <c r="AH2" s="75"/>
      <c r="AI2" s="75"/>
      <c r="AJ2" s="75"/>
      <c r="AK2" s="75"/>
      <c r="AL2" s="75"/>
      <c r="AM2" s="75"/>
      <c r="AN2" s="75"/>
      <c r="AO2" s="75"/>
      <c r="AP2" s="75"/>
      <c r="AQ2" s="71"/>
      <c r="AR2" s="75"/>
      <c r="AS2" s="72"/>
      <c r="AT2" s="75"/>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row>
    <row r="3" spans="1:86" s="70" customFormat="1">
      <c r="A3" s="77" t="s">
        <v>834</v>
      </c>
      <c r="B3" s="92" t="str">
        <f>'Capital IQ Sheet-GPC'!B3</f>
        <v>CY2015</v>
      </c>
      <c r="C3" s="75"/>
      <c r="D3" s="75"/>
      <c r="E3" s="75"/>
      <c r="F3" s="75"/>
      <c r="G3" s="75"/>
      <c r="H3" s="75"/>
      <c r="I3" s="75"/>
      <c r="J3" s="75"/>
      <c r="K3" s="96" t="s">
        <v>489</v>
      </c>
      <c r="L3" s="97" t="str">
        <f>'Capital IQ Sheet-GPC'!L3</f>
        <v>F</v>
      </c>
      <c r="M3" s="75"/>
      <c r="N3" s="75"/>
      <c r="O3" s="75"/>
      <c r="P3" s="75"/>
      <c r="Q3" s="75"/>
      <c r="R3" s="75"/>
      <c r="S3" s="75"/>
      <c r="T3" s="75"/>
      <c r="U3" s="75"/>
      <c r="V3" s="75"/>
      <c r="W3" s="75"/>
      <c r="X3" s="75"/>
      <c r="Y3" s="75"/>
      <c r="Z3" s="75"/>
      <c r="AA3" s="75"/>
      <c r="AB3" s="75"/>
      <c r="AC3" s="75"/>
      <c r="AD3" s="75"/>
      <c r="AE3" s="75"/>
      <c r="AF3" s="75"/>
      <c r="AG3" s="75"/>
      <c r="AH3" s="75"/>
      <c r="AI3" s="75"/>
      <c r="AJ3" s="75"/>
      <c r="AK3" s="75"/>
      <c r="AL3" s="75"/>
      <c r="AM3" s="75"/>
      <c r="AN3" s="75"/>
      <c r="AO3" s="75"/>
      <c r="AP3" s="75"/>
      <c r="AQ3" s="71"/>
      <c r="AR3" s="75"/>
      <c r="AS3" s="72"/>
      <c r="AT3" s="75"/>
      <c r="AU3" s="71"/>
      <c r="AV3" s="71"/>
      <c r="AW3" s="71"/>
      <c r="AX3" s="71"/>
      <c r="AY3" s="71"/>
      <c r="AZ3" s="71"/>
      <c r="BA3" s="71"/>
      <c r="BB3" s="71"/>
      <c r="BC3" s="71"/>
      <c r="BD3" s="71"/>
      <c r="BE3" s="71"/>
      <c r="BF3" s="71"/>
      <c r="BG3" s="71"/>
      <c r="BH3" s="71"/>
      <c r="BI3" s="71"/>
      <c r="BJ3" s="71"/>
      <c r="BK3" s="71"/>
      <c r="BL3" s="71"/>
      <c r="BM3" s="71"/>
      <c r="BN3" s="71"/>
      <c r="BO3" s="71"/>
      <c r="BP3" s="71"/>
      <c r="BQ3" s="71"/>
      <c r="BR3" s="71"/>
      <c r="BS3" s="71"/>
      <c r="BT3" s="71"/>
      <c r="BU3" s="71"/>
      <c r="BV3" s="71"/>
      <c r="BW3" s="71"/>
      <c r="BX3" s="71"/>
      <c r="BY3" s="71"/>
      <c r="BZ3" s="71"/>
    </row>
    <row r="4" spans="1:86" s="70" customFormat="1">
      <c r="A4" s="77" t="s">
        <v>835</v>
      </c>
      <c r="B4" s="92" t="str">
        <f>'Capital IQ Sheet-GPC'!B4</f>
        <v>CY2016</v>
      </c>
      <c r="C4" s="75"/>
      <c r="D4" s="75"/>
      <c r="E4" s="75"/>
      <c r="F4" s="75"/>
      <c r="G4" s="75"/>
      <c r="H4" s="75"/>
      <c r="I4" s="75"/>
      <c r="J4" s="75"/>
      <c r="K4" s="96" t="s">
        <v>954</v>
      </c>
      <c r="L4" s="97" t="str">
        <f>'Capital IQ Sheet-GPC'!L4</f>
        <v>LFR</v>
      </c>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1"/>
      <c r="AR4" s="75"/>
      <c r="AS4" s="71"/>
      <c r="AT4" s="75"/>
      <c r="AU4" s="71"/>
      <c r="AV4" s="71"/>
      <c r="AW4" s="71"/>
      <c r="AX4" s="71"/>
      <c r="AY4" s="71"/>
      <c r="AZ4" s="71"/>
      <c r="BA4" s="71"/>
      <c r="BB4" s="71"/>
      <c r="BC4" s="71"/>
      <c r="BD4" s="71"/>
      <c r="BE4" s="71"/>
      <c r="BF4" s="71"/>
      <c r="BG4" s="71"/>
      <c r="BH4" s="71"/>
      <c r="BI4" s="71"/>
      <c r="BJ4" s="71"/>
      <c r="BK4" s="71"/>
      <c r="BL4" s="71"/>
      <c r="BM4" s="71"/>
      <c r="BN4" s="71"/>
      <c r="BO4" s="71"/>
      <c r="BP4" s="71"/>
      <c r="BQ4" s="71"/>
      <c r="BR4" s="71"/>
      <c r="BS4" s="71"/>
      <c r="BT4" s="71"/>
      <c r="BU4" s="71"/>
      <c r="BV4" s="71"/>
      <c r="BW4" s="71"/>
      <c r="BX4" s="71"/>
      <c r="BY4" s="71"/>
      <c r="BZ4" s="71"/>
    </row>
    <row r="5" spans="1:86" s="70" customFormat="1">
      <c r="A5" s="77" t="s">
        <v>836</v>
      </c>
      <c r="B5" s="92" t="str">
        <f>'Capital IQ Sheet-GPC'!B5</f>
        <v>CY2017</v>
      </c>
      <c r="C5" s="75"/>
      <c r="D5" s="75"/>
      <c r="E5" s="75"/>
      <c r="F5" s="75"/>
      <c r="G5" s="75"/>
      <c r="H5" s="75"/>
      <c r="I5" s="75"/>
      <c r="J5" s="75"/>
      <c r="K5" s="96" t="s">
        <v>490</v>
      </c>
      <c r="L5" s="97" t="str">
        <f>'Capital IQ Sheet-GPC'!L5</f>
        <v>USD</v>
      </c>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1"/>
      <c r="AR5" s="75"/>
      <c r="AS5" s="71"/>
      <c r="AT5" s="75"/>
      <c r="AU5" s="71"/>
      <c r="AV5" s="71"/>
      <c r="AW5" s="71"/>
      <c r="AX5" s="71"/>
      <c r="AY5" s="71"/>
      <c r="AZ5" s="71"/>
      <c r="BA5" s="71"/>
      <c r="BB5" s="71"/>
      <c r="BC5" s="71"/>
      <c r="BD5" s="71"/>
      <c r="BE5" s="71"/>
      <c r="BF5" s="71"/>
      <c r="BG5" s="71"/>
      <c r="BH5" s="71"/>
      <c r="BI5" s="71"/>
      <c r="BJ5" s="71"/>
      <c r="BK5" s="71"/>
      <c r="BL5" s="71"/>
      <c r="BM5" s="71"/>
      <c r="BN5" s="71"/>
      <c r="BO5" s="71"/>
      <c r="BP5" s="71"/>
      <c r="BQ5" s="71"/>
      <c r="BR5" s="71"/>
      <c r="BS5" s="71"/>
      <c r="BT5" s="71"/>
      <c r="BU5" s="71"/>
      <c r="BV5" s="71"/>
      <c r="BW5" s="71"/>
      <c r="BX5" s="71"/>
      <c r="BY5" s="71"/>
      <c r="BZ5" s="71"/>
    </row>
    <row r="6" spans="1:86" s="70" customFormat="1">
      <c r="A6" s="77" t="s">
        <v>837</v>
      </c>
      <c r="B6" s="92" t="str">
        <f>'Capital IQ Sheet-GPC'!B6</f>
        <v>CY2018</v>
      </c>
      <c r="C6" s="75"/>
      <c r="D6" s="75"/>
      <c r="E6" s="75"/>
      <c r="F6" s="75"/>
      <c r="G6" s="75"/>
      <c r="H6" s="75"/>
      <c r="I6" s="75"/>
      <c r="J6" s="75"/>
      <c r="K6" s="98" t="s">
        <v>89</v>
      </c>
      <c r="L6" s="99" t="str">
        <f>'Capital IQ Sheet-GPC'!L6</f>
        <v>H</v>
      </c>
      <c r="M6" s="75"/>
      <c r="N6" s="75"/>
      <c r="O6" s="75"/>
      <c r="P6" s="75"/>
      <c r="Q6" s="75"/>
      <c r="R6" s="75"/>
      <c r="S6" s="75"/>
      <c r="T6" s="75"/>
      <c r="U6" s="75"/>
      <c r="V6" s="75"/>
      <c r="W6" s="75"/>
      <c r="X6" s="75"/>
      <c r="Y6" s="75"/>
      <c r="Z6" s="75"/>
      <c r="AA6" s="75"/>
      <c r="AB6" s="75"/>
      <c r="AC6" s="75"/>
      <c r="AD6" s="75"/>
      <c r="AE6" s="100"/>
      <c r="AF6" s="75"/>
      <c r="AG6" s="75"/>
      <c r="AH6" s="75"/>
      <c r="AI6" s="75"/>
      <c r="AJ6" s="75"/>
      <c r="AK6" s="75"/>
      <c r="AL6" s="75"/>
      <c r="AM6" s="75"/>
      <c r="AN6" s="75"/>
      <c r="AO6" s="75"/>
      <c r="AP6" s="75"/>
      <c r="AQ6" s="71"/>
      <c r="AR6" s="75"/>
      <c r="AS6" s="71"/>
      <c r="AT6" s="75"/>
      <c r="AU6" s="71"/>
      <c r="AV6" s="71"/>
      <c r="AW6" s="71"/>
      <c r="AX6" s="71"/>
      <c r="AY6" s="71"/>
      <c r="AZ6" s="71"/>
      <c r="BA6" s="71"/>
      <c r="BB6" s="71"/>
      <c r="BC6" s="71"/>
      <c r="BD6" s="71"/>
      <c r="BE6" s="71"/>
      <c r="BF6" s="71"/>
      <c r="BG6" s="71"/>
      <c r="BH6" s="71"/>
      <c r="BI6" s="71"/>
      <c r="BJ6" s="71"/>
      <c r="BK6" s="71"/>
      <c r="BL6" s="71"/>
      <c r="BM6" s="71"/>
      <c r="BN6" s="71"/>
      <c r="BO6" s="71"/>
      <c r="BP6" s="71"/>
      <c r="BQ6" s="71"/>
      <c r="BR6" s="71"/>
      <c r="BS6" s="71"/>
      <c r="BT6" s="71"/>
      <c r="BU6" s="71"/>
      <c r="BV6" s="71"/>
      <c r="BW6" s="71"/>
      <c r="BX6" s="71"/>
      <c r="BY6" s="71"/>
      <c r="BZ6" s="71"/>
    </row>
    <row r="7" spans="1:86" s="70" customFormat="1">
      <c r="A7" s="77" t="s">
        <v>956</v>
      </c>
      <c r="B7" s="92" t="str">
        <f>'Capital IQ Sheet-GPC'!B7</f>
        <v>CY2019</v>
      </c>
      <c r="C7" s="75"/>
      <c r="D7" s="75"/>
      <c r="E7" s="75"/>
      <c r="F7" s="75"/>
      <c r="G7" s="75"/>
      <c r="H7" s="75"/>
      <c r="I7" s="75"/>
      <c r="J7" s="75"/>
      <c r="K7" s="100"/>
      <c r="L7" s="100"/>
      <c r="M7" s="75"/>
      <c r="N7" s="75"/>
      <c r="O7" s="75"/>
      <c r="P7" s="75"/>
      <c r="Q7" s="75"/>
      <c r="R7" s="75"/>
      <c r="S7" s="75"/>
      <c r="T7" s="75"/>
      <c r="U7" s="75"/>
      <c r="V7" s="75"/>
      <c r="W7" s="75"/>
      <c r="X7" s="75"/>
      <c r="Y7" s="75"/>
      <c r="Z7" s="75"/>
      <c r="AA7" s="75"/>
      <c r="AB7" s="75"/>
      <c r="AC7" s="75"/>
      <c r="AD7" s="75"/>
      <c r="AE7" s="100"/>
      <c r="AF7" s="101"/>
      <c r="AG7" s="101"/>
      <c r="AH7" s="75"/>
      <c r="AI7" s="75"/>
      <c r="AJ7" s="75"/>
      <c r="AK7" s="75"/>
      <c r="AL7" s="75"/>
      <c r="AM7" s="75"/>
      <c r="AN7" s="75"/>
      <c r="AO7" s="75"/>
      <c r="AP7" s="75"/>
      <c r="AQ7" s="71"/>
      <c r="AR7" s="75"/>
      <c r="AS7" s="71"/>
      <c r="AT7" s="75"/>
      <c r="AU7" s="71"/>
      <c r="AV7" s="71"/>
      <c r="AW7" s="71"/>
      <c r="AX7" s="71"/>
      <c r="AY7" s="71"/>
      <c r="AZ7" s="71"/>
      <c r="BA7" s="71"/>
      <c r="BB7" s="71"/>
      <c r="BC7" s="71"/>
      <c r="BD7" s="71"/>
      <c r="BE7" s="71"/>
      <c r="BF7" s="71"/>
      <c r="BG7" s="71"/>
      <c r="BH7" s="71"/>
      <c r="BI7" s="71"/>
      <c r="BJ7" s="71"/>
      <c r="BK7" s="71"/>
      <c r="BL7" s="71"/>
      <c r="BM7" s="71"/>
      <c r="BN7" s="71"/>
      <c r="BO7" s="71"/>
      <c r="BP7" s="71"/>
      <c r="BQ7" s="71"/>
      <c r="BR7" s="71"/>
      <c r="BS7" s="71"/>
      <c r="BT7" s="71"/>
      <c r="BU7" s="71"/>
      <c r="BV7" s="71"/>
      <c r="BW7" s="71"/>
      <c r="BX7" s="71"/>
      <c r="BY7" s="71"/>
      <c r="BZ7" s="71"/>
    </row>
    <row r="8" spans="1:86" s="70" customFormat="1">
      <c r="A8" s="77" t="s">
        <v>838</v>
      </c>
      <c r="B8" s="92">
        <f>'Capital IQ Sheet-GPC'!B8</f>
        <v>42376</v>
      </c>
      <c r="C8" s="75"/>
      <c r="D8" s="75"/>
      <c r="E8" s="75"/>
      <c r="F8" s="75"/>
      <c r="G8" s="75"/>
      <c r="H8" s="75"/>
      <c r="I8" s="75"/>
      <c r="J8" s="75"/>
      <c r="K8" s="75"/>
      <c r="L8" s="75"/>
      <c r="M8" s="75"/>
      <c r="N8" s="75"/>
      <c r="O8" s="75"/>
      <c r="P8" s="75"/>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1"/>
      <c r="AR8" s="75"/>
      <c r="AS8" s="71"/>
      <c r="AT8" s="75"/>
      <c r="AU8" s="71"/>
      <c r="AV8" s="71"/>
      <c r="AW8" s="71"/>
      <c r="AX8" s="71"/>
      <c r="AY8" s="71"/>
      <c r="AZ8" s="71"/>
      <c r="BA8" s="71"/>
      <c r="BB8" s="71"/>
      <c r="BC8" s="71"/>
      <c r="BD8" s="71"/>
      <c r="BE8" s="71"/>
      <c r="BF8" s="71"/>
      <c r="BG8" s="71"/>
      <c r="BH8" s="71"/>
      <c r="BI8" s="71"/>
      <c r="BJ8" s="71"/>
      <c r="BK8" s="71"/>
      <c r="BL8" s="71"/>
      <c r="BM8" s="71"/>
      <c r="BN8" s="71"/>
      <c r="BO8" s="71"/>
      <c r="BP8" s="71"/>
      <c r="BQ8" s="71"/>
      <c r="BR8" s="71"/>
      <c r="BS8" s="71"/>
      <c r="BT8" s="71"/>
      <c r="BU8" s="71"/>
      <c r="BV8" s="71"/>
      <c r="BW8" s="71"/>
      <c r="BX8" s="71"/>
      <c r="BY8" s="71"/>
      <c r="BZ8" s="71"/>
    </row>
    <row r="9" spans="1:86" s="145" customFormat="1" ht="12.75">
      <c r="A9" s="142"/>
      <c r="B9" s="142"/>
      <c r="C9" s="143"/>
      <c r="D9" s="143"/>
      <c r="E9" s="143"/>
      <c r="F9" s="143"/>
      <c r="G9" s="143"/>
      <c r="H9" s="143"/>
      <c r="I9" s="143"/>
      <c r="J9" s="143"/>
      <c r="K9" s="143"/>
      <c r="L9" s="143"/>
      <c r="M9" s="143"/>
      <c r="N9" s="143"/>
      <c r="O9" s="143"/>
      <c r="P9" s="143"/>
      <c r="Q9" s="143"/>
      <c r="R9" s="143"/>
      <c r="S9" s="143"/>
      <c r="T9" s="143"/>
      <c r="U9" s="143"/>
      <c r="V9" s="143"/>
      <c r="W9" s="143"/>
      <c r="X9" s="143"/>
      <c r="Y9" s="143"/>
      <c r="Z9" s="143"/>
      <c r="AA9" s="143"/>
      <c r="AB9" s="143"/>
      <c r="AC9" s="143"/>
      <c r="AD9" s="143"/>
      <c r="AE9" s="143"/>
      <c r="AF9" s="143"/>
      <c r="AG9" s="143"/>
      <c r="AH9" s="143"/>
      <c r="AI9" s="143"/>
      <c r="AJ9" s="143"/>
      <c r="AK9" s="143"/>
      <c r="AL9" s="143"/>
      <c r="AM9" s="143"/>
      <c r="AN9" s="143"/>
      <c r="AO9" s="143"/>
      <c r="AP9" s="143"/>
      <c r="AQ9" s="144"/>
      <c r="AR9" s="143"/>
      <c r="AS9" s="144"/>
      <c r="AT9" s="143"/>
      <c r="AU9" s="144"/>
      <c r="AV9" s="144"/>
      <c r="AW9" s="144"/>
      <c r="AX9" s="144"/>
      <c r="AY9" s="144"/>
      <c r="AZ9" s="144"/>
      <c r="BA9" s="144"/>
      <c r="BB9" s="144"/>
      <c r="BC9" s="143"/>
      <c r="BD9" s="144"/>
      <c r="BE9" s="144"/>
      <c r="BF9" s="144"/>
      <c r="BG9" s="144"/>
      <c r="BH9" s="144"/>
      <c r="BI9" s="144"/>
      <c r="BJ9" s="144"/>
      <c r="BK9" s="144"/>
      <c r="BL9" s="144"/>
      <c r="BM9" s="144"/>
      <c r="BN9" s="144"/>
      <c r="BO9" s="144"/>
      <c r="BP9" s="144"/>
      <c r="BQ9" s="144"/>
      <c r="BR9" s="144"/>
      <c r="BS9" s="144"/>
      <c r="BT9" s="144"/>
      <c r="BU9" s="144"/>
      <c r="BV9" s="144"/>
      <c r="BW9" s="144"/>
      <c r="BX9" s="144"/>
      <c r="BY9" s="144"/>
      <c r="BZ9" s="144"/>
    </row>
    <row r="10" spans="1:86">
      <c r="A10" s="102" t="str">
        <f>'Capital IQ Sheet-GPC'!A10</f>
        <v>Comparable Public Companies (Primary)</v>
      </c>
      <c r="W10" s="103"/>
      <c r="AF10" s="146" t="s">
        <v>343</v>
      </c>
      <c r="AG10" s="147"/>
      <c r="AH10" s="147"/>
      <c r="AI10" s="148"/>
      <c r="AJ10" s="75" t="s">
        <v>366</v>
      </c>
      <c r="AK10" s="75" t="s">
        <v>342</v>
      </c>
      <c r="AL10" s="75" t="s">
        <v>343</v>
      </c>
      <c r="AM10" s="75" t="s">
        <v>366</v>
      </c>
      <c r="AN10" s="75" t="s">
        <v>342</v>
      </c>
      <c r="AO10" s="75" t="s">
        <v>343</v>
      </c>
      <c r="AQ10" s="71">
        <v>1</v>
      </c>
      <c r="AR10" s="75">
        <v>2</v>
      </c>
      <c r="AS10" s="71">
        <v>5</v>
      </c>
      <c r="AU10" s="75" t="s">
        <v>366</v>
      </c>
      <c r="AV10" s="75" t="s">
        <v>342</v>
      </c>
      <c r="AW10" s="75" t="s">
        <v>343</v>
      </c>
      <c r="AX10" s="103" t="str">
        <f>B2</f>
        <v>CY2014</v>
      </c>
      <c r="AY10" s="103" t="str">
        <f>B3</f>
        <v>CY2015</v>
      </c>
      <c r="AZ10" s="75" t="s">
        <v>366</v>
      </c>
      <c r="BA10" s="75" t="s">
        <v>342</v>
      </c>
      <c r="BB10" s="75" t="s">
        <v>343</v>
      </c>
      <c r="BC10" s="75" t="str">
        <f>AX10</f>
        <v>CY2014</v>
      </c>
      <c r="BD10" s="75" t="str">
        <f>AY10</f>
        <v>CY2015</v>
      </c>
      <c r="BE10" s="75"/>
      <c r="BF10" s="75"/>
      <c r="BG10" s="75"/>
      <c r="BH10" s="71"/>
      <c r="BI10" s="71"/>
      <c r="BJ10" s="71"/>
      <c r="BK10" s="71"/>
      <c r="BL10" s="71"/>
      <c r="BM10" s="71"/>
      <c r="BN10" s="71"/>
      <c r="BO10" s="71"/>
      <c r="BP10" s="71"/>
      <c r="BQ10" s="71"/>
      <c r="BR10" s="71"/>
      <c r="BS10" s="71" t="s">
        <v>117</v>
      </c>
      <c r="BT10" s="71"/>
      <c r="BU10" s="71"/>
      <c r="BV10" s="71"/>
      <c r="BW10" s="71"/>
      <c r="BX10" s="71"/>
      <c r="BY10" s="71"/>
      <c r="BZ10" s="71"/>
      <c r="CA10" s="70"/>
      <c r="CB10" s="70"/>
      <c r="CC10" s="70"/>
      <c r="CD10" s="70"/>
      <c r="CE10" s="70"/>
      <c r="CF10" s="70"/>
      <c r="CG10" s="70"/>
      <c r="CH10" s="70"/>
    </row>
    <row r="11" spans="1:86" ht="12.75">
      <c r="A11" s="77" t="s">
        <v>108</v>
      </c>
      <c r="B11" s="77" t="s">
        <v>839</v>
      </c>
      <c r="C11" s="75" t="s">
        <v>840</v>
      </c>
      <c r="D11" s="75" t="s">
        <v>841</v>
      </c>
      <c r="E11" s="75" t="s">
        <v>842</v>
      </c>
      <c r="F11" s="75" t="s">
        <v>958</v>
      </c>
      <c r="G11" s="74" t="s">
        <v>843</v>
      </c>
      <c r="H11" s="74" t="s">
        <v>153</v>
      </c>
      <c r="I11" s="74" t="s">
        <v>774</v>
      </c>
      <c r="J11" s="75" t="s">
        <v>94</v>
      </c>
      <c r="K11" s="75" t="s">
        <v>95</v>
      </c>
      <c r="L11" s="75" t="s">
        <v>96</v>
      </c>
      <c r="M11" s="75" t="s">
        <v>97</v>
      </c>
      <c r="N11" s="75" t="s">
        <v>100</v>
      </c>
      <c r="O11" s="143" t="s">
        <v>890</v>
      </c>
      <c r="P11" s="75" t="s">
        <v>891</v>
      </c>
      <c r="Q11" s="75" t="s">
        <v>892</v>
      </c>
      <c r="R11" s="75" t="str">
        <f>"REV_"&amp;$B$2</f>
        <v>REV_CY2014</v>
      </c>
      <c r="S11" s="75" t="str">
        <f>"REV_"&amp;$B$3</f>
        <v>REV_CY2015</v>
      </c>
      <c r="T11" s="75" t="str">
        <f>"REV_"&amp;$B$4</f>
        <v>REV_CY2016</v>
      </c>
      <c r="U11" s="75" t="str">
        <f>"REV_"&amp;$B$5</f>
        <v>REV_CY2017</v>
      </c>
      <c r="V11" s="75" t="str">
        <f>"REV_"&amp;$B$6</f>
        <v>REV_CY2018</v>
      </c>
      <c r="W11" s="75" t="str">
        <f>"REV_"&amp;$B$7</f>
        <v>REV_CY2019</v>
      </c>
      <c r="X11" s="143" t="s">
        <v>893</v>
      </c>
      <c r="Y11" s="75" t="s">
        <v>894</v>
      </c>
      <c r="Z11" s="75" t="s">
        <v>844</v>
      </c>
      <c r="AA11" s="75" t="s">
        <v>895</v>
      </c>
      <c r="AB11" s="75" t="s">
        <v>896</v>
      </c>
      <c r="AC11" s="75" t="s">
        <v>897</v>
      </c>
      <c r="AD11" s="75" t="s">
        <v>898</v>
      </c>
      <c r="AE11" s="75" t="s">
        <v>899</v>
      </c>
      <c r="AF11" s="75" t="s">
        <v>902</v>
      </c>
      <c r="AG11" s="75" t="s">
        <v>978</v>
      </c>
      <c r="AH11" s="75" t="s">
        <v>979</v>
      </c>
      <c r="AI11" s="75" t="s">
        <v>980</v>
      </c>
      <c r="AJ11" s="75" t="s">
        <v>903</v>
      </c>
      <c r="AK11" s="75" t="s">
        <v>903</v>
      </c>
      <c r="AL11" s="75" t="s">
        <v>903</v>
      </c>
      <c r="AM11" s="75" t="s">
        <v>771</v>
      </c>
      <c r="AN11" s="75" t="s">
        <v>771</v>
      </c>
      <c r="AO11" s="75" t="s">
        <v>771</v>
      </c>
      <c r="AP11" s="75" t="s">
        <v>981</v>
      </c>
      <c r="AQ11" s="75" t="s">
        <v>847</v>
      </c>
      <c r="AR11" s="75" t="s">
        <v>846</v>
      </c>
      <c r="AS11" s="75" t="s">
        <v>845</v>
      </c>
      <c r="AT11" s="75" t="s">
        <v>73</v>
      </c>
      <c r="AU11" s="74" t="s">
        <v>655</v>
      </c>
      <c r="AV11" s="74" t="s">
        <v>655</v>
      </c>
      <c r="AW11" s="74" t="s">
        <v>655</v>
      </c>
      <c r="AX11" s="74" t="s">
        <v>655</v>
      </c>
      <c r="AY11" s="75" t="s">
        <v>655</v>
      </c>
      <c r="AZ11" s="74" t="s">
        <v>656</v>
      </c>
      <c r="BA11" s="74" t="s">
        <v>656</v>
      </c>
      <c r="BB11" s="74" t="s">
        <v>656</v>
      </c>
      <c r="BC11" s="75" t="s">
        <v>656</v>
      </c>
      <c r="BD11" s="74" t="s">
        <v>656</v>
      </c>
      <c r="BE11" s="74" t="s">
        <v>966</v>
      </c>
      <c r="BF11" s="74" t="s">
        <v>967</v>
      </c>
      <c r="BG11" s="74" t="s">
        <v>968</v>
      </c>
      <c r="BH11" s="74" t="s">
        <v>969</v>
      </c>
      <c r="BI11" s="74" t="s">
        <v>970</v>
      </c>
      <c r="BJ11" s="74" t="s">
        <v>971</v>
      </c>
      <c r="BK11" s="74" t="s">
        <v>848</v>
      </c>
      <c r="BL11" s="74" t="s">
        <v>849</v>
      </c>
      <c r="BM11" s="74" t="s">
        <v>850</v>
      </c>
      <c r="BN11" s="74" t="s">
        <v>851</v>
      </c>
      <c r="BO11" s="74" t="s">
        <v>852</v>
      </c>
      <c r="BP11" s="74" t="s">
        <v>853</v>
      </c>
      <c r="BQ11" s="74" t="s">
        <v>854</v>
      </c>
      <c r="BR11" s="74" t="s">
        <v>855</v>
      </c>
      <c r="BS11" s="76" t="str">
        <f>'Capital IQ Sheet-GPC'!BS11</f>
        <v>Year 1</v>
      </c>
      <c r="BT11" s="76" t="str">
        <f>'Capital IQ Sheet-GPC'!BT11</f>
        <v>Year 2</v>
      </c>
      <c r="BU11" s="76" t="str">
        <f>'Capital IQ Sheet-GPC'!BU11</f>
        <v>Year 3</v>
      </c>
      <c r="BV11" s="76" t="str">
        <f>'Capital IQ Sheet-GPC'!BV11</f>
        <v>Year 4</v>
      </c>
      <c r="BW11" s="76" t="str">
        <f>'Capital IQ Sheet-GPC'!BW11</f>
        <v>Year 5</v>
      </c>
      <c r="BX11" s="76" t="str">
        <f>'Capital IQ Sheet-GPC'!BX11</f>
        <v>Year 6</v>
      </c>
      <c r="BY11" s="76" t="str">
        <f>'Capital IQ Sheet-GPC'!BY11</f>
        <v>Year 7</v>
      </c>
      <c r="BZ11" s="76" t="str">
        <f>'Capital IQ Sheet-GPC'!BZ11</f>
        <v>Year 8</v>
      </c>
      <c r="CB11" s="73" t="s">
        <v>982</v>
      </c>
      <c r="CC11" s="73" t="s">
        <v>311</v>
      </c>
      <c r="CD11" s="73" t="s">
        <v>312</v>
      </c>
      <c r="CE11" s="74" t="s">
        <v>907</v>
      </c>
    </row>
    <row r="12" spans="1:86">
      <c r="CE12" s="73"/>
    </row>
    <row r="13" spans="1:86" s="74" customFormat="1" ht="12.75">
      <c r="A13" s="75" t="e">
        <f ca="1">_xll.ciqfunctions.udf.CIQ($B13,"IQ_COMPANY_TICKER")</f>
        <v>#NAME?</v>
      </c>
      <c r="B13" s="104" t="str">
        <f>'Capital IQ Sheet-GPC'!B13</f>
        <v>IQ249341857</v>
      </c>
      <c r="C13" s="75" t="e">
        <f ca="1">_xll.ciqfunctions.udf.CIQ($A13,"IQ_COMPANY_NAME")</f>
        <v>#NAME?</v>
      </c>
      <c r="D13" s="75" t="e">
        <f ca="1">_xll.ciqfunctions.udf.CIQ($A13, "IQ_EXCHANGE")</f>
        <v>#NAME?</v>
      </c>
      <c r="E13" s="103" t="e">
        <f ca="1">_xll.ciqfunctions.udf.CIQ($A13, "IQ_PERIODDATE_IS", IQ_FY)</f>
        <v>#NAME?</v>
      </c>
      <c r="F13" s="103" t="e">
        <f ca="1">_xll.ciqfunctions.udf.CIQ(A13, "IQ_PERIODDATE_IS", IQ_LTM, $B$1,$L$4,$L$3)</f>
        <v>#NAME?</v>
      </c>
      <c r="G13" s="103" t="e">
        <f ca="1">_xll.ciqfunctions.udf.CIQ($A13, "IQ_FIRSTPRICINGDATE")</f>
        <v>#NAME?</v>
      </c>
      <c r="H13" s="105" t="e">
        <f ca="1">_xll.ciqfunctions.udf.CIQ($A13, "IQ_TEV", $L$2, $L$5, $L$6)</f>
        <v>#NAME?</v>
      </c>
      <c r="I13" s="105" t="e">
        <f ca="1">_xll.ciqfunctions.udf.CIQ(A13, "IQ_LASTSALEPRICE", $B$1,$L$5)</f>
        <v>#NAME?</v>
      </c>
      <c r="J13" s="105" t="e">
        <f ca="1">_xll.ciqfunctions.udf.CIQ($A13, "IQ_MARKETCAP", $L$2, $L$5, $L$6)</f>
        <v>#NAME?</v>
      </c>
      <c r="K13" s="105" t="e">
        <f ca="1">_xll.ciqfunctions.udf.CIQ($A13, "IQ_TOTAL_DEBT", IQ_LTM, $L$2,$L$4, $L$3, $L$5, $L$6)</f>
        <v>#NAME?</v>
      </c>
      <c r="L13" s="105" t="e">
        <f ca="1">_xll.ciqfunctions.udf.CIQ($A13, "IQ_PREF_EQUITY", IQ_LTM, $L$2, $L$4, $L$3, $L$5, $L$6)</f>
        <v>#NAME?</v>
      </c>
      <c r="M13" s="105" t="e">
        <f ca="1">_xll.ciqfunctions.udf.CIQ($A13, "IQ_MINORITY_INTEREST_TOTAL", IQ_LTM, $L$2, $L$4, $L$3, $L$5, $L$6)</f>
        <v>#NAME?</v>
      </c>
      <c r="N13" s="105" t="e">
        <f ca="1">_xll.ciqfunctions.udf.CIQ($A13, "IQ_CASH_ST_INVEST", IQ_LTM, $L$2, $L$4, $L$3, $L$5, $L$6)</f>
        <v>#NAME?</v>
      </c>
      <c r="O13" s="105" t="e">
        <f ca="1">_xll.ciqfunctions.udf.CIQ($A13, "IQ_TOTAL_REV", IQ_LTM-8, $L$2, $L$4, $L$3, $L$5, $L$6)</f>
        <v>#NAME?</v>
      </c>
      <c r="P13" s="105" t="e">
        <f ca="1">_xll.ciqfunctions.udf.CIQ($A13, "IQ_TOTAL_REV", IQ_LTM - 4, $L$2, $L$4, $L$3, $L$5,$L$6)</f>
        <v>#NAME?</v>
      </c>
      <c r="Q13" s="105" t="e">
        <f ca="1">_xll.ciqfunctions.udf.CIQ($A13, "IQ_TOTAL_REV", IQ_LTM, $L$2, $L$4, $L$3, $L$5, $L$6)</f>
        <v>#NAME?</v>
      </c>
      <c r="R13" s="105" t="e">
        <f ca="1">_xll.ciqfunctions.udf.CIQ($A13, "IQ_TOTAL_REV", $B$2, $L$2, $L$4, $L$3, $L$5, $L$6)</f>
        <v>#NAME?</v>
      </c>
      <c r="S13" s="105" t="e">
        <f ca="1">IF(_xll.ciqfunctions.udf.CIQ($A13, "IQ_TOTAL_REV", $B$3, $L$2,$L$4, $L$3, $L$5, $L$6)=0,Q13,_xll.ciqfunctions.udf.CIQ($A13, "IQ_TOTAL_REV", $B$3, $L$2,$L$4, $L$3, $L$5, $L$6))</f>
        <v>#NAME?</v>
      </c>
      <c r="T13" s="105" t="e">
        <f ca="1">IF(_xll.ciqfunctions.udf.CIQ($A13, "IQ_REVENUE_EST",$B$4, $L$2, "CON", $L$3, $L$5, $L$6)=0,"n/a",_xll.ciqfunctions.udf.CIQ($A13, "IQ_REVENUE_EST",$B$4, $L$2, "CON", $L$3, $L$5, $L$6))</f>
        <v>#NAME?</v>
      </c>
      <c r="U13" s="105" t="e">
        <f ca="1">IF(_xll.ciqfunctions.udf.CIQ($A13, "IQ_REVENUE_EST",$B$5, $L$2, "CON", $L$3, $L$5, $L$6)=0,"n/a",_xll.ciqfunctions.udf.CIQ($A13, "IQ_REVENUE_EST",$B$5, $L$2, "CON", $L$3, $L$5, $L$6))</f>
        <v>#NAME?</v>
      </c>
      <c r="V13" s="105" t="e">
        <f ca="1">IF(_xll.ciqfunctions.udf.CIQ($A13, "IQ_REVENUE_EST",$B$6, $L$2, "CON", $L$3, $L$5, $L$6)=0,"n/a",_xll.ciqfunctions.udf.CIQ($A13, "IQ_REVENUE_EST",$B$6, $L$2, "CON", $L$3, $L$5, $L$6))</f>
        <v>#NAME?</v>
      </c>
      <c r="W13" s="105" t="e">
        <f ca="1">IF(_xll.ciqfunctions.udf.CIQ($A13, "IQ_REVENUE_EST", $B$7, $L$2, "CON", $L$3, $L$5, $L$6)=0,"n/a",_xll.ciqfunctions.udf.CIQ($A13, "IQ_REVENUE_EST",$B$7, $L$2, "CON", $L$3, $L$5, $L$6))</f>
        <v>#NAME?</v>
      </c>
      <c r="X13" s="105" t="e">
        <f ca="1">_xll.ciqfunctions.udf.CIQ($A13, "IQ_EBITDA", IQ_LTM-8, $L$2, $L$4, $L$3, $L$5, $L$6)</f>
        <v>#NAME?</v>
      </c>
      <c r="Y13" s="105" t="e">
        <f ca="1">_xll.ciqfunctions.udf.CIQ($A13, "IQ_EBITDA", IQ_LTM-4, $L$2,$L$4, $L$3, $L$5, $L$6)</f>
        <v>#NAME?</v>
      </c>
      <c r="Z13" s="105" t="e">
        <f ca="1">_xll.ciqfunctions.udf.CIQ($A13, "IQ_EBITDA", IQ_LTM, $L$2, $L$4, $L$3, $L$5, $L$6)</f>
        <v>#NAME?</v>
      </c>
      <c r="AA13" s="105" t="e">
        <f ca="1">_xll.ciqfunctions.udf.CIQ($A13, "IQ_EBITDA", $B$2, $L$2, $L$4, $L$3, $L$5, $L$6)</f>
        <v>#NAME?</v>
      </c>
      <c r="AB13" s="105" t="e">
        <f ca="1">IF(_xll.ciqfunctions.udf.CIQ($A13, "IQ_EBITDA", $B$3, $L$2,$L$4, $L$3, $L$5, $L$6)=0,Z13,_xll.ciqfunctions.udf.CIQ($A13, "IQ_EBITDA", $B$3, $L$2,$L$4, $L$3, $L$5, $L$6))</f>
        <v>#NAME?</v>
      </c>
      <c r="AC13" s="105" t="e">
        <f ca="1">IF(_xll.ciqfunctions.udf.CIQ($A13, "IQ_EBITDA_EST",$B$4, $L$2, "CON", $L$3, $L$5, $L$6)=0,"n/a",_xll.ciqfunctions.udf.CIQ($A13, "IQ_EBITDA_EST",$B$4, $L$2, "CON", $L$3, $L$5, $L$6))</f>
        <v>#NAME?</v>
      </c>
      <c r="AD13" s="105" t="e">
        <f ca="1">IF(_xll.ciqfunctions.udf.CIQ($A13, "IQ_EBITDA_EST",$B$5, $L$2, "CON", $L$3, $L$5, $L$6)=0,"n/a",_xll.ciqfunctions.udf.CIQ($A13, "IQ_EBITDA_EST",$B$5, $L$2, "CON", $L$3, $L$5, $L$6))</f>
        <v>#NAME?</v>
      </c>
      <c r="AE13" s="105" t="e">
        <f ca="1">IF(_xll.ciqfunctions.udf.CIQ($A13, "IQ_EBITDA_EST",$B$6, $L$2, "CON", $L$3, $L$5, $L$6)=0,"n/a",_xll.ciqfunctions.udf.CIQ($A13, "IQ_EBITDA_EST",$B$6, $L$2, "CON", $L$3, $L$5, $L$6))</f>
        <v>#NAME?</v>
      </c>
      <c r="AF13" s="106" t="str">
        <f ca="1">IF(ISERROR(_xll.ciqfunctions.udf.CIQ($A13, "IQ_GROSS_MARGIN", IQ_LTM, $L$2,$L$4, $L$3, $L$5, $L$6)/100), "n/a", _xll.ciqfunctions.udf.CIQ($A13,  "IQ_GROSS_MARGIN", IQ_LTM, $L$2, $L$4, $L$3, $L$5, $L$6)/100)</f>
        <v>n/a</v>
      </c>
      <c r="AG13" s="106" t="str">
        <f ca="1">IF(ISERROR(_xll.ciqfunctions.udf.CIQ($A13,"IQ_EBITDA_MARGIN", IQ_LTM, $L$2, $L$4, $L$3, $L$5, $L$6)/100), "n/a", _xll.ciqfunctions.udf.CIQ($A13, "IQ_EBITDA_MARGIN", IQ_LTM, $L$2, $L$4, $L$3, $L$5, $L$6)/100)</f>
        <v>n/a</v>
      </c>
      <c r="AH13" s="106" t="str">
        <f ca="1">IF(ISERROR(_xll.ciqfunctions.udf.CIQ($A13,"IQ_EBIT_MARGIN", IQ_LTM, $L$2, $L$4, $L$3, $L$5, $L$6)/100), "n/a", _xll.ciqfunctions.udf.CIQ($A13, "IQ_EBIT_MARGIN", IQ_LTM, $L$2, $L$4, $L$3, $L$5, $L$6)/100)</f>
        <v>n/a</v>
      </c>
      <c r="AI13" s="106" t="str">
        <f ca="1">IF(ISERROR(_xll.ciqfunctions.udf.CIQ($A13,"IQ_NI_MARGIN", IQ_LTM, $L$2, $L$4, $L$3, $L$5, $L$6)/100), "n/a", _xll.ciqfunctions.udf.CIQ($A13, "IQ_NI_MARGIN", IQ_LTM, $L$2, $L$4, $L$3, $L$5, $L$6)/100)</f>
        <v>n/a</v>
      </c>
      <c r="AJ13" s="105" t="str">
        <f ca="1">IF(ISERROR(_xll.ciqfunctions.udf.CIQ($A13, "IQ_NET_WORKING_CAP", IQ_LTM-8, $L$2, $L$4, $L$3, $L$5, $L$6)), "n/a", _xll.ciqfunctions.udf.CIQ($A13, "IQ_NET_WORKING_CAP", IQ_LTM-8, $L$2, $L$4, $L$3, $L$5, $L$6))</f>
        <v>n/a</v>
      </c>
      <c r="AK13" s="105" t="str">
        <f ca="1">IF(ISERROR(_xll.ciqfunctions.udf.CIQ($A13, "IQ_NET_WORKING_CAP", IQ_LTM-4, $L$2, $L$4, $L$3, $L$5, $L$6)), "n/a", _xll.ciqfunctions.udf.CIQ($A13, "IQ_NET_WORKING_CAP", IQ_LTM-4, $L$2, $L$4, $L$3, $L$5, $L$6))</f>
        <v>n/a</v>
      </c>
      <c r="AL13" s="105" t="str">
        <f ca="1">IF(ISERROR(_xll.ciqfunctions.udf.CIQ($A13, "IQ_NET_WORKING_CAP", IQ_LTM, $L$2,$L$4, $L$3, $L$5, $L$6)), "n/a", _xll.ciqfunctions.udf.CIQ($A13, "IQ_NET_WORKING_CAP", IQ_LTM, $L$2, $L$4, $L$3, $L$5, $L$6))</f>
        <v>n/a</v>
      </c>
      <c r="AM13" s="105" t="str">
        <f ca="1">IF(ISERROR(_xll.ciqfunctions.udf.CIQ($A13, "IQ_Capex", IQ_LTM-8, $L$2,$L$4, $L$3, $L$5, $L$6)), "n/a", _xll.ciqfunctions.udf.CIQ($A13, "IQ_Capex", IQ_LTM-8, $L$2, $L$4, $L$3, $L$5, $L$6))</f>
        <v>n/a</v>
      </c>
      <c r="AN13" s="105" t="str">
        <f ca="1">IF(ISERROR(_xll.ciqfunctions.udf.CIQ($A13, "IQ_Capex", IQ_LTM-4, $L$2,$L$4, $L$3, $L$5, $L$6)), "n/a", _xll.ciqfunctions.udf.CIQ($A13, "IQ_Capex", IQ_LTM-4, $L$2,$L$4, $L$3, $L$5, $L$6))</f>
        <v>n/a</v>
      </c>
      <c r="AO13" s="105" t="str">
        <f ca="1">IF(ISERROR(_xll.ciqfunctions.udf.CIQ($A13, "IQ_Capex", IQ_LTM, $L$2, $L$4, $L$3, $L$5, $L$6)), "n/a", _xll.ciqfunctions.udf.CIQ($A13, "IQ_Capex", IQ_LTM, $L$2, $L$4, $L$3, $L$5, $L$6))</f>
        <v>n/a</v>
      </c>
      <c r="AP13" s="107" t="e">
        <f ca="1">_xll.ciqfunctions.udf.CIQ(A13, "IQ_BUSINESS_DESCRIPTION")</f>
        <v>#NAME?</v>
      </c>
      <c r="AQ13" s="108" t="e">
        <f ca="1">_xll.ciqfunctions.udf.CIQ($A13, "IQ_BETA_1YR", $B$1)</f>
        <v>#NAME?</v>
      </c>
      <c r="AR13" s="108" t="e">
        <f ca="1">_xll.ciqfunctions.udf.CIQ($A13, "IQ_BETA_2YR", $B$1)</f>
        <v>#NAME?</v>
      </c>
      <c r="AS13" s="108" t="e">
        <f ca="1">_xll.ciqfunctions.udf.CIQ($A13, "IQ_BETA_5YR", $B$1)</f>
        <v>#NAME?</v>
      </c>
      <c r="AT13" s="106" t="e">
        <f ca="1">_xll.ciqfunctions.udf.CIQ($A13, "IQ_DIVIDEND_YIELD", $B$1)/100</f>
        <v>#NAME?</v>
      </c>
      <c r="AU13" s="105" t="e">
        <f ca="1">_xll.ciqfunctions.udf.CIQ($A13, "IQ_EARNING_CO", IQ_LTM-8, $L$2, $L$4, $L$3, $L$5, $L$6)</f>
        <v>#NAME?</v>
      </c>
      <c r="AV13" s="105" t="e">
        <f ca="1">_xll.ciqfunctions.udf.CIQ($A13, "IQ_EARNING_CO", IQ_LTM-4, $L$2, $L$4, $L$3, $L$5, $L$6)</f>
        <v>#NAME?</v>
      </c>
      <c r="AW13" s="105" t="e">
        <f ca="1">_xll.ciqfunctions.udf.CIQ($A13, "IQ_EARNING_CO", IQ_LTM, $L$2, $L$4, $L$3, $L$5, $L$6)</f>
        <v>#NAME?</v>
      </c>
      <c r="AX13" s="105" t="e">
        <f ca="1">_xll.ciqfunctions.udf.CIQ($A13, "IQ_EARNING_CO", $B$2, $L$2, $L$4, $L$3, $L$5, $L$6)</f>
        <v>#NAME?</v>
      </c>
      <c r="AY13" s="105" t="e">
        <f ca="1">IF(_xll.ciqfunctions.udf.CIQ($A13, "IQ_EARNING_CO", $B$3, $L$2,$L$4, $L$3, $L$5, $L$6)=0,AW13,_xll.ciqfunctions.udf.CIQ($A13, "IQ_EARNING_CO", $B$3, $L$2,$L$4, $L$3, $L$5, $L$6))</f>
        <v>#NAME?</v>
      </c>
      <c r="AZ13" s="105" t="e">
        <f ca="1">_xll.ciqfunctions.udf.CIQ($A13, "IQ_TOTAL_EQUITY", IQ_LTM-8, $L$2, $L$4, $L$3, $L$5, $L$6)</f>
        <v>#NAME?</v>
      </c>
      <c r="BA13" s="105" t="e">
        <f ca="1">_xll.ciqfunctions.udf.CIQ($A13, "IQ_TOTAL_EQUITY", IQ_LTM-4, $L$2, $L$4, $L$3, $L$5, $L$6)</f>
        <v>#NAME?</v>
      </c>
      <c r="BB13" s="105" t="e">
        <f ca="1">_xll.ciqfunctions.udf.CIQ($A13, "IQ_TOTAL_EQUITY", IQ_LTM, $L$2, $L$4, $L$3, $L$5, $L$6)</f>
        <v>#NAME?</v>
      </c>
      <c r="BC13" s="105" t="e">
        <f ca="1">_xll.ciqfunctions.udf.CIQ($A13, "IQ_TOTAL_EQUITY", $B$2, $L$2, $L$4, $L$3, $L$5, $L$6)</f>
        <v>#NAME?</v>
      </c>
      <c r="BD13" s="105" t="e">
        <f ca="1">IF(_xll.ciqfunctions.udf.CIQ($A13, "IQ_TOTAL_EQUITY", $B$3, $L$2,$L$4, $L$3, $L$5, $L$6)=0,BB13,_xll.ciqfunctions.udf.CIQ($A13, "IQ_TOTAL_EQUITY", $B$3, $L$2,$L$4, $L$3, $L$5, $L$6))</f>
        <v>#NAME?</v>
      </c>
      <c r="BE13" s="105" t="e">
        <f ca="1">_xll.ciqfunctions.udf.CIQ(A13, "IQ_LASTSALEPRICE", $B$8)</f>
        <v>#NAME?</v>
      </c>
      <c r="BF13" s="105" t="e">
        <f ca="1">_xll.ciqfunctions.udf.CIQ($A13, "IQ_MARKETCAP", $B$8, $L$5, $L$6)</f>
        <v>#NAME?</v>
      </c>
      <c r="BG13" s="105" t="e">
        <f ca="1">_xll.ciqfunctions.udf.CIQ($A13, "IQ_TOTAL_DEBT", IQ_LTM, $B$8,$L$4, $L$3, $L$5, $L$6)</f>
        <v>#NAME?</v>
      </c>
      <c r="BH13" s="74" t="e">
        <f ca="1">_xll.ciqfunctions.udf.CIQ($A13,"IQ_PREF_EQUITY",IQ_LTM,$B$8,$L$4,$L$3,$L$5,$L$6)</f>
        <v>#NAME?</v>
      </c>
      <c r="BI13" s="74" t="e">
        <f ca="1">_xll.ciqfunctions.udf.CIQ($A13, "IQ_MINORITY_INTEREST_TOTAL", IQ_LTM,$B$8,$L$4,$L$3,$L$5,$L$6)</f>
        <v>#NAME?</v>
      </c>
      <c r="BJ13" s="105" t="e">
        <f ca="1">_xll.ciqfunctions.udf.CIQ($A13, "IQ_CASH_ST_INVEST", IQ_LTM, $B$8, $L$4, $L$3, $L$5, $L$6)</f>
        <v>#NAME?</v>
      </c>
      <c r="BK13" s="74" t="e">
        <f ca="1">_xll.ciqfunctions.udf.CIQ($A13, "IQ_EFFECT_TAX_RATE")</f>
        <v>#NAME?</v>
      </c>
      <c r="BL13" s="74" t="e">
        <f ca="1">IF(_xll.ciqfunctions.udf.CIQ($A13, "IQ_TOTAL_REV_2YR_ANN_CAGR", IQ_LTM, $B$1,$L$4, $L$3, $L$5, $L$6)="NM","n/a",(_xll.ciqfunctions.udf.CIQ($A13, "IQ_TOTAL_REV_2YR_ANN_CAGR", IQ_LTM, $B$1,$L$4, $L$3, $L$5, $L$6)/100))</f>
        <v>#NAME?</v>
      </c>
      <c r="BM13" s="74" t="e">
        <f ca="1">IF(_xll.ciqfunctions.udf.CIQ($A13, "IQ_TOTAL_REV_3YR_ANN_CAGR", IQ_LTM, $B$1,$L$4, $L$3, $L$5, $L$6)="NM","n/a",(_xll.ciqfunctions.udf.CIQ($A13, "IQ_TOTAL_REV_3YR_ANN_CAGR", IQ_LTM, $B$1,$L$4, $L$3, $L$5, $L$6)/100))</f>
        <v>#NAME?</v>
      </c>
      <c r="BN13" s="74" t="e">
        <f ca="1">IF(_xll.ciqfunctions.udf.CIQ($A13, "IQ_TOTAL_REV_5YR_ANN_CAGR", IQ_LTM, $B$1,$L$4, $L$3, $L$5, $L$6)="NM","n/a",(_xll.ciqfunctions.udf.CIQ($A13, "IQ_TOTAL_REV_5YR_ANN_CAGR", IQ_LTM, $B$1,$L$4, $L$3, $L$5, $L$6)/100))</f>
        <v>#NAME?</v>
      </c>
      <c r="BO13" s="74" t="e">
        <f ca="1">IF(_xll.ciqfunctions.udf.CIQ($A13,"IQ_EBITDA_2YR_ANN_CAGR", IQ_LTM,$B$1,$L$4, $L$3, $L$5, $L$6)="NM","n/a",(_xll.ciqfunctions.udf.CIQ($A13,"IQ_EBITDA_2YR_ANN_CAGR", IQ_LTM,$B$1,$L$4, $L$3, $L$5, $L$6)/100))</f>
        <v>#NAME?</v>
      </c>
      <c r="BP13" s="74" t="e">
        <f ca="1">IF(_xll.ciqfunctions.udf.CIQ($A13,"IQ_EBITDA_3YR_ANN_CAGR", IQ_LTM,$B$1,$L$4, $L$3, $L$5, $L$6)="NM","n/a",(_xll.ciqfunctions.udf.CIQ($A13,"IQ_EBITDA_3YR_ANN_CAGR", IQ_LTM,$B$1,$L$4, $L$3, $L$5, $L$6)/100))</f>
        <v>#NAME?</v>
      </c>
      <c r="BQ13" s="74" t="e">
        <f ca="1">IF(_xll.ciqfunctions.udf.CIQ($A13,"IQ_EBITDA_5YR_ANN_CAGR", IQ_LTM,$B$1,$L$4, $L$3, $L$5, $L$6)="NM","n/a",(_xll.ciqfunctions.udf.CIQ($A13,"IQ_EBITDA_5YR_ANN_CAGR", IQ_LTM,$B$1,$L$4, $L$3, $L$5, $L$6)/100))</f>
        <v>#NAME?</v>
      </c>
      <c r="BR13" s="78" t="str">
        <f ca="1">IFERROR((_xll.ciqfunctions.udf.CIQ($A13, "IQ_DA_CF", IQ_LTM, $B$1, $L$4, $L$3, $L$5, $L$6)/Q13),"NM")</f>
        <v>NM</v>
      </c>
      <c r="BS13" s="109">
        <f>'Capital IQ Sheet-GPC'!BS13</f>
        <v>0.77767472070583177</v>
      </c>
      <c r="BT13" s="109">
        <f>'Capital IQ Sheet-GPC'!BT13</f>
        <v>0.7672442493850854</v>
      </c>
      <c r="BU13" s="109" t="str">
        <f>'Capital IQ Sheet-GPC'!BU13</f>
        <v>n/a</v>
      </c>
      <c r="BV13" s="109" t="str">
        <f>'Capital IQ Sheet-GPC'!BV13</f>
        <v>n/a</v>
      </c>
      <c r="BW13" s="109" t="str">
        <f>'Capital IQ Sheet-GPC'!BW13</f>
        <v>n/a</v>
      </c>
      <c r="BX13" s="109" t="str">
        <f>'Capital IQ Sheet-GPC'!BX13</f>
        <v>n/a</v>
      </c>
      <c r="BY13" s="109" t="str">
        <f>'Capital IQ Sheet-GPC'!BY13</f>
        <v>n/a</v>
      </c>
      <c r="BZ13" s="109" t="str">
        <f>'Capital IQ Sheet-GPC'!BZ13</f>
        <v>n/a</v>
      </c>
      <c r="CB13" s="74">
        <v>2</v>
      </c>
      <c r="CC13" s="149" t="s">
        <v>315</v>
      </c>
      <c r="CD13" s="149" t="s">
        <v>314</v>
      </c>
      <c r="CE13" s="76">
        <f>$B$1-365*CB13</f>
        <v>42005</v>
      </c>
    </row>
    <row r="14" spans="1:86" s="74" customFormat="1" ht="12.75">
      <c r="A14" s="75" t="e">
        <f ca="1">_xll.ciqfunctions.udf.CIQ($B14,"IQ_COMPANY_TICKER")</f>
        <v>#NAME?</v>
      </c>
      <c r="B14" s="104" t="str">
        <f>'Capital IQ Sheet-GPC'!B14</f>
        <v>IQ262549448</v>
      </c>
      <c r="C14" s="75" t="e">
        <f ca="1">_xll.ciqfunctions.udf.CIQ($A14,"IQ_COMPANY_NAME")</f>
        <v>#NAME?</v>
      </c>
      <c r="D14" s="75" t="e">
        <f ca="1">_xll.ciqfunctions.udf.CIQ($A14, "IQ_EXCHANGE")</f>
        <v>#NAME?</v>
      </c>
      <c r="E14" s="103" t="e">
        <f ca="1">_xll.ciqfunctions.udf.CIQ($A14, "IQ_PERIODDATE_IS", IQ_FY)</f>
        <v>#NAME?</v>
      </c>
      <c r="F14" s="103" t="e">
        <f ca="1">_xll.ciqfunctions.udf.CIQ(A14, "IQ_PERIODDATE_IS", IQ_LTM, $B$1,$L$4,$L$3)</f>
        <v>#NAME?</v>
      </c>
      <c r="G14" s="103" t="e">
        <f ca="1">_xll.ciqfunctions.udf.CIQ($A14, "IQ_FIRSTPRICINGDATE")</f>
        <v>#NAME?</v>
      </c>
      <c r="H14" s="105" t="e">
        <f ca="1">_xll.ciqfunctions.udf.CIQ($A14, "IQ_TEV", $L$2, $L$5, $L$6)</f>
        <v>#NAME?</v>
      </c>
      <c r="I14" s="105" t="e">
        <f ca="1">_xll.ciqfunctions.udf.CIQ(A14, "IQ_LASTSALEPRICE", $B$1,$L$5)</f>
        <v>#NAME?</v>
      </c>
      <c r="J14" s="105" t="e">
        <f ca="1">_xll.ciqfunctions.udf.CIQ($A14, "IQ_MARKETCAP", $L$2, $L$5, $L$6)</f>
        <v>#NAME?</v>
      </c>
      <c r="K14" s="105" t="e">
        <f ca="1">_xll.ciqfunctions.udf.CIQ($A14, "IQ_TOTAL_DEBT", IQ_LTM, $L$2,$L$4, $L$3, $L$5, $L$6)</f>
        <v>#NAME?</v>
      </c>
      <c r="L14" s="105" t="e">
        <f ca="1">_xll.ciqfunctions.udf.CIQ($A14, "IQ_PREF_EQUITY", IQ_LTM, $L$2, $L$4, $L$3, $L$5, $L$6)</f>
        <v>#NAME?</v>
      </c>
      <c r="M14" s="105" t="e">
        <f ca="1">_xll.ciqfunctions.udf.CIQ($A14, "IQ_MINORITY_INTEREST_TOTAL", IQ_LTM, $L$2, $L$4, $L$3, $L$5, $L$6)</f>
        <v>#NAME?</v>
      </c>
      <c r="N14" s="105" t="e">
        <f ca="1">_xll.ciqfunctions.udf.CIQ($A14, "IQ_CASH_ST_INVEST", IQ_LTM, $L$2, $L$4, $L$3, $L$5, $L$6)</f>
        <v>#NAME?</v>
      </c>
      <c r="O14" s="105" t="e">
        <f ca="1">_xll.ciqfunctions.udf.CIQ($A14, "IQ_TOTAL_REV", IQ_LTM-8, $L$2, $L$4, $L$3, $L$5, $L$6)</f>
        <v>#NAME?</v>
      </c>
      <c r="P14" s="105" t="e">
        <f ca="1">_xll.ciqfunctions.udf.CIQ($A14, "IQ_TOTAL_REV", IQ_LTM - 4, $L$2, $L$4, $L$3, $L$5,$L$6)</f>
        <v>#NAME?</v>
      </c>
      <c r="Q14" s="105" t="e">
        <f ca="1">_xll.ciqfunctions.udf.CIQ($A14, "IQ_TOTAL_REV", IQ_LTM, $L$2, $L$4, $L$3, $L$5, $L$6)</f>
        <v>#NAME?</v>
      </c>
      <c r="R14" s="105" t="e">
        <f ca="1">_xll.ciqfunctions.udf.CIQ($A14, "IQ_TOTAL_REV", $B$2, $L$2, $L$4, $L$3, $L$5, $L$6)</f>
        <v>#NAME?</v>
      </c>
      <c r="S14" s="105" t="e">
        <f ca="1">IF(_xll.ciqfunctions.udf.CIQ($A14, "IQ_TOTAL_REV", $B$3, $L$2,$L$4, $L$3, $L$5, $L$6)=0,Q14,_xll.ciqfunctions.udf.CIQ($A14, "IQ_TOTAL_REV", $B$3, $L$2,$L$4, $L$3, $L$5, $L$6))</f>
        <v>#NAME?</v>
      </c>
      <c r="T14" s="105" t="e">
        <f ca="1">IF(_xll.ciqfunctions.udf.CIQ($A14, "IQ_REVENUE_EST",$B$4, $L$2, "CON", $L$3, $L$5, $L$6)=0,"n/a",_xll.ciqfunctions.udf.CIQ($A14, "IQ_REVENUE_EST",$B$4, $L$2, "CON", $L$3, $L$5, $L$6))</f>
        <v>#NAME?</v>
      </c>
      <c r="U14" s="105" t="e">
        <f ca="1">IF(_xll.ciqfunctions.udf.CIQ($A14, "IQ_REVENUE_EST",$B$5, $L$2, "CON", $L$3, $L$5, $L$6)=0,"n/a",_xll.ciqfunctions.udf.CIQ($A14, "IQ_REVENUE_EST",$B$5, $L$2, "CON", $L$3, $L$5, $L$6))</f>
        <v>#NAME?</v>
      </c>
      <c r="V14" s="105" t="e">
        <f ca="1">IF(_xll.ciqfunctions.udf.CIQ($A14, "IQ_REVENUE_EST",$B$6, $L$2, "CON", $L$3, $L$5, $L$6)=0,"n/a",_xll.ciqfunctions.udf.CIQ($A14, "IQ_REVENUE_EST",$B$6, $L$2, "CON", $L$3, $L$5, $L$6))</f>
        <v>#NAME?</v>
      </c>
      <c r="W14" s="105" t="e">
        <f ca="1">IF(_xll.ciqfunctions.udf.CIQ($A14, "IQ_REVENUE_EST", $B$7, $L$2, "CON", $L$3, $L$5, $L$6)=0,"n/a",_xll.ciqfunctions.udf.CIQ($A14, "IQ_REVENUE_EST",$B$7, $L$2, "CON", $L$3, $L$5, $L$6))</f>
        <v>#NAME?</v>
      </c>
      <c r="X14" s="105" t="e">
        <f ca="1">_xll.ciqfunctions.udf.CIQ($A14, "IQ_EBITDA", IQ_LTM-8, $L$2, $L$4, $L$3, $L$5, $L$6)</f>
        <v>#NAME?</v>
      </c>
      <c r="Y14" s="105" t="e">
        <f ca="1">_xll.ciqfunctions.udf.CIQ($A14, "IQ_EBITDA", IQ_LTM-4, $L$2,$L$4, $L$3, $L$5, $L$6)</f>
        <v>#NAME?</v>
      </c>
      <c r="Z14" s="105" t="e">
        <f ca="1">_xll.ciqfunctions.udf.CIQ($A14, "IQ_EBITDA", IQ_LTM, $L$2, $L$4, $L$3, $L$5, $L$6)</f>
        <v>#NAME?</v>
      </c>
      <c r="AA14" s="105" t="e">
        <f ca="1">_xll.ciqfunctions.udf.CIQ($A14, "IQ_EBITDA", $B$2, $L$2, $L$4, $L$3, $L$5, $L$6)</f>
        <v>#NAME?</v>
      </c>
      <c r="AB14" s="105" t="e">
        <f ca="1">IF(_xll.ciqfunctions.udf.CIQ($A14, "IQ_EBITDA", $B$3, $L$2,$L$4, $L$3, $L$5, $L$6)=0,Z14,_xll.ciqfunctions.udf.CIQ($A14, "IQ_EBITDA", $B$3, $L$2,$L$4, $L$3, $L$5, $L$6))</f>
        <v>#NAME?</v>
      </c>
      <c r="AC14" s="105" t="e">
        <f ca="1">IF(_xll.ciqfunctions.udf.CIQ($A14, "IQ_EBITDA_EST",$B$4, $L$2, "CON", $L$3, $L$5, $L$6)=0,"n/a",_xll.ciqfunctions.udf.CIQ($A14, "IQ_EBITDA_EST",$B$4, $L$2, "CON", $L$3, $L$5, $L$6))</f>
        <v>#NAME?</v>
      </c>
      <c r="AD14" s="105" t="e">
        <f ca="1">IF(_xll.ciqfunctions.udf.CIQ($A14, "IQ_EBITDA_EST",$B$5, $L$2, "CON", $L$3, $L$5, $L$6)=0,"n/a",_xll.ciqfunctions.udf.CIQ($A14, "IQ_EBITDA_EST",$B$5, $L$2, "CON", $L$3, $L$5, $L$6))</f>
        <v>#NAME?</v>
      </c>
      <c r="AE14" s="105" t="e">
        <f ca="1">IF(_xll.ciqfunctions.udf.CIQ($A14, "IQ_EBITDA_EST",$B$6, $L$2, "CON", $L$3, $L$5, $L$6)=0,"n/a",_xll.ciqfunctions.udf.CIQ($A14, "IQ_EBITDA_EST",$B$6, $L$2, "CON", $L$3, $L$5, $L$6))</f>
        <v>#NAME?</v>
      </c>
      <c r="AF14" s="106" t="str">
        <f ca="1">IF(ISERROR(_xll.ciqfunctions.udf.CIQ($A14, "IQ_GROSS_MARGIN", IQ_LTM, $L$2,$L$4, $L$3, $L$5, $L$6)/100), "n/a", _xll.ciqfunctions.udf.CIQ($A14,  "IQ_GROSS_MARGIN", IQ_LTM, $L$2, $L$4, $L$3, $L$5, $L$6)/100)</f>
        <v>n/a</v>
      </c>
      <c r="AG14" s="106" t="str">
        <f ca="1">IF(ISERROR(_xll.ciqfunctions.udf.CIQ($A14,"IQ_EBITDA_MARGIN", IQ_LTM, $L$2, $L$4, $L$3, $L$5, $L$6)/100), "n/a", _xll.ciqfunctions.udf.CIQ($A14, "IQ_EBITDA_MARGIN", IQ_LTM, $L$2, $L$4, $L$3, $L$5, $L$6)/100)</f>
        <v>n/a</v>
      </c>
      <c r="AH14" s="106" t="str">
        <f ca="1">IF(ISERROR(_xll.ciqfunctions.udf.CIQ($A14,"IQ_EBIT_MARGIN", IQ_LTM, $L$2, $L$4, $L$3, $L$5, $L$6)/100), "n/a", _xll.ciqfunctions.udf.CIQ($A14, "IQ_EBIT_MARGIN", IQ_LTM, $L$2, $L$4, $L$3, $L$5, $L$6)/100)</f>
        <v>n/a</v>
      </c>
      <c r="AI14" s="106" t="str">
        <f ca="1">IF(ISERROR(_xll.ciqfunctions.udf.CIQ($A14,"IQ_NI_MARGIN", IQ_LTM, $L$2, $L$4, $L$3, $L$5, $L$6)/100), "n/a", _xll.ciqfunctions.udf.CIQ($A14, "IQ_NI_MARGIN", IQ_LTM, $L$2, $L$4, $L$3, $L$5, $L$6)/100)</f>
        <v>n/a</v>
      </c>
      <c r="AJ14" s="105" t="str">
        <f ca="1">IF(ISERROR(_xll.ciqfunctions.udf.CIQ($A14, "IQ_NET_WORKING_CAP", IQ_LTM-8, $L$2, $L$4, $L$3, $L$5, $L$6)), "n/a", _xll.ciqfunctions.udf.CIQ($A14, "IQ_NET_WORKING_CAP", IQ_LTM-8, $L$2, $L$4, $L$3, $L$5, $L$6))</f>
        <v>n/a</v>
      </c>
      <c r="AK14" s="105" t="str">
        <f ca="1">IF(ISERROR(_xll.ciqfunctions.udf.CIQ($A14, "IQ_NET_WORKING_CAP", IQ_LTM-4, $L$2, $L$4, $L$3, $L$5, $L$6)), "n/a", _xll.ciqfunctions.udf.CIQ($A14, "IQ_NET_WORKING_CAP", IQ_LTM-4, $L$2, $L$4, $L$3, $L$5, $L$6))</f>
        <v>n/a</v>
      </c>
      <c r="AL14" s="105" t="str">
        <f ca="1">IF(ISERROR(_xll.ciqfunctions.udf.CIQ($A14, "IQ_NET_WORKING_CAP", IQ_LTM, $L$2,$L$4, $L$3, $L$5, $L$6)), "n/a", _xll.ciqfunctions.udf.CIQ($A14, "IQ_NET_WORKING_CAP", IQ_LTM, $L$2, $L$4, $L$3, $L$5, $L$6))</f>
        <v>n/a</v>
      </c>
      <c r="AM14" s="105" t="str">
        <f ca="1">IF(ISERROR(_xll.ciqfunctions.udf.CIQ($A14, "IQ_Capex", IQ_LTM-8, $L$2,$L$4, $L$3, $L$5, $L$6)), "n/a", _xll.ciqfunctions.udf.CIQ($A14, "IQ_Capex", IQ_LTM-8, $L$2, $L$4, $L$3, $L$5, $L$6))</f>
        <v>n/a</v>
      </c>
      <c r="AN14" s="105" t="str">
        <f ca="1">IF(ISERROR(_xll.ciqfunctions.udf.CIQ($A14, "IQ_Capex", IQ_LTM-4, $L$2,$L$4, $L$3, $L$5, $L$6)), "n/a", _xll.ciqfunctions.udf.CIQ($A14, "IQ_Capex", IQ_LTM-4, $L$2,$L$4, $L$3, $L$5, $L$6))</f>
        <v>n/a</v>
      </c>
      <c r="AO14" s="105" t="str">
        <f ca="1">IF(ISERROR(_xll.ciqfunctions.udf.CIQ($A14, "IQ_Capex", IQ_LTM, $L$2, $L$4, $L$3, $L$5, $L$6)), "n/a", _xll.ciqfunctions.udf.CIQ($A14, "IQ_Capex", IQ_LTM, $L$2, $L$4, $L$3, $L$5, $L$6))</f>
        <v>n/a</v>
      </c>
      <c r="AP14" s="107" t="e">
        <f ca="1">_xll.ciqfunctions.udf.CIQ(A14, "IQ_BUSINESS_DESCRIPTION")</f>
        <v>#NAME?</v>
      </c>
      <c r="AQ14" s="108" t="e">
        <f ca="1">_xll.ciqfunctions.udf.CIQ($A14, "IQ_BETA_1YR", $B$1)</f>
        <v>#NAME?</v>
      </c>
      <c r="AR14" s="108" t="e">
        <f ca="1">_xll.ciqfunctions.udf.CIQ($A14, "IQ_BETA_2YR", $B$1)</f>
        <v>#NAME?</v>
      </c>
      <c r="AS14" s="108" t="e">
        <f ca="1">_xll.ciqfunctions.udf.CIQ($A14, "IQ_BETA_5YR", $B$1)</f>
        <v>#NAME?</v>
      </c>
      <c r="AT14" s="106" t="e">
        <f ca="1">_xll.ciqfunctions.udf.CIQ($A14, "IQ_DIVIDEND_YIELD", $B$1)/100</f>
        <v>#NAME?</v>
      </c>
      <c r="AU14" s="105" t="e">
        <f ca="1">_xll.ciqfunctions.udf.CIQ($A14, "IQ_EARNING_CO", IQ_LTM-8, $L$2, $L$4, $L$3, $L$5, $L$6)</f>
        <v>#NAME?</v>
      </c>
      <c r="AV14" s="105" t="e">
        <f ca="1">_xll.ciqfunctions.udf.CIQ($A14, "IQ_EARNING_CO", IQ_LTM-4, $L$2, $L$4, $L$3, $L$5, $L$6)</f>
        <v>#NAME?</v>
      </c>
      <c r="AW14" s="105" t="e">
        <f ca="1">_xll.ciqfunctions.udf.CIQ($A14, "IQ_EARNING_CO", IQ_LTM, $L$2, $L$4, $L$3, $L$5, $L$6)</f>
        <v>#NAME?</v>
      </c>
      <c r="AX14" s="105" t="e">
        <f ca="1">_xll.ciqfunctions.udf.CIQ($A14, "IQ_EARNING_CO", $B$2, $L$2, $L$4, $L$3, $L$5, $L$6)</f>
        <v>#NAME?</v>
      </c>
      <c r="AY14" s="105" t="e">
        <f ca="1">IF(_xll.ciqfunctions.udf.CIQ($A14, "IQ_EARNING_CO", $B$3, $L$2,$L$4, $L$3, $L$5, $L$6)=0,AW14,_xll.ciqfunctions.udf.CIQ($A14, "IQ_EARNING_CO", $B$3, $L$2,$L$4, $L$3, $L$5, $L$6))</f>
        <v>#NAME?</v>
      </c>
      <c r="AZ14" s="105" t="e">
        <f ca="1">_xll.ciqfunctions.udf.CIQ($A14, "IQ_TOTAL_EQUITY", IQ_LTM-8, $L$2, $L$4, $L$3, $L$5, $L$6)</f>
        <v>#NAME?</v>
      </c>
      <c r="BA14" s="105" t="e">
        <f ca="1">_xll.ciqfunctions.udf.CIQ($A14, "IQ_TOTAL_EQUITY", IQ_LTM-4, $L$2, $L$4, $L$3, $L$5, $L$6)</f>
        <v>#NAME?</v>
      </c>
      <c r="BB14" s="105" t="e">
        <f ca="1">_xll.ciqfunctions.udf.CIQ($A14, "IQ_TOTAL_EQUITY", IQ_LTM, $L$2, $L$4, $L$3, $L$5, $L$6)</f>
        <v>#NAME?</v>
      </c>
      <c r="BC14" s="105" t="e">
        <f ca="1">_xll.ciqfunctions.udf.CIQ($A14, "IQ_TOTAL_EQUITY", $B$2, $L$2, $L$4, $L$3, $L$5, $L$6)</f>
        <v>#NAME?</v>
      </c>
      <c r="BD14" s="105" t="e">
        <f ca="1">IF(_xll.ciqfunctions.udf.CIQ($A14, "IQ_TOTAL_EQUITY", $B$3, $L$2,$L$4, $L$3, $L$5, $L$6)=0,BB14,_xll.ciqfunctions.udf.CIQ($A14, "IQ_TOTAL_EQUITY", $B$3, $L$2,$L$4, $L$3, $L$5, $L$6))</f>
        <v>#NAME?</v>
      </c>
      <c r="BE14" s="105" t="e">
        <f ca="1">_xll.ciqfunctions.udf.CIQ(A14, "IQ_LASTSALEPRICE", $B$8)</f>
        <v>#NAME?</v>
      </c>
      <c r="BF14" s="105" t="e">
        <f ca="1">_xll.ciqfunctions.udf.CIQ($A14, "IQ_MARKETCAP", $B$8, $L$5, $L$6)</f>
        <v>#NAME?</v>
      </c>
      <c r="BG14" s="105" t="e">
        <f ca="1">_xll.ciqfunctions.udf.CIQ($A14, "IQ_TOTAL_DEBT", IQ_LTM, $B$8,$L$4, $L$3, $L$5, $L$6)</f>
        <v>#NAME?</v>
      </c>
      <c r="BH14" s="74" t="e">
        <f ca="1">_xll.ciqfunctions.udf.CIQ($A14,"IQ_PREF_EQUITY",IQ_LTM,$B$8,$L$4,$L$3,$L$5,$L$6)</f>
        <v>#NAME?</v>
      </c>
      <c r="BI14" s="74" t="e">
        <f ca="1">_xll.ciqfunctions.udf.CIQ($A14, "IQ_MINORITY_INTEREST_TOTAL", IQ_LTM,$B$8,$L$4,$L$3,$L$5,$L$6)</f>
        <v>#NAME?</v>
      </c>
      <c r="BJ14" s="105" t="e">
        <f ca="1">_xll.ciqfunctions.udf.CIQ($A14, "IQ_CASH_ST_INVEST", IQ_LTM, $B$8, $L$4, $L$3, $L$5, $L$6)</f>
        <v>#NAME?</v>
      </c>
      <c r="BK14" s="74" t="e">
        <f ca="1">_xll.ciqfunctions.udf.CIQ($A14, "IQ_EFFECT_TAX_RATE")</f>
        <v>#NAME?</v>
      </c>
      <c r="BL14" s="74" t="e">
        <f ca="1">IF(_xll.ciqfunctions.udf.CIQ($A14, "IQ_TOTAL_REV_2YR_ANN_CAGR", IQ_LTM, $B$1,$L$4, $L$3, $L$5, $L$6)="NM","n/a",(_xll.ciqfunctions.udf.CIQ($A14, "IQ_TOTAL_REV_2YR_ANN_CAGR", IQ_LTM, $B$1,$L$4, $L$3, $L$5, $L$6)/100))</f>
        <v>#NAME?</v>
      </c>
      <c r="BM14" s="74" t="e">
        <f ca="1">IF(_xll.ciqfunctions.udf.CIQ($A14, "IQ_TOTAL_REV_3YR_ANN_CAGR", IQ_LTM, $B$1,$L$4, $L$3, $L$5, $L$6)="NM","n/a",(_xll.ciqfunctions.udf.CIQ($A14, "IQ_TOTAL_REV_3YR_ANN_CAGR", IQ_LTM, $B$1,$L$4, $L$3, $L$5, $L$6)/100))</f>
        <v>#NAME?</v>
      </c>
      <c r="BN14" s="74" t="e">
        <f ca="1">IF(_xll.ciqfunctions.udf.CIQ($A14, "IQ_TOTAL_REV_5YR_ANN_CAGR", IQ_LTM, $B$1,$L$4, $L$3, $L$5, $L$6)="NM","n/a",(_xll.ciqfunctions.udf.CIQ($A14, "IQ_TOTAL_REV_5YR_ANN_CAGR", IQ_LTM, $B$1,$L$4, $L$3, $L$5, $L$6)/100))</f>
        <v>#NAME?</v>
      </c>
      <c r="BO14" s="74" t="e">
        <f ca="1">IF(_xll.ciqfunctions.udf.CIQ($A14,"IQ_EBITDA_2YR_ANN_CAGR", IQ_LTM,$B$1,$L$4, $L$3, $L$5, $L$6)="NM","n/a",(_xll.ciqfunctions.udf.CIQ($A14,"IQ_EBITDA_2YR_ANN_CAGR", IQ_LTM,$B$1,$L$4, $L$3, $L$5, $L$6)/100))</f>
        <v>#NAME?</v>
      </c>
      <c r="BP14" s="74" t="e">
        <f ca="1">IF(_xll.ciqfunctions.udf.CIQ($A14,"IQ_EBITDA_3YR_ANN_CAGR", IQ_LTM,$B$1,$L$4, $L$3, $L$5, $L$6)="NM","n/a",(_xll.ciqfunctions.udf.CIQ($A14,"IQ_EBITDA_3YR_ANN_CAGR", IQ_LTM,$B$1,$L$4, $L$3, $L$5, $L$6)/100))</f>
        <v>#NAME?</v>
      </c>
      <c r="BQ14" s="74" t="e">
        <f ca="1">IF(_xll.ciqfunctions.udf.CIQ($A14,"IQ_EBITDA_5YR_ANN_CAGR", IQ_LTM,$B$1,$L$4, $L$3, $L$5, $L$6)="NM","n/a",(_xll.ciqfunctions.udf.CIQ($A14,"IQ_EBITDA_5YR_ANN_CAGR", IQ_LTM,$B$1,$L$4, $L$3, $L$5, $L$6)/100))</f>
        <v>#NAME?</v>
      </c>
      <c r="BR14" s="78" t="str">
        <f ca="1">IFERROR((_xll.ciqfunctions.udf.CIQ($A14, "IQ_DA_CF", IQ_LTM, $B$1, $L$4, $L$3, $L$5, $L$6)/Q14),"NM")</f>
        <v>NM</v>
      </c>
      <c r="BS14" s="109">
        <f>'Capital IQ Sheet-GPC'!BS14</f>
        <v>0.92672097514187046</v>
      </c>
      <c r="BT14" s="109" t="str">
        <f>'Capital IQ Sheet-GPC'!BT14</f>
        <v>n/a</v>
      </c>
      <c r="BU14" s="109" t="str">
        <f>'Capital IQ Sheet-GPC'!BU14</f>
        <v>n/a</v>
      </c>
      <c r="BV14" s="109" t="str">
        <f>'Capital IQ Sheet-GPC'!BV14</f>
        <v>n/a</v>
      </c>
      <c r="BW14" s="109" t="str">
        <f>'Capital IQ Sheet-GPC'!BW14</f>
        <v>n/a</v>
      </c>
      <c r="BX14" s="109" t="str">
        <f>'Capital IQ Sheet-GPC'!BX14</f>
        <v>n/a</v>
      </c>
      <c r="BY14" s="109" t="str">
        <f>'Capital IQ Sheet-GPC'!BY14</f>
        <v>n/a</v>
      </c>
      <c r="BZ14" s="109" t="str">
        <f>'Capital IQ Sheet-GPC'!BZ14</f>
        <v>n/a</v>
      </c>
      <c r="CB14" s="74">
        <v>2</v>
      </c>
      <c r="CC14" s="149" t="s">
        <v>315</v>
      </c>
      <c r="CD14" s="149" t="s">
        <v>314</v>
      </c>
      <c r="CE14" s="76">
        <f t="shared" ref="CE14:CE42" si="0">$B$1-365*CB14</f>
        <v>42005</v>
      </c>
    </row>
    <row r="15" spans="1:86" s="74" customFormat="1" ht="12.75">
      <c r="A15" s="75" t="e">
        <f ca="1">_xll.ciqfunctions.udf.CIQ($B15,"IQ_COMPANY_TICKER")</f>
        <v>#NAME?</v>
      </c>
      <c r="B15" s="104" t="str">
        <f>'Capital IQ Sheet-GPC'!B15</f>
        <v>IQ256557334</v>
      </c>
      <c r="C15" s="75" t="e">
        <f ca="1">_xll.ciqfunctions.udf.CIQ($A15,"IQ_COMPANY_NAME")</f>
        <v>#NAME?</v>
      </c>
      <c r="D15" s="75" t="e">
        <f ca="1">_xll.ciqfunctions.udf.CIQ($A15, "IQ_EXCHANGE")</f>
        <v>#NAME?</v>
      </c>
      <c r="E15" s="103" t="e">
        <f ca="1">_xll.ciqfunctions.udf.CIQ($A15, "IQ_PERIODDATE_IS", IQ_FY)</f>
        <v>#NAME?</v>
      </c>
      <c r="F15" s="103" t="e">
        <f ca="1">_xll.ciqfunctions.udf.CIQ(A15, "IQ_PERIODDATE_IS", IQ_LTM, $B$1,$L$4,$L$3)</f>
        <v>#NAME?</v>
      </c>
      <c r="G15" s="103" t="e">
        <f ca="1">_xll.ciqfunctions.udf.CIQ($A15, "IQ_FIRSTPRICINGDATE")</f>
        <v>#NAME?</v>
      </c>
      <c r="H15" s="105" t="e">
        <f ca="1">_xll.ciqfunctions.udf.CIQ($A15, "IQ_TEV", $L$2, $L$5, $L$6)</f>
        <v>#NAME?</v>
      </c>
      <c r="I15" s="105" t="e">
        <f ca="1">_xll.ciqfunctions.udf.CIQ(A15, "IQ_LASTSALEPRICE", $B$1,$L$5)</f>
        <v>#NAME?</v>
      </c>
      <c r="J15" s="105" t="e">
        <f ca="1">_xll.ciqfunctions.udf.CIQ($A15, "IQ_MARKETCAP", $L$2, $L$5, $L$6)</f>
        <v>#NAME?</v>
      </c>
      <c r="K15" s="105" t="e">
        <f ca="1">_xll.ciqfunctions.udf.CIQ($A15, "IQ_TOTAL_DEBT", IQ_LTM, $L$2,$L$4, $L$3, $L$5, $L$6)</f>
        <v>#NAME?</v>
      </c>
      <c r="L15" s="105" t="e">
        <f ca="1">_xll.ciqfunctions.udf.CIQ($A15, "IQ_PREF_EQUITY", IQ_LTM, $L$2, $L$4, $L$3, $L$5, $L$6)</f>
        <v>#NAME?</v>
      </c>
      <c r="M15" s="105" t="e">
        <f ca="1">_xll.ciqfunctions.udf.CIQ($A15, "IQ_MINORITY_INTEREST_TOTAL", IQ_LTM, $L$2, $L$4, $L$3, $L$5, $L$6)</f>
        <v>#NAME?</v>
      </c>
      <c r="N15" s="105" t="e">
        <f ca="1">_xll.ciqfunctions.udf.CIQ($A15, "IQ_CASH_ST_INVEST", IQ_LTM, $L$2, $L$4, $L$3, $L$5, $L$6)</f>
        <v>#NAME?</v>
      </c>
      <c r="O15" s="105" t="e">
        <f ca="1">_xll.ciqfunctions.udf.CIQ($A15, "IQ_TOTAL_REV", IQ_LTM-8, $L$2, $L$4, $L$3, $L$5, $L$6)</f>
        <v>#NAME?</v>
      </c>
      <c r="P15" s="105" t="e">
        <f ca="1">_xll.ciqfunctions.udf.CIQ($A15, "IQ_TOTAL_REV", IQ_LTM - 4, $L$2, $L$4, $L$3, $L$5,$L$6)</f>
        <v>#NAME?</v>
      </c>
      <c r="Q15" s="105" t="e">
        <f ca="1">_xll.ciqfunctions.udf.CIQ($A15, "IQ_TOTAL_REV", IQ_LTM, $L$2, $L$4, $L$3, $L$5, $L$6)</f>
        <v>#NAME?</v>
      </c>
      <c r="R15" s="105" t="e">
        <f ca="1">_xll.ciqfunctions.udf.CIQ($A15, "IQ_TOTAL_REV", $B$2, $L$2, $L$4, $L$3, $L$5, $L$6)</f>
        <v>#NAME?</v>
      </c>
      <c r="S15" s="105" t="e">
        <f ca="1">IF(_xll.ciqfunctions.udf.CIQ($A15, "IQ_TOTAL_REV", $B$3, $L$2,$L$4, $L$3, $L$5, $L$6)=0,Q15,_xll.ciqfunctions.udf.CIQ($A15, "IQ_TOTAL_REV", $B$3, $L$2,$L$4, $L$3, $L$5, $L$6))</f>
        <v>#NAME?</v>
      </c>
      <c r="T15" s="105" t="e">
        <f ca="1">IF(_xll.ciqfunctions.udf.CIQ($A15, "IQ_REVENUE_EST",$B$4, $L$2, "CON", $L$3, $L$5, $L$6)=0,"n/a",_xll.ciqfunctions.udf.CIQ($A15, "IQ_REVENUE_EST",$B$4, $L$2, "CON", $L$3, $L$5, $L$6))</f>
        <v>#NAME?</v>
      </c>
      <c r="U15" s="105" t="e">
        <f ca="1">IF(_xll.ciqfunctions.udf.CIQ($A15, "IQ_REVENUE_EST",$B$5, $L$2, "CON", $L$3, $L$5, $L$6)=0,"n/a",_xll.ciqfunctions.udf.CIQ($A15, "IQ_REVENUE_EST",$B$5, $L$2, "CON", $L$3, $L$5, $L$6))</f>
        <v>#NAME?</v>
      </c>
      <c r="V15" s="105" t="e">
        <f ca="1">IF(_xll.ciqfunctions.udf.CIQ($A15, "IQ_REVENUE_EST",$B$6, $L$2, "CON", $L$3, $L$5, $L$6)=0,"n/a",_xll.ciqfunctions.udf.CIQ($A15, "IQ_REVENUE_EST",$B$6, $L$2, "CON", $L$3, $L$5, $L$6))</f>
        <v>#NAME?</v>
      </c>
      <c r="W15" s="105" t="e">
        <f ca="1">IF(_xll.ciqfunctions.udf.CIQ($A15, "IQ_REVENUE_EST", $B$7, $L$2, "CON", $L$3, $L$5, $L$6)=0,"n/a",_xll.ciqfunctions.udf.CIQ($A15, "IQ_REVENUE_EST",$B$7, $L$2, "CON", $L$3, $L$5, $L$6))</f>
        <v>#NAME?</v>
      </c>
      <c r="X15" s="105" t="e">
        <f ca="1">_xll.ciqfunctions.udf.CIQ($A15, "IQ_EBITDA", IQ_LTM-8, $L$2, $L$4, $L$3, $L$5, $L$6)</f>
        <v>#NAME?</v>
      </c>
      <c r="Y15" s="105" t="e">
        <f ca="1">_xll.ciqfunctions.udf.CIQ($A15, "IQ_EBITDA", IQ_LTM-4, $L$2,$L$4, $L$3, $L$5, $L$6)</f>
        <v>#NAME?</v>
      </c>
      <c r="Z15" s="105" t="e">
        <f ca="1">_xll.ciqfunctions.udf.CIQ($A15, "IQ_EBITDA", IQ_LTM, $L$2, $L$4, $L$3, $L$5, $L$6)</f>
        <v>#NAME?</v>
      </c>
      <c r="AA15" s="105" t="e">
        <f ca="1">_xll.ciqfunctions.udf.CIQ($A15, "IQ_EBITDA", $B$2, $L$2, $L$4, $L$3, $L$5, $L$6)</f>
        <v>#NAME?</v>
      </c>
      <c r="AB15" s="105" t="e">
        <f ca="1">IF(_xll.ciqfunctions.udf.CIQ($A15, "IQ_EBITDA", $B$3, $L$2,$L$4, $L$3, $L$5, $L$6)=0,Z15,_xll.ciqfunctions.udf.CIQ($A15, "IQ_EBITDA", $B$3, $L$2,$L$4, $L$3, $L$5, $L$6))</f>
        <v>#NAME?</v>
      </c>
      <c r="AC15" s="105" t="e">
        <f ca="1">IF(_xll.ciqfunctions.udf.CIQ($A15, "IQ_EBITDA_EST",$B$4, $L$2, "CON", $L$3, $L$5, $L$6)=0,"n/a",_xll.ciqfunctions.udf.CIQ($A15, "IQ_EBITDA_EST",$B$4, $L$2, "CON", $L$3, $L$5, $L$6))</f>
        <v>#NAME?</v>
      </c>
      <c r="AD15" s="105" t="e">
        <f ca="1">IF(_xll.ciqfunctions.udf.CIQ($A15, "IQ_EBITDA_EST",$B$5, $L$2, "CON", $L$3, $L$5, $L$6)=0,"n/a",_xll.ciqfunctions.udf.CIQ($A15, "IQ_EBITDA_EST",$B$5, $L$2, "CON", $L$3, $L$5, $L$6))</f>
        <v>#NAME?</v>
      </c>
      <c r="AE15" s="105" t="e">
        <f ca="1">IF(_xll.ciqfunctions.udf.CIQ($A15, "IQ_EBITDA_EST",$B$6, $L$2, "CON", $L$3, $L$5, $L$6)=0,"n/a",_xll.ciqfunctions.udf.CIQ($A15, "IQ_EBITDA_EST",$B$6, $L$2, "CON", $L$3, $L$5, $L$6))</f>
        <v>#NAME?</v>
      </c>
      <c r="AF15" s="106" t="str">
        <f ca="1">IF(ISERROR(_xll.ciqfunctions.udf.CIQ($A15, "IQ_GROSS_MARGIN", IQ_LTM, $L$2,$L$4, $L$3, $L$5, $L$6)/100), "n/a", _xll.ciqfunctions.udf.CIQ($A15,  "IQ_GROSS_MARGIN", IQ_LTM, $L$2, $L$4, $L$3, $L$5, $L$6)/100)</f>
        <v>n/a</v>
      </c>
      <c r="AG15" s="106" t="str">
        <f ca="1">IF(ISERROR(_xll.ciqfunctions.udf.CIQ($A15,"IQ_EBITDA_MARGIN", IQ_LTM, $L$2, $L$4, $L$3, $L$5, $L$6)/100), "n/a", _xll.ciqfunctions.udf.CIQ($A15, "IQ_EBITDA_MARGIN", IQ_LTM, $L$2, $L$4, $L$3, $L$5, $L$6)/100)</f>
        <v>n/a</v>
      </c>
      <c r="AH15" s="106" t="str">
        <f ca="1">IF(ISERROR(_xll.ciqfunctions.udf.CIQ($A15,"IQ_EBIT_MARGIN", IQ_LTM, $L$2, $L$4, $L$3, $L$5, $L$6)/100), "n/a", _xll.ciqfunctions.udf.CIQ($A15, "IQ_EBIT_MARGIN", IQ_LTM, $L$2, $L$4, $L$3, $L$5, $L$6)/100)</f>
        <v>n/a</v>
      </c>
      <c r="AI15" s="106" t="str">
        <f ca="1">IF(ISERROR(_xll.ciqfunctions.udf.CIQ($A15,"IQ_NI_MARGIN", IQ_LTM, $L$2, $L$4, $L$3, $L$5, $L$6)/100), "n/a", _xll.ciqfunctions.udf.CIQ($A15, "IQ_NI_MARGIN", IQ_LTM, $L$2, $L$4, $L$3, $L$5, $L$6)/100)</f>
        <v>n/a</v>
      </c>
      <c r="AJ15" s="105" t="str">
        <f ca="1">IF(ISERROR(_xll.ciqfunctions.udf.CIQ($A15, "IQ_NET_WORKING_CAP", IQ_LTM-8, $L$2, $L$4, $L$3, $L$5, $L$6)), "n/a", _xll.ciqfunctions.udf.CIQ($A15, "IQ_NET_WORKING_CAP", IQ_LTM-8, $L$2, $L$4, $L$3, $L$5, $L$6))</f>
        <v>n/a</v>
      </c>
      <c r="AK15" s="105" t="str">
        <f ca="1">IF(ISERROR(_xll.ciqfunctions.udf.CIQ($A15, "IQ_NET_WORKING_CAP", IQ_LTM-4, $L$2, $L$4, $L$3, $L$5, $L$6)), "n/a", _xll.ciqfunctions.udf.CIQ($A15, "IQ_NET_WORKING_CAP", IQ_LTM-4, $L$2, $L$4, $L$3, $L$5, $L$6))</f>
        <v>n/a</v>
      </c>
      <c r="AL15" s="105" t="str">
        <f ca="1">IF(ISERROR(_xll.ciqfunctions.udf.CIQ($A15, "IQ_NET_WORKING_CAP", IQ_LTM, $L$2,$L$4, $L$3, $L$5, $L$6)), "n/a", _xll.ciqfunctions.udf.CIQ($A15, "IQ_NET_WORKING_CAP", IQ_LTM, $L$2, $L$4, $L$3, $L$5, $L$6))</f>
        <v>n/a</v>
      </c>
      <c r="AM15" s="105" t="str">
        <f ca="1">IF(ISERROR(_xll.ciqfunctions.udf.CIQ($A15, "IQ_Capex", IQ_LTM-8, $L$2,$L$4, $L$3, $L$5, $L$6)), "n/a", _xll.ciqfunctions.udf.CIQ($A15, "IQ_Capex", IQ_LTM-8, $L$2, $L$4, $L$3, $L$5, $L$6))</f>
        <v>n/a</v>
      </c>
      <c r="AN15" s="105" t="str">
        <f ca="1">IF(ISERROR(_xll.ciqfunctions.udf.CIQ($A15, "IQ_Capex", IQ_LTM-4, $L$2,$L$4, $L$3, $L$5, $L$6)), "n/a", _xll.ciqfunctions.udf.CIQ($A15, "IQ_Capex", IQ_LTM-4, $L$2,$L$4, $L$3, $L$5, $L$6))</f>
        <v>n/a</v>
      </c>
      <c r="AO15" s="105" t="str">
        <f ca="1">IF(ISERROR(_xll.ciqfunctions.udf.CIQ($A15, "IQ_Capex", IQ_LTM, $L$2, $L$4, $L$3, $L$5, $L$6)), "n/a", _xll.ciqfunctions.udf.CIQ($A15, "IQ_Capex", IQ_LTM, $L$2, $L$4, $L$3, $L$5, $L$6))</f>
        <v>n/a</v>
      </c>
      <c r="AP15" s="107" t="e">
        <f ca="1">_xll.ciqfunctions.udf.CIQ(A15, "IQ_BUSINESS_DESCRIPTION")</f>
        <v>#NAME?</v>
      </c>
      <c r="AQ15" s="108" t="e">
        <f ca="1">_xll.ciqfunctions.udf.CIQ($A15, "IQ_BETA_1YR", $B$1)</f>
        <v>#NAME?</v>
      </c>
      <c r="AR15" s="108" t="e">
        <f ca="1">_xll.ciqfunctions.udf.CIQ($A15, "IQ_BETA_2YR", $B$1)</f>
        <v>#NAME?</v>
      </c>
      <c r="AS15" s="108" t="e">
        <f ca="1">_xll.ciqfunctions.udf.CIQ($A15, "IQ_BETA_5YR", $B$1)</f>
        <v>#NAME?</v>
      </c>
      <c r="AT15" s="106" t="e">
        <f ca="1">_xll.ciqfunctions.udf.CIQ($A15, "IQ_DIVIDEND_YIELD", $B$1)/100</f>
        <v>#NAME?</v>
      </c>
      <c r="AU15" s="105" t="e">
        <f ca="1">_xll.ciqfunctions.udf.CIQ($A15, "IQ_EARNING_CO", IQ_LTM-8, $L$2, $L$4, $L$3, $L$5, $L$6)</f>
        <v>#NAME?</v>
      </c>
      <c r="AV15" s="105" t="e">
        <f ca="1">_xll.ciqfunctions.udf.CIQ($A15, "IQ_EARNING_CO", IQ_LTM-4, $L$2, $L$4, $L$3, $L$5, $L$6)</f>
        <v>#NAME?</v>
      </c>
      <c r="AW15" s="105" t="e">
        <f ca="1">_xll.ciqfunctions.udf.CIQ($A15, "IQ_EARNING_CO", IQ_LTM, $L$2, $L$4, $L$3, $L$5, $L$6)</f>
        <v>#NAME?</v>
      </c>
      <c r="AX15" s="105" t="e">
        <f ca="1">_xll.ciqfunctions.udf.CIQ($A15, "IQ_EARNING_CO", $B$2, $L$2, $L$4, $L$3, $L$5, $L$6)</f>
        <v>#NAME?</v>
      </c>
      <c r="AY15" s="105" t="e">
        <f ca="1">IF(_xll.ciqfunctions.udf.CIQ($A15, "IQ_EARNING_CO", $B$3, $L$2,$L$4, $L$3, $L$5, $L$6)=0,AW15,_xll.ciqfunctions.udf.CIQ($A15, "IQ_EARNING_CO", $B$3, $L$2,$L$4, $L$3, $L$5, $L$6))</f>
        <v>#NAME?</v>
      </c>
      <c r="AZ15" s="105" t="e">
        <f ca="1">_xll.ciqfunctions.udf.CIQ($A15, "IQ_TOTAL_EQUITY", IQ_LTM-8, $L$2, $L$4, $L$3, $L$5, $L$6)</f>
        <v>#NAME?</v>
      </c>
      <c r="BA15" s="105" t="e">
        <f ca="1">_xll.ciqfunctions.udf.CIQ($A15, "IQ_TOTAL_EQUITY", IQ_LTM-4, $L$2, $L$4, $L$3, $L$5, $L$6)</f>
        <v>#NAME?</v>
      </c>
      <c r="BB15" s="105" t="e">
        <f ca="1">_xll.ciqfunctions.udf.CIQ($A15, "IQ_TOTAL_EQUITY", IQ_LTM, $L$2, $L$4, $L$3, $L$5, $L$6)</f>
        <v>#NAME?</v>
      </c>
      <c r="BC15" s="105" t="e">
        <f ca="1">_xll.ciqfunctions.udf.CIQ($A15, "IQ_TOTAL_EQUITY", $B$2, $L$2, $L$4, $L$3, $L$5, $L$6)</f>
        <v>#NAME?</v>
      </c>
      <c r="BD15" s="105" t="e">
        <f ca="1">IF(_xll.ciqfunctions.udf.CIQ($A15, "IQ_TOTAL_EQUITY", $B$3, $L$2,$L$4, $L$3, $L$5, $L$6)=0,BB15,_xll.ciqfunctions.udf.CIQ($A15, "IQ_TOTAL_EQUITY", $B$3, $L$2,$L$4, $L$3, $L$5, $L$6))</f>
        <v>#NAME?</v>
      </c>
      <c r="BE15" s="105" t="e">
        <f ca="1">_xll.ciqfunctions.udf.CIQ(A15, "IQ_LASTSALEPRICE", $B$8)</f>
        <v>#NAME?</v>
      </c>
      <c r="BF15" s="105" t="e">
        <f ca="1">_xll.ciqfunctions.udf.CIQ($A15, "IQ_MARKETCAP", $B$8, $L$5, $L$6)</f>
        <v>#NAME?</v>
      </c>
      <c r="BG15" s="105" t="e">
        <f ca="1">_xll.ciqfunctions.udf.CIQ($A15, "IQ_TOTAL_DEBT", IQ_LTM, $B$8,$L$4, $L$3, $L$5, $L$6)</f>
        <v>#NAME?</v>
      </c>
      <c r="BH15" s="74" t="e">
        <f ca="1">_xll.ciqfunctions.udf.CIQ($A15,"IQ_PREF_EQUITY",IQ_LTM,$B$8,$L$4,$L$3,$L$5,$L$6)</f>
        <v>#NAME?</v>
      </c>
      <c r="BI15" s="74" t="e">
        <f ca="1">_xll.ciqfunctions.udf.CIQ($A15, "IQ_MINORITY_INTEREST_TOTAL", IQ_LTM,$B$8,$L$4,$L$3,$L$5,$L$6)</f>
        <v>#NAME?</v>
      </c>
      <c r="BJ15" s="105" t="e">
        <f ca="1">_xll.ciqfunctions.udf.CIQ($A15, "IQ_CASH_ST_INVEST", IQ_LTM, $B$8, $L$4, $L$3, $L$5, $L$6)</f>
        <v>#NAME?</v>
      </c>
      <c r="BK15" s="74" t="e">
        <f ca="1">_xll.ciqfunctions.udf.CIQ($A15, "IQ_EFFECT_TAX_RATE")</f>
        <v>#NAME?</v>
      </c>
      <c r="BL15" s="74" t="e">
        <f ca="1">IF(_xll.ciqfunctions.udf.CIQ($A15, "IQ_TOTAL_REV_2YR_ANN_CAGR", IQ_LTM, $B$1,$L$4, $L$3, $L$5, $L$6)="NM","n/a",(_xll.ciqfunctions.udf.CIQ($A15, "IQ_TOTAL_REV_2YR_ANN_CAGR", IQ_LTM, $B$1,$L$4, $L$3, $L$5, $L$6)/100))</f>
        <v>#NAME?</v>
      </c>
      <c r="BM15" s="74" t="e">
        <f ca="1">IF(_xll.ciqfunctions.udf.CIQ($A15, "IQ_TOTAL_REV_3YR_ANN_CAGR", IQ_LTM, $B$1,$L$4, $L$3, $L$5, $L$6)="NM","n/a",(_xll.ciqfunctions.udf.CIQ($A15, "IQ_TOTAL_REV_3YR_ANN_CAGR", IQ_LTM, $B$1,$L$4, $L$3, $L$5, $L$6)/100))</f>
        <v>#NAME?</v>
      </c>
      <c r="BN15" s="74" t="e">
        <f ca="1">IF(_xll.ciqfunctions.udf.CIQ($A15, "IQ_TOTAL_REV_5YR_ANN_CAGR", IQ_LTM, $B$1,$L$4, $L$3, $L$5, $L$6)="NM","n/a",(_xll.ciqfunctions.udf.CIQ($A15, "IQ_TOTAL_REV_5YR_ANN_CAGR", IQ_LTM, $B$1,$L$4, $L$3, $L$5, $L$6)/100))</f>
        <v>#NAME?</v>
      </c>
      <c r="BO15" s="74" t="e">
        <f ca="1">IF(_xll.ciqfunctions.udf.CIQ($A15,"IQ_EBITDA_2YR_ANN_CAGR", IQ_LTM,$B$1,$L$4, $L$3, $L$5, $L$6)="NM","n/a",(_xll.ciqfunctions.udf.CIQ($A15,"IQ_EBITDA_2YR_ANN_CAGR", IQ_LTM,$B$1,$L$4, $L$3, $L$5, $L$6)/100))</f>
        <v>#NAME?</v>
      </c>
      <c r="BP15" s="74" t="e">
        <f ca="1">IF(_xll.ciqfunctions.udf.CIQ($A15,"IQ_EBITDA_3YR_ANN_CAGR", IQ_LTM,$B$1,$L$4, $L$3, $L$5, $L$6)="NM","n/a",(_xll.ciqfunctions.udf.CIQ($A15,"IQ_EBITDA_3YR_ANN_CAGR", IQ_LTM,$B$1,$L$4, $L$3, $L$5, $L$6)/100))</f>
        <v>#NAME?</v>
      </c>
      <c r="BQ15" s="74" t="e">
        <f ca="1">IF(_xll.ciqfunctions.udf.CIQ($A15,"IQ_EBITDA_5YR_ANN_CAGR", IQ_LTM,$B$1,$L$4, $L$3, $L$5, $L$6)="NM","n/a",(_xll.ciqfunctions.udf.CIQ($A15,"IQ_EBITDA_5YR_ANN_CAGR", IQ_LTM,$B$1,$L$4, $L$3, $L$5, $L$6)/100))</f>
        <v>#NAME?</v>
      </c>
      <c r="BR15" s="78" t="str">
        <f ca="1">IFERROR((_xll.ciqfunctions.udf.CIQ($A15, "IQ_DA_CF", IQ_LTM, $B$1, $L$4, $L$3, $L$5, $L$6)/Q15),"NM")</f>
        <v>NM</v>
      </c>
      <c r="BS15" s="109">
        <f>'Capital IQ Sheet-GPC'!BS15</f>
        <v>0.81416033280155464</v>
      </c>
      <c r="BT15" s="109">
        <f>'Capital IQ Sheet-GPC'!BT15</f>
        <v>0.79703443847278144</v>
      </c>
      <c r="BU15" s="109" t="str">
        <f>'Capital IQ Sheet-GPC'!BU15</f>
        <v>n/a</v>
      </c>
      <c r="BV15" s="109" t="str">
        <f>'Capital IQ Sheet-GPC'!BV15</f>
        <v>n/a</v>
      </c>
      <c r="BW15" s="109" t="str">
        <f>'Capital IQ Sheet-GPC'!BW15</f>
        <v>n/a</v>
      </c>
      <c r="BX15" s="109" t="str">
        <f>'Capital IQ Sheet-GPC'!BX15</f>
        <v>n/a</v>
      </c>
      <c r="BY15" s="109" t="str">
        <f>'Capital IQ Sheet-GPC'!BY15</f>
        <v>n/a</v>
      </c>
      <c r="BZ15" s="109" t="str">
        <f>'Capital IQ Sheet-GPC'!BZ15</f>
        <v>n/a</v>
      </c>
      <c r="CB15" s="74">
        <v>2</v>
      </c>
      <c r="CC15" s="149" t="s">
        <v>315</v>
      </c>
      <c r="CD15" s="149" t="s">
        <v>314</v>
      </c>
      <c r="CE15" s="76">
        <f t="shared" si="0"/>
        <v>42005</v>
      </c>
    </row>
    <row r="16" spans="1:86" s="74" customFormat="1" ht="12.75">
      <c r="A16" s="75" t="e">
        <f ca="1">_xll.ciqfunctions.udf.CIQ($B16,"IQ_COMPANY_TICKER")</f>
        <v>#NAME?</v>
      </c>
      <c r="B16" s="104" t="str">
        <f>'Capital IQ Sheet-GPC'!B16</f>
        <v>IQ130641748</v>
      </c>
      <c r="C16" s="75" t="e">
        <f ca="1">_xll.ciqfunctions.udf.CIQ($A16,"IQ_COMPANY_NAME")</f>
        <v>#NAME?</v>
      </c>
      <c r="D16" s="75" t="e">
        <f ca="1">_xll.ciqfunctions.udf.CIQ($A16, "IQ_EXCHANGE")</f>
        <v>#NAME?</v>
      </c>
      <c r="E16" s="103" t="e">
        <f ca="1">_xll.ciqfunctions.udf.CIQ($A16, "IQ_PERIODDATE_IS", IQ_FY)</f>
        <v>#NAME?</v>
      </c>
      <c r="F16" s="103" t="e">
        <f ca="1">_xll.ciqfunctions.udf.CIQ(A16, "IQ_PERIODDATE_IS", IQ_LTM, $B$1,$L$4,$L$3)</f>
        <v>#NAME?</v>
      </c>
      <c r="G16" s="103" t="e">
        <f ca="1">_xll.ciqfunctions.udf.CIQ($A16, "IQ_FIRSTPRICINGDATE")</f>
        <v>#NAME?</v>
      </c>
      <c r="H16" s="105" t="e">
        <f ca="1">_xll.ciqfunctions.udf.CIQ($A16, "IQ_TEV", $L$2, $L$5, $L$6)</f>
        <v>#NAME?</v>
      </c>
      <c r="I16" s="105" t="e">
        <f ca="1">_xll.ciqfunctions.udf.CIQ(A16, "IQ_LASTSALEPRICE", $B$1,$L$5)</f>
        <v>#NAME?</v>
      </c>
      <c r="J16" s="105" t="e">
        <f ca="1">_xll.ciqfunctions.udf.CIQ($A16, "IQ_MARKETCAP", $L$2, $L$5, $L$6)</f>
        <v>#NAME?</v>
      </c>
      <c r="K16" s="105" t="e">
        <f ca="1">_xll.ciqfunctions.udf.CIQ($A16, "IQ_TOTAL_DEBT", IQ_LTM, $L$2,$L$4, $L$3, $L$5, $L$6)</f>
        <v>#NAME?</v>
      </c>
      <c r="L16" s="105" t="e">
        <f ca="1">_xll.ciqfunctions.udf.CIQ($A16, "IQ_PREF_EQUITY", IQ_LTM, $L$2, $L$4, $L$3, $L$5, $L$6)</f>
        <v>#NAME?</v>
      </c>
      <c r="M16" s="105" t="e">
        <f ca="1">_xll.ciqfunctions.udf.CIQ($A16, "IQ_MINORITY_INTEREST_TOTAL", IQ_LTM, $L$2, $L$4, $L$3, $L$5, $L$6)</f>
        <v>#NAME?</v>
      </c>
      <c r="N16" s="105" t="e">
        <f ca="1">_xll.ciqfunctions.udf.CIQ($A16, "IQ_CASH_ST_INVEST", IQ_LTM, $L$2, $L$4, $L$3, $L$5, $L$6)</f>
        <v>#NAME?</v>
      </c>
      <c r="O16" s="105" t="e">
        <f ca="1">_xll.ciqfunctions.udf.CIQ($A16, "IQ_TOTAL_REV", IQ_LTM-8, $L$2, $L$4, $L$3, $L$5, $L$6)</f>
        <v>#NAME?</v>
      </c>
      <c r="P16" s="105" t="e">
        <f ca="1">_xll.ciqfunctions.udf.CIQ($A16, "IQ_TOTAL_REV", IQ_LTM - 4, $L$2, $L$4, $L$3, $L$5,$L$6)</f>
        <v>#NAME?</v>
      </c>
      <c r="Q16" s="105" t="e">
        <f ca="1">_xll.ciqfunctions.udf.CIQ($A16, "IQ_TOTAL_REV", IQ_LTM, $L$2, $L$4, $L$3, $L$5, $L$6)</f>
        <v>#NAME?</v>
      </c>
      <c r="R16" s="105" t="e">
        <f ca="1">_xll.ciqfunctions.udf.CIQ($A16, "IQ_TOTAL_REV", $B$2, $L$2, $L$4, $L$3, $L$5, $L$6)</f>
        <v>#NAME?</v>
      </c>
      <c r="S16" s="105" t="e">
        <f ca="1">IF(_xll.ciqfunctions.udf.CIQ($A16, "IQ_TOTAL_REV", $B$3, $L$2,$L$4, $L$3, $L$5, $L$6)=0,Q16,_xll.ciqfunctions.udf.CIQ($A16, "IQ_TOTAL_REV", $B$3, $L$2,$L$4, $L$3, $L$5, $L$6))</f>
        <v>#NAME?</v>
      </c>
      <c r="T16" s="105" t="e">
        <f ca="1">IF(_xll.ciqfunctions.udf.CIQ($A16, "IQ_REVENUE_EST",$B$4, $L$2, "CON", $L$3, $L$5, $L$6)=0,"n/a",_xll.ciqfunctions.udf.CIQ($A16, "IQ_REVENUE_EST",$B$4, $L$2, "CON", $L$3, $L$5, $L$6))</f>
        <v>#NAME?</v>
      </c>
      <c r="U16" s="105" t="e">
        <f ca="1">IF(_xll.ciqfunctions.udf.CIQ($A16, "IQ_REVENUE_EST",$B$5, $L$2, "CON", $L$3, $L$5, $L$6)=0,"n/a",_xll.ciqfunctions.udf.CIQ($A16, "IQ_REVENUE_EST",$B$5, $L$2, "CON", $L$3, $L$5, $L$6))</f>
        <v>#NAME?</v>
      </c>
      <c r="V16" s="105" t="e">
        <f ca="1">IF(_xll.ciqfunctions.udf.CIQ($A16, "IQ_REVENUE_EST",$B$6, $L$2, "CON", $L$3, $L$5, $L$6)=0,"n/a",_xll.ciqfunctions.udf.CIQ($A16, "IQ_REVENUE_EST",$B$6, $L$2, "CON", $L$3, $L$5, $L$6))</f>
        <v>#NAME?</v>
      </c>
      <c r="W16" s="105" t="e">
        <f ca="1">IF(_xll.ciqfunctions.udf.CIQ($A16, "IQ_REVENUE_EST", $B$7, $L$2, "CON", $L$3, $L$5, $L$6)=0,"n/a",_xll.ciqfunctions.udf.CIQ($A16, "IQ_REVENUE_EST",$B$7, $L$2, "CON", $L$3, $L$5, $L$6))</f>
        <v>#NAME?</v>
      </c>
      <c r="X16" s="105" t="e">
        <f ca="1">_xll.ciqfunctions.udf.CIQ($A16, "IQ_EBITDA", IQ_LTM-8, $L$2, $L$4, $L$3, $L$5, $L$6)</f>
        <v>#NAME?</v>
      </c>
      <c r="Y16" s="105" t="e">
        <f ca="1">_xll.ciqfunctions.udf.CIQ($A16, "IQ_EBITDA", IQ_LTM-4, $L$2,$L$4, $L$3, $L$5, $L$6)</f>
        <v>#NAME?</v>
      </c>
      <c r="Z16" s="105" t="e">
        <f ca="1">_xll.ciqfunctions.udf.CIQ($A16, "IQ_EBITDA", IQ_LTM, $L$2, $L$4, $L$3, $L$5, $L$6)</f>
        <v>#NAME?</v>
      </c>
      <c r="AA16" s="105" t="e">
        <f ca="1">_xll.ciqfunctions.udf.CIQ($A16, "IQ_EBITDA", $B$2, $L$2, $L$4, $L$3, $L$5, $L$6)</f>
        <v>#NAME?</v>
      </c>
      <c r="AB16" s="105" t="e">
        <f ca="1">IF(_xll.ciqfunctions.udf.CIQ($A16, "IQ_EBITDA", $B$3, $L$2,$L$4, $L$3, $L$5, $L$6)=0,Z16,_xll.ciqfunctions.udf.CIQ($A16, "IQ_EBITDA", $B$3, $L$2,$L$4, $L$3, $L$5, $L$6))</f>
        <v>#NAME?</v>
      </c>
      <c r="AC16" s="105" t="e">
        <f ca="1">IF(_xll.ciqfunctions.udf.CIQ($A16, "IQ_EBITDA_EST",$B$4, $L$2, "CON", $L$3, $L$5, $L$6)=0,"n/a",_xll.ciqfunctions.udf.CIQ($A16, "IQ_EBITDA_EST",$B$4, $L$2, "CON", $L$3, $L$5, $L$6))</f>
        <v>#NAME?</v>
      </c>
      <c r="AD16" s="105" t="e">
        <f ca="1">IF(_xll.ciqfunctions.udf.CIQ($A16, "IQ_EBITDA_EST",$B$5, $L$2, "CON", $L$3, $L$5, $L$6)=0,"n/a",_xll.ciqfunctions.udf.CIQ($A16, "IQ_EBITDA_EST",$B$5, $L$2, "CON", $L$3, $L$5, $L$6))</f>
        <v>#NAME?</v>
      </c>
      <c r="AE16" s="105" t="e">
        <f ca="1">IF(_xll.ciqfunctions.udf.CIQ($A16, "IQ_EBITDA_EST",$B$6, $L$2, "CON", $L$3, $L$5, $L$6)=0,"n/a",_xll.ciqfunctions.udf.CIQ($A16, "IQ_EBITDA_EST",$B$6, $L$2, "CON", $L$3, $L$5, $L$6))</f>
        <v>#NAME?</v>
      </c>
      <c r="AF16" s="106" t="str">
        <f ca="1">IF(ISERROR(_xll.ciqfunctions.udf.CIQ($A16, "IQ_GROSS_MARGIN", IQ_LTM, $L$2,$L$4, $L$3, $L$5, $L$6)/100), "n/a", _xll.ciqfunctions.udf.CIQ($A16,  "IQ_GROSS_MARGIN", IQ_LTM, $L$2, $L$4, $L$3, $L$5, $L$6)/100)</f>
        <v>n/a</v>
      </c>
      <c r="AG16" s="106" t="str">
        <f ca="1">IF(ISERROR(_xll.ciqfunctions.udf.CIQ($A16,"IQ_EBITDA_MARGIN", IQ_LTM, $L$2, $L$4, $L$3, $L$5, $L$6)/100), "n/a", _xll.ciqfunctions.udf.CIQ($A16, "IQ_EBITDA_MARGIN", IQ_LTM, $L$2, $L$4, $L$3, $L$5, $L$6)/100)</f>
        <v>n/a</v>
      </c>
      <c r="AH16" s="106" t="str">
        <f ca="1">IF(ISERROR(_xll.ciqfunctions.udf.CIQ($A16,"IQ_EBIT_MARGIN", IQ_LTM, $L$2, $L$4, $L$3, $L$5, $L$6)/100), "n/a", _xll.ciqfunctions.udf.CIQ($A16, "IQ_EBIT_MARGIN", IQ_LTM, $L$2, $L$4, $L$3, $L$5, $L$6)/100)</f>
        <v>n/a</v>
      </c>
      <c r="AI16" s="106" t="str">
        <f ca="1">IF(ISERROR(_xll.ciqfunctions.udf.CIQ($A16,"IQ_NI_MARGIN", IQ_LTM, $L$2, $L$4, $L$3, $L$5, $L$6)/100), "n/a", _xll.ciqfunctions.udf.CIQ($A16, "IQ_NI_MARGIN", IQ_LTM, $L$2, $L$4, $L$3, $L$5, $L$6)/100)</f>
        <v>n/a</v>
      </c>
      <c r="AJ16" s="105" t="str">
        <f ca="1">IF(ISERROR(_xll.ciqfunctions.udf.CIQ($A16, "IQ_NET_WORKING_CAP", IQ_LTM-8, $L$2, $L$4, $L$3, $L$5, $L$6)), "n/a", _xll.ciqfunctions.udf.CIQ($A16, "IQ_NET_WORKING_CAP", IQ_LTM-8, $L$2, $L$4, $L$3, $L$5, $L$6))</f>
        <v>n/a</v>
      </c>
      <c r="AK16" s="105" t="str">
        <f ca="1">IF(ISERROR(_xll.ciqfunctions.udf.CIQ($A16, "IQ_NET_WORKING_CAP", IQ_LTM-4, $L$2, $L$4, $L$3, $L$5, $L$6)), "n/a", _xll.ciqfunctions.udf.CIQ($A16, "IQ_NET_WORKING_CAP", IQ_LTM-4, $L$2, $L$4, $L$3, $L$5, $L$6))</f>
        <v>n/a</v>
      </c>
      <c r="AL16" s="105" t="str">
        <f ca="1">IF(ISERROR(_xll.ciqfunctions.udf.CIQ($A16, "IQ_NET_WORKING_CAP", IQ_LTM, $L$2,$L$4, $L$3, $L$5, $L$6)), "n/a", _xll.ciqfunctions.udf.CIQ($A16, "IQ_NET_WORKING_CAP", IQ_LTM, $L$2, $L$4, $L$3, $L$5, $L$6))</f>
        <v>n/a</v>
      </c>
      <c r="AM16" s="105" t="str">
        <f ca="1">IF(ISERROR(_xll.ciqfunctions.udf.CIQ($A16, "IQ_Capex", IQ_LTM-8, $L$2,$L$4, $L$3, $L$5, $L$6)), "n/a", _xll.ciqfunctions.udf.CIQ($A16, "IQ_Capex", IQ_LTM-8, $L$2, $L$4, $L$3, $L$5, $L$6))</f>
        <v>n/a</v>
      </c>
      <c r="AN16" s="105" t="str">
        <f ca="1">IF(ISERROR(_xll.ciqfunctions.udf.CIQ($A16, "IQ_Capex", IQ_LTM-4, $L$2,$L$4, $L$3, $L$5, $L$6)), "n/a", _xll.ciqfunctions.udf.CIQ($A16, "IQ_Capex", IQ_LTM-4, $L$2,$L$4, $L$3, $L$5, $L$6))</f>
        <v>n/a</v>
      </c>
      <c r="AO16" s="105" t="str">
        <f ca="1">IF(ISERROR(_xll.ciqfunctions.udf.CIQ($A16, "IQ_Capex", IQ_LTM, $L$2, $L$4, $L$3, $L$5, $L$6)), "n/a", _xll.ciqfunctions.udf.CIQ($A16, "IQ_Capex", IQ_LTM, $L$2, $L$4, $L$3, $L$5, $L$6))</f>
        <v>n/a</v>
      </c>
      <c r="AP16" s="107" t="e">
        <f ca="1">_xll.ciqfunctions.udf.CIQ(A16, "IQ_BUSINESS_DESCRIPTION")</f>
        <v>#NAME?</v>
      </c>
      <c r="AQ16" s="108" t="e">
        <f ca="1">_xll.ciqfunctions.udf.CIQ($A16, "IQ_BETA_1YR", $B$1)</f>
        <v>#NAME?</v>
      </c>
      <c r="AR16" s="108" t="e">
        <f ca="1">_xll.ciqfunctions.udf.CIQ($A16, "IQ_BETA_2YR", $B$1)</f>
        <v>#NAME?</v>
      </c>
      <c r="AS16" s="108" t="e">
        <f ca="1">_xll.ciqfunctions.udf.CIQ($A16, "IQ_BETA_5YR", $B$1)</f>
        <v>#NAME?</v>
      </c>
      <c r="AT16" s="106" t="e">
        <f ca="1">_xll.ciqfunctions.udf.CIQ($A16, "IQ_DIVIDEND_YIELD", $B$1)/100</f>
        <v>#NAME?</v>
      </c>
      <c r="AU16" s="105" t="e">
        <f ca="1">_xll.ciqfunctions.udf.CIQ($A16, "IQ_EARNING_CO", IQ_LTM-8, $L$2, $L$4, $L$3, $L$5, $L$6)</f>
        <v>#NAME?</v>
      </c>
      <c r="AV16" s="105" t="e">
        <f ca="1">_xll.ciqfunctions.udf.CIQ($A16, "IQ_EARNING_CO", IQ_LTM-4, $L$2, $L$4, $L$3, $L$5, $L$6)</f>
        <v>#NAME?</v>
      </c>
      <c r="AW16" s="105" t="e">
        <f ca="1">_xll.ciqfunctions.udf.CIQ($A16, "IQ_EARNING_CO", IQ_LTM, $L$2, $L$4, $L$3, $L$5, $L$6)</f>
        <v>#NAME?</v>
      </c>
      <c r="AX16" s="105" t="e">
        <f ca="1">_xll.ciqfunctions.udf.CIQ($A16, "IQ_EARNING_CO", $B$2, $L$2, $L$4, $L$3, $L$5, $L$6)</f>
        <v>#NAME?</v>
      </c>
      <c r="AY16" s="105" t="e">
        <f ca="1">IF(_xll.ciqfunctions.udf.CIQ($A16, "IQ_EARNING_CO", $B$3, $L$2,$L$4, $L$3, $L$5, $L$6)=0,AW16,_xll.ciqfunctions.udf.CIQ($A16, "IQ_EARNING_CO", $B$3, $L$2,$L$4, $L$3, $L$5, $L$6))</f>
        <v>#NAME?</v>
      </c>
      <c r="AZ16" s="105" t="e">
        <f ca="1">_xll.ciqfunctions.udf.CIQ($A16, "IQ_TOTAL_EQUITY", IQ_LTM-8, $L$2, $L$4, $L$3, $L$5, $L$6)</f>
        <v>#NAME?</v>
      </c>
      <c r="BA16" s="105" t="e">
        <f ca="1">_xll.ciqfunctions.udf.CIQ($A16, "IQ_TOTAL_EQUITY", IQ_LTM-4, $L$2, $L$4, $L$3, $L$5, $L$6)</f>
        <v>#NAME?</v>
      </c>
      <c r="BB16" s="105" t="e">
        <f ca="1">_xll.ciqfunctions.udf.CIQ($A16, "IQ_TOTAL_EQUITY", IQ_LTM, $L$2, $L$4, $L$3, $L$5, $L$6)</f>
        <v>#NAME?</v>
      </c>
      <c r="BC16" s="105" t="e">
        <f ca="1">_xll.ciqfunctions.udf.CIQ($A16, "IQ_TOTAL_EQUITY", $B$2, $L$2, $L$4, $L$3, $L$5, $L$6)</f>
        <v>#NAME?</v>
      </c>
      <c r="BD16" s="105" t="e">
        <f ca="1">IF(_xll.ciqfunctions.udf.CIQ($A16, "IQ_TOTAL_EQUITY", $B$3, $L$2,$L$4, $L$3, $L$5, $L$6)=0,BB16,_xll.ciqfunctions.udf.CIQ($A16, "IQ_TOTAL_EQUITY", $B$3, $L$2,$L$4, $L$3, $L$5, $L$6))</f>
        <v>#NAME?</v>
      </c>
      <c r="BE16" s="105" t="e">
        <f ca="1">_xll.ciqfunctions.udf.CIQ(A16, "IQ_LASTSALEPRICE", $B$8)</f>
        <v>#NAME?</v>
      </c>
      <c r="BF16" s="105" t="e">
        <f ca="1">_xll.ciqfunctions.udf.CIQ($A16, "IQ_MARKETCAP", $B$8, $L$5, $L$6)</f>
        <v>#NAME?</v>
      </c>
      <c r="BG16" s="105" t="e">
        <f ca="1">_xll.ciqfunctions.udf.CIQ($A16, "IQ_TOTAL_DEBT", IQ_LTM, $B$8,$L$4, $L$3, $L$5, $L$6)</f>
        <v>#NAME?</v>
      </c>
      <c r="BH16" s="74" t="e">
        <f ca="1">_xll.ciqfunctions.udf.CIQ($A16,"IQ_PREF_EQUITY",IQ_LTM,$B$8,$L$4,$L$3,$L$5,$L$6)</f>
        <v>#NAME?</v>
      </c>
      <c r="BI16" s="74" t="e">
        <f ca="1">_xll.ciqfunctions.udf.CIQ($A16, "IQ_MINORITY_INTEREST_TOTAL", IQ_LTM,$B$8,$L$4,$L$3,$L$5,$L$6)</f>
        <v>#NAME?</v>
      </c>
      <c r="BJ16" s="105" t="e">
        <f ca="1">_xll.ciqfunctions.udf.CIQ($A16, "IQ_CASH_ST_INVEST", IQ_LTM, $B$8, $L$4, $L$3, $L$5, $L$6)</f>
        <v>#NAME?</v>
      </c>
      <c r="BK16" s="74" t="e">
        <f ca="1">_xll.ciqfunctions.udf.CIQ($A16, "IQ_EFFECT_TAX_RATE")</f>
        <v>#NAME?</v>
      </c>
      <c r="BL16" s="74" t="e">
        <f ca="1">IF(_xll.ciqfunctions.udf.CIQ($A16, "IQ_TOTAL_REV_2YR_ANN_CAGR", IQ_LTM, $B$1,$L$4, $L$3, $L$5, $L$6)="NM","n/a",(_xll.ciqfunctions.udf.CIQ($A16, "IQ_TOTAL_REV_2YR_ANN_CAGR", IQ_LTM, $B$1,$L$4, $L$3, $L$5, $L$6)/100))</f>
        <v>#NAME?</v>
      </c>
      <c r="BM16" s="74" t="e">
        <f ca="1">IF(_xll.ciqfunctions.udf.CIQ($A16, "IQ_TOTAL_REV_3YR_ANN_CAGR", IQ_LTM, $B$1,$L$4, $L$3, $L$5, $L$6)="NM","n/a",(_xll.ciqfunctions.udf.CIQ($A16, "IQ_TOTAL_REV_3YR_ANN_CAGR", IQ_LTM, $B$1,$L$4, $L$3, $L$5, $L$6)/100))</f>
        <v>#NAME?</v>
      </c>
      <c r="BN16" s="74" t="e">
        <f ca="1">IF(_xll.ciqfunctions.udf.CIQ($A16, "IQ_TOTAL_REV_5YR_ANN_CAGR", IQ_LTM, $B$1,$L$4, $L$3, $L$5, $L$6)="NM","n/a",(_xll.ciqfunctions.udf.CIQ($A16, "IQ_TOTAL_REV_5YR_ANN_CAGR", IQ_LTM, $B$1,$L$4, $L$3, $L$5, $L$6)/100))</f>
        <v>#NAME?</v>
      </c>
      <c r="BO16" s="74" t="e">
        <f ca="1">IF(_xll.ciqfunctions.udf.CIQ($A16,"IQ_EBITDA_2YR_ANN_CAGR", IQ_LTM,$B$1,$L$4, $L$3, $L$5, $L$6)="NM","n/a",(_xll.ciqfunctions.udf.CIQ($A16,"IQ_EBITDA_2YR_ANN_CAGR", IQ_LTM,$B$1,$L$4, $L$3, $L$5, $L$6)/100))</f>
        <v>#NAME?</v>
      </c>
      <c r="BP16" s="74" t="e">
        <f ca="1">IF(_xll.ciqfunctions.udf.CIQ($A16,"IQ_EBITDA_3YR_ANN_CAGR", IQ_LTM,$B$1,$L$4, $L$3, $L$5, $L$6)="NM","n/a",(_xll.ciqfunctions.udf.CIQ($A16,"IQ_EBITDA_3YR_ANN_CAGR", IQ_LTM,$B$1,$L$4, $L$3, $L$5, $L$6)/100))</f>
        <v>#NAME?</v>
      </c>
      <c r="BQ16" s="74" t="e">
        <f ca="1">IF(_xll.ciqfunctions.udf.CIQ($A16,"IQ_EBITDA_5YR_ANN_CAGR", IQ_LTM,$B$1,$L$4, $L$3, $L$5, $L$6)="NM","n/a",(_xll.ciqfunctions.udf.CIQ($A16,"IQ_EBITDA_5YR_ANN_CAGR", IQ_LTM,$B$1,$L$4, $L$3, $L$5, $L$6)/100))</f>
        <v>#NAME?</v>
      </c>
      <c r="BR16" s="78" t="str">
        <f ca="1">IFERROR((_xll.ciqfunctions.udf.CIQ($A16, "IQ_DA_CF", IQ_LTM, $B$1, $L$4, $L$3, $L$5, $L$6)/Q16),"NM")</f>
        <v>NM</v>
      </c>
      <c r="BS16" s="109">
        <f>'Capital IQ Sheet-GPC'!BS16</f>
        <v>0.66008168675338585</v>
      </c>
      <c r="BT16" s="109">
        <f>'Capital IQ Sheet-GPC'!BT16</f>
        <v>0.74596470213292698</v>
      </c>
      <c r="BU16" s="109" t="str">
        <f>'Capital IQ Sheet-GPC'!BU16</f>
        <v>n/a</v>
      </c>
      <c r="BV16" s="109" t="str">
        <f>'Capital IQ Sheet-GPC'!BV16</f>
        <v>n/a</v>
      </c>
      <c r="BW16" s="109" t="str">
        <f>'Capital IQ Sheet-GPC'!BW16</f>
        <v>n/a</v>
      </c>
      <c r="BX16" s="109" t="str">
        <f>'Capital IQ Sheet-GPC'!BX16</f>
        <v>n/a</v>
      </c>
      <c r="BY16" s="109" t="str">
        <f>'Capital IQ Sheet-GPC'!BY16</f>
        <v>n/a</v>
      </c>
      <c r="BZ16" s="109" t="str">
        <f>'Capital IQ Sheet-GPC'!BZ16</f>
        <v>n/a</v>
      </c>
      <c r="CB16" s="74">
        <v>2</v>
      </c>
      <c r="CC16" s="149" t="s">
        <v>315</v>
      </c>
      <c r="CD16" s="149" t="s">
        <v>314</v>
      </c>
      <c r="CE16" s="76">
        <f t="shared" si="0"/>
        <v>42005</v>
      </c>
    </row>
    <row r="17" spans="1:83" s="74" customFormat="1" ht="12.75">
      <c r="A17" s="75" t="e">
        <f ca="1">_xll.ciqfunctions.udf.CIQ($B17,"IQ_COMPANY_TICKER")</f>
        <v>#NAME?</v>
      </c>
      <c r="B17" s="104" t="str">
        <f>'Capital IQ Sheet-GPC'!B17</f>
        <v>IQ28922</v>
      </c>
      <c r="C17" s="75" t="e">
        <f ca="1">_xll.ciqfunctions.udf.CIQ($A17,"IQ_COMPANY_NAME")</f>
        <v>#NAME?</v>
      </c>
      <c r="D17" s="75" t="e">
        <f ca="1">_xll.ciqfunctions.udf.CIQ($A17, "IQ_EXCHANGE")</f>
        <v>#NAME?</v>
      </c>
      <c r="E17" s="103" t="e">
        <f ca="1">_xll.ciqfunctions.udf.CIQ($A17, "IQ_PERIODDATE_IS", IQ_FY)</f>
        <v>#NAME?</v>
      </c>
      <c r="F17" s="103" t="e">
        <f ca="1">_xll.ciqfunctions.udf.CIQ(A17, "IQ_PERIODDATE_IS", IQ_LTM, $B$1,$L$4,$L$3)</f>
        <v>#NAME?</v>
      </c>
      <c r="G17" s="103" t="e">
        <f ca="1">_xll.ciqfunctions.udf.CIQ($A17, "IQ_FIRSTPRICINGDATE")</f>
        <v>#NAME?</v>
      </c>
      <c r="H17" s="105" t="e">
        <f ca="1">_xll.ciqfunctions.udf.CIQ($A17, "IQ_TEV", $L$2, $L$5, $L$6)</f>
        <v>#NAME?</v>
      </c>
      <c r="I17" s="105" t="e">
        <f ca="1">_xll.ciqfunctions.udf.CIQ(A17, "IQ_LASTSALEPRICE", $B$1,$L$5)</f>
        <v>#NAME?</v>
      </c>
      <c r="J17" s="105" t="e">
        <f ca="1">_xll.ciqfunctions.udf.CIQ($A17, "IQ_MARKETCAP", $L$2, $L$5, $L$6)</f>
        <v>#NAME?</v>
      </c>
      <c r="K17" s="105" t="e">
        <f ca="1">_xll.ciqfunctions.udf.CIQ($A17, "IQ_TOTAL_DEBT", IQ_LTM, $L$2,$L$4, $L$3, $L$5, $L$6)</f>
        <v>#NAME?</v>
      </c>
      <c r="L17" s="105" t="e">
        <f ca="1">_xll.ciqfunctions.udf.CIQ($A17, "IQ_PREF_EQUITY", IQ_LTM, $L$2, $L$4, $L$3, $L$5, $L$6)</f>
        <v>#NAME?</v>
      </c>
      <c r="M17" s="105" t="e">
        <f ca="1">_xll.ciqfunctions.udf.CIQ($A17, "IQ_MINORITY_INTEREST_TOTAL", IQ_LTM, $L$2, $L$4, $L$3, $L$5, $L$6)</f>
        <v>#NAME?</v>
      </c>
      <c r="N17" s="105" t="e">
        <f ca="1">_xll.ciqfunctions.udf.CIQ($A17, "IQ_CASH_ST_INVEST", IQ_LTM, $L$2, $L$4, $L$3, $L$5, $L$6)</f>
        <v>#NAME?</v>
      </c>
      <c r="O17" s="105" t="e">
        <f ca="1">_xll.ciqfunctions.udf.CIQ($A17, "IQ_TOTAL_REV", IQ_LTM-8, $L$2, $L$4, $L$3, $L$5, $L$6)</f>
        <v>#NAME?</v>
      </c>
      <c r="P17" s="105" t="e">
        <f ca="1">_xll.ciqfunctions.udf.CIQ($A17, "IQ_TOTAL_REV", IQ_LTM - 4, $L$2, $L$4, $L$3, $L$5,$L$6)</f>
        <v>#NAME?</v>
      </c>
      <c r="Q17" s="105" t="e">
        <f ca="1">_xll.ciqfunctions.udf.CIQ($A17, "IQ_TOTAL_REV", IQ_LTM, $L$2, $L$4, $L$3, $L$5, $L$6)</f>
        <v>#NAME?</v>
      </c>
      <c r="R17" s="105" t="e">
        <f ca="1">_xll.ciqfunctions.udf.CIQ($A17, "IQ_TOTAL_REV", $B$2, $L$2, $L$4, $L$3, $L$5, $L$6)</f>
        <v>#NAME?</v>
      </c>
      <c r="S17" s="105" t="e">
        <f ca="1">IF(_xll.ciqfunctions.udf.CIQ($A17, "IQ_TOTAL_REV", $B$3, $L$2,$L$4, $L$3, $L$5, $L$6)=0,Q17,_xll.ciqfunctions.udf.CIQ($A17, "IQ_TOTAL_REV", $B$3, $L$2,$L$4, $L$3, $L$5, $L$6))</f>
        <v>#NAME?</v>
      </c>
      <c r="T17" s="105" t="e">
        <f ca="1">IF(_xll.ciqfunctions.udf.CIQ($A17, "IQ_REVENUE_EST",$B$4, $L$2, "CON", $L$3, $L$5, $L$6)=0,"n/a",_xll.ciqfunctions.udf.CIQ($A17, "IQ_REVENUE_EST",$B$4, $L$2, "CON", $L$3, $L$5, $L$6))</f>
        <v>#NAME?</v>
      </c>
      <c r="U17" s="105" t="e">
        <f ca="1">IF(_xll.ciqfunctions.udf.CIQ($A17, "IQ_REVENUE_EST",$B$5, $L$2, "CON", $L$3, $L$5, $L$6)=0,"n/a",_xll.ciqfunctions.udf.CIQ($A17, "IQ_REVENUE_EST",$B$5, $L$2, "CON", $L$3, $L$5, $L$6))</f>
        <v>#NAME?</v>
      </c>
      <c r="V17" s="105" t="e">
        <f ca="1">IF(_xll.ciqfunctions.udf.CIQ($A17, "IQ_REVENUE_EST",$B$6, $L$2, "CON", $L$3, $L$5, $L$6)=0,"n/a",_xll.ciqfunctions.udf.CIQ($A17, "IQ_REVENUE_EST",$B$6, $L$2, "CON", $L$3, $L$5, $L$6))</f>
        <v>#NAME?</v>
      </c>
      <c r="W17" s="105" t="e">
        <f ca="1">IF(_xll.ciqfunctions.udf.CIQ($A17, "IQ_REVENUE_EST", $B$7, $L$2, "CON", $L$3, $L$5, $L$6)=0,"n/a",_xll.ciqfunctions.udf.CIQ($A17, "IQ_REVENUE_EST",$B$7, $L$2, "CON", $L$3, $L$5, $L$6))</f>
        <v>#NAME?</v>
      </c>
      <c r="X17" s="105" t="e">
        <f ca="1">_xll.ciqfunctions.udf.CIQ($A17, "IQ_EBITDA", IQ_LTM-8, $L$2, $L$4, $L$3, $L$5, $L$6)</f>
        <v>#NAME?</v>
      </c>
      <c r="Y17" s="105" t="e">
        <f ca="1">_xll.ciqfunctions.udf.CIQ($A17, "IQ_EBITDA", IQ_LTM-4, $L$2,$L$4, $L$3, $L$5, $L$6)</f>
        <v>#NAME?</v>
      </c>
      <c r="Z17" s="105" t="e">
        <f ca="1">_xll.ciqfunctions.udf.CIQ($A17, "IQ_EBITDA", IQ_LTM, $L$2, $L$4, $L$3, $L$5, $L$6)</f>
        <v>#NAME?</v>
      </c>
      <c r="AA17" s="105" t="e">
        <f ca="1">_xll.ciqfunctions.udf.CIQ($A17, "IQ_EBITDA", $B$2, $L$2, $L$4, $L$3, $L$5, $L$6)</f>
        <v>#NAME?</v>
      </c>
      <c r="AB17" s="105" t="e">
        <f ca="1">IF(_xll.ciqfunctions.udf.CIQ($A17, "IQ_EBITDA", $B$3, $L$2,$L$4, $L$3, $L$5, $L$6)=0,Z17,_xll.ciqfunctions.udf.CIQ($A17, "IQ_EBITDA", $B$3, $L$2,$L$4, $L$3, $L$5, $L$6))</f>
        <v>#NAME?</v>
      </c>
      <c r="AC17" s="105" t="e">
        <f ca="1">IF(_xll.ciqfunctions.udf.CIQ($A17, "IQ_EBITDA_EST",$B$4, $L$2, "CON", $L$3, $L$5, $L$6)=0,"n/a",_xll.ciqfunctions.udf.CIQ($A17, "IQ_EBITDA_EST",$B$4, $L$2, "CON", $L$3, $L$5, $L$6))</f>
        <v>#NAME?</v>
      </c>
      <c r="AD17" s="105" t="e">
        <f ca="1">IF(_xll.ciqfunctions.udf.CIQ($A17, "IQ_EBITDA_EST",$B$5, $L$2, "CON", $L$3, $L$5, $L$6)=0,"n/a",_xll.ciqfunctions.udf.CIQ($A17, "IQ_EBITDA_EST",$B$5, $L$2, "CON", $L$3, $L$5, $L$6))</f>
        <v>#NAME?</v>
      </c>
      <c r="AE17" s="105" t="e">
        <f ca="1">IF(_xll.ciqfunctions.udf.CIQ($A17, "IQ_EBITDA_EST",$B$6, $L$2, "CON", $L$3, $L$5, $L$6)=0,"n/a",_xll.ciqfunctions.udf.CIQ($A17, "IQ_EBITDA_EST",$B$6, $L$2, "CON", $L$3, $L$5, $L$6))</f>
        <v>#NAME?</v>
      </c>
      <c r="AF17" s="106" t="str">
        <f ca="1">IF(ISERROR(_xll.ciqfunctions.udf.CIQ($A17, "IQ_GROSS_MARGIN", IQ_LTM, $L$2,$L$4, $L$3, $L$5, $L$6)/100), "n/a", _xll.ciqfunctions.udf.CIQ($A17,  "IQ_GROSS_MARGIN", IQ_LTM, $L$2, $L$4, $L$3, $L$5, $L$6)/100)</f>
        <v>n/a</v>
      </c>
      <c r="AG17" s="106" t="str">
        <f ca="1">IF(ISERROR(_xll.ciqfunctions.udf.CIQ($A17,"IQ_EBITDA_MARGIN", IQ_LTM, $L$2, $L$4, $L$3, $L$5, $L$6)/100), "n/a", _xll.ciqfunctions.udf.CIQ($A17, "IQ_EBITDA_MARGIN", IQ_LTM, $L$2, $L$4, $L$3, $L$5, $L$6)/100)</f>
        <v>n/a</v>
      </c>
      <c r="AH17" s="106" t="str">
        <f ca="1">IF(ISERROR(_xll.ciqfunctions.udf.CIQ($A17,"IQ_EBIT_MARGIN", IQ_LTM, $L$2, $L$4, $L$3, $L$5, $L$6)/100), "n/a", _xll.ciqfunctions.udf.CIQ($A17, "IQ_EBIT_MARGIN", IQ_LTM, $L$2, $L$4, $L$3, $L$5, $L$6)/100)</f>
        <v>n/a</v>
      </c>
      <c r="AI17" s="106" t="str">
        <f ca="1">IF(ISERROR(_xll.ciqfunctions.udf.CIQ($A17,"IQ_NI_MARGIN", IQ_LTM, $L$2, $L$4, $L$3, $L$5, $L$6)/100), "n/a", _xll.ciqfunctions.udf.CIQ($A17, "IQ_NI_MARGIN", IQ_LTM, $L$2, $L$4, $L$3, $L$5, $L$6)/100)</f>
        <v>n/a</v>
      </c>
      <c r="AJ17" s="105" t="str">
        <f ca="1">IF(ISERROR(_xll.ciqfunctions.udf.CIQ($A17, "IQ_NET_WORKING_CAP", IQ_LTM-8, $L$2, $L$4, $L$3, $L$5, $L$6)), "n/a", _xll.ciqfunctions.udf.CIQ($A17, "IQ_NET_WORKING_CAP", IQ_LTM-8, $L$2, $L$4, $L$3, $L$5, $L$6))</f>
        <v>n/a</v>
      </c>
      <c r="AK17" s="105" t="str">
        <f ca="1">IF(ISERROR(_xll.ciqfunctions.udf.CIQ($A17, "IQ_NET_WORKING_CAP", IQ_LTM-4, $L$2, $L$4, $L$3, $L$5, $L$6)), "n/a", _xll.ciqfunctions.udf.CIQ($A17, "IQ_NET_WORKING_CAP", IQ_LTM-4, $L$2, $L$4, $L$3, $L$5, $L$6))</f>
        <v>n/a</v>
      </c>
      <c r="AL17" s="105" t="str">
        <f ca="1">IF(ISERROR(_xll.ciqfunctions.udf.CIQ($A17, "IQ_NET_WORKING_CAP", IQ_LTM, $L$2,$L$4, $L$3, $L$5, $L$6)), "n/a", _xll.ciqfunctions.udf.CIQ($A17, "IQ_NET_WORKING_CAP", IQ_LTM, $L$2, $L$4, $L$3, $L$5, $L$6))</f>
        <v>n/a</v>
      </c>
      <c r="AM17" s="105" t="str">
        <f ca="1">IF(ISERROR(_xll.ciqfunctions.udf.CIQ($A17, "IQ_Capex", IQ_LTM-8, $L$2,$L$4, $L$3, $L$5, $L$6)), "n/a", _xll.ciqfunctions.udf.CIQ($A17, "IQ_Capex", IQ_LTM-8, $L$2, $L$4, $L$3, $L$5, $L$6))</f>
        <v>n/a</v>
      </c>
      <c r="AN17" s="105" t="str">
        <f ca="1">IF(ISERROR(_xll.ciqfunctions.udf.CIQ($A17, "IQ_Capex", IQ_LTM-4, $L$2,$L$4, $L$3, $L$5, $L$6)), "n/a", _xll.ciqfunctions.udf.CIQ($A17, "IQ_Capex", IQ_LTM-4, $L$2,$L$4, $L$3, $L$5, $L$6))</f>
        <v>n/a</v>
      </c>
      <c r="AO17" s="105" t="str">
        <f ca="1">IF(ISERROR(_xll.ciqfunctions.udf.CIQ($A17, "IQ_Capex", IQ_LTM, $L$2, $L$4, $L$3, $L$5, $L$6)), "n/a", _xll.ciqfunctions.udf.CIQ($A17, "IQ_Capex", IQ_LTM, $L$2, $L$4, $L$3, $L$5, $L$6))</f>
        <v>n/a</v>
      </c>
      <c r="AP17" s="107" t="e">
        <f ca="1">_xll.ciqfunctions.udf.CIQ(A17, "IQ_BUSINESS_DESCRIPTION")</f>
        <v>#NAME?</v>
      </c>
      <c r="AQ17" s="108" t="e">
        <f ca="1">_xll.ciqfunctions.udf.CIQ($A17, "IQ_BETA_1YR", $B$1)</f>
        <v>#NAME?</v>
      </c>
      <c r="AR17" s="108" t="e">
        <f ca="1">_xll.ciqfunctions.udf.CIQ($A17, "IQ_BETA_2YR", $B$1)</f>
        <v>#NAME?</v>
      </c>
      <c r="AS17" s="108" t="e">
        <f ca="1">_xll.ciqfunctions.udf.CIQ($A17, "IQ_BETA_5YR", $B$1)</f>
        <v>#NAME?</v>
      </c>
      <c r="AT17" s="106" t="e">
        <f ca="1">_xll.ciqfunctions.udf.CIQ($A17, "IQ_DIVIDEND_YIELD", $B$1)/100</f>
        <v>#NAME?</v>
      </c>
      <c r="AU17" s="105" t="e">
        <f ca="1">_xll.ciqfunctions.udf.CIQ($A17, "IQ_EARNING_CO", IQ_LTM-8, $L$2, $L$4, $L$3, $L$5, $L$6)</f>
        <v>#NAME?</v>
      </c>
      <c r="AV17" s="105" t="e">
        <f ca="1">_xll.ciqfunctions.udf.CIQ($A17, "IQ_EARNING_CO", IQ_LTM-4, $L$2, $L$4, $L$3, $L$5, $L$6)</f>
        <v>#NAME?</v>
      </c>
      <c r="AW17" s="105" t="e">
        <f ca="1">_xll.ciqfunctions.udf.CIQ($A17, "IQ_EARNING_CO", IQ_LTM, $L$2, $L$4, $L$3, $L$5, $L$6)</f>
        <v>#NAME?</v>
      </c>
      <c r="AX17" s="105" t="e">
        <f ca="1">_xll.ciqfunctions.udf.CIQ($A17, "IQ_EARNING_CO", $B$2, $L$2, $L$4, $L$3, $L$5, $L$6)</f>
        <v>#NAME?</v>
      </c>
      <c r="AY17" s="105" t="e">
        <f ca="1">IF(_xll.ciqfunctions.udf.CIQ($A17, "IQ_EARNING_CO", $B$3, $L$2,$L$4, $L$3, $L$5, $L$6)=0,AW17,_xll.ciqfunctions.udf.CIQ($A17, "IQ_EARNING_CO", $B$3, $L$2,$L$4, $L$3, $L$5, $L$6))</f>
        <v>#NAME?</v>
      </c>
      <c r="AZ17" s="105" t="e">
        <f ca="1">_xll.ciqfunctions.udf.CIQ($A17, "IQ_TOTAL_EQUITY", IQ_LTM-8, $L$2, $L$4, $L$3, $L$5, $L$6)</f>
        <v>#NAME?</v>
      </c>
      <c r="BA17" s="105" t="e">
        <f ca="1">_xll.ciqfunctions.udf.CIQ($A17, "IQ_TOTAL_EQUITY", IQ_LTM-4, $L$2, $L$4, $L$3, $L$5, $L$6)</f>
        <v>#NAME?</v>
      </c>
      <c r="BB17" s="105" t="e">
        <f ca="1">_xll.ciqfunctions.udf.CIQ($A17, "IQ_TOTAL_EQUITY", IQ_LTM, $L$2, $L$4, $L$3, $L$5, $L$6)</f>
        <v>#NAME?</v>
      </c>
      <c r="BC17" s="105" t="e">
        <f ca="1">_xll.ciqfunctions.udf.CIQ($A17, "IQ_TOTAL_EQUITY", $B$2, $L$2, $L$4, $L$3, $L$5, $L$6)</f>
        <v>#NAME?</v>
      </c>
      <c r="BD17" s="105" t="e">
        <f ca="1">IF(_xll.ciqfunctions.udf.CIQ($A17, "IQ_TOTAL_EQUITY", $B$3, $L$2,$L$4, $L$3, $L$5, $L$6)=0,BB17,_xll.ciqfunctions.udf.CIQ($A17, "IQ_TOTAL_EQUITY", $B$3, $L$2,$L$4, $L$3, $L$5, $L$6))</f>
        <v>#NAME?</v>
      </c>
      <c r="BE17" s="105" t="e">
        <f ca="1">_xll.ciqfunctions.udf.CIQ(A17, "IQ_LASTSALEPRICE", $B$8)</f>
        <v>#NAME?</v>
      </c>
      <c r="BF17" s="105" t="e">
        <f ca="1">_xll.ciqfunctions.udf.CIQ($A17, "IQ_MARKETCAP", $B$8, $L$5, $L$6)</f>
        <v>#NAME?</v>
      </c>
      <c r="BG17" s="105" t="e">
        <f ca="1">_xll.ciqfunctions.udf.CIQ($A17, "IQ_TOTAL_DEBT", IQ_LTM, $B$8,$L$4, $L$3, $L$5, $L$6)</f>
        <v>#NAME?</v>
      </c>
      <c r="BH17" s="74" t="e">
        <f ca="1">_xll.ciqfunctions.udf.CIQ($A17,"IQ_PREF_EQUITY",IQ_LTM,$B$8,$L$4,$L$3,$L$5,$L$6)</f>
        <v>#NAME?</v>
      </c>
      <c r="BI17" s="74" t="e">
        <f ca="1">_xll.ciqfunctions.udf.CIQ($A17, "IQ_MINORITY_INTEREST_TOTAL", IQ_LTM,$B$8,$L$4,$L$3,$L$5,$L$6)</f>
        <v>#NAME?</v>
      </c>
      <c r="BJ17" s="105" t="e">
        <f ca="1">_xll.ciqfunctions.udf.CIQ($A17, "IQ_CASH_ST_INVEST", IQ_LTM, $B$8, $L$4, $L$3, $L$5, $L$6)</f>
        <v>#NAME?</v>
      </c>
      <c r="BK17" s="74" t="e">
        <f ca="1">_xll.ciqfunctions.udf.CIQ($A17, "IQ_EFFECT_TAX_RATE")</f>
        <v>#NAME?</v>
      </c>
      <c r="BL17" s="74" t="e">
        <f ca="1">IF(_xll.ciqfunctions.udf.CIQ($A17, "IQ_TOTAL_REV_2YR_ANN_CAGR", IQ_LTM, $B$1,$L$4, $L$3, $L$5, $L$6)="NM","n/a",(_xll.ciqfunctions.udf.CIQ($A17, "IQ_TOTAL_REV_2YR_ANN_CAGR", IQ_LTM, $B$1,$L$4, $L$3, $L$5, $L$6)/100))</f>
        <v>#NAME?</v>
      </c>
      <c r="BM17" s="74" t="e">
        <f ca="1">IF(_xll.ciqfunctions.udf.CIQ($A17, "IQ_TOTAL_REV_3YR_ANN_CAGR", IQ_LTM, $B$1,$L$4, $L$3, $L$5, $L$6)="NM","n/a",(_xll.ciqfunctions.udf.CIQ($A17, "IQ_TOTAL_REV_3YR_ANN_CAGR", IQ_LTM, $B$1,$L$4, $L$3, $L$5, $L$6)/100))</f>
        <v>#NAME?</v>
      </c>
      <c r="BN17" s="74" t="e">
        <f ca="1">IF(_xll.ciqfunctions.udf.CIQ($A17, "IQ_TOTAL_REV_5YR_ANN_CAGR", IQ_LTM, $B$1,$L$4, $L$3, $L$5, $L$6)="NM","n/a",(_xll.ciqfunctions.udf.CIQ($A17, "IQ_TOTAL_REV_5YR_ANN_CAGR", IQ_LTM, $B$1,$L$4, $L$3, $L$5, $L$6)/100))</f>
        <v>#NAME?</v>
      </c>
      <c r="BO17" s="74" t="e">
        <f ca="1">IF(_xll.ciqfunctions.udf.CIQ($A17,"IQ_EBITDA_2YR_ANN_CAGR", IQ_LTM,$B$1,$L$4, $L$3, $L$5, $L$6)="NM","n/a",(_xll.ciqfunctions.udf.CIQ($A17,"IQ_EBITDA_2YR_ANN_CAGR", IQ_LTM,$B$1,$L$4, $L$3, $L$5, $L$6)/100))</f>
        <v>#NAME?</v>
      </c>
      <c r="BP17" s="74" t="e">
        <f ca="1">IF(_xll.ciqfunctions.udf.CIQ($A17,"IQ_EBITDA_3YR_ANN_CAGR", IQ_LTM,$B$1,$L$4, $L$3, $L$5, $L$6)="NM","n/a",(_xll.ciqfunctions.udf.CIQ($A17,"IQ_EBITDA_3YR_ANN_CAGR", IQ_LTM,$B$1,$L$4, $L$3, $L$5, $L$6)/100))</f>
        <v>#NAME?</v>
      </c>
      <c r="BQ17" s="74" t="e">
        <f ca="1">IF(_xll.ciqfunctions.udf.CIQ($A17,"IQ_EBITDA_5YR_ANN_CAGR", IQ_LTM,$B$1,$L$4, $L$3, $L$5, $L$6)="NM","n/a",(_xll.ciqfunctions.udf.CIQ($A17,"IQ_EBITDA_5YR_ANN_CAGR", IQ_LTM,$B$1,$L$4, $L$3, $L$5, $L$6)/100))</f>
        <v>#NAME?</v>
      </c>
      <c r="BR17" s="78" t="str">
        <f ca="1">IFERROR((_xll.ciqfunctions.udf.CIQ($A17, "IQ_DA_CF", IQ_LTM, $B$1, $L$4, $L$3, $L$5, $L$6)/Q17),"NM")</f>
        <v>NM</v>
      </c>
      <c r="BS17" s="109">
        <f>'Capital IQ Sheet-GPC'!BS17</f>
        <v>0.62500700103077034</v>
      </c>
      <c r="BT17" s="109">
        <f>'Capital IQ Sheet-GPC'!BT17</f>
        <v>0.6189501235098539</v>
      </c>
      <c r="BU17" s="109">
        <f>'Capital IQ Sheet-GPC'!BU17</f>
        <v>0.65354069738568776</v>
      </c>
      <c r="BV17" s="109">
        <f>'Capital IQ Sheet-GPC'!BV17</f>
        <v>0.77214933500830729</v>
      </c>
      <c r="BW17" s="109">
        <f>'Capital IQ Sheet-GPC'!BW17</f>
        <v>0.75967062904787386</v>
      </c>
      <c r="BX17" s="109">
        <f>'Capital IQ Sheet-GPC'!BX17</f>
        <v>0.7315267347243225</v>
      </c>
      <c r="BY17" s="109">
        <f>'Capital IQ Sheet-GPC'!BY17</f>
        <v>0.70943612296271397</v>
      </c>
      <c r="BZ17" s="109">
        <f>'Capital IQ Sheet-GPC'!BZ17</f>
        <v>1.0083075894994566</v>
      </c>
      <c r="CB17" s="74">
        <v>2</v>
      </c>
      <c r="CC17" s="149" t="s">
        <v>315</v>
      </c>
      <c r="CD17" s="149" t="s">
        <v>314</v>
      </c>
      <c r="CE17" s="76">
        <f t="shared" si="0"/>
        <v>42005</v>
      </c>
    </row>
    <row r="18" spans="1:83" s="74" customFormat="1" ht="12.75">
      <c r="A18" s="75" t="e">
        <f ca="1">_xll.ciqfunctions.udf.CIQ($B18,"IQ_COMPANY_TICKER")</f>
        <v>#NAME?</v>
      </c>
      <c r="B18" s="104" t="str">
        <f>'Capital IQ Sheet-GPC'!B18</f>
        <v>IQ345286</v>
      </c>
      <c r="C18" s="75" t="e">
        <f ca="1">_xll.ciqfunctions.udf.CIQ($A18,"IQ_COMPANY_NAME")</f>
        <v>#NAME?</v>
      </c>
      <c r="D18" s="75" t="e">
        <f ca="1">_xll.ciqfunctions.udf.CIQ($A18, "IQ_EXCHANGE")</f>
        <v>#NAME?</v>
      </c>
      <c r="E18" s="103" t="e">
        <f ca="1">_xll.ciqfunctions.udf.CIQ($A18, "IQ_PERIODDATE_IS", IQ_FY)</f>
        <v>#NAME?</v>
      </c>
      <c r="F18" s="103" t="e">
        <f ca="1">_xll.ciqfunctions.udf.CIQ(A18, "IQ_PERIODDATE_IS", IQ_LTM, $B$1,$L$4,$L$3)</f>
        <v>#NAME?</v>
      </c>
      <c r="G18" s="103" t="e">
        <f ca="1">_xll.ciqfunctions.udf.CIQ($A18, "IQ_FIRSTPRICINGDATE")</f>
        <v>#NAME?</v>
      </c>
      <c r="H18" s="105" t="e">
        <f ca="1">_xll.ciqfunctions.udf.CIQ($A18, "IQ_TEV", $L$2, $L$5, $L$6)</f>
        <v>#NAME?</v>
      </c>
      <c r="I18" s="105" t="e">
        <f ca="1">_xll.ciqfunctions.udf.CIQ(A18, "IQ_LASTSALEPRICE", $B$1,$L$5)</f>
        <v>#NAME?</v>
      </c>
      <c r="J18" s="105" t="e">
        <f ca="1">_xll.ciqfunctions.udf.CIQ($A18, "IQ_MARKETCAP", $L$2, $L$5, $L$6)</f>
        <v>#NAME?</v>
      </c>
      <c r="K18" s="105" t="e">
        <f ca="1">_xll.ciqfunctions.udf.CIQ($A18, "IQ_TOTAL_DEBT", IQ_LTM, $L$2,$L$4, $L$3, $L$5, $L$6)</f>
        <v>#NAME?</v>
      </c>
      <c r="L18" s="105" t="e">
        <f ca="1">_xll.ciqfunctions.udf.CIQ($A18, "IQ_PREF_EQUITY", IQ_LTM, $L$2, $L$4, $L$3, $L$5, $L$6)</f>
        <v>#NAME?</v>
      </c>
      <c r="M18" s="105" t="e">
        <f ca="1">_xll.ciqfunctions.udf.CIQ($A18, "IQ_MINORITY_INTEREST_TOTAL", IQ_LTM, $L$2, $L$4, $L$3, $L$5, $L$6)</f>
        <v>#NAME?</v>
      </c>
      <c r="N18" s="105" t="e">
        <f ca="1">_xll.ciqfunctions.udf.CIQ($A18, "IQ_CASH_ST_INVEST", IQ_LTM, $L$2, $L$4, $L$3, $L$5, $L$6)</f>
        <v>#NAME?</v>
      </c>
      <c r="O18" s="105" t="e">
        <f ca="1">_xll.ciqfunctions.udf.CIQ($A18, "IQ_TOTAL_REV", IQ_LTM-8, $L$2, $L$4, $L$3, $L$5, $L$6)</f>
        <v>#NAME?</v>
      </c>
      <c r="P18" s="105" t="e">
        <f ca="1">_xll.ciqfunctions.udf.CIQ($A18, "IQ_TOTAL_REV", IQ_LTM - 4, $L$2, $L$4, $L$3, $L$5,$L$6)</f>
        <v>#NAME?</v>
      </c>
      <c r="Q18" s="105" t="e">
        <f ca="1">_xll.ciqfunctions.udf.CIQ($A18, "IQ_TOTAL_REV", IQ_LTM, $L$2, $L$4, $L$3, $L$5, $L$6)</f>
        <v>#NAME?</v>
      </c>
      <c r="R18" s="105" t="e">
        <f ca="1">_xll.ciqfunctions.udf.CIQ($A18, "IQ_TOTAL_REV", $B$2, $L$2, $L$4, $L$3, $L$5, $L$6)</f>
        <v>#NAME?</v>
      </c>
      <c r="S18" s="105" t="e">
        <f ca="1">IF(_xll.ciqfunctions.udf.CIQ($A18, "IQ_TOTAL_REV", $B$3, $L$2,$L$4, $L$3, $L$5, $L$6)=0,Q18,_xll.ciqfunctions.udf.CIQ($A18, "IQ_TOTAL_REV", $B$3, $L$2,$L$4, $L$3, $L$5, $L$6))</f>
        <v>#NAME?</v>
      </c>
      <c r="T18" s="105" t="e">
        <f ca="1">IF(_xll.ciqfunctions.udf.CIQ($A18, "IQ_REVENUE_EST",$B$4, $L$2, "CON", $L$3, $L$5, $L$6)=0,"n/a",_xll.ciqfunctions.udf.CIQ($A18, "IQ_REVENUE_EST",$B$4, $L$2, "CON", $L$3, $L$5, $L$6))</f>
        <v>#NAME?</v>
      </c>
      <c r="U18" s="105" t="e">
        <f ca="1">IF(_xll.ciqfunctions.udf.CIQ($A18, "IQ_REVENUE_EST",$B$5, $L$2, "CON", $L$3, $L$5, $L$6)=0,"n/a",_xll.ciqfunctions.udf.CIQ($A18, "IQ_REVENUE_EST",$B$5, $L$2, "CON", $L$3, $L$5, $L$6))</f>
        <v>#NAME?</v>
      </c>
      <c r="V18" s="105" t="e">
        <f ca="1">IF(_xll.ciqfunctions.udf.CIQ($A18, "IQ_REVENUE_EST",$B$6, $L$2, "CON", $L$3, $L$5, $L$6)=0,"n/a",_xll.ciqfunctions.udf.CIQ($A18, "IQ_REVENUE_EST",$B$6, $L$2, "CON", $L$3, $L$5, $L$6))</f>
        <v>#NAME?</v>
      </c>
      <c r="W18" s="105" t="e">
        <f ca="1">IF(_xll.ciqfunctions.udf.CIQ($A18, "IQ_REVENUE_EST", $B$7, $L$2, "CON", $L$3, $L$5, $L$6)=0,"n/a",_xll.ciqfunctions.udf.CIQ($A18, "IQ_REVENUE_EST",$B$7, $L$2, "CON", $L$3, $L$5, $L$6))</f>
        <v>#NAME?</v>
      </c>
      <c r="X18" s="105" t="e">
        <f ca="1">_xll.ciqfunctions.udf.CIQ($A18, "IQ_EBITDA", IQ_LTM-8, $L$2, $L$4, $L$3, $L$5, $L$6)</f>
        <v>#NAME?</v>
      </c>
      <c r="Y18" s="105" t="e">
        <f ca="1">_xll.ciqfunctions.udf.CIQ($A18, "IQ_EBITDA", IQ_LTM-4, $L$2,$L$4, $L$3, $L$5, $L$6)</f>
        <v>#NAME?</v>
      </c>
      <c r="Z18" s="105" t="e">
        <f ca="1">_xll.ciqfunctions.udf.CIQ($A18, "IQ_EBITDA", IQ_LTM, $L$2, $L$4, $L$3, $L$5, $L$6)</f>
        <v>#NAME?</v>
      </c>
      <c r="AA18" s="105" t="e">
        <f ca="1">_xll.ciqfunctions.udf.CIQ($A18, "IQ_EBITDA", $B$2, $L$2, $L$4, $L$3, $L$5, $L$6)</f>
        <v>#NAME?</v>
      </c>
      <c r="AB18" s="105" t="e">
        <f ca="1">IF(_xll.ciqfunctions.udf.CIQ($A18, "IQ_EBITDA", $B$3, $L$2,$L$4, $L$3, $L$5, $L$6)=0,Z18,_xll.ciqfunctions.udf.CIQ($A18, "IQ_EBITDA", $B$3, $L$2,$L$4, $L$3, $L$5, $L$6))</f>
        <v>#NAME?</v>
      </c>
      <c r="AC18" s="105" t="e">
        <f ca="1">IF(_xll.ciqfunctions.udf.CIQ($A18, "IQ_EBITDA_EST",$B$4, $L$2, "CON", $L$3, $L$5, $L$6)=0,"n/a",_xll.ciqfunctions.udf.CIQ($A18, "IQ_EBITDA_EST",$B$4, $L$2, "CON", $L$3, $L$5, $L$6))</f>
        <v>#NAME?</v>
      </c>
      <c r="AD18" s="105" t="e">
        <f ca="1">IF(_xll.ciqfunctions.udf.CIQ($A18, "IQ_EBITDA_EST",$B$5, $L$2, "CON", $L$3, $L$5, $L$6)=0,"n/a",_xll.ciqfunctions.udf.CIQ($A18, "IQ_EBITDA_EST",$B$5, $L$2, "CON", $L$3, $L$5, $L$6))</f>
        <v>#NAME?</v>
      </c>
      <c r="AE18" s="105" t="e">
        <f ca="1">IF(_xll.ciqfunctions.udf.CIQ($A18, "IQ_EBITDA_EST",$B$6, $L$2, "CON", $L$3, $L$5, $L$6)=0,"n/a",_xll.ciqfunctions.udf.CIQ($A18, "IQ_EBITDA_EST",$B$6, $L$2, "CON", $L$3, $L$5, $L$6))</f>
        <v>#NAME?</v>
      </c>
      <c r="AF18" s="106" t="str">
        <f ca="1">IF(ISERROR(_xll.ciqfunctions.udf.CIQ($A18, "IQ_GROSS_MARGIN", IQ_LTM, $L$2,$L$4, $L$3, $L$5, $L$6)/100), "n/a", _xll.ciqfunctions.udf.CIQ($A18,  "IQ_GROSS_MARGIN", IQ_LTM, $L$2, $L$4, $L$3, $L$5, $L$6)/100)</f>
        <v>n/a</v>
      </c>
      <c r="AG18" s="106" t="str">
        <f ca="1">IF(ISERROR(_xll.ciqfunctions.udf.CIQ($A18,"IQ_EBITDA_MARGIN", IQ_LTM, $L$2, $L$4, $L$3, $L$5, $L$6)/100), "n/a", _xll.ciqfunctions.udf.CIQ($A18, "IQ_EBITDA_MARGIN", IQ_LTM, $L$2, $L$4, $L$3, $L$5, $L$6)/100)</f>
        <v>n/a</v>
      </c>
      <c r="AH18" s="106" t="str">
        <f ca="1">IF(ISERROR(_xll.ciqfunctions.udf.CIQ($A18,"IQ_EBIT_MARGIN", IQ_LTM, $L$2, $L$4, $L$3, $L$5, $L$6)/100), "n/a", _xll.ciqfunctions.udf.CIQ($A18, "IQ_EBIT_MARGIN", IQ_LTM, $L$2, $L$4, $L$3, $L$5, $L$6)/100)</f>
        <v>n/a</v>
      </c>
      <c r="AI18" s="106" t="str">
        <f ca="1">IF(ISERROR(_xll.ciqfunctions.udf.CIQ($A18,"IQ_NI_MARGIN", IQ_LTM, $L$2, $L$4, $L$3, $L$5, $L$6)/100), "n/a", _xll.ciqfunctions.udf.CIQ($A18, "IQ_NI_MARGIN", IQ_LTM, $L$2, $L$4, $L$3, $L$5, $L$6)/100)</f>
        <v>n/a</v>
      </c>
      <c r="AJ18" s="105" t="str">
        <f ca="1">IF(ISERROR(_xll.ciqfunctions.udf.CIQ($A18, "IQ_NET_WORKING_CAP", IQ_LTM-8, $L$2, $L$4, $L$3, $L$5, $L$6)), "n/a", _xll.ciqfunctions.udf.CIQ($A18, "IQ_NET_WORKING_CAP", IQ_LTM-8, $L$2, $L$4, $L$3, $L$5, $L$6))</f>
        <v>n/a</v>
      </c>
      <c r="AK18" s="105" t="str">
        <f ca="1">IF(ISERROR(_xll.ciqfunctions.udf.CIQ($A18, "IQ_NET_WORKING_CAP", IQ_LTM-4, $L$2, $L$4, $L$3, $L$5, $L$6)), "n/a", _xll.ciqfunctions.udf.CIQ($A18, "IQ_NET_WORKING_CAP", IQ_LTM-4, $L$2, $L$4, $L$3, $L$5, $L$6))</f>
        <v>n/a</v>
      </c>
      <c r="AL18" s="105" t="str">
        <f ca="1">IF(ISERROR(_xll.ciqfunctions.udf.CIQ($A18, "IQ_NET_WORKING_CAP", IQ_LTM, $L$2,$L$4, $L$3, $L$5, $L$6)), "n/a", _xll.ciqfunctions.udf.CIQ($A18, "IQ_NET_WORKING_CAP", IQ_LTM, $L$2, $L$4, $L$3, $L$5, $L$6))</f>
        <v>n/a</v>
      </c>
      <c r="AM18" s="105" t="str">
        <f ca="1">IF(ISERROR(_xll.ciqfunctions.udf.CIQ($A18, "IQ_Capex", IQ_LTM-8, $L$2,$L$4, $L$3, $L$5, $L$6)), "n/a", _xll.ciqfunctions.udf.CIQ($A18, "IQ_Capex", IQ_LTM-8, $L$2, $L$4, $L$3, $L$5, $L$6))</f>
        <v>n/a</v>
      </c>
      <c r="AN18" s="105" t="str">
        <f ca="1">IF(ISERROR(_xll.ciqfunctions.udf.CIQ($A18, "IQ_Capex", IQ_LTM-4, $L$2,$L$4, $L$3, $L$5, $L$6)), "n/a", _xll.ciqfunctions.udf.CIQ($A18, "IQ_Capex", IQ_LTM-4, $L$2,$L$4, $L$3, $L$5, $L$6))</f>
        <v>n/a</v>
      </c>
      <c r="AO18" s="105" t="str">
        <f ca="1">IF(ISERROR(_xll.ciqfunctions.udf.CIQ($A18, "IQ_Capex", IQ_LTM, $L$2, $L$4, $L$3, $L$5, $L$6)), "n/a", _xll.ciqfunctions.udf.CIQ($A18, "IQ_Capex", IQ_LTM, $L$2, $L$4, $L$3, $L$5, $L$6))</f>
        <v>n/a</v>
      </c>
      <c r="AP18" s="107" t="e">
        <f ca="1">_xll.ciqfunctions.udf.CIQ(A18, "IQ_BUSINESS_DESCRIPTION")</f>
        <v>#NAME?</v>
      </c>
      <c r="AQ18" s="108" t="e">
        <f ca="1">_xll.ciqfunctions.udf.CIQ($A18, "IQ_BETA_1YR", $B$1)</f>
        <v>#NAME?</v>
      </c>
      <c r="AR18" s="108" t="e">
        <f ca="1">_xll.ciqfunctions.udf.CIQ($A18, "IQ_BETA_2YR", $B$1)</f>
        <v>#NAME?</v>
      </c>
      <c r="AS18" s="108" t="e">
        <f ca="1">_xll.ciqfunctions.udf.CIQ($A18, "IQ_BETA_5YR", $B$1)</f>
        <v>#NAME?</v>
      </c>
      <c r="AT18" s="106" t="e">
        <f ca="1">_xll.ciqfunctions.udf.CIQ($A18, "IQ_DIVIDEND_YIELD", $B$1)/100</f>
        <v>#NAME?</v>
      </c>
      <c r="AU18" s="105" t="e">
        <f ca="1">_xll.ciqfunctions.udf.CIQ($A18, "IQ_EARNING_CO", IQ_LTM-8, $L$2, $L$4, $L$3, $L$5, $L$6)</f>
        <v>#NAME?</v>
      </c>
      <c r="AV18" s="105" t="e">
        <f ca="1">_xll.ciqfunctions.udf.CIQ($A18, "IQ_EARNING_CO", IQ_LTM-4, $L$2, $L$4, $L$3, $L$5, $L$6)</f>
        <v>#NAME?</v>
      </c>
      <c r="AW18" s="105" t="e">
        <f ca="1">_xll.ciqfunctions.udf.CIQ($A18, "IQ_EARNING_CO", IQ_LTM, $L$2, $L$4, $L$3, $L$5, $L$6)</f>
        <v>#NAME?</v>
      </c>
      <c r="AX18" s="105" t="e">
        <f ca="1">_xll.ciqfunctions.udf.CIQ($A18, "IQ_EARNING_CO", $B$2, $L$2, $L$4, $L$3, $L$5, $L$6)</f>
        <v>#NAME?</v>
      </c>
      <c r="AY18" s="105" t="e">
        <f ca="1">IF(_xll.ciqfunctions.udf.CIQ($A18, "IQ_EARNING_CO", $B$3, $L$2,$L$4, $L$3, $L$5, $L$6)=0,AW18,_xll.ciqfunctions.udf.CIQ($A18, "IQ_EARNING_CO", $B$3, $L$2,$L$4, $L$3, $L$5, $L$6))</f>
        <v>#NAME?</v>
      </c>
      <c r="AZ18" s="105" t="e">
        <f ca="1">_xll.ciqfunctions.udf.CIQ($A18, "IQ_TOTAL_EQUITY", IQ_LTM-8, $L$2, $L$4, $L$3, $L$5, $L$6)</f>
        <v>#NAME?</v>
      </c>
      <c r="BA18" s="105" t="e">
        <f ca="1">_xll.ciqfunctions.udf.CIQ($A18, "IQ_TOTAL_EQUITY", IQ_LTM-4, $L$2, $L$4, $L$3, $L$5, $L$6)</f>
        <v>#NAME?</v>
      </c>
      <c r="BB18" s="105" t="e">
        <f ca="1">_xll.ciqfunctions.udf.CIQ($A18, "IQ_TOTAL_EQUITY", IQ_LTM, $L$2, $L$4, $L$3, $L$5, $L$6)</f>
        <v>#NAME?</v>
      </c>
      <c r="BC18" s="105" t="e">
        <f ca="1">_xll.ciqfunctions.udf.CIQ($A18, "IQ_TOTAL_EQUITY", $B$2, $L$2, $L$4, $L$3, $L$5, $L$6)</f>
        <v>#NAME?</v>
      </c>
      <c r="BD18" s="105" t="e">
        <f ca="1">IF(_xll.ciqfunctions.udf.CIQ($A18, "IQ_TOTAL_EQUITY", $B$3, $L$2,$L$4, $L$3, $L$5, $L$6)=0,BB18,_xll.ciqfunctions.udf.CIQ($A18, "IQ_TOTAL_EQUITY", $B$3, $L$2,$L$4, $L$3, $L$5, $L$6))</f>
        <v>#NAME?</v>
      </c>
      <c r="BE18" s="105" t="e">
        <f ca="1">_xll.ciqfunctions.udf.CIQ(A18, "IQ_LASTSALEPRICE", $B$8)</f>
        <v>#NAME?</v>
      </c>
      <c r="BF18" s="105" t="e">
        <f ca="1">_xll.ciqfunctions.udf.CIQ($A18, "IQ_MARKETCAP", $B$8, $L$5, $L$6)</f>
        <v>#NAME?</v>
      </c>
      <c r="BG18" s="105" t="e">
        <f ca="1">_xll.ciqfunctions.udf.CIQ($A18, "IQ_TOTAL_DEBT", IQ_LTM, $B$8,$L$4, $L$3, $L$5, $L$6)</f>
        <v>#NAME?</v>
      </c>
      <c r="BH18" s="74" t="e">
        <f ca="1">_xll.ciqfunctions.udf.CIQ($A18,"IQ_PREF_EQUITY",IQ_LTM,$B$8,$L$4,$L$3,$L$5,$L$6)</f>
        <v>#NAME?</v>
      </c>
      <c r="BI18" s="74" t="e">
        <f ca="1">_xll.ciqfunctions.udf.CIQ($A18, "IQ_MINORITY_INTEREST_TOTAL", IQ_LTM,$B$8,$L$4,$L$3,$L$5,$L$6)</f>
        <v>#NAME?</v>
      </c>
      <c r="BJ18" s="105" t="e">
        <f ca="1">_xll.ciqfunctions.udf.CIQ($A18, "IQ_CASH_ST_INVEST", IQ_LTM, $B$8, $L$4, $L$3, $L$5, $L$6)</f>
        <v>#NAME?</v>
      </c>
      <c r="BK18" s="74" t="e">
        <f ca="1">_xll.ciqfunctions.udf.CIQ($A18, "IQ_EFFECT_TAX_RATE")</f>
        <v>#NAME?</v>
      </c>
      <c r="BL18" s="74" t="e">
        <f ca="1">IF(_xll.ciqfunctions.udf.CIQ($A18, "IQ_TOTAL_REV_2YR_ANN_CAGR", IQ_LTM, $B$1,$L$4, $L$3, $L$5, $L$6)="NM","n/a",(_xll.ciqfunctions.udf.CIQ($A18, "IQ_TOTAL_REV_2YR_ANN_CAGR", IQ_LTM, $B$1,$L$4, $L$3, $L$5, $L$6)/100))</f>
        <v>#NAME?</v>
      </c>
      <c r="BM18" s="74" t="e">
        <f ca="1">IF(_xll.ciqfunctions.udf.CIQ($A18, "IQ_TOTAL_REV_3YR_ANN_CAGR", IQ_LTM, $B$1,$L$4, $L$3, $L$5, $L$6)="NM","n/a",(_xll.ciqfunctions.udf.CIQ($A18, "IQ_TOTAL_REV_3YR_ANN_CAGR", IQ_LTM, $B$1,$L$4, $L$3, $L$5, $L$6)/100))</f>
        <v>#NAME?</v>
      </c>
      <c r="BN18" s="74" t="e">
        <f ca="1">IF(_xll.ciqfunctions.udf.CIQ($A18, "IQ_TOTAL_REV_5YR_ANN_CAGR", IQ_LTM, $B$1,$L$4, $L$3, $L$5, $L$6)="NM","n/a",(_xll.ciqfunctions.udf.CIQ($A18, "IQ_TOTAL_REV_5YR_ANN_CAGR", IQ_LTM, $B$1,$L$4, $L$3, $L$5, $L$6)/100))</f>
        <v>#NAME?</v>
      </c>
      <c r="BO18" s="74" t="e">
        <f ca="1">IF(_xll.ciqfunctions.udf.CIQ($A18,"IQ_EBITDA_2YR_ANN_CAGR", IQ_LTM,$B$1,$L$4, $L$3, $L$5, $L$6)="NM","n/a",(_xll.ciqfunctions.udf.CIQ($A18,"IQ_EBITDA_2YR_ANN_CAGR", IQ_LTM,$B$1,$L$4, $L$3, $L$5, $L$6)/100))</f>
        <v>#NAME?</v>
      </c>
      <c r="BP18" s="74" t="e">
        <f ca="1">IF(_xll.ciqfunctions.udf.CIQ($A18,"IQ_EBITDA_3YR_ANN_CAGR", IQ_LTM,$B$1,$L$4, $L$3, $L$5, $L$6)="NM","n/a",(_xll.ciqfunctions.udf.CIQ($A18,"IQ_EBITDA_3YR_ANN_CAGR", IQ_LTM,$B$1,$L$4, $L$3, $L$5, $L$6)/100))</f>
        <v>#NAME?</v>
      </c>
      <c r="BQ18" s="74" t="e">
        <f ca="1">IF(_xll.ciqfunctions.udf.CIQ($A18,"IQ_EBITDA_5YR_ANN_CAGR", IQ_LTM,$B$1,$L$4, $L$3, $L$5, $L$6)="NM","n/a",(_xll.ciqfunctions.udf.CIQ($A18,"IQ_EBITDA_5YR_ANN_CAGR", IQ_LTM,$B$1,$L$4, $L$3, $L$5, $L$6)/100))</f>
        <v>#NAME?</v>
      </c>
      <c r="BR18" s="78" t="str">
        <f ca="1">IFERROR((_xll.ciqfunctions.udf.CIQ($A18, "IQ_DA_CF", IQ_LTM, $B$1, $L$4, $L$3, $L$5, $L$6)/Q18),"NM")</f>
        <v>NM</v>
      </c>
      <c r="BS18" s="109">
        <f>'Capital IQ Sheet-GPC'!BS18</f>
        <v>0.50325979341735505</v>
      </c>
      <c r="BT18" s="109">
        <f>'Capital IQ Sheet-GPC'!BT18</f>
        <v>0.62241218308329371</v>
      </c>
      <c r="BU18" s="109">
        <f>'Capital IQ Sheet-GPC'!BU18</f>
        <v>0.61508994844412945</v>
      </c>
      <c r="BV18" s="109">
        <f>'Capital IQ Sheet-GPC'!BV18</f>
        <v>0.59320343181979973</v>
      </c>
      <c r="BW18" s="109" t="str">
        <f>'Capital IQ Sheet-GPC'!BW18</f>
        <v>n/a</v>
      </c>
      <c r="BX18" s="109" t="str">
        <f>'Capital IQ Sheet-GPC'!BX18</f>
        <v>n/a</v>
      </c>
      <c r="BY18" s="109" t="str">
        <f>'Capital IQ Sheet-GPC'!BY18</f>
        <v>n/a</v>
      </c>
      <c r="BZ18" s="109" t="str">
        <f>'Capital IQ Sheet-GPC'!BZ18</f>
        <v>n/a</v>
      </c>
      <c r="CB18" s="74">
        <v>2</v>
      </c>
      <c r="CC18" s="149" t="s">
        <v>315</v>
      </c>
      <c r="CD18" s="149" t="s">
        <v>314</v>
      </c>
      <c r="CE18" s="76">
        <f t="shared" si="0"/>
        <v>42005</v>
      </c>
    </row>
    <row r="19" spans="1:83" s="74" customFormat="1" ht="12.75">
      <c r="A19" s="75" t="e">
        <f ca="1">_xll.ciqfunctions.udf.CIQ($B19,"IQ_COMPANY_TICKER")</f>
        <v>#NAME?</v>
      </c>
      <c r="B19" s="104" t="str">
        <f>'Capital IQ Sheet-GPC'!B19</f>
        <v>IQ252050056</v>
      </c>
      <c r="C19" s="75" t="e">
        <f ca="1">_xll.ciqfunctions.udf.CIQ($A19,"IQ_COMPANY_NAME")</f>
        <v>#NAME?</v>
      </c>
      <c r="D19" s="75" t="e">
        <f ca="1">_xll.ciqfunctions.udf.CIQ($A19, "IQ_EXCHANGE")</f>
        <v>#NAME?</v>
      </c>
      <c r="E19" s="103" t="e">
        <f ca="1">_xll.ciqfunctions.udf.CIQ($A19, "IQ_PERIODDATE_IS", IQ_FY)</f>
        <v>#NAME?</v>
      </c>
      <c r="F19" s="103" t="e">
        <f ca="1">_xll.ciqfunctions.udf.CIQ(A19, "IQ_PERIODDATE_IS", IQ_LTM, $B$1,$L$4,$L$3)</f>
        <v>#NAME?</v>
      </c>
      <c r="G19" s="103" t="e">
        <f ca="1">_xll.ciqfunctions.udf.CIQ($A19, "IQ_FIRSTPRICINGDATE")</f>
        <v>#NAME?</v>
      </c>
      <c r="H19" s="105" t="e">
        <f ca="1">_xll.ciqfunctions.udf.CIQ($A19, "IQ_TEV", $L$2, $L$5, $L$6)</f>
        <v>#NAME?</v>
      </c>
      <c r="I19" s="105" t="e">
        <f ca="1">_xll.ciqfunctions.udf.CIQ(A19, "IQ_LASTSALEPRICE", $B$1,$L$5)</f>
        <v>#NAME?</v>
      </c>
      <c r="J19" s="105" t="e">
        <f ca="1">_xll.ciqfunctions.udf.CIQ($A19, "IQ_MARKETCAP", $L$2, $L$5, $L$6)</f>
        <v>#NAME?</v>
      </c>
      <c r="K19" s="105" t="e">
        <f ca="1">_xll.ciqfunctions.udf.CIQ($A19, "IQ_TOTAL_DEBT", IQ_LTM, $L$2,$L$4, $L$3, $L$5, $L$6)</f>
        <v>#NAME?</v>
      </c>
      <c r="L19" s="105" t="e">
        <f ca="1">_xll.ciqfunctions.udf.CIQ($A19, "IQ_PREF_EQUITY", IQ_LTM, $L$2, $L$4, $L$3, $L$5, $L$6)</f>
        <v>#NAME?</v>
      </c>
      <c r="M19" s="105" t="e">
        <f ca="1">_xll.ciqfunctions.udf.CIQ($A19, "IQ_MINORITY_INTEREST_TOTAL", IQ_LTM, $L$2, $L$4, $L$3, $L$5, $L$6)</f>
        <v>#NAME?</v>
      </c>
      <c r="N19" s="105" t="e">
        <f ca="1">_xll.ciqfunctions.udf.CIQ($A19, "IQ_CASH_ST_INVEST", IQ_LTM, $L$2, $L$4, $L$3, $L$5, $L$6)</f>
        <v>#NAME?</v>
      </c>
      <c r="O19" s="105" t="e">
        <f ca="1">_xll.ciqfunctions.udf.CIQ($A19, "IQ_TOTAL_REV", IQ_LTM-8, $L$2, $L$4, $L$3, $L$5, $L$6)</f>
        <v>#NAME?</v>
      </c>
      <c r="P19" s="105" t="e">
        <f ca="1">_xll.ciqfunctions.udf.CIQ($A19, "IQ_TOTAL_REV", IQ_LTM - 4, $L$2, $L$4, $L$3, $L$5,$L$6)</f>
        <v>#NAME?</v>
      </c>
      <c r="Q19" s="105" t="e">
        <f ca="1">_xll.ciqfunctions.udf.CIQ($A19, "IQ_TOTAL_REV", IQ_LTM, $L$2, $L$4, $L$3, $L$5, $L$6)</f>
        <v>#NAME?</v>
      </c>
      <c r="R19" s="105" t="e">
        <f ca="1">_xll.ciqfunctions.udf.CIQ($A19, "IQ_TOTAL_REV", $B$2, $L$2, $L$4, $L$3, $L$5, $L$6)</f>
        <v>#NAME?</v>
      </c>
      <c r="S19" s="105" t="e">
        <f ca="1">IF(_xll.ciqfunctions.udf.CIQ($A19, "IQ_TOTAL_REV", $B$3, $L$2,$L$4, $L$3, $L$5, $L$6)=0,Q19,_xll.ciqfunctions.udf.CIQ($A19, "IQ_TOTAL_REV", $B$3, $L$2,$L$4, $L$3, $L$5, $L$6))</f>
        <v>#NAME?</v>
      </c>
      <c r="T19" s="105" t="e">
        <f ca="1">IF(_xll.ciqfunctions.udf.CIQ($A19, "IQ_REVENUE_EST",$B$4, $L$2, "CON", $L$3, $L$5, $L$6)=0,"n/a",_xll.ciqfunctions.udf.CIQ($A19, "IQ_REVENUE_EST",$B$4, $L$2, "CON", $L$3, $L$5, $L$6))</f>
        <v>#NAME?</v>
      </c>
      <c r="U19" s="105" t="e">
        <f ca="1">IF(_xll.ciqfunctions.udf.CIQ($A19, "IQ_REVENUE_EST",$B$5, $L$2, "CON", $L$3, $L$5, $L$6)=0,"n/a",_xll.ciqfunctions.udf.CIQ($A19, "IQ_REVENUE_EST",$B$5, $L$2, "CON", $L$3, $L$5, $L$6))</f>
        <v>#NAME?</v>
      </c>
      <c r="V19" s="105" t="e">
        <f ca="1">IF(_xll.ciqfunctions.udf.CIQ($A19, "IQ_REVENUE_EST",$B$6, $L$2, "CON", $L$3, $L$5, $L$6)=0,"n/a",_xll.ciqfunctions.udf.CIQ($A19, "IQ_REVENUE_EST",$B$6, $L$2, "CON", $L$3, $L$5, $L$6))</f>
        <v>#NAME?</v>
      </c>
      <c r="W19" s="105" t="e">
        <f ca="1">IF(_xll.ciqfunctions.udf.CIQ($A19, "IQ_REVENUE_EST", $B$7, $L$2, "CON", $L$3, $L$5, $L$6)=0,"n/a",_xll.ciqfunctions.udf.CIQ($A19, "IQ_REVENUE_EST",$B$7, $L$2, "CON", $L$3, $L$5, $L$6))</f>
        <v>#NAME?</v>
      </c>
      <c r="X19" s="105" t="e">
        <f ca="1">_xll.ciqfunctions.udf.CIQ($A19, "IQ_EBITDA", IQ_LTM-8, $L$2, $L$4, $L$3, $L$5, $L$6)</f>
        <v>#NAME?</v>
      </c>
      <c r="Y19" s="105" t="e">
        <f ca="1">_xll.ciqfunctions.udf.CIQ($A19, "IQ_EBITDA", IQ_LTM-4, $L$2,$L$4, $L$3, $L$5, $L$6)</f>
        <v>#NAME?</v>
      </c>
      <c r="Z19" s="105" t="e">
        <f ca="1">_xll.ciqfunctions.udf.CIQ($A19, "IQ_EBITDA", IQ_LTM, $L$2, $L$4, $L$3, $L$5, $L$6)</f>
        <v>#NAME?</v>
      </c>
      <c r="AA19" s="105" t="e">
        <f ca="1">_xll.ciqfunctions.udf.CIQ($A19, "IQ_EBITDA", $B$2, $L$2, $L$4, $L$3, $L$5, $L$6)</f>
        <v>#NAME?</v>
      </c>
      <c r="AB19" s="105" t="e">
        <f ca="1">IF(_xll.ciqfunctions.udf.CIQ($A19, "IQ_EBITDA", $B$3, $L$2,$L$4, $L$3, $L$5, $L$6)=0,Z19,_xll.ciqfunctions.udf.CIQ($A19, "IQ_EBITDA", $B$3, $L$2,$L$4, $L$3, $L$5, $L$6))</f>
        <v>#NAME?</v>
      </c>
      <c r="AC19" s="105" t="e">
        <f ca="1">IF(_xll.ciqfunctions.udf.CIQ($A19, "IQ_EBITDA_EST",$B$4, $L$2, "CON", $L$3, $L$5, $L$6)=0,"n/a",_xll.ciqfunctions.udf.CIQ($A19, "IQ_EBITDA_EST",$B$4, $L$2, "CON", $L$3, $L$5, $L$6))</f>
        <v>#NAME?</v>
      </c>
      <c r="AD19" s="105" t="e">
        <f ca="1">IF(_xll.ciqfunctions.udf.CIQ($A19, "IQ_EBITDA_EST",$B$5, $L$2, "CON", $L$3, $L$5, $L$6)=0,"n/a",_xll.ciqfunctions.udf.CIQ($A19, "IQ_EBITDA_EST",$B$5, $L$2, "CON", $L$3, $L$5, $L$6))</f>
        <v>#NAME?</v>
      </c>
      <c r="AE19" s="105" t="e">
        <f ca="1">IF(_xll.ciqfunctions.udf.CIQ($A19, "IQ_EBITDA_EST",$B$6, $L$2, "CON", $L$3, $L$5, $L$6)=0,"n/a",_xll.ciqfunctions.udf.CIQ($A19, "IQ_EBITDA_EST",$B$6, $L$2, "CON", $L$3, $L$5, $L$6))</f>
        <v>#NAME?</v>
      </c>
      <c r="AF19" s="106" t="str">
        <f ca="1">IF(ISERROR(_xll.ciqfunctions.udf.CIQ($A19, "IQ_GROSS_MARGIN", IQ_LTM, $L$2,$L$4, $L$3, $L$5, $L$6)/100), "n/a", _xll.ciqfunctions.udf.CIQ($A19,  "IQ_GROSS_MARGIN", IQ_LTM, $L$2, $L$4, $L$3, $L$5, $L$6)/100)</f>
        <v>n/a</v>
      </c>
      <c r="AG19" s="106" t="str">
        <f ca="1">IF(ISERROR(_xll.ciqfunctions.udf.CIQ($A19,"IQ_EBITDA_MARGIN", IQ_LTM, $L$2, $L$4, $L$3, $L$5, $L$6)/100), "n/a", _xll.ciqfunctions.udf.CIQ($A19, "IQ_EBITDA_MARGIN", IQ_LTM, $L$2, $L$4, $L$3, $L$5, $L$6)/100)</f>
        <v>n/a</v>
      </c>
      <c r="AH19" s="106" t="str">
        <f ca="1">IF(ISERROR(_xll.ciqfunctions.udf.CIQ($A19,"IQ_EBIT_MARGIN", IQ_LTM, $L$2, $L$4, $L$3, $L$5, $L$6)/100), "n/a", _xll.ciqfunctions.udf.CIQ($A19, "IQ_EBIT_MARGIN", IQ_LTM, $L$2, $L$4, $L$3, $L$5, $L$6)/100)</f>
        <v>n/a</v>
      </c>
      <c r="AI19" s="106" t="str">
        <f ca="1">IF(ISERROR(_xll.ciqfunctions.udf.CIQ($A19,"IQ_NI_MARGIN", IQ_LTM, $L$2, $L$4, $L$3, $L$5, $L$6)/100), "n/a", _xll.ciqfunctions.udf.CIQ($A19, "IQ_NI_MARGIN", IQ_LTM, $L$2, $L$4, $L$3, $L$5, $L$6)/100)</f>
        <v>n/a</v>
      </c>
      <c r="AJ19" s="105" t="str">
        <f ca="1">IF(ISERROR(_xll.ciqfunctions.udf.CIQ($A19, "IQ_NET_WORKING_CAP", IQ_LTM-8, $L$2, $L$4, $L$3, $L$5, $L$6)), "n/a", _xll.ciqfunctions.udf.CIQ($A19, "IQ_NET_WORKING_CAP", IQ_LTM-8, $L$2, $L$4, $L$3, $L$5, $L$6))</f>
        <v>n/a</v>
      </c>
      <c r="AK19" s="105" t="str">
        <f ca="1">IF(ISERROR(_xll.ciqfunctions.udf.CIQ($A19, "IQ_NET_WORKING_CAP", IQ_LTM-4, $L$2, $L$4, $L$3, $L$5, $L$6)), "n/a", _xll.ciqfunctions.udf.CIQ($A19, "IQ_NET_WORKING_CAP", IQ_LTM-4, $L$2, $L$4, $L$3, $L$5, $L$6))</f>
        <v>n/a</v>
      </c>
      <c r="AL19" s="105" t="str">
        <f ca="1">IF(ISERROR(_xll.ciqfunctions.udf.CIQ($A19, "IQ_NET_WORKING_CAP", IQ_LTM, $L$2,$L$4, $L$3, $L$5, $L$6)), "n/a", _xll.ciqfunctions.udf.CIQ($A19, "IQ_NET_WORKING_CAP", IQ_LTM, $L$2, $L$4, $L$3, $L$5, $L$6))</f>
        <v>n/a</v>
      </c>
      <c r="AM19" s="105" t="str">
        <f ca="1">IF(ISERROR(_xll.ciqfunctions.udf.CIQ($A19, "IQ_Capex", IQ_LTM-8, $L$2,$L$4, $L$3, $L$5, $L$6)), "n/a", _xll.ciqfunctions.udf.CIQ($A19, "IQ_Capex", IQ_LTM-8, $L$2, $L$4, $L$3, $L$5, $L$6))</f>
        <v>n/a</v>
      </c>
      <c r="AN19" s="105" t="str">
        <f ca="1">IF(ISERROR(_xll.ciqfunctions.udf.CIQ($A19, "IQ_Capex", IQ_LTM-4, $L$2,$L$4, $L$3, $L$5, $L$6)), "n/a", _xll.ciqfunctions.udf.CIQ($A19, "IQ_Capex", IQ_LTM-4, $L$2,$L$4, $L$3, $L$5, $L$6))</f>
        <v>n/a</v>
      </c>
      <c r="AO19" s="105" t="str">
        <f ca="1">IF(ISERROR(_xll.ciqfunctions.udf.CIQ($A19, "IQ_Capex", IQ_LTM, $L$2, $L$4, $L$3, $L$5, $L$6)), "n/a", _xll.ciqfunctions.udf.CIQ($A19, "IQ_Capex", IQ_LTM, $L$2, $L$4, $L$3, $L$5, $L$6))</f>
        <v>n/a</v>
      </c>
      <c r="AP19" s="107" t="e">
        <f ca="1">_xll.ciqfunctions.udf.CIQ(A19, "IQ_BUSINESS_DESCRIPTION")</f>
        <v>#NAME?</v>
      </c>
      <c r="AQ19" s="108" t="e">
        <f ca="1">_xll.ciqfunctions.udf.CIQ($A19, "IQ_BETA_1YR", $B$1)</f>
        <v>#NAME?</v>
      </c>
      <c r="AR19" s="108" t="e">
        <f ca="1">_xll.ciqfunctions.udf.CIQ($A19, "IQ_BETA_2YR", $B$1)</f>
        <v>#NAME?</v>
      </c>
      <c r="AS19" s="108" t="e">
        <f ca="1">_xll.ciqfunctions.udf.CIQ($A19, "IQ_BETA_5YR", $B$1)</f>
        <v>#NAME?</v>
      </c>
      <c r="AT19" s="106" t="e">
        <f ca="1">_xll.ciqfunctions.udf.CIQ($A19, "IQ_DIVIDEND_YIELD", $B$1)/100</f>
        <v>#NAME?</v>
      </c>
      <c r="AU19" s="105" t="e">
        <f ca="1">_xll.ciqfunctions.udf.CIQ($A19, "IQ_EARNING_CO", IQ_LTM-8, $L$2, $L$4, $L$3, $L$5, $L$6)</f>
        <v>#NAME?</v>
      </c>
      <c r="AV19" s="105" t="e">
        <f ca="1">_xll.ciqfunctions.udf.CIQ($A19, "IQ_EARNING_CO", IQ_LTM-4, $L$2, $L$4, $L$3, $L$5, $L$6)</f>
        <v>#NAME?</v>
      </c>
      <c r="AW19" s="105" t="e">
        <f ca="1">_xll.ciqfunctions.udf.CIQ($A19, "IQ_EARNING_CO", IQ_LTM, $L$2, $L$4, $L$3, $L$5, $L$6)</f>
        <v>#NAME?</v>
      </c>
      <c r="AX19" s="105" t="e">
        <f ca="1">_xll.ciqfunctions.udf.CIQ($A19, "IQ_EARNING_CO", $B$2, $L$2, $L$4, $L$3, $L$5, $L$6)</f>
        <v>#NAME?</v>
      </c>
      <c r="AY19" s="105" t="e">
        <f ca="1">IF(_xll.ciqfunctions.udf.CIQ($A19, "IQ_EARNING_CO", $B$3, $L$2,$L$4, $L$3, $L$5, $L$6)=0,AW19,_xll.ciqfunctions.udf.CIQ($A19, "IQ_EARNING_CO", $B$3, $L$2,$L$4, $L$3, $L$5, $L$6))</f>
        <v>#NAME?</v>
      </c>
      <c r="AZ19" s="105" t="e">
        <f ca="1">_xll.ciqfunctions.udf.CIQ($A19, "IQ_TOTAL_EQUITY", IQ_LTM-8, $L$2, $L$4, $L$3, $L$5, $L$6)</f>
        <v>#NAME?</v>
      </c>
      <c r="BA19" s="105" t="e">
        <f ca="1">_xll.ciqfunctions.udf.CIQ($A19, "IQ_TOTAL_EQUITY", IQ_LTM-4, $L$2, $L$4, $L$3, $L$5, $L$6)</f>
        <v>#NAME?</v>
      </c>
      <c r="BB19" s="105" t="e">
        <f ca="1">_xll.ciqfunctions.udf.CIQ($A19, "IQ_TOTAL_EQUITY", IQ_LTM, $L$2, $L$4, $L$3, $L$5, $L$6)</f>
        <v>#NAME?</v>
      </c>
      <c r="BC19" s="105" t="e">
        <f ca="1">_xll.ciqfunctions.udf.CIQ($A19, "IQ_TOTAL_EQUITY", $B$2, $L$2, $L$4, $L$3, $L$5, $L$6)</f>
        <v>#NAME?</v>
      </c>
      <c r="BD19" s="105" t="e">
        <f ca="1">IF(_xll.ciqfunctions.udf.CIQ($A19, "IQ_TOTAL_EQUITY", $B$3, $L$2,$L$4, $L$3, $L$5, $L$6)=0,BB19,_xll.ciqfunctions.udf.CIQ($A19, "IQ_TOTAL_EQUITY", $B$3, $L$2,$L$4, $L$3, $L$5, $L$6))</f>
        <v>#NAME?</v>
      </c>
      <c r="BE19" s="105" t="e">
        <f ca="1">_xll.ciqfunctions.udf.CIQ(A19, "IQ_LASTSALEPRICE", $B$8)</f>
        <v>#NAME?</v>
      </c>
      <c r="BF19" s="105" t="e">
        <f ca="1">_xll.ciqfunctions.udf.CIQ($A19, "IQ_MARKETCAP", $B$8, $L$5, $L$6)</f>
        <v>#NAME?</v>
      </c>
      <c r="BG19" s="105" t="e">
        <f ca="1">_xll.ciqfunctions.udf.CIQ($A19, "IQ_TOTAL_DEBT", IQ_LTM, $B$8,$L$4, $L$3, $L$5, $L$6)</f>
        <v>#NAME?</v>
      </c>
      <c r="BH19" s="74" t="e">
        <f ca="1">_xll.ciqfunctions.udf.CIQ($A19,"IQ_PREF_EQUITY",IQ_LTM,$B$8,$L$4,$L$3,$L$5,$L$6)</f>
        <v>#NAME?</v>
      </c>
      <c r="BI19" s="74" t="e">
        <f ca="1">_xll.ciqfunctions.udf.CIQ($A19, "IQ_MINORITY_INTEREST_TOTAL", IQ_LTM,$B$8,$L$4,$L$3,$L$5,$L$6)</f>
        <v>#NAME?</v>
      </c>
      <c r="BJ19" s="105" t="e">
        <f ca="1">_xll.ciqfunctions.udf.CIQ($A19, "IQ_CASH_ST_INVEST", IQ_LTM, $B$8, $L$4, $L$3, $L$5, $L$6)</f>
        <v>#NAME?</v>
      </c>
      <c r="BK19" s="74" t="e">
        <f ca="1">_xll.ciqfunctions.udf.CIQ($A19, "IQ_EFFECT_TAX_RATE")</f>
        <v>#NAME?</v>
      </c>
      <c r="BL19" s="74" t="e">
        <f ca="1">IF(_xll.ciqfunctions.udf.CIQ($A19, "IQ_TOTAL_REV_2YR_ANN_CAGR", IQ_LTM, $B$1,$L$4, $L$3, $L$5, $L$6)="NM","n/a",(_xll.ciqfunctions.udf.CIQ($A19, "IQ_TOTAL_REV_2YR_ANN_CAGR", IQ_LTM, $B$1,$L$4, $L$3, $L$5, $L$6)/100))</f>
        <v>#NAME?</v>
      </c>
      <c r="BM19" s="74" t="e">
        <f ca="1">IF(_xll.ciqfunctions.udf.CIQ($A19, "IQ_TOTAL_REV_3YR_ANN_CAGR", IQ_LTM, $B$1,$L$4, $L$3, $L$5, $L$6)="NM","n/a",(_xll.ciqfunctions.udf.CIQ($A19, "IQ_TOTAL_REV_3YR_ANN_CAGR", IQ_LTM, $B$1,$L$4, $L$3, $L$5, $L$6)/100))</f>
        <v>#NAME?</v>
      </c>
      <c r="BN19" s="74" t="e">
        <f ca="1">IF(_xll.ciqfunctions.udf.CIQ($A19, "IQ_TOTAL_REV_5YR_ANN_CAGR", IQ_LTM, $B$1,$L$4, $L$3, $L$5, $L$6)="NM","n/a",(_xll.ciqfunctions.udf.CIQ($A19, "IQ_TOTAL_REV_5YR_ANN_CAGR", IQ_LTM, $B$1,$L$4, $L$3, $L$5, $L$6)/100))</f>
        <v>#NAME?</v>
      </c>
      <c r="BO19" s="74" t="e">
        <f ca="1">IF(_xll.ciqfunctions.udf.CIQ($A19,"IQ_EBITDA_2YR_ANN_CAGR", IQ_LTM,$B$1,$L$4, $L$3, $L$5, $L$6)="NM","n/a",(_xll.ciqfunctions.udf.CIQ($A19,"IQ_EBITDA_2YR_ANN_CAGR", IQ_LTM,$B$1,$L$4, $L$3, $L$5, $L$6)/100))</f>
        <v>#NAME?</v>
      </c>
      <c r="BP19" s="74" t="e">
        <f ca="1">IF(_xll.ciqfunctions.udf.CIQ($A19,"IQ_EBITDA_3YR_ANN_CAGR", IQ_LTM,$B$1,$L$4, $L$3, $L$5, $L$6)="NM","n/a",(_xll.ciqfunctions.udf.CIQ($A19,"IQ_EBITDA_3YR_ANN_CAGR", IQ_LTM,$B$1,$L$4, $L$3, $L$5, $L$6)/100))</f>
        <v>#NAME?</v>
      </c>
      <c r="BQ19" s="74" t="e">
        <f ca="1">IF(_xll.ciqfunctions.udf.CIQ($A19,"IQ_EBITDA_5YR_ANN_CAGR", IQ_LTM,$B$1,$L$4, $L$3, $L$5, $L$6)="NM","n/a",(_xll.ciqfunctions.udf.CIQ($A19,"IQ_EBITDA_5YR_ANN_CAGR", IQ_LTM,$B$1,$L$4, $L$3, $L$5, $L$6)/100))</f>
        <v>#NAME?</v>
      </c>
      <c r="BR19" s="78" t="str">
        <f ca="1">IFERROR((_xll.ciqfunctions.udf.CIQ($A19, "IQ_DA_CF", IQ_LTM, $B$1, $L$4, $L$3, $L$5, $L$6)/Q19),"NM")</f>
        <v>NM</v>
      </c>
      <c r="BS19" s="109">
        <f>'Capital IQ Sheet-GPC'!BS19</f>
        <v>0.89665359846864712</v>
      </c>
      <c r="BT19" s="109" t="str">
        <f>'Capital IQ Sheet-GPC'!BT19</f>
        <v>n/a</v>
      </c>
      <c r="BU19" s="109" t="str">
        <f>'Capital IQ Sheet-GPC'!BU19</f>
        <v>n/a</v>
      </c>
      <c r="BV19" s="109" t="str">
        <f>'Capital IQ Sheet-GPC'!BV19</f>
        <v>n/a</v>
      </c>
      <c r="BW19" s="109" t="str">
        <f>'Capital IQ Sheet-GPC'!BW19</f>
        <v>n/a</v>
      </c>
      <c r="BX19" s="109" t="str">
        <f>'Capital IQ Sheet-GPC'!BX19</f>
        <v>n/a</v>
      </c>
      <c r="BY19" s="109" t="str">
        <f>'Capital IQ Sheet-GPC'!BY19</f>
        <v>n/a</v>
      </c>
      <c r="BZ19" s="109" t="str">
        <f>'Capital IQ Sheet-GPC'!BZ19</f>
        <v>n/a</v>
      </c>
      <c r="CB19" s="74">
        <v>2</v>
      </c>
      <c r="CC19" s="149" t="s">
        <v>315</v>
      </c>
      <c r="CD19" s="149" t="s">
        <v>314</v>
      </c>
      <c r="CE19" s="76">
        <f t="shared" si="0"/>
        <v>42005</v>
      </c>
    </row>
    <row r="20" spans="1:83" s="74" customFormat="1" ht="12.75">
      <c r="A20" s="75" t="e">
        <f ca="1">_xll.ciqfunctions.udf.CIQ($B20,"IQ_COMPANY_TICKER")</f>
        <v>#NAME?</v>
      </c>
      <c r="B20" s="104" t="str">
        <f>'Capital IQ Sheet-GPC'!B20</f>
        <v>IQ262241549</v>
      </c>
      <c r="C20" s="75" t="e">
        <f ca="1">_xll.ciqfunctions.udf.CIQ($A20,"IQ_COMPANY_NAME")</f>
        <v>#NAME?</v>
      </c>
      <c r="D20" s="75" t="e">
        <f ca="1">_xll.ciqfunctions.udf.CIQ($A20, "IQ_EXCHANGE")</f>
        <v>#NAME?</v>
      </c>
      <c r="E20" s="103" t="e">
        <f ca="1">_xll.ciqfunctions.udf.CIQ($A20, "IQ_PERIODDATE_IS", IQ_FY)</f>
        <v>#NAME?</v>
      </c>
      <c r="F20" s="103" t="e">
        <f ca="1">_xll.ciqfunctions.udf.CIQ(A20, "IQ_PERIODDATE_IS", IQ_LTM, $B$1,$L$4,$L$3)</f>
        <v>#NAME?</v>
      </c>
      <c r="G20" s="103" t="e">
        <f ca="1">_xll.ciqfunctions.udf.CIQ($A20, "IQ_FIRSTPRICINGDATE")</f>
        <v>#NAME?</v>
      </c>
      <c r="H20" s="105" t="e">
        <f ca="1">_xll.ciqfunctions.udf.CIQ($A20, "IQ_TEV", $L$2, $L$5, $L$6)</f>
        <v>#NAME?</v>
      </c>
      <c r="I20" s="105" t="e">
        <f ca="1">_xll.ciqfunctions.udf.CIQ(A20, "IQ_LASTSALEPRICE", $B$1,$L$5)</f>
        <v>#NAME?</v>
      </c>
      <c r="J20" s="105" t="e">
        <f ca="1">_xll.ciqfunctions.udf.CIQ($A20, "IQ_MARKETCAP", $L$2, $L$5, $L$6)</f>
        <v>#NAME?</v>
      </c>
      <c r="K20" s="105" t="e">
        <f ca="1">_xll.ciqfunctions.udf.CIQ($A20, "IQ_TOTAL_DEBT", IQ_LTM, $L$2,$L$4, $L$3, $L$5, $L$6)</f>
        <v>#NAME?</v>
      </c>
      <c r="L20" s="105" t="e">
        <f ca="1">_xll.ciqfunctions.udf.CIQ($A20, "IQ_PREF_EQUITY", IQ_LTM, $L$2, $L$4, $L$3, $L$5, $L$6)</f>
        <v>#NAME?</v>
      </c>
      <c r="M20" s="105" t="e">
        <f ca="1">_xll.ciqfunctions.udf.CIQ($A20, "IQ_MINORITY_INTEREST_TOTAL", IQ_LTM, $L$2, $L$4, $L$3, $L$5, $L$6)</f>
        <v>#NAME?</v>
      </c>
      <c r="N20" s="105" t="e">
        <f ca="1">_xll.ciqfunctions.udf.CIQ($A20, "IQ_CASH_ST_INVEST", IQ_LTM, $L$2, $L$4, $L$3, $L$5, $L$6)</f>
        <v>#NAME?</v>
      </c>
      <c r="O20" s="105" t="e">
        <f ca="1">_xll.ciqfunctions.udf.CIQ($A20, "IQ_TOTAL_REV", IQ_LTM-8, $L$2, $L$4, $L$3, $L$5, $L$6)</f>
        <v>#NAME?</v>
      </c>
      <c r="P20" s="105" t="e">
        <f ca="1">_xll.ciqfunctions.udf.CIQ($A20, "IQ_TOTAL_REV", IQ_LTM - 4, $L$2, $L$4, $L$3, $L$5,$L$6)</f>
        <v>#NAME?</v>
      </c>
      <c r="Q20" s="105" t="e">
        <f ca="1">_xll.ciqfunctions.udf.CIQ($A20, "IQ_TOTAL_REV", IQ_LTM, $L$2, $L$4, $L$3, $L$5, $L$6)</f>
        <v>#NAME?</v>
      </c>
      <c r="R20" s="105" t="e">
        <f ca="1">_xll.ciqfunctions.udf.CIQ($A20, "IQ_TOTAL_REV", $B$2, $L$2, $L$4, $L$3, $L$5, $L$6)</f>
        <v>#NAME?</v>
      </c>
      <c r="S20" s="105" t="e">
        <f ca="1">IF(_xll.ciqfunctions.udf.CIQ($A20, "IQ_TOTAL_REV", $B$3, $L$2,$L$4, $L$3, $L$5, $L$6)=0,Q20,_xll.ciqfunctions.udf.CIQ($A20, "IQ_TOTAL_REV", $B$3, $L$2,$L$4, $L$3, $L$5, $L$6))</f>
        <v>#NAME?</v>
      </c>
      <c r="T20" s="105" t="e">
        <f ca="1">IF(_xll.ciqfunctions.udf.CIQ($A20, "IQ_REVENUE_EST",$B$4, $L$2, "CON", $L$3, $L$5, $L$6)=0,"n/a",_xll.ciqfunctions.udf.CIQ($A20, "IQ_REVENUE_EST",$B$4, $L$2, "CON", $L$3, $L$5, $L$6))</f>
        <v>#NAME?</v>
      </c>
      <c r="U20" s="105" t="e">
        <f ca="1">IF(_xll.ciqfunctions.udf.CIQ($A20, "IQ_REVENUE_EST",$B$5, $L$2, "CON", $L$3, $L$5, $L$6)=0,"n/a",_xll.ciqfunctions.udf.CIQ($A20, "IQ_REVENUE_EST",$B$5, $L$2, "CON", $L$3, $L$5, $L$6))</f>
        <v>#NAME?</v>
      </c>
      <c r="V20" s="105" t="e">
        <f ca="1">IF(_xll.ciqfunctions.udf.CIQ($A20, "IQ_REVENUE_EST",$B$6, $L$2, "CON", $L$3, $L$5, $L$6)=0,"n/a",_xll.ciqfunctions.udf.CIQ($A20, "IQ_REVENUE_EST",$B$6, $L$2, "CON", $L$3, $L$5, $L$6))</f>
        <v>#NAME?</v>
      </c>
      <c r="W20" s="105" t="e">
        <f ca="1">IF(_xll.ciqfunctions.udf.CIQ($A20, "IQ_REVENUE_EST", $B$7, $L$2, "CON", $L$3, $L$5, $L$6)=0,"n/a",_xll.ciqfunctions.udf.CIQ($A20, "IQ_REVENUE_EST",$B$7, $L$2, "CON", $L$3, $L$5, $L$6))</f>
        <v>#NAME?</v>
      </c>
      <c r="X20" s="105" t="e">
        <f ca="1">_xll.ciqfunctions.udf.CIQ($A20, "IQ_EBITDA", IQ_LTM-8, $L$2, $L$4, $L$3, $L$5, $L$6)</f>
        <v>#NAME?</v>
      </c>
      <c r="Y20" s="105" t="e">
        <f ca="1">_xll.ciqfunctions.udf.CIQ($A20, "IQ_EBITDA", IQ_LTM-4, $L$2,$L$4, $L$3, $L$5, $L$6)</f>
        <v>#NAME?</v>
      </c>
      <c r="Z20" s="105" t="e">
        <f ca="1">_xll.ciqfunctions.udf.CIQ($A20, "IQ_EBITDA", IQ_LTM, $L$2, $L$4, $L$3, $L$5, $L$6)</f>
        <v>#NAME?</v>
      </c>
      <c r="AA20" s="105" t="e">
        <f ca="1">_xll.ciqfunctions.udf.CIQ($A20, "IQ_EBITDA", $B$2, $L$2, $L$4, $L$3, $L$5, $L$6)</f>
        <v>#NAME?</v>
      </c>
      <c r="AB20" s="105" t="e">
        <f ca="1">IF(_xll.ciqfunctions.udf.CIQ($A20, "IQ_EBITDA", $B$3, $L$2,$L$4, $L$3, $L$5, $L$6)=0,Z20,_xll.ciqfunctions.udf.CIQ($A20, "IQ_EBITDA", $B$3, $L$2,$L$4, $L$3, $L$5, $L$6))</f>
        <v>#NAME?</v>
      </c>
      <c r="AC20" s="105" t="e">
        <f ca="1">IF(_xll.ciqfunctions.udf.CIQ($A20, "IQ_EBITDA_EST",$B$4, $L$2, "CON", $L$3, $L$5, $L$6)=0,"n/a",_xll.ciqfunctions.udf.CIQ($A20, "IQ_EBITDA_EST",$B$4, $L$2, "CON", $L$3, $L$5, $L$6))</f>
        <v>#NAME?</v>
      </c>
      <c r="AD20" s="105" t="e">
        <f ca="1">IF(_xll.ciqfunctions.udf.CIQ($A20, "IQ_EBITDA_EST",$B$5, $L$2, "CON", $L$3, $L$5, $L$6)=0,"n/a",_xll.ciqfunctions.udf.CIQ($A20, "IQ_EBITDA_EST",$B$5, $L$2, "CON", $L$3, $L$5, $L$6))</f>
        <v>#NAME?</v>
      </c>
      <c r="AE20" s="105" t="e">
        <f ca="1">IF(_xll.ciqfunctions.udf.CIQ($A20, "IQ_EBITDA_EST",$B$6, $L$2, "CON", $L$3, $L$5, $L$6)=0,"n/a",_xll.ciqfunctions.udf.CIQ($A20, "IQ_EBITDA_EST",$B$6, $L$2, "CON", $L$3, $L$5, $L$6))</f>
        <v>#NAME?</v>
      </c>
      <c r="AF20" s="106" t="str">
        <f ca="1">IF(ISERROR(_xll.ciqfunctions.udf.CIQ($A20, "IQ_GROSS_MARGIN", IQ_LTM, $L$2,$L$4, $L$3, $L$5, $L$6)/100), "n/a", _xll.ciqfunctions.udf.CIQ($A20,  "IQ_GROSS_MARGIN", IQ_LTM, $L$2, $L$4, $L$3, $L$5, $L$6)/100)</f>
        <v>n/a</v>
      </c>
      <c r="AG20" s="106" t="str">
        <f ca="1">IF(ISERROR(_xll.ciqfunctions.udf.CIQ($A20,"IQ_EBITDA_MARGIN", IQ_LTM, $L$2, $L$4, $L$3, $L$5, $L$6)/100), "n/a", _xll.ciqfunctions.udf.CIQ($A20, "IQ_EBITDA_MARGIN", IQ_LTM, $L$2, $L$4, $L$3, $L$5, $L$6)/100)</f>
        <v>n/a</v>
      </c>
      <c r="AH20" s="106" t="str">
        <f ca="1">IF(ISERROR(_xll.ciqfunctions.udf.CIQ($A20,"IQ_EBIT_MARGIN", IQ_LTM, $L$2, $L$4, $L$3, $L$5, $L$6)/100), "n/a", _xll.ciqfunctions.udf.CIQ($A20, "IQ_EBIT_MARGIN", IQ_LTM, $L$2, $L$4, $L$3, $L$5, $L$6)/100)</f>
        <v>n/a</v>
      </c>
      <c r="AI20" s="106" t="str">
        <f ca="1">IF(ISERROR(_xll.ciqfunctions.udf.CIQ($A20,"IQ_NI_MARGIN", IQ_LTM, $L$2, $L$4, $L$3, $L$5, $L$6)/100), "n/a", _xll.ciqfunctions.udf.CIQ($A20, "IQ_NI_MARGIN", IQ_LTM, $L$2, $L$4, $L$3, $L$5, $L$6)/100)</f>
        <v>n/a</v>
      </c>
      <c r="AJ20" s="105" t="str">
        <f ca="1">IF(ISERROR(_xll.ciqfunctions.udf.CIQ($A20, "IQ_NET_WORKING_CAP", IQ_LTM-8, $L$2, $L$4, $L$3, $L$5, $L$6)), "n/a", _xll.ciqfunctions.udf.CIQ($A20, "IQ_NET_WORKING_CAP", IQ_LTM-8, $L$2, $L$4, $L$3, $L$5, $L$6))</f>
        <v>n/a</v>
      </c>
      <c r="AK20" s="105" t="str">
        <f ca="1">IF(ISERROR(_xll.ciqfunctions.udf.CIQ($A20, "IQ_NET_WORKING_CAP", IQ_LTM-4, $L$2, $L$4, $L$3, $L$5, $L$6)), "n/a", _xll.ciqfunctions.udf.CIQ($A20, "IQ_NET_WORKING_CAP", IQ_LTM-4, $L$2, $L$4, $L$3, $L$5, $L$6))</f>
        <v>n/a</v>
      </c>
      <c r="AL20" s="105" t="str">
        <f ca="1">IF(ISERROR(_xll.ciqfunctions.udf.CIQ($A20, "IQ_NET_WORKING_CAP", IQ_LTM, $L$2,$L$4, $L$3, $L$5, $L$6)), "n/a", _xll.ciqfunctions.udf.CIQ($A20, "IQ_NET_WORKING_CAP", IQ_LTM, $L$2, $L$4, $L$3, $L$5, $L$6))</f>
        <v>n/a</v>
      </c>
      <c r="AM20" s="105" t="str">
        <f ca="1">IF(ISERROR(_xll.ciqfunctions.udf.CIQ($A20, "IQ_Capex", IQ_LTM-8, $L$2,$L$4, $L$3, $L$5, $L$6)), "n/a", _xll.ciqfunctions.udf.CIQ($A20, "IQ_Capex", IQ_LTM-8, $L$2, $L$4, $L$3, $L$5, $L$6))</f>
        <v>n/a</v>
      </c>
      <c r="AN20" s="105" t="str">
        <f ca="1">IF(ISERROR(_xll.ciqfunctions.udf.CIQ($A20, "IQ_Capex", IQ_LTM-4, $L$2,$L$4, $L$3, $L$5, $L$6)), "n/a", _xll.ciqfunctions.udf.CIQ($A20, "IQ_Capex", IQ_LTM-4, $L$2,$L$4, $L$3, $L$5, $L$6))</f>
        <v>n/a</v>
      </c>
      <c r="AO20" s="105" t="str">
        <f ca="1">IF(ISERROR(_xll.ciqfunctions.udf.CIQ($A20, "IQ_Capex", IQ_LTM, $L$2, $L$4, $L$3, $L$5, $L$6)), "n/a", _xll.ciqfunctions.udf.CIQ($A20, "IQ_Capex", IQ_LTM, $L$2, $L$4, $L$3, $L$5, $L$6))</f>
        <v>n/a</v>
      </c>
      <c r="AP20" s="107" t="e">
        <f ca="1">_xll.ciqfunctions.udf.CIQ(A20, "IQ_BUSINESS_DESCRIPTION")</f>
        <v>#NAME?</v>
      </c>
      <c r="AQ20" s="108" t="e">
        <f ca="1">_xll.ciqfunctions.udf.CIQ($A20, "IQ_BETA_1YR", $B$1)</f>
        <v>#NAME?</v>
      </c>
      <c r="AR20" s="108" t="e">
        <f ca="1">_xll.ciqfunctions.udf.CIQ($A20, "IQ_BETA_2YR", $B$1)</f>
        <v>#NAME?</v>
      </c>
      <c r="AS20" s="108" t="e">
        <f ca="1">_xll.ciqfunctions.udf.CIQ($A20, "IQ_BETA_5YR", $B$1)</f>
        <v>#NAME?</v>
      </c>
      <c r="AT20" s="106" t="e">
        <f ca="1">_xll.ciqfunctions.udf.CIQ($A20, "IQ_DIVIDEND_YIELD", $B$1)/100</f>
        <v>#NAME?</v>
      </c>
      <c r="AU20" s="105" t="e">
        <f ca="1">_xll.ciqfunctions.udf.CIQ($A20, "IQ_EARNING_CO", IQ_LTM-8, $L$2, $L$4, $L$3, $L$5, $L$6)</f>
        <v>#NAME?</v>
      </c>
      <c r="AV20" s="105" t="e">
        <f ca="1">_xll.ciqfunctions.udf.CIQ($A20, "IQ_EARNING_CO", IQ_LTM-4, $L$2, $L$4, $L$3, $L$5, $L$6)</f>
        <v>#NAME?</v>
      </c>
      <c r="AW20" s="105" t="e">
        <f ca="1">_xll.ciqfunctions.udf.CIQ($A20, "IQ_EARNING_CO", IQ_LTM, $L$2, $L$4, $L$3, $L$5, $L$6)</f>
        <v>#NAME?</v>
      </c>
      <c r="AX20" s="105" t="e">
        <f ca="1">_xll.ciqfunctions.udf.CIQ($A20, "IQ_EARNING_CO", $B$2, $L$2, $L$4, $L$3, $L$5, $L$6)</f>
        <v>#NAME?</v>
      </c>
      <c r="AY20" s="105" t="e">
        <f ca="1">IF(_xll.ciqfunctions.udf.CIQ($A20, "IQ_EARNING_CO", $B$3, $L$2,$L$4, $L$3, $L$5, $L$6)=0,AW20,_xll.ciqfunctions.udf.CIQ($A20, "IQ_EARNING_CO", $B$3, $L$2,$L$4, $L$3, $L$5, $L$6))</f>
        <v>#NAME?</v>
      </c>
      <c r="AZ20" s="105" t="e">
        <f ca="1">_xll.ciqfunctions.udf.CIQ($A20, "IQ_TOTAL_EQUITY", IQ_LTM-8, $L$2, $L$4, $L$3, $L$5, $L$6)</f>
        <v>#NAME?</v>
      </c>
      <c r="BA20" s="105" t="e">
        <f ca="1">_xll.ciqfunctions.udf.CIQ($A20, "IQ_TOTAL_EQUITY", IQ_LTM-4, $L$2, $L$4, $L$3, $L$5, $L$6)</f>
        <v>#NAME?</v>
      </c>
      <c r="BB20" s="105" t="e">
        <f ca="1">_xll.ciqfunctions.udf.CIQ($A20, "IQ_TOTAL_EQUITY", IQ_LTM, $L$2, $L$4, $L$3, $L$5, $L$6)</f>
        <v>#NAME?</v>
      </c>
      <c r="BC20" s="105" t="e">
        <f ca="1">_xll.ciqfunctions.udf.CIQ($A20, "IQ_TOTAL_EQUITY", $B$2, $L$2, $L$4, $L$3, $L$5, $L$6)</f>
        <v>#NAME?</v>
      </c>
      <c r="BD20" s="105" t="e">
        <f ca="1">IF(_xll.ciqfunctions.udf.CIQ($A20, "IQ_TOTAL_EQUITY", $B$3, $L$2,$L$4, $L$3, $L$5, $L$6)=0,BB20,_xll.ciqfunctions.udf.CIQ($A20, "IQ_TOTAL_EQUITY", $B$3, $L$2,$L$4, $L$3, $L$5, $L$6))</f>
        <v>#NAME?</v>
      </c>
      <c r="BE20" s="105" t="e">
        <f ca="1">_xll.ciqfunctions.udf.CIQ(A20, "IQ_LASTSALEPRICE", $B$8)</f>
        <v>#NAME?</v>
      </c>
      <c r="BF20" s="105" t="e">
        <f ca="1">_xll.ciqfunctions.udf.CIQ($A20, "IQ_MARKETCAP", $B$8, $L$5, $L$6)</f>
        <v>#NAME?</v>
      </c>
      <c r="BG20" s="105" t="e">
        <f ca="1">_xll.ciqfunctions.udf.CIQ($A20, "IQ_TOTAL_DEBT", IQ_LTM, $B$8,$L$4, $L$3, $L$5, $L$6)</f>
        <v>#NAME?</v>
      </c>
      <c r="BH20" s="74" t="e">
        <f ca="1">_xll.ciqfunctions.udf.CIQ($A20,"IQ_PREF_EQUITY",IQ_LTM,$B$8,$L$4,$L$3,$L$5,$L$6)</f>
        <v>#NAME?</v>
      </c>
      <c r="BI20" s="74" t="e">
        <f ca="1">_xll.ciqfunctions.udf.CIQ($A20, "IQ_MINORITY_INTEREST_TOTAL", IQ_LTM,$B$8,$L$4,$L$3,$L$5,$L$6)</f>
        <v>#NAME?</v>
      </c>
      <c r="BJ20" s="105" t="e">
        <f ca="1">_xll.ciqfunctions.udf.CIQ($A20, "IQ_CASH_ST_INVEST", IQ_LTM, $B$8, $L$4, $L$3, $L$5, $L$6)</f>
        <v>#NAME?</v>
      </c>
      <c r="BK20" s="74" t="e">
        <f ca="1">_xll.ciqfunctions.udf.CIQ($A20, "IQ_EFFECT_TAX_RATE")</f>
        <v>#NAME?</v>
      </c>
      <c r="BL20" s="74" t="e">
        <f ca="1">IF(_xll.ciqfunctions.udf.CIQ($A20, "IQ_TOTAL_REV_2YR_ANN_CAGR", IQ_LTM, $B$1,$L$4, $L$3, $L$5, $L$6)="NM","n/a",(_xll.ciqfunctions.udf.CIQ($A20, "IQ_TOTAL_REV_2YR_ANN_CAGR", IQ_LTM, $B$1,$L$4, $L$3, $L$5, $L$6)/100))</f>
        <v>#NAME?</v>
      </c>
      <c r="BM20" s="74" t="e">
        <f ca="1">IF(_xll.ciqfunctions.udf.CIQ($A20, "IQ_TOTAL_REV_3YR_ANN_CAGR", IQ_LTM, $B$1,$L$4, $L$3, $L$5, $L$6)="NM","n/a",(_xll.ciqfunctions.udf.CIQ($A20, "IQ_TOTAL_REV_3YR_ANN_CAGR", IQ_LTM, $B$1,$L$4, $L$3, $L$5, $L$6)/100))</f>
        <v>#NAME?</v>
      </c>
      <c r="BN20" s="74" t="e">
        <f ca="1">IF(_xll.ciqfunctions.udf.CIQ($A20, "IQ_TOTAL_REV_5YR_ANN_CAGR", IQ_LTM, $B$1,$L$4, $L$3, $L$5, $L$6)="NM","n/a",(_xll.ciqfunctions.udf.CIQ($A20, "IQ_TOTAL_REV_5YR_ANN_CAGR", IQ_LTM, $B$1,$L$4, $L$3, $L$5, $L$6)/100))</f>
        <v>#NAME?</v>
      </c>
      <c r="BO20" s="74" t="e">
        <f ca="1">IF(_xll.ciqfunctions.udf.CIQ($A20,"IQ_EBITDA_2YR_ANN_CAGR", IQ_LTM,$B$1,$L$4, $L$3, $L$5, $L$6)="NM","n/a",(_xll.ciqfunctions.udf.CIQ($A20,"IQ_EBITDA_2YR_ANN_CAGR", IQ_LTM,$B$1,$L$4, $L$3, $L$5, $L$6)/100))</f>
        <v>#NAME?</v>
      </c>
      <c r="BP20" s="74" t="e">
        <f ca="1">IF(_xll.ciqfunctions.udf.CIQ($A20,"IQ_EBITDA_3YR_ANN_CAGR", IQ_LTM,$B$1,$L$4, $L$3, $L$5, $L$6)="NM","n/a",(_xll.ciqfunctions.udf.CIQ($A20,"IQ_EBITDA_3YR_ANN_CAGR", IQ_LTM,$B$1,$L$4, $L$3, $L$5, $L$6)/100))</f>
        <v>#NAME?</v>
      </c>
      <c r="BQ20" s="74" t="e">
        <f ca="1">IF(_xll.ciqfunctions.udf.CIQ($A20,"IQ_EBITDA_5YR_ANN_CAGR", IQ_LTM,$B$1,$L$4, $L$3, $L$5, $L$6)="NM","n/a",(_xll.ciqfunctions.udf.CIQ($A20,"IQ_EBITDA_5YR_ANN_CAGR", IQ_LTM,$B$1,$L$4, $L$3, $L$5, $L$6)/100))</f>
        <v>#NAME?</v>
      </c>
      <c r="BR20" s="78" t="str">
        <f ca="1">IFERROR((_xll.ciqfunctions.udf.CIQ($A20, "IQ_DA_CF", IQ_LTM, $B$1, $L$4, $L$3, $L$5, $L$6)/Q20),"NM")</f>
        <v>NM</v>
      </c>
      <c r="BS20" s="109">
        <f>'Capital IQ Sheet-GPC'!BS20</f>
        <v>0.82806905565295919</v>
      </c>
      <c r="BT20" s="109">
        <f>'Capital IQ Sheet-GPC'!BT20</f>
        <v>0.87724623477379815</v>
      </c>
      <c r="BU20" s="109" t="str">
        <f>'Capital IQ Sheet-GPC'!BU20</f>
        <v>n/a</v>
      </c>
      <c r="BV20" s="109" t="str">
        <f>'Capital IQ Sheet-GPC'!BV20</f>
        <v>n/a</v>
      </c>
      <c r="BW20" s="109" t="str">
        <f>'Capital IQ Sheet-GPC'!BW20</f>
        <v>n/a</v>
      </c>
      <c r="BX20" s="109" t="str">
        <f>'Capital IQ Sheet-GPC'!BX20</f>
        <v>n/a</v>
      </c>
      <c r="BY20" s="109" t="str">
        <f>'Capital IQ Sheet-GPC'!BY20</f>
        <v>n/a</v>
      </c>
      <c r="BZ20" s="109" t="str">
        <f>'Capital IQ Sheet-GPC'!BZ20</f>
        <v>n/a</v>
      </c>
      <c r="CB20" s="74">
        <v>2</v>
      </c>
      <c r="CC20" s="149" t="s">
        <v>315</v>
      </c>
      <c r="CD20" s="149" t="s">
        <v>314</v>
      </c>
      <c r="CE20" s="76">
        <f t="shared" si="0"/>
        <v>42005</v>
      </c>
    </row>
    <row r="21" spans="1:83" s="74" customFormat="1" ht="12.75">
      <c r="A21" s="75" t="e">
        <f ca="1">_xll.ciqfunctions.udf.CIQ($B21,"IQ_COMPANY_TICKER")</f>
        <v>#NAME?</v>
      </c>
      <c r="B21" s="104" t="str">
        <f>'Capital IQ Sheet-GPC'!B21</f>
        <v>IQ49062639</v>
      </c>
      <c r="C21" s="75" t="e">
        <f ca="1">_xll.ciqfunctions.udf.CIQ($A21,"IQ_COMPANY_NAME")</f>
        <v>#NAME?</v>
      </c>
      <c r="D21" s="75" t="e">
        <f ca="1">_xll.ciqfunctions.udf.CIQ($A21, "IQ_EXCHANGE")</f>
        <v>#NAME?</v>
      </c>
      <c r="E21" s="103" t="e">
        <f ca="1">_xll.ciqfunctions.udf.CIQ($A21, "IQ_PERIODDATE_IS", IQ_FY)</f>
        <v>#NAME?</v>
      </c>
      <c r="F21" s="103" t="e">
        <f ca="1">_xll.ciqfunctions.udf.CIQ(A21, "IQ_PERIODDATE_IS", IQ_LTM, $B$1,$L$4,$L$3)</f>
        <v>#NAME?</v>
      </c>
      <c r="G21" s="103" t="e">
        <f ca="1">_xll.ciqfunctions.udf.CIQ($A21, "IQ_FIRSTPRICINGDATE")</f>
        <v>#NAME?</v>
      </c>
      <c r="H21" s="105" t="e">
        <f ca="1">_xll.ciqfunctions.udf.CIQ($A21, "IQ_TEV", $L$2, $L$5, $L$6)</f>
        <v>#NAME?</v>
      </c>
      <c r="I21" s="105" t="e">
        <f ca="1">_xll.ciqfunctions.udf.CIQ(A21, "IQ_LASTSALEPRICE", $B$1,$L$5)</f>
        <v>#NAME?</v>
      </c>
      <c r="J21" s="105" t="e">
        <f ca="1">_xll.ciqfunctions.udf.CIQ($A21, "IQ_MARKETCAP", $L$2, $L$5, $L$6)</f>
        <v>#NAME?</v>
      </c>
      <c r="K21" s="105" t="e">
        <f ca="1">_xll.ciqfunctions.udf.CIQ($A21, "IQ_TOTAL_DEBT", IQ_LTM, $L$2,$L$4, $L$3, $L$5, $L$6)</f>
        <v>#NAME?</v>
      </c>
      <c r="L21" s="105" t="e">
        <f ca="1">_xll.ciqfunctions.udf.CIQ($A21, "IQ_PREF_EQUITY", IQ_LTM, $L$2, $L$4, $L$3, $L$5, $L$6)</f>
        <v>#NAME?</v>
      </c>
      <c r="M21" s="105" t="e">
        <f ca="1">_xll.ciqfunctions.udf.CIQ($A21, "IQ_MINORITY_INTEREST_TOTAL", IQ_LTM, $L$2, $L$4, $L$3, $L$5, $L$6)</f>
        <v>#NAME?</v>
      </c>
      <c r="N21" s="105" t="e">
        <f ca="1">_xll.ciqfunctions.udf.CIQ($A21, "IQ_CASH_ST_INVEST", IQ_LTM, $L$2, $L$4, $L$3, $L$5, $L$6)</f>
        <v>#NAME?</v>
      </c>
      <c r="O21" s="105" t="e">
        <f ca="1">_xll.ciqfunctions.udf.CIQ($A21, "IQ_TOTAL_REV", IQ_LTM-8, $L$2, $L$4, $L$3, $L$5, $L$6)</f>
        <v>#NAME?</v>
      </c>
      <c r="P21" s="105" t="e">
        <f ca="1">_xll.ciqfunctions.udf.CIQ($A21, "IQ_TOTAL_REV", IQ_LTM - 4, $L$2, $L$4, $L$3, $L$5,$L$6)</f>
        <v>#NAME?</v>
      </c>
      <c r="Q21" s="105" t="e">
        <f ca="1">_xll.ciqfunctions.udf.CIQ($A21, "IQ_TOTAL_REV", IQ_LTM, $L$2, $L$4, $L$3, $L$5, $L$6)</f>
        <v>#NAME?</v>
      </c>
      <c r="R21" s="105" t="e">
        <f ca="1">_xll.ciqfunctions.udf.CIQ($A21, "IQ_TOTAL_REV", $B$2, $L$2, $L$4, $L$3, $L$5, $L$6)</f>
        <v>#NAME?</v>
      </c>
      <c r="S21" s="105" t="e">
        <f ca="1">IF(_xll.ciqfunctions.udf.CIQ($A21, "IQ_TOTAL_REV", $B$3, $L$2,$L$4, $L$3, $L$5, $L$6)=0,Q21,_xll.ciqfunctions.udf.CIQ($A21, "IQ_TOTAL_REV", $B$3, $L$2,$L$4, $L$3, $L$5, $L$6))</f>
        <v>#NAME?</v>
      </c>
      <c r="T21" s="105" t="e">
        <f ca="1">IF(_xll.ciqfunctions.udf.CIQ($A21, "IQ_REVENUE_EST",$B$4, $L$2, "CON", $L$3, $L$5, $L$6)=0,"n/a",_xll.ciqfunctions.udf.CIQ($A21, "IQ_REVENUE_EST",$B$4, $L$2, "CON", $L$3, $L$5, $L$6))</f>
        <v>#NAME?</v>
      </c>
      <c r="U21" s="105" t="e">
        <f ca="1">IF(_xll.ciqfunctions.udf.CIQ($A21, "IQ_REVENUE_EST",$B$5, $L$2, "CON", $L$3, $L$5, $L$6)=0,"n/a",_xll.ciqfunctions.udf.CIQ($A21, "IQ_REVENUE_EST",$B$5, $L$2, "CON", $L$3, $L$5, $L$6))</f>
        <v>#NAME?</v>
      </c>
      <c r="V21" s="105" t="e">
        <f ca="1">IF(_xll.ciqfunctions.udf.CIQ($A21, "IQ_REVENUE_EST",$B$6, $L$2, "CON", $L$3, $L$5, $L$6)=0,"n/a",_xll.ciqfunctions.udf.CIQ($A21, "IQ_REVENUE_EST",$B$6, $L$2, "CON", $L$3, $L$5, $L$6))</f>
        <v>#NAME?</v>
      </c>
      <c r="W21" s="105" t="e">
        <f ca="1">IF(_xll.ciqfunctions.udf.CIQ($A21, "IQ_REVENUE_EST", $B$7, $L$2, "CON", $L$3, $L$5, $L$6)=0,"n/a",_xll.ciqfunctions.udf.CIQ($A21, "IQ_REVENUE_EST",$B$7, $L$2, "CON", $L$3, $L$5, $L$6))</f>
        <v>#NAME?</v>
      </c>
      <c r="X21" s="105" t="e">
        <f ca="1">_xll.ciqfunctions.udf.CIQ($A21, "IQ_EBITDA", IQ_LTM-8, $L$2, $L$4, $L$3, $L$5, $L$6)</f>
        <v>#NAME?</v>
      </c>
      <c r="Y21" s="105" t="e">
        <f ca="1">_xll.ciqfunctions.udf.CIQ($A21, "IQ_EBITDA", IQ_LTM-4, $L$2,$L$4, $L$3, $L$5, $L$6)</f>
        <v>#NAME?</v>
      </c>
      <c r="Z21" s="105" t="e">
        <f ca="1">_xll.ciqfunctions.udf.CIQ($A21, "IQ_EBITDA", IQ_LTM, $L$2, $L$4, $L$3, $L$5, $L$6)</f>
        <v>#NAME?</v>
      </c>
      <c r="AA21" s="105" t="e">
        <f ca="1">_xll.ciqfunctions.udf.CIQ($A21, "IQ_EBITDA", $B$2, $L$2, $L$4, $L$3, $L$5, $L$6)</f>
        <v>#NAME?</v>
      </c>
      <c r="AB21" s="105" t="e">
        <f ca="1">IF(_xll.ciqfunctions.udf.CIQ($A21, "IQ_EBITDA", $B$3, $L$2,$L$4, $L$3, $L$5, $L$6)=0,Z21,_xll.ciqfunctions.udf.CIQ($A21, "IQ_EBITDA", $B$3, $L$2,$L$4, $L$3, $L$5, $L$6))</f>
        <v>#NAME?</v>
      </c>
      <c r="AC21" s="105" t="e">
        <f ca="1">IF(_xll.ciqfunctions.udf.CIQ($A21, "IQ_EBITDA_EST",$B$4, $L$2, "CON", $L$3, $L$5, $L$6)=0,"n/a",_xll.ciqfunctions.udf.CIQ($A21, "IQ_EBITDA_EST",$B$4, $L$2, "CON", $L$3, $L$5, $L$6))</f>
        <v>#NAME?</v>
      </c>
      <c r="AD21" s="105" t="e">
        <f ca="1">IF(_xll.ciqfunctions.udf.CIQ($A21, "IQ_EBITDA_EST",$B$5, $L$2, "CON", $L$3, $L$5, $L$6)=0,"n/a",_xll.ciqfunctions.udf.CIQ($A21, "IQ_EBITDA_EST",$B$5, $L$2, "CON", $L$3, $L$5, $L$6))</f>
        <v>#NAME?</v>
      </c>
      <c r="AE21" s="105" t="e">
        <f ca="1">IF(_xll.ciqfunctions.udf.CIQ($A21, "IQ_EBITDA_EST",$B$6, $L$2, "CON", $L$3, $L$5, $L$6)=0,"n/a",_xll.ciqfunctions.udf.CIQ($A21, "IQ_EBITDA_EST",$B$6, $L$2, "CON", $L$3, $L$5, $L$6))</f>
        <v>#NAME?</v>
      </c>
      <c r="AF21" s="106" t="str">
        <f ca="1">IF(ISERROR(_xll.ciqfunctions.udf.CIQ($A21, "IQ_GROSS_MARGIN", IQ_LTM, $L$2,$L$4, $L$3, $L$5, $L$6)/100), "n/a", _xll.ciqfunctions.udf.CIQ($A21,  "IQ_GROSS_MARGIN", IQ_LTM, $L$2, $L$4, $L$3, $L$5, $L$6)/100)</f>
        <v>n/a</v>
      </c>
      <c r="AG21" s="106" t="str">
        <f ca="1">IF(ISERROR(_xll.ciqfunctions.udf.CIQ($A21,"IQ_EBITDA_MARGIN", IQ_LTM, $L$2, $L$4, $L$3, $L$5, $L$6)/100), "n/a", _xll.ciqfunctions.udf.CIQ($A21, "IQ_EBITDA_MARGIN", IQ_LTM, $L$2, $L$4, $L$3, $L$5, $L$6)/100)</f>
        <v>n/a</v>
      </c>
      <c r="AH21" s="106" t="str">
        <f ca="1">IF(ISERROR(_xll.ciqfunctions.udf.CIQ($A21,"IQ_EBIT_MARGIN", IQ_LTM, $L$2, $L$4, $L$3, $L$5, $L$6)/100), "n/a", _xll.ciqfunctions.udf.CIQ($A21, "IQ_EBIT_MARGIN", IQ_LTM, $L$2, $L$4, $L$3, $L$5, $L$6)/100)</f>
        <v>n/a</v>
      </c>
      <c r="AI21" s="106" t="str">
        <f ca="1">IF(ISERROR(_xll.ciqfunctions.udf.CIQ($A21,"IQ_NI_MARGIN", IQ_LTM, $L$2, $L$4, $L$3, $L$5, $L$6)/100), "n/a", _xll.ciqfunctions.udf.CIQ($A21, "IQ_NI_MARGIN", IQ_LTM, $L$2, $L$4, $L$3, $L$5, $L$6)/100)</f>
        <v>n/a</v>
      </c>
      <c r="AJ21" s="105" t="str">
        <f ca="1">IF(ISERROR(_xll.ciqfunctions.udf.CIQ($A21, "IQ_NET_WORKING_CAP", IQ_LTM-8, $L$2, $L$4, $L$3, $L$5, $L$6)), "n/a", _xll.ciqfunctions.udf.CIQ($A21, "IQ_NET_WORKING_CAP", IQ_LTM-8, $L$2, $L$4, $L$3, $L$5, $L$6))</f>
        <v>n/a</v>
      </c>
      <c r="AK21" s="105" t="str">
        <f ca="1">IF(ISERROR(_xll.ciqfunctions.udf.CIQ($A21, "IQ_NET_WORKING_CAP", IQ_LTM-4, $L$2, $L$4, $L$3, $L$5, $L$6)), "n/a", _xll.ciqfunctions.udf.CIQ($A21, "IQ_NET_WORKING_CAP", IQ_LTM-4, $L$2, $L$4, $L$3, $L$5, $L$6))</f>
        <v>n/a</v>
      </c>
      <c r="AL21" s="105" t="str">
        <f ca="1">IF(ISERROR(_xll.ciqfunctions.udf.CIQ($A21, "IQ_NET_WORKING_CAP", IQ_LTM, $L$2,$L$4, $L$3, $L$5, $L$6)), "n/a", _xll.ciqfunctions.udf.CIQ($A21, "IQ_NET_WORKING_CAP", IQ_LTM, $L$2, $L$4, $L$3, $L$5, $L$6))</f>
        <v>n/a</v>
      </c>
      <c r="AM21" s="105" t="str">
        <f ca="1">IF(ISERROR(_xll.ciqfunctions.udf.CIQ($A21, "IQ_Capex", IQ_LTM-8, $L$2,$L$4, $L$3, $L$5, $L$6)), "n/a", _xll.ciqfunctions.udf.CIQ($A21, "IQ_Capex", IQ_LTM-8, $L$2, $L$4, $L$3, $L$5, $L$6))</f>
        <v>n/a</v>
      </c>
      <c r="AN21" s="105" t="str">
        <f ca="1">IF(ISERROR(_xll.ciqfunctions.udf.CIQ($A21, "IQ_Capex", IQ_LTM-4, $L$2,$L$4, $L$3, $L$5, $L$6)), "n/a", _xll.ciqfunctions.udf.CIQ($A21, "IQ_Capex", IQ_LTM-4, $L$2,$L$4, $L$3, $L$5, $L$6))</f>
        <v>n/a</v>
      </c>
      <c r="AO21" s="105" t="str">
        <f ca="1">IF(ISERROR(_xll.ciqfunctions.udf.CIQ($A21, "IQ_Capex", IQ_LTM, $L$2, $L$4, $L$3, $L$5, $L$6)), "n/a", _xll.ciqfunctions.udf.CIQ($A21, "IQ_Capex", IQ_LTM, $L$2, $L$4, $L$3, $L$5, $L$6))</f>
        <v>n/a</v>
      </c>
      <c r="AP21" s="107" t="e">
        <f ca="1">_xll.ciqfunctions.udf.CIQ(A21, "IQ_BUSINESS_DESCRIPTION")</f>
        <v>#NAME?</v>
      </c>
      <c r="AQ21" s="108" t="e">
        <f ca="1">_xll.ciqfunctions.udf.CIQ($A21, "IQ_BETA_1YR", $B$1)</f>
        <v>#NAME?</v>
      </c>
      <c r="AR21" s="108" t="e">
        <f ca="1">_xll.ciqfunctions.udf.CIQ($A21, "IQ_BETA_2YR", $B$1)</f>
        <v>#NAME?</v>
      </c>
      <c r="AS21" s="108" t="e">
        <f ca="1">_xll.ciqfunctions.udf.CIQ($A21, "IQ_BETA_5YR", $B$1)</f>
        <v>#NAME?</v>
      </c>
      <c r="AT21" s="106" t="e">
        <f ca="1">_xll.ciqfunctions.udf.CIQ($A21, "IQ_DIVIDEND_YIELD", $B$1)/100</f>
        <v>#NAME?</v>
      </c>
      <c r="AU21" s="105" t="e">
        <f ca="1">_xll.ciqfunctions.udf.CIQ($A21, "IQ_EARNING_CO", IQ_LTM-8, $L$2, $L$4, $L$3, $L$5, $L$6)</f>
        <v>#NAME?</v>
      </c>
      <c r="AV21" s="105" t="e">
        <f ca="1">_xll.ciqfunctions.udf.CIQ($A21, "IQ_EARNING_CO", IQ_LTM-4, $L$2, $L$4, $L$3, $L$5, $L$6)</f>
        <v>#NAME?</v>
      </c>
      <c r="AW21" s="105" t="e">
        <f ca="1">_xll.ciqfunctions.udf.CIQ($A21, "IQ_EARNING_CO", IQ_LTM, $L$2, $L$4, $L$3, $L$5, $L$6)</f>
        <v>#NAME?</v>
      </c>
      <c r="AX21" s="105" t="e">
        <f ca="1">_xll.ciqfunctions.udf.CIQ($A21, "IQ_EARNING_CO", $B$2, $L$2, $L$4, $L$3, $L$5, $L$6)</f>
        <v>#NAME?</v>
      </c>
      <c r="AY21" s="105" t="e">
        <f ca="1">IF(_xll.ciqfunctions.udf.CIQ($A21, "IQ_EARNING_CO", $B$3, $L$2,$L$4, $L$3, $L$5, $L$6)=0,AW21,_xll.ciqfunctions.udf.CIQ($A21, "IQ_EARNING_CO", $B$3, $L$2,$L$4, $L$3, $L$5, $L$6))</f>
        <v>#NAME?</v>
      </c>
      <c r="AZ21" s="105" t="e">
        <f ca="1">_xll.ciqfunctions.udf.CIQ($A21, "IQ_TOTAL_EQUITY", IQ_LTM-8, $L$2, $L$4, $L$3, $L$5, $L$6)</f>
        <v>#NAME?</v>
      </c>
      <c r="BA21" s="105" t="e">
        <f ca="1">_xll.ciqfunctions.udf.CIQ($A21, "IQ_TOTAL_EQUITY", IQ_LTM-4, $L$2, $L$4, $L$3, $L$5, $L$6)</f>
        <v>#NAME?</v>
      </c>
      <c r="BB21" s="105" t="e">
        <f ca="1">_xll.ciqfunctions.udf.CIQ($A21, "IQ_TOTAL_EQUITY", IQ_LTM, $L$2, $L$4, $L$3, $L$5, $L$6)</f>
        <v>#NAME?</v>
      </c>
      <c r="BC21" s="105" t="e">
        <f ca="1">_xll.ciqfunctions.udf.CIQ($A21, "IQ_TOTAL_EQUITY", $B$2, $L$2, $L$4, $L$3, $L$5, $L$6)</f>
        <v>#NAME?</v>
      </c>
      <c r="BD21" s="105" t="e">
        <f ca="1">IF(_xll.ciqfunctions.udf.CIQ($A21, "IQ_TOTAL_EQUITY", $B$3, $L$2,$L$4, $L$3, $L$5, $L$6)=0,BB21,_xll.ciqfunctions.udf.CIQ($A21, "IQ_TOTAL_EQUITY", $B$3, $L$2,$L$4, $L$3, $L$5, $L$6))</f>
        <v>#NAME?</v>
      </c>
      <c r="BE21" s="105" t="e">
        <f ca="1">_xll.ciqfunctions.udf.CIQ(A21, "IQ_LASTSALEPRICE", $B$8)</f>
        <v>#NAME?</v>
      </c>
      <c r="BF21" s="105" t="e">
        <f ca="1">_xll.ciqfunctions.udf.CIQ($A21, "IQ_MARKETCAP", $B$8, $L$5, $L$6)</f>
        <v>#NAME?</v>
      </c>
      <c r="BG21" s="105" t="e">
        <f ca="1">_xll.ciqfunctions.udf.CIQ($A21, "IQ_TOTAL_DEBT", IQ_LTM, $B$8,$L$4, $L$3, $L$5, $L$6)</f>
        <v>#NAME?</v>
      </c>
      <c r="BH21" s="74" t="e">
        <f ca="1">_xll.ciqfunctions.udf.CIQ($A21,"IQ_PREF_EQUITY",IQ_LTM,$B$8,$L$4,$L$3,$L$5,$L$6)</f>
        <v>#NAME?</v>
      </c>
      <c r="BI21" s="74" t="e">
        <f ca="1">_xll.ciqfunctions.udf.CIQ($A21, "IQ_MINORITY_INTEREST_TOTAL", IQ_LTM,$B$8,$L$4,$L$3,$L$5,$L$6)</f>
        <v>#NAME?</v>
      </c>
      <c r="BJ21" s="105" t="e">
        <f ca="1">_xll.ciqfunctions.udf.CIQ($A21, "IQ_CASH_ST_INVEST", IQ_LTM, $B$8, $L$4, $L$3, $L$5, $L$6)</f>
        <v>#NAME?</v>
      </c>
      <c r="BK21" s="74" t="e">
        <f ca="1">_xll.ciqfunctions.udf.CIQ($A21, "IQ_EFFECT_TAX_RATE")</f>
        <v>#NAME?</v>
      </c>
      <c r="BL21" s="74" t="e">
        <f ca="1">IF(_xll.ciqfunctions.udf.CIQ($A21, "IQ_TOTAL_REV_2YR_ANN_CAGR", IQ_LTM, $B$1,$L$4, $L$3, $L$5, $L$6)="NM","n/a",(_xll.ciqfunctions.udf.CIQ($A21, "IQ_TOTAL_REV_2YR_ANN_CAGR", IQ_LTM, $B$1,$L$4, $L$3, $L$5, $L$6)/100))</f>
        <v>#NAME?</v>
      </c>
      <c r="BM21" s="74" t="e">
        <f ca="1">IF(_xll.ciqfunctions.udf.CIQ($A21, "IQ_TOTAL_REV_3YR_ANN_CAGR", IQ_LTM, $B$1,$L$4, $L$3, $L$5, $L$6)="NM","n/a",(_xll.ciqfunctions.udf.CIQ($A21, "IQ_TOTAL_REV_3YR_ANN_CAGR", IQ_LTM, $B$1,$L$4, $L$3, $L$5, $L$6)/100))</f>
        <v>#NAME?</v>
      </c>
      <c r="BN21" s="74" t="e">
        <f ca="1">IF(_xll.ciqfunctions.udf.CIQ($A21, "IQ_TOTAL_REV_5YR_ANN_CAGR", IQ_LTM, $B$1,$L$4, $L$3, $L$5, $L$6)="NM","n/a",(_xll.ciqfunctions.udf.CIQ($A21, "IQ_TOTAL_REV_5YR_ANN_CAGR", IQ_LTM, $B$1,$L$4, $L$3, $L$5, $L$6)/100))</f>
        <v>#NAME?</v>
      </c>
      <c r="BO21" s="74" t="e">
        <f ca="1">IF(_xll.ciqfunctions.udf.CIQ($A21,"IQ_EBITDA_2YR_ANN_CAGR", IQ_LTM,$B$1,$L$4, $L$3, $L$5, $L$6)="NM","n/a",(_xll.ciqfunctions.udf.CIQ($A21,"IQ_EBITDA_2YR_ANN_CAGR", IQ_LTM,$B$1,$L$4, $L$3, $L$5, $L$6)/100))</f>
        <v>#NAME?</v>
      </c>
      <c r="BP21" s="74" t="e">
        <f ca="1">IF(_xll.ciqfunctions.udf.CIQ($A21,"IQ_EBITDA_3YR_ANN_CAGR", IQ_LTM,$B$1,$L$4, $L$3, $L$5, $L$6)="NM","n/a",(_xll.ciqfunctions.udf.CIQ($A21,"IQ_EBITDA_3YR_ANN_CAGR", IQ_LTM,$B$1,$L$4, $L$3, $L$5, $L$6)/100))</f>
        <v>#NAME?</v>
      </c>
      <c r="BQ21" s="74" t="e">
        <f ca="1">IF(_xll.ciqfunctions.udf.CIQ($A21,"IQ_EBITDA_5YR_ANN_CAGR", IQ_LTM,$B$1,$L$4, $L$3, $L$5, $L$6)="NM","n/a",(_xll.ciqfunctions.udf.CIQ($A21,"IQ_EBITDA_5YR_ANN_CAGR", IQ_LTM,$B$1,$L$4, $L$3, $L$5, $L$6)/100))</f>
        <v>#NAME?</v>
      </c>
      <c r="BR21" s="78" t="str">
        <f ca="1">IFERROR((_xll.ciqfunctions.udf.CIQ($A21, "IQ_DA_CF", IQ_LTM, $B$1, $L$4, $L$3, $L$5, $L$6)/Q21),"NM")</f>
        <v>NM</v>
      </c>
      <c r="BS21" s="109">
        <f>'Capital IQ Sheet-GPC'!BS21</f>
        <v>0.78212139552972182</v>
      </c>
      <c r="BT21" s="109">
        <f>'Capital IQ Sheet-GPC'!BT21</f>
        <v>0.82210152397422587</v>
      </c>
      <c r="BU21" s="109">
        <f>'Capital IQ Sheet-GPC'!BU21</f>
        <v>0.8052399960875728</v>
      </c>
      <c r="BV21" s="109" t="str">
        <f>'Capital IQ Sheet-GPC'!BV21</f>
        <v>n/a</v>
      </c>
      <c r="BW21" s="109" t="str">
        <f>'Capital IQ Sheet-GPC'!BW21</f>
        <v>n/a</v>
      </c>
      <c r="BX21" s="109" t="str">
        <f>'Capital IQ Sheet-GPC'!BX21</f>
        <v>n/a</v>
      </c>
      <c r="BY21" s="109" t="str">
        <f>'Capital IQ Sheet-GPC'!BY21</f>
        <v>n/a</v>
      </c>
      <c r="BZ21" s="109" t="str">
        <f>'Capital IQ Sheet-GPC'!BZ21</f>
        <v>n/a</v>
      </c>
      <c r="CB21" s="74">
        <v>2</v>
      </c>
      <c r="CC21" s="149" t="s">
        <v>315</v>
      </c>
      <c r="CD21" s="149" t="s">
        <v>314</v>
      </c>
      <c r="CE21" s="76">
        <f t="shared" si="0"/>
        <v>42005</v>
      </c>
    </row>
    <row r="22" spans="1:83" s="74" customFormat="1" ht="12.75">
      <c r="A22" s="75" t="e">
        <f ca="1">_xll.ciqfunctions.udf.CIQ($B22,"IQ_COMPANY_TICKER")</f>
        <v>#NAME?</v>
      </c>
      <c r="B22" s="104" t="str">
        <f>'Capital IQ Sheet-GPC'!B22</f>
        <v>IQ277799796</v>
      </c>
      <c r="C22" s="75" t="e">
        <f ca="1">_xll.ciqfunctions.udf.CIQ($A22,"IQ_COMPANY_NAME")</f>
        <v>#NAME?</v>
      </c>
      <c r="D22" s="75" t="e">
        <f ca="1">_xll.ciqfunctions.udf.CIQ($A22, "IQ_EXCHANGE")</f>
        <v>#NAME?</v>
      </c>
      <c r="E22" s="103" t="e">
        <f ca="1">_xll.ciqfunctions.udf.CIQ($A22, "IQ_PERIODDATE_IS", IQ_FY)</f>
        <v>#NAME?</v>
      </c>
      <c r="F22" s="103" t="e">
        <f ca="1">_xll.ciqfunctions.udf.CIQ(A22, "IQ_PERIODDATE_IS", IQ_LTM, $B$1,$L$4,$L$3)</f>
        <v>#NAME?</v>
      </c>
      <c r="G22" s="103" t="e">
        <f ca="1">_xll.ciqfunctions.udf.CIQ($A22, "IQ_FIRSTPRICINGDATE")</f>
        <v>#NAME?</v>
      </c>
      <c r="H22" s="105" t="e">
        <f ca="1">_xll.ciqfunctions.udf.CIQ($A22, "IQ_TEV", $L$2, $L$5, $L$6)</f>
        <v>#NAME?</v>
      </c>
      <c r="I22" s="105" t="e">
        <f ca="1">_xll.ciqfunctions.udf.CIQ(A22, "IQ_LASTSALEPRICE", $B$1,$L$5)</f>
        <v>#NAME?</v>
      </c>
      <c r="J22" s="105" t="e">
        <f ca="1">_xll.ciqfunctions.udf.CIQ($A22, "IQ_MARKETCAP", $L$2, $L$5, $L$6)</f>
        <v>#NAME?</v>
      </c>
      <c r="K22" s="105" t="e">
        <f ca="1">_xll.ciqfunctions.udf.CIQ($A22, "IQ_TOTAL_DEBT", IQ_LTM, $L$2,$L$4, $L$3, $L$5, $L$6)</f>
        <v>#NAME?</v>
      </c>
      <c r="L22" s="105" t="e">
        <f ca="1">_xll.ciqfunctions.udf.CIQ($A22, "IQ_PREF_EQUITY", IQ_LTM, $L$2, $L$4, $L$3, $L$5, $L$6)</f>
        <v>#NAME?</v>
      </c>
      <c r="M22" s="105" t="e">
        <f ca="1">_xll.ciqfunctions.udf.CIQ($A22, "IQ_MINORITY_INTEREST_TOTAL", IQ_LTM, $L$2, $L$4, $L$3, $L$5, $L$6)</f>
        <v>#NAME?</v>
      </c>
      <c r="N22" s="105" t="e">
        <f ca="1">_xll.ciqfunctions.udf.CIQ($A22, "IQ_CASH_ST_INVEST", IQ_LTM, $L$2, $L$4, $L$3, $L$5, $L$6)</f>
        <v>#NAME?</v>
      </c>
      <c r="O22" s="105" t="e">
        <f ca="1">_xll.ciqfunctions.udf.CIQ($A22, "IQ_TOTAL_REV", IQ_LTM-8, $L$2, $L$4, $L$3, $L$5, $L$6)</f>
        <v>#NAME?</v>
      </c>
      <c r="P22" s="105" t="e">
        <f ca="1">_xll.ciqfunctions.udf.CIQ($A22, "IQ_TOTAL_REV", IQ_LTM - 4, $L$2, $L$4, $L$3, $L$5,$L$6)</f>
        <v>#NAME?</v>
      </c>
      <c r="Q22" s="105" t="e">
        <f ca="1">_xll.ciqfunctions.udf.CIQ($A22, "IQ_TOTAL_REV", IQ_LTM, $L$2, $L$4, $L$3, $L$5, $L$6)</f>
        <v>#NAME?</v>
      </c>
      <c r="R22" s="105" t="e">
        <f ca="1">_xll.ciqfunctions.udf.CIQ($A22, "IQ_TOTAL_REV", $B$2, $L$2, $L$4, $L$3, $L$5, $L$6)</f>
        <v>#NAME?</v>
      </c>
      <c r="S22" s="105" t="e">
        <f ca="1">IF(_xll.ciqfunctions.udf.CIQ($A22, "IQ_TOTAL_REV", $B$3, $L$2,$L$4, $L$3, $L$5, $L$6)=0,Q22,_xll.ciqfunctions.udf.CIQ($A22, "IQ_TOTAL_REV", $B$3, $L$2,$L$4, $L$3, $L$5, $L$6))</f>
        <v>#NAME?</v>
      </c>
      <c r="T22" s="105" t="e">
        <f ca="1">IF(_xll.ciqfunctions.udf.CIQ($A22, "IQ_REVENUE_EST",$B$4, $L$2, "CON", $L$3, $L$5, $L$6)=0,"n/a",_xll.ciqfunctions.udf.CIQ($A22, "IQ_REVENUE_EST",$B$4, $L$2, "CON", $L$3, $L$5, $L$6))</f>
        <v>#NAME?</v>
      </c>
      <c r="U22" s="105" t="e">
        <f ca="1">IF(_xll.ciqfunctions.udf.CIQ($A22, "IQ_REVENUE_EST",$B$5, $L$2, "CON", $L$3, $L$5, $L$6)=0,"n/a",_xll.ciqfunctions.udf.CIQ($A22, "IQ_REVENUE_EST",$B$5, $L$2, "CON", $L$3, $L$5, $L$6))</f>
        <v>#NAME?</v>
      </c>
      <c r="V22" s="105" t="e">
        <f ca="1">IF(_xll.ciqfunctions.udf.CIQ($A22, "IQ_REVENUE_EST",$B$6, $L$2, "CON", $L$3, $L$5, $L$6)=0,"n/a",_xll.ciqfunctions.udf.CIQ($A22, "IQ_REVENUE_EST",$B$6, $L$2, "CON", $L$3, $L$5, $L$6))</f>
        <v>#NAME?</v>
      </c>
      <c r="W22" s="105" t="e">
        <f ca="1">IF(_xll.ciqfunctions.udf.CIQ($A22, "IQ_REVENUE_EST", $B$7, $L$2, "CON", $L$3, $L$5, $L$6)=0,"n/a",_xll.ciqfunctions.udf.CIQ($A22, "IQ_REVENUE_EST",$B$7, $L$2, "CON", $L$3, $L$5, $L$6))</f>
        <v>#NAME?</v>
      </c>
      <c r="X22" s="105" t="e">
        <f ca="1">_xll.ciqfunctions.udf.CIQ($A22, "IQ_EBITDA", IQ_LTM-8, $L$2, $L$4, $L$3, $L$5, $L$6)</f>
        <v>#NAME?</v>
      </c>
      <c r="Y22" s="105" t="e">
        <f ca="1">_xll.ciqfunctions.udf.CIQ($A22, "IQ_EBITDA", IQ_LTM-4, $L$2,$L$4, $L$3, $L$5, $L$6)</f>
        <v>#NAME?</v>
      </c>
      <c r="Z22" s="105" t="e">
        <f ca="1">_xll.ciqfunctions.udf.CIQ($A22, "IQ_EBITDA", IQ_LTM, $L$2, $L$4, $L$3, $L$5, $L$6)</f>
        <v>#NAME?</v>
      </c>
      <c r="AA22" s="105" t="e">
        <f ca="1">_xll.ciqfunctions.udf.CIQ($A22, "IQ_EBITDA", $B$2, $L$2, $L$4, $L$3, $L$5, $L$6)</f>
        <v>#NAME?</v>
      </c>
      <c r="AB22" s="105" t="e">
        <f ca="1">IF(_xll.ciqfunctions.udf.CIQ($A22, "IQ_EBITDA", $B$3, $L$2,$L$4, $L$3, $L$5, $L$6)=0,Z22,_xll.ciqfunctions.udf.CIQ($A22, "IQ_EBITDA", $B$3, $L$2,$L$4, $L$3, $L$5, $L$6))</f>
        <v>#NAME?</v>
      </c>
      <c r="AC22" s="105" t="e">
        <f ca="1">IF(_xll.ciqfunctions.udf.CIQ($A22, "IQ_EBITDA_EST",$B$4, $L$2, "CON", $L$3, $L$5, $L$6)=0,"n/a",_xll.ciqfunctions.udf.CIQ($A22, "IQ_EBITDA_EST",$B$4, $L$2, "CON", $L$3, $L$5, $L$6))</f>
        <v>#NAME?</v>
      </c>
      <c r="AD22" s="105" t="e">
        <f ca="1">IF(_xll.ciqfunctions.udf.CIQ($A22, "IQ_EBITDA_EST",$B$5, $L$2, "CON", $L$3, $L$5, $L$6)=0,"n/a",_xll.ciqfunctions.udf.CIQ($A22, "IQ_EBITDA_EST",$B$5, $L$2, "CON", $L$3, $L$5, $L$6))</f>
        <v>#NAME?</v>
      </c>
      <c r="AE22" s="105" t="e">
        <f ca="1">IF(_xll.ciqfunctions.udf.CIQ($A22, "IQ_EBITDA_EST",$B$6, $L$2, "CON", $L$3, $L$5, $L$6)=0,"n/a",_xll.ciqfunctions.udf.CIQ($A22, "IQ_EBITDA_EST",$B$6, $L$2, "CON", $L$3, $L$5, $L$6))</f>
        <v>#NAME?</v>
      </c>
      <c r="AF22" s="106" t="str">
        <f ca="1">IF(ISERROR(_xll.ciqfunctions.udf.CIQ($A22, "IQ_GROSS_MARGIN", IQ_LTM, $L$2,$L$4, $L$3, $L$5, $L$6)/100), "n/a", _xll.ciqfunctions.udf.CIQ($A22,  "IQ_GROSS_MARGIN", IQ_LTM, $L$2, $L$4, $L$3, $L$5, $L$6)/100)</f>
        <v>n/a</v>
      </c>
      <c r="AG22" s="106" t="str">
        <f ca="1">IF(ISERROR(_xll.ciqfunctions.udf.CIQ($A22,"IQ_EBITDA_MARGIN", IQ_LTM, $L$2, $L$4, $L$3, $L$5, $L$6)/100), "n/a", _xll.ciqfunctions.udf.CIQ($A22, "IQ_EBITDA_MARGIN", IQ_LTM, $L$2, $L$4, $L$3, $L$5, $L$6)/100)</f>
        <v>n/a</v>
      </c>
      <c r="AH22" s="106" t="str">
        <f ca="1">IF(ISERROR(_xll.ciqfunctions.udf.CIQ($A22,"IQ_EBIT_MARGIN", IQ_LTM, $L$2, $L$4, $L$3, $L$5, $L$6)/100), "n/a", _xll.ciqfunctions.udf.CIQ($A22, "IQ_EBIT_MARGIN", IQ_LTM, $L$2, $L$4, $L$3, $L$5, $L$6)/100)</f>
        <v>n/a</v>
      </c>
      <c r="AI22" s="106" t="str">
        <f ca="1">IF(ISERROR(_xll.ciqfunctions.udf.CIQ($A22,"IQ_NI_MARGIN", IQ_LTM, $L$2, $L$4, $L$3, $L$5, $L$6)/100), "n/a", _xll.ciqfunctions.udf.CIQ($A22, "IQ_NI_MARGIN", IQ_LTM, $L$2, $L$4, $L$3, $L$5, $L$6)/100)</f>
        <v>n/a</v>
      </c>
      <c r="AJ22" s="105" t="str">
        <f ca="1">IF(ISERROR(_xll.ciqfunctions.udf.CIQ($A22, "IQ_NET_WORKING_CAP", IQ_LTM-8, $L$2, $L$4, $L$3, $L$5, $L$6)), "n/a", _xll.ciqfunctions.udf.CIQ($A22, "IQ_NET_WORKING_CAP", IQ_LTM-8, $L$2, $L$4, $L$3, $L$5, $L$6))</f>
        <v>n/a</v>
      </c>
      <c r="AK22" s="105" t="str">
        <f ca="1">IF(ISERROR(_xll.ciqfunctions.udf.CIQ($A22, "IQ_NET_WORKING_CAP", IQ_LTM-4, $L$2, $L$4, $L$3, $L$5, $L$6)), "n/a", _xll.ciqfunctions.udf.CIQ($A22, "IQ_NET_WORKING_CAP", IQ_LTM-4, $L$2, $L$4, $L$3, $L$5, $L$6))</f>
        <v>n/a</v>
      </c>
      <c r="AL22" s="105" t="str">
        <f ca="1">IF(ISERROR(_xll.ciqfunctions.udf.CIQ($A22, "IQ_NET_WORKING_CAP", IQ_LTM, $L$2,$L$4, $L$3, $L$5, $L$6)), "n/a", _xll.ciqfunctions.udf.CIQ($A22, "IQ_NET_WORKING_CAP", IQ_LTM, $L$2, $L$4, $L$3, $L$5, $L$6))</f>
        <v>n/a</v>
      </c>
      <c r="AM22" s="105" t="str">
        <f ca="1">IF(ISERROR(_xll.ciqfunctions.udf.CIQ($A22, "IQ_Capex", IQ_LTM-8, $L$2,$L$4, $L$3, $L$5, $L$6)), "n/a", _xll.ciqfunctions.udf.CIQ($A22, "IQ_Capex", IQ_LTM-8, $L$2, $L$4, $L$3, $L$5, $L$6))</f>
        <v>n/a</v>
      </c>
      <c r="AN22" s="105" t="str">
        <f ca="1">IF(ISERROR(_xll.ciqfunctions.udf.CIQ($A22, "IQ_Capex", IQ_LTM-4, $L$2,$L$4, $L$3, $L$5, $L$6)), "n/a", _xll.ciqfunctions.udf.CIQ($A22, "IQ_Capex", IQ_LTM-4, $L$2,$L$4, $L$3, $L$5, $L$6))</f>
        <v>n/a</v>
      </c>
      <c r="AO22" s="105" t="str">
        <f ca="1">IF(ISERROR(_xll.ciqfunctions.udf.CIQ($A22, "IQ_Capex", IQ_LTM, $L$2, $L$4, $L$3, $L$5, $L$6)), "n/a", _xll.ciqfunctions.udf.CIQ($A22, "IQ_Capex", IQ_LTM, $L$2, $L$4, $L$3, $L$5, $L$6))</f>
        <v>n/a</v>
      </c>
      <c r="AP22" s="107" t="e">
        <f ca="1">_xll.ciqfunctions.udf.CIQ(A22, "IQ_BUSINESS_DESCRIPTION")</f>
        <v>#NAME?</v>
      </c>
      <c r="AQ22" s="108" t="e">
        <f ca="1">_xll.ciqfunctions.udf.CIQ($A22, "IQ_BETA_1YR", $B$1)</f>
        <v>#NAME?</v>
      </c>
      <c r="AR22" s="108" t="e">
        <f ca="1">_xll.ciqfunctions.udf.CIQ($A22, "IQ_BETA_2YR", $B$1)</f>
        <v>#NAME?</v>
      </c>
      <c r="AS22" s="108" t="e">
        <f ca="1">_xll.ciqfunctions.udf.CIQ($A22, "IQ_BETA_5YR", $B$1)</f>
        <v>#NAME?</v>
      </c>
      <c r="AT22" s="106" t="e">
        <f ca="1">_xll.ciqfunctions.udf.CIQ($A22, "IQ_DIVIDEND_YIELD", $B$1)/100</f>
        <v>#NAME?</v>
      </c>
      <c r="AU22" s="105" t="e">
        <f ca="1">_xll.ciqfunctions.udf.CIQ($A22, "IQ_EARNING_CO", IQ_LTM-8, $L$2, $L$4, $L$3, $L$5, $L$6)</f>
        <v>#NAME?</v>
      </c>
      <c r="AV22" s="105" t="e">
        <f ca="1">_xll.ciqfunctions.udf.CIQ($A22, "IQ_EARNING_CO", IQ_LTM-4, $L$2, $L$4, $L$3, $L$5, $L$6)</f>
        <v>#NAME?</v>
      </c>
      <c r="AW22" s="105" t="e">
        <f ca="1">_xll.ciqfunctions.udf.CIQ($A22, "IQ_EARNING_CO", IQ_LTM, $L$2, $L$4, $L$3, $L$5, $L$6)</f>
        <v>#NAME?</v>
      </c>
      <c r="AX22" s="105" t="e">
        <f ca="1">_xll.ciqfunctions.udf.CIQ($A22, "IQ_EARNING_CO", $B$2, $L$2, $L$4, $L$3, $L$5, $L$6)</f>
        <v>#NAME?</v>
      </c>
      <c r="AY22" s="105" t="e">
        <f ca="1">IF(_xll.ciqfunctions.udf.CIQ($A22, "IQ_EARNING_CO", $B$3, $L$2,$L$4, $L$3, $L$5, $L$6)=0,AW22,_xll.ciqfunctions.udf.CIQ($A22, "IQ_EARNING_CO", $B$3, $L$2,$L$4, $L$3, $L$5, $L$6))</f>
        <v>#NAME?</v>
      </c>
      <c r="AZ22" s="105" t="e">
        <f ca="1">_xll.ciqfunctions.udf.CIQ($A22, "IQ_TOTAL_EQUITY", IQ_LTM-8, $L$2, $L$4, $L$3, $L$5, $L$6)</f>
        <v>#NAME?</v>
      </c>
      <c r="BA22" s="105" t="e">
        <f ca="1">_xll.ciqfunctions.udf.CIQ($A22, "IQ_TOTAL_EQUITY", IQ_LTM-4, $L$2, $L$4, $L$3, $L$5, $L$6)</f>
        <v>#NAME?</v>
      </c>
      <c r="BB22" s="105" t="e">
        <f ca="1">_xll.ciqfunctions.udf.CIQ($A22, "IQ_TOTAL_EQUITY", IQ_LTM, $L$2, $L$4, $L$3, $L$5, $L$6)</f>
        <v>#NAME?</v>
      </c>
      <c r="BC22" s="105" t="e">
        <f ca="1">_xll.ciqfunctions.udf.CIQ($A22, "IQ_TOTAL_EQUITY", $B$2, $L$2, $L$4, $L$3, $L$5, $L$6)</f>
        <v>#NAME?</v>
      </c>
      <c r="BD22" s="105" t="e">
        <f ca="1">IF(_xll.ciqfunctions.udf.CIQ($A22, "IQ_TOTAL_EQUITY", $B$3, $L$2,$L$4, $L$3, $L$5, $L$6)=0,BB22,_xll.ciqfunctions.udf.CIQ($A22, "IQ_TOTAL_EQUITY", $B$3, $L$2,$L$4, $L$3, $L$5, $L$6))</f>
        <v>#NAME?</v>
      </c>
      <c r="BE22" s="105" t="e">
        <f ca="1">_xll.ciqfunctions.udf.CIQ(A22, "IQ_LASTSALEPRICE", $B$8)</f>
        <v>#NAME?</v>
      </c>
      <c r="BF22" s="105" t="e">
        <f ca="1">_xll.ciqfunctions.udf.CIQ($A22, "IQ_MARKETCAP", $B$8, $L$5, $L$6)</f>
        <v>#NAME?</v>
      </c>
      <c r="BG22" s="105" t="e">
        <f ca="1">_xll.ciqfunctions.udf.CIQ($A22, "IQ_TOTAL_DEBT", IQ_LTM, $B$8,$L$4, $L$3, $L$5, $L$6)</f>
        <v>#NAME?</v>
      </c>
      <c r="BH22" s="74" t="e">
        <f ca="1">_xll.ciqfunctions.udf.CIQ($A22,"IQ_PREF_EQUITY",IQ_LTM,$B$8,$L$4,$L$3,$L$5,$L$6)</f>
        <v>#NAME?</v>
      </c>
      <c r="BI22" s="74" t="e">
        <f ca="1">_xll.ciqfunctions.udf.CIQ($A22, "IQ_MINORITY_INTEREST_TOTAL", IQ_LTM,$B$8,$L$4,$L$3,$L$5,$L$6)</f>
        <v>#NAME?</v>
      </c>
      <c r="BJ22" s="105" t="e">
        <f ca="1">_xll.ciqfunctions.udf.CIQ($A22, "IQ_CASH_ST_INVEST", IQ_LTM, $B$8, $L$4, $L$3, $L$5, $L$6)</f>
        <v>#NAME?</v>
      </c>
      <c r="BK22" s="74" t="e">
        <f ca="1">_xll.ciqfunctions.udf.CIQ($A22, "IQ_EFFECT_TAX_RATE")</f>
        <v>#NAME?</v>
      </c>
      <c r="BL22" s="74" t="e">
        <f ca="1">IF(_xll.ciqfunctions.udf.CIQ($A22, "IQ_TOTAL_REV_2YR_ANN_CAGR", IQ_LTM, $B$1,$L$4, $L$3, $L$5, $L$6)="NM","n/a",(_xll.ciqfunctions.udf.CIQ($A22, "IQ_TOTAL_REV_2YR_ANN_CAGR", IQ_LTM, $B$1,$L$4, $L$3, $L$5, $L$6)/100))</f>
        <v>#NAME?</v>
      </c>
      <c r="BM22" s="74" t="e">
        <f ca="1">IF(_xll.ciqfunctions.udf.CIQ($A22, "IQ_TOTAL_REV_3YR_ANN_CAGR", IQ_LTM, $B$1,$L$4, $L$3, $L$5, $L$6)="NM","n/a",(_xll.ciqfunctions.udf.CIQ($A22, "IQ_TOTAL_REV_3YR_ANN_CAGR", IQ_LTM, $B$1,$L$4, $L$3, $L$5, $L$6)/100))</f>
        <v>#NAME?</v>
      </c>
      <c r="BN22" s="74" t="e">
        <f ca="1">IF(_xll.ciqfunctions.udf.CIQ($A22, "IQ_TOTAL_REV_5YR_ANN_CAGR", IQ_LTM, $B$1,$L$4, $L$3, $L$5, $L$6)="NM","n/a",(_xll.ciqfunctions.udf.CIQ($A22, "IQ_TOTAL_REV_5YR_ANN_CAGR", IQ_LTM, $B$1,$L$4, $L$3, $L$5, $L$6)/100))</f>
        <v>#NAME?</v>
      </c>
      <c r="BO22" s="74" t="e">
        <f ca="1">IF(_xll.ciqfunctions.udf.CIQ($A22,"IQ_EBITDA_2YR_ANN_CAGR", IQ_LTM,$B$1,$L$4, $L$3, $L$5, $L$6)="NM","n/a",(_xll.ciqfunctions.udf.CIQ($A22,"IQ_EBITDA_2YR_ANN_CAGR", IQ_LTM,$B$1,$L$4, $L$3, $L$5, $L$6)/100))</f>
        <v>#NAME?</v>
      </c>
      <c r="BP22" s="74" t="e">
        <f ca="1">IF(_xll.ciqfunctions.udf.CIQ($A22,"IQ_EBITDA_3YR_ANN_CAGR", IQ_LTM,$B$1,$L$4, $L$3, $L$5, $L$6)="NM","n/a",(_xll.ciqfunctions.udf.CIQ($A22,"IQ_EBITDA_3YR_ANN_CAGR", IQ_LTM,$B$1,$L$4, $L$3, $L$5, $L$6)/100))</f>
        <v>#NAME?</v>
      </c>
      <c r="BQ22" s="74" t="e">
        <f ca="1">IF(_xll.ciqfunctions.udf.CIQ($A22,"IQ_EBITDA_5YR_ANN_CAGR", IQ_LTM,$B$1,$L$4, $L$3, $L$5, $L$6)="NM","n/a",(_xll.ciqfunctions.udf.CIQ($A22,"IQ_EBITDA_5YR_ANN_CAGR", IQ_LTM,$B$1,$L$4, $L$3, $L$5, $L$6)/100))</f>
        <v>#NAME?</v>
      </c>
      <c r="BR22" s="78" t="str">
        <f ca="1">IFERROR((_xll.ciqfunctions.udf.CIQ($A22, "IQ_DA_CF", IQ_LTM, $B$1, $L$4, $L$3, $L$5, $L$6)/Q22),"NM")</f>
        <v>NM</v>
      </c>
      <c r="BS22" s="109">
        <f>'Capital IQ Sheet-GPC'!BS22</f>
        <v>0.73849289680398411</v>
      </c>
      <c r="BT22" s="109" t="str">
        <f>'Capital IQ Sheet-GPC'!BT22</f>
        <v>n/a</v>
      </c>
      <c r="BU22" s="109" t="str">
        <f>'Capital IQ Sheet-GPC'!BU22</f>
        <v>n/a</v>
      </c>
      <c r="BV22" s="109" t="str">
        <f>'Capital IQ Sheet-GPC'!BV22</f>
        <v>n/a</v>
      </c>
      <c r="BW22" s="109" t="str">
        <f>'Capital IQ Sheet-GPC'!BW22</f>
        <v>n/a</v>
      </c>
      <c r="BX22" s="109" t="str">
        <f>'Capital IQ Sheet-GPC'!BX22</f>
        <v>n/a</v>
      </c>
      <c r="BY22" s="109" t="str">
        <f>'Capital IQ Sheet-GPC'!BY22</f>
        <v>n/a</v>
      </c>
      <c r="BZ22" s="109" t="str">
        <f>'Capital IQ Sheet-GPC'!BZ22</f>
        <v>n/a</v>
      </c>
      <c r="CB22" s="74">
        <v>2</v>
      </c>
      <c r="CC22" s="149" t="s">
        <v>315</v>
      </c>
      <c r="CD22" s="149" t="s">
        <v>314</v>
      </c>
      <c r="CE22" s="76">
        <f t="shared" si="0"/>
        <v>42005</v>
      </c>
    </row>
    <row r="23" spans="1:83" s="74" customFormat="1" ht="12.75">
      <c r="A23" s="75" t="e">
        <f ca="1">_xll.ciqfunctions.udf.CIQ($B23,"IQ_COMPANY_TICKER")</f>
        <v>#NAME?</v>
      </c>
      <c r="B23" s="104" t="str">
        <f>'Capital IQ Sheet-GPC'!B23</f>
        <v>IQ235063288</v>
      </c>
      <c r="C23" s="75" t="e">
        <f ca="1">_xll.ciqfunctions.udf.CIQ($A23,"IQ_COMPANY_NAME")</f>
        <v>#NAME?</v>
      </c>
      <c r="D23" s="75" t="e">
        <f ca="1">_xll.ciqfunctions.udf.CIQ($A23, "IQ_EXCHANGE")</f>
        <v>#NAME?</v>
      </c>
      <c r="E23" s="103" t="e">
        <f ca="1">_xll.ciqfunctions.udf.CIQ($A23, "IQ_PERIODDATE_IS", IQ_FY)</f>
        <v>#NAME?</v>
      </c>
      <c r="F23" s="103" t="e">
        <f ca="1">_xll.ciqfunctions.udf.CIQ(A23, "IQ_PERIODDATE_IS", IQ_LTM, $B$1,$L$4,$L$3)</f>
        <v>#NAME?</v>
      </c>
      <c r="G23" s="103" t="e">
        <f ca="1">_xll.ciqfunctions.udf.CIQ($A23, "IQ_FIRSTPRICINGDATE")</f>
        <v>#NAME?</v>
      </c>
      <c r="H23" s="105" t="e">
        <f ca="1">_xll.ciqfunctions.udf.CIQ($A23, "IQ_TEV", $L$2, $L$5, $L$6)</f>
        <v>#NAME?</v>
      </c>
      <c r="I23" s="105" t="e">
        <f ca="1">_xll.ciqfunctions.udf.CIQ(A23, "IQ_LASTSALEPRICE", $B$1,$L$5)</f>
        <v>#NAME?</v>
      </c>
      <c r="J23" s="105" t="e">
        <f ca="1">_xll.ciqfunctions.udf.CIQ($A23, "IQ_MARKETCAP", $L$2, $L$5, $L$6)</f>
        <v>#NAME?</v>
      </c>
      <c r="K23" s="105" t="e">
        <f ca="1">_xll.ciqfunctions.udf.CIQ($A23, "IQ_TOTAL_DEBT", IQ_LTM, $L$2,$L$4, $L$3, $L$5, $L$6)</f>
        <v>#NAME?</v>
      </c>
      <c r="L23" s="105" t="e">
        <f ca="1">_xll.ciqfunctions.udf.CIQ($A23, "IQ_PREF_EQUITY", IQ_LTM, $L$2, $L$4, $L$3, $L$5, $L$6)</f>
        <v>#NAME?</v>
      </c>
      <c r="M23" s="105" t="e">
        <f ca="1">_xll.ciqfunctions.udf.CIQ($A23, "IQ_MINORITY_INTEREST_TOTAL", IQ_LTM, $L$2, $L$4, $L$3, $L$5, $L$6)</f>
        <v>#NAME?</v>
      </c>
      <c r="N23" s="105" t="e">
        <f ca="1">_xll.ciqfunctions.udf.CIQ($A23, "IQ_CASH_ST_INVEST", IQ_LTM, $L$2, $L$4, $L$3, $L$5, $L$6)</f>
        <v>#NAME?</v>
      </c>
      <c r="O23" s="105" t="e">
        <f ca="1">_xll.ciqfunctions.udf.CIQ($A23, "IQ_TOTAL_REV", IQ_LTM-8, $L$2, $L$4, $L$3, $L$5, $L$6)</f>
        <v>#NAME?</v>
      </c>
      <c r="P23" s="105" t="e">
        <f ca="1">_xll.ciqfunctions.udf.CIQ($A23, "IQ_TOTAL_REV", IQ_LTM - 4, $L$2, $L$4, $L$3, $L$5,$L$6)</f>
        <v>#NAME?</v>
      </c>
      <c r="Q23" s="105" t="e">
        <f ca="1">_xll.ciqfunctions.udf.CIQ($A23, "IQ_TOTAL_REV", IQ_LTM, $L$2, $L$4, $L$3, $L$5, $L$6)</f>
        <v>#NAME?</v>
      </c>
      <c r="R23" s="105" t="e">
        <f ca="1">_xll.ciqfunctions.udf.CIQ($A23, "IQ_TOTAL_REV", $B$2, $L$2, $L$4, $L$3, $L$5, $L$6)</f>
        <v>#NAME?</v>
      </c>
      <c r="S23" s="105" t="e">
        <f ca="1">IF(_xll.ciqfunctions.udf.CIQ($A23, "IQ_TOTAL_REV", $B$3, $L$2,$L$4, $L$3, $L$5, $L$6)=0,Q23,_xll.ciqfunctions.udf.CIQ($A23, "IQ_TOTAL_REV", $B$3, $L$2,$L$4, $L$3, $L$5, $L$6))</f>
        <v>#NAME?</v>
      </c>
      <c r="T23" s="105" t="e">
        <f ca="1">IF(_xll.ciqfunctions.udf.CIQ($A23, "IQ_REVENUE_EST",$B$4, $L$2, "CON", $L$3, $L$5, $L$6)=0,"n/a",_xll.ciqfunctions.udf.CIQ($A23, "IQ_REVENUE_EST",$B$4, $L$2, "CON", $L$3, $L$5, $L$6))</f>
        <v>#NAME?</v>
      </c>
      <c r="U23" s="105" t="e">
        <f ca="1">IF(_xll.ciqfunctions.udf.CIQ($A23, "IQ_REVENUE_EST",$B$5, $L$2, "CON", $L$3, $L$5, $L$6)=0,"n/a",_xll.ciqfunctions.udf.CIQ($A23, "IQ_REVENUE_EST",$B$5, $L$2, "CON", $L$3, $L$5, $L$6))</f>
        <v>#NAME?</v>
      </c>
      <c r="V23" s="105" t="e">
        <f ca="1">IF(_xll.ciqfunctions.udf.CIQ($A23, "IQ_REVENUE_EST",$B$6, $L$2, "CON", $L$3, $L$5, $L$6)=0,"n/a",_xll.ciqfunctions.udf.CIQ($A23, "IQ_REVENUE_EST",$B$6, $L$2, "CON", $L$3, $L$5, $L$6))</f>
        <v>#NAME?</v>
      </c>
      <c r="W23" s="105" t="e">
        <f ca="1">IF(_xll.ciqfunctions.udf.CIQ($A23, "IQ_REVENUE_EST", $B$7, $L$2, "CON", $L$3, $L$5, $L$6)=0,"n/a",_xll.ciqfunctions.udf.CIQ($A23, "IQ_REVENUE_EST",$B$7, $L$2, "CON", $L$3, $L$5, $L$6))</f>
        <v>#NAME?</v>
      </c>
      <c r="X23" s="105" t="e">
        <f ca="1">_xll.ciqfunctions.udf.CIQ($A23, "IQ_EBITDA", IQ_LTM-8, $L$2, $L$4, $L$3, $L$5, $L$6)</f>
        <v>#NAME?</v>
      </c>
      <c r="Y23" s="105" t="e">
        <f ca="1">_xll.ciqfunctions.udf.CIQ($A23, "IQ_EBITDA", IQ_LTM-4, $L$2,$L$4, $L$3, $L$5, $L$6)</f>
        <v>#NAME?</v>
      </c>
      <c r="Z23" s="105" t="e">
        <f ca="1">_xll.ciqfunctions.udf.CIQ($A23, "IQ_EBITDA", IQ_LTM, $L$2, $L$4, $L$3, $L$5, $L$6)</f>
        <v>#NAME?</v>
      </c>
      <c r="AA23" s="105" t="e">
        <f ca="1">_xll.ciqfunctions.udf.CIQ($A23, "IQ_EBITDA", $B$2, $L$2, $L$4, $L$3, $L$5, $L$6)</f>
        <v>#NAME?</v>
      </c>
      <c r="AB23" s="105" t="e">
        <f ca="1">IF(_xll.ciqfunctions.udf.CIQ($A23, "IQ_EBITDA", $B$3, $L$2,$L$4, $L$3, $L$5, $L$6)=0,Z23,_xll.ciqfunctions.udf.CIQ($A23, "IQ_EBITDA", $B$3, $L$2,$L$4, $L$3, $L$5, $L$6))</f>
        <v>#NAME?</v>
      </c>
      <c r="AC23" s="105" t="e">
        <f ca="1">IF(_xll.ciqfunctions.udf.CIQ($A23, "IQ_EBITDA_EST",$B$4, $L$2, "CON", $L$3, $L$5, $L$6)=0,"n/a",_xll.ciqfunctions.udf.CIQ($A23, "IQ_EBITDA_EST",$B$4, $L$2, "CON", $L$3, $L$5, $L$6))</f>
        <v>#NAME?</v>
      </c>
      <c r="AD23" s="105" t="e">
        <f ca="1">IF(_xll.ciqfunctions.udf.CIQ($A23, "IQ_EBITDA_EST",$B$5, $L$2, "CON", $L$3, $L$5, $L$6)=0,"n/a",_xll.ciqfunctions.udf.CIQ($A23, "IQ_EBITDA_EST",$B$5, $L$2, "CON", $L$3, $L$5, $L$6))</f>
        <v>#NAME?</v>
      </c>
      <c r="AE23" s="105" t="e">
        <f ca="1">IF(_xll.ciqfunctions.udf.CIQ($A23, "IQ_EBITDA_EST",$B$6, $L$2, "CON", $L$3, $L$5, $L$6)=0,"n/a",_xll.ciqfunctions.udf.CIQ($A23, "IQ_EBITDA_EST",$B$6, $L$2, "CON", $L$3, $L$5, $L$6))</f>
        <v>#NAME?</v>
      </c>
      <c r="AF23" s="106" t="str">
        <f ca="1">IF(ISERROR(_xll.ciqfunctions.udf.CIQ($A23, "IQ_GROSS_MARGIN", IQ_LTM, $L$2,$L$4, $L$3, $L$5, $L$6)/100), "n/a", _xll.ciqfunctions.udf.CIQ($A23,  "IQ_GROSS_MARGIN", IQ_LTM, $L$2, $L$4, $L$3, $L$5, $L$6)/100)</f>
        <v>n/a</v>
      </c>
      <c r="AG23" s="106" t="str">
        <f ca="1">IF(ISERROR(_xll.ciqfunctions.udf.CIQ($A23,"IQ_EBITDA_MARGIN", IQ_LTM, $L$2, $L$4, $L$3, $L$5, $L$6)/100), "n/a", _xll.ciqfunctions.udf.CIQ($A23, "IQ_EBITDA_MARGIN", IQ_LTM, $L$2, $L$4, $L$3, $L$5, $L$6)/100)</f>
        <v>n/a</v>
      </c>
      <c r="AH23" s="106" t="str">
        <f ca="1">IF(ISERROR(_xll.ciqfunctions.udf.CIQ($A23,"IQ_EBIT_MARGIN", IQ_LTM, $L$2, $L$4, $L$3, $L$5, $L$6)/100), "n/a", _xll.ciqfunctions.udf.CIQ($A23, "IQ_EBIT_MARGIN", IQ_LTM, $L$2, $L$4, $L$3, $L$5, $L$6)/100)</f>
        <v>n/a</v>
      </c>
      <c r="AI23" s="106" t="str">
        <f ca="1">IF(ISERROR(_xll.ciqfunctions.udf.CIQ($A23,"IQ_NI_MARGIN", IQ_LTM, $L$2, $L$4, $L$3, $L$5, $L$6)/100), "n/a", _xll.ciqfunctions.udf.CIQ($A23, "IQ_NI_MARGIN", IQ_LTM, $L$2, $L$4, $L$3, $L$5, $L$6)/100)</f>
        <v>n/a</v>
      </c>
      <c r="AJ23" s="105" t="str">
        <f ca="1">IF(ISERROR(_xll.ciqfunctions.udf.CIQ($A23, "IQ_NET_WORKING_CAP", IQ_LTM-8, $L$2, $L$4, $L$3, $L$5, $L$6)), "n/a", _xll.ciqfunctions.udf.CIQ($A23, "IQ_NET_WORKING_CAP", IQ_LTM-8, $L$2, $L$4, $L$3, $L$5, $L$6))</f>
        <v>n/a</v>
      </c>
      <c r="AK23" s="105" t="str">
        <f ca="1">IF(ISERROR(_xll.ciqfunctions.udf.CIQ($A23, "IQ_NET_WORKING_CAP", IQ_LTM-4, $L$2, $L$4, $L$3, $L$5, $L$6)), "n/a", _xll.ciqfunctions.udf.CIQ($A23, "IQ_NET_WORKING_CAP", IQ_LTM-4, $L$2, $L$4, $L$3, $L$5, $L$6))</f>
        <v>n/a</v>
      </c>
      <c r="AL23" s="105" t="str">
        <f ca="1">IF(ISERROR(_xll.ciqfunctions.udf.CIQ($A23, "IQ_NET_WORKING_CAP", IQ_LTM, $L$2,$L$4, $L$3, $L$5, $L$6)), "n/a", _xll.ciqfunctions.udf.CIQ($A23, "IQ_NET_WORKING_CAP", IQ_LTM, $L$2, $L$4, $L$3, $L$5, $L$6))</f>
        <v>n/a</v>
      </c>
      <c r="AM23" s="105" t="str">
        <f ca="1">IF(ISERROR(_xll.ciqfunctions.udf.CIQ($A23, "IQ_Capex", IQ_LTM-8, $L$2,$L$4, $L$3, $L$5, $L$6)), "n/a", _xll.ciqfunctions.udf.CIQ($A23, "IQ_Capex", IQ_LTM-8, $L$2, $L$4, $L$3, $L$5, $L$6))</f>
        <v>n/a</v>
      </c>
      <c r="AN23" s="105" t="str">
        <f ca="1">IF(ISERROR(_xll.ciqfunctions.udf.CIQ($A23, "IQ_Capex", IQ_LTM-4, $L$2,$L$4, $L$3, $L$5, $L$6)), "n/a", _xll.ciqfunctions.udf.CIQ($A23, "IQ_Capex", IQ_LTM-4, $L$2,$L$4, $L$3, $L$5, $L$6))</f>
        <v>n/a</v>
      </c>
      <c r="AO23" s="105" t="str">
        <f ca="1">IF(ISERROR(_xll.ciqfunctions.udf.CIQ($A23, "IQ_Capex", IQ_LTM, $L$2, $L$4, $L$3, $L$5, $L$6)), "n/a", _xll.ciqfunctions.udf.CIQ($A23, "IQ_Capex", IQ_LTM, $L$2, $L$4, $L$3, $L$5, $L$6))</f>
        <v>n/a</v>
      </c>
      <c r="AP23" s="107" t="e">
        <f ca="1">_xll.ciqfunctions.udf.CIQ(A23, "IQ_BUSINESS_DESCRIPTION")</f>
        <v>#NAME?</v>
      </c>
      <c r="AQ23" s="108" t="e">
        <f ca="1">_xll.ciqfunctions.udf.CIQ($A23, "IQ_BETA_1YR", $B$1)</f>
        <v>#NAME?</v>
      </c>
      <c r="AR23" s="108" t="e">
        <f ca="1">_xll.ciqfunctions.udf.CIQ($A23, "IQ_BETA_2YR", $B$1)</f>
        <v>#NAME?</v>
      </c>
      <c r="AS23" s="108" t="e">
        <f ca="1">_xll.ciqfunctions.udf.CIQ($A23, "IQ_BETA_5YR", $B$1)</f>
        <v>#NAME?</v>
      </c>
      <c r="AT23" s="106" t="e">
        <f ca="1">_xll.ciqfunctions.udf.CIQ($A23, "IQ_DIVIDEND_YIELD", $B$1)/100</f>
        <v>#NAME?</v>
      </c>
      <c r="AU23" s="105" t="e">
        <f ca="1">_xll.ciqfunctions.udf.CIQ($A23, "IQ_EARNING_CO", IQ_LTM-8, $L$2, $L$4, $L$3, $L$5, $L$6)</f>
        <v>#NAME?</v>
      </c>
      <c r="AV23" s="105" t="e">
        <f ca="1">_xll.ciqfunctions.udf.CIQ($A23, "IQ_EARNING_CO", IQ_LTM-4, $L$2, $L$4, $L$3, $L$5, $L$6)</f>
        <v>#NAME?</v>
      </c>
      <c r="AW23" s="105" t="e">
        <f ca="1">_xll.ciqfunctions.udf.CIQ($A23, "IQ_EARNING_CO", IQ_LTM, $L$2, $L$4, $L$3, $L$5, $L$6)</f>
        <v>#NAME?</v>
      </c>
      <c r="AX23" s="105" t="e">
        <f ca="1">_xll.ciqfunctions.udf.CIQ($A23, "IQ_EARNING_CO", $B$2, $L$2, $L$4, $L$3, $L$5, $L$6)</f>
        <v>#NAME?</v>
      </c>
      <c r="AY23" s="105" t="e">
        <f ca="1">IF(_xll.ciqfunctions.udf.CIQ($A23, "IQ_EARNING_CO", $B$3, $L$2,$L$4, $L$3, $L$5, $L$6)=0,AW23,_xll.ciqfunctions.udf.CIQ($A23, "IQ_EARNING_CO", $B$3, $L$2,$L$4, $L$3, $L$5, $L$6))</f>
        <v>#NAME?</v>
      </c>
      <c r="AZ23" s="105" t="e">
        <f ca="1">_xll.ciqfunctions.udf.CIQ($A23, "IQ_TOTAL_EQUITY", IQ_LTM-8, $L$2, $L$4, $L$3, $L$5, $L$6)</f>
        <v>#NAME?</v>
      </c>
      <c r="BA23" s="105" t="e">
        <f ca="1">_xll.ciqfunctions.udf.CIQ($A23, "IQ_TOTAL_EQUITY", IQ_LTM-4, $L$2, $L$4, $L$3, $L$5, $L$6)</f>
        <v>#NAME?</v>
      </c>
      <c r="BB23" s="105" t="e">
        <f ca="1">_xll.ciqfunctions.udf.CIQ($A23, "IQ_TOTAL_EQUITY", IQ_LTM, $L$2, $L$4, $L$3, $L$5, $L$6)</f>
        <v>#NAME?</v>
      </c>
      <c r="BC23" s="105" t="e">
        <f ca="1">_xll.ciqfunctions.udf.CIQ($A23, "IQ_TOTAL_EQUITY", $B$2, $L$2, $L$4, $L$3, $L$5, $L$6)</f>
        <v>#NAME?</v>
      </c>
      <c r="BD23" s="105" t="e">
        <f ca="1">IF(_xll.ciqfunctions.udf.CIQ($A23, "IQ_TOTAL_EQUITY", $B$3, $L$2,$L$4, $L$3, $L$5, $L$6)=0,BB23,_xll.ciqfunctions.udf.CIQ($A23, "IQ_TOTAL_EQUITY", $B$3, $L$2,$L$4, $L$3, $L$5, $L$6))</f>
        <v>#NAME?</v>
      </c>
      <c r="BE23" s="105" t="e">
        <f ca="1">_xll.ciqfunctions.udf.CIQ(A23, "IQ_LASTSALEPRICE", $B$8)</f>
        <v>#NAME?</v>
      </c>
      <c r="BF23" s="105" t="e">
        <f ca="1">_xll.ciqfunctions.udf.CIQ($A23, "IQ_MARKETCAP", $B$8, $L$5, $L$6)</f>
        <v>#NAME?</v>
      </c>
      <c r="BG23" s="105" t="e">
        <f ca="1">_xll.ciqfunctions.udf.CIQ($A23, "IQ_TOTAL_DEBT", IQ_LTM, $B$8,$L$4, $L$3, $L$5, $L$6)</f>
        <v>#NAME?</v>
      </c>
      <c r="BH23" s="74" t="e">
        <f ca="1">_xll.ciqfunctions.udf.CIQ($A23,"IQ_PREF_EQUITY",IQ_LTM,$B$8,$L$4,$L$3,$L$5,$L$6)</f>
        <v>#NAME?</v>
      </c>
      <c r="BI23" s="74" t="e">
        <f ca="1">_xll.ciqfunctions.udf.CIQ($A23, "IQ_MINORITY_INTEREST_TOTAL", IQ_LTM,$B$8,$L$4,$L$3,$L$5,$L$6)</f>
        <v>#NAME?</v>
      </c>
      <c r="BJ23" s="105" t="e">
        <f ca="1">_xll.ciqfunctions.udf.CIQ($A23, "IQ_CASH_ST_INVEST", IQ_LTM, $B$8, $L$4, $L$3, $L$5, $L$6)</f>
        <v>#NAME?</v>
      </c>
      <c r="BK23" s="74" t="e">
        <f ca="1">_xll.ciqfunctions.udf.CIQ($A23, "IQ_EFFECT_TAX_RATE")</f>
        <v>#NAME?</v>
      </c>
      <c r="BL23" s="74" t="e">
        <f ca="1">IF(_xll.ciqfunctions.udf.CIQ($A23, "IQ_TOTAL_REV_2YR_ANN_CAGR", IQ_LTM, $B$1,$L$4, $L$3, $L$5, $L$6)="NM","n/a",(_xll.ciqfunctions.udf.CIQ($A23, "IQ_TOTAL_REV_2YR_ANN_CAGR", IQ_LTM, $B$1,$L$4, $L$3, $L$5, $L$6)/100))</f>
        <v>#NAME?</v>
      </c>
      <c r="BM23" s="74" t="e">
        <f ca="1">IF(_xll.ciqfunctions.udf.CIQ($A23, "IQ_TOTAL_REV_3YR_ANN_CAGR", IQ_LTM, $B$1,$L$4, $L$3, $L$5, $L$6)="NM","n/a",(_xll.ciqfunctions.udf.CIQ($A23, "IQ_TOTAL_REV_3YR_ANN_CAGR", IQ_LTM, $B$1,$L$4, $L$3, $L$5, $L$6)/100))</f>
        <v>#NAME?</v>
      </c>
      <c r="BN23" s="74" t="e">
        <f ca="1">IF(_xll.ciqfunctions.udf.CIQ($A23, "IQ_TOTAL_REV_5YR_ANN_CAGR", IQ_LTM, $B$1,$L$4, $L$3, $L$5, $L$6)="NM","n/a",(_xll.ciqfunctions.udf.CIQ($A23, "IQ_TOTAL_REV_5YR_ANN_CAGR", IQ_LTM, $B$1,$L$4, $L$3, $L$5, $L$6)/100))</f>
        <v>#NAME?</v>
      </c>
      <c r="BO23" s="74" t="e">
        <f ca="1">IF(_xll.ciqfunctions.udf.CIQ($A23,"IQ_EBITDA_2YR_ANN_CAGR", IQ_LTM,$B$1,$L$4, $L$3, $L$5, $L$6)="NM","n/a",(_xll.ciqfunctions.udf.CIQ($A23,"IQ_EBITDA_2YR_ANN_CAGR", IQ_LTM,$B$1,$L$4, $L$3, $L$5, $L$6)/100))</f>
        <v>#NAME?</v>
      </c>
      <c r="BP23" s="74" t="e">
        <f ca="1">IF(_xll.ciqfunctions.udf.CIQ($A23,"IQ_EBITDA_3YR_ANN_CAGR", IQ_LTM,$B$1,$L$4, $L$3, $L$5, $L$6)="NM","n/a",(_xll.ciqfunctions.udf.CIQ($A23,"IQ_EBITDA_3YR_ANN_CAGR", IQ_LTM,$B$1,$L$4, $L$3, $L$5, $L$6)/100))</f>
        <v>#NAME?</v>
      </c>
      <c r="BQ23" s="74" t="e">
        <f ca="1">IF(_xll.ciqfunctions.udf.CIQ($A23,"IQ_EBITDA_5YR_ANN_CAGR", IQ_LTM,$B$1,$L$4, $L$3, $L$5, $L$6)="NM","n/a",(_xll.ciqfunctions.udf.CIQ($A23,"IQ_EBITDA_5YR_ANN_CAGR", IQ_LTM,$B$1,$L$4, $L$3, $L$5, $L$6)/100))</f>
        <v>#NAME?</v>
      </c>
      <c r="BR23" s="78" t="str">
        <f ca="1">IFERROR((_xll.ciqfunctions.udf.CIQ($A23, "IQ_DA_CF", IQ_LTM, $B$1, $L$4, $L$3, $L$5, $L$6)/Q23),"NM")</f>
        <v>NM</v>
      </c>
      <c r="BS23" s="109">
        <f>'Capital IQ Sheet-GPC'!BS23</f>
        <v>0.30494613818516308</v>
      </c>
      <c r="BT23" s="109" t="str">
        <f>'Capital IQ Sheet-GPC'!BT23</f>
        <v>n/a</v>
      </c>
      <c r="BU23" s="109" t="str">
        <f>'Capital IQ Sheet-GPC'!BU23</f>
        <v>n/a</v>
      </c>
      <c r="BV23" s="109" t="str">
        <f>'Capital IQ Sheet-GPC'!BV23</f>
        <v>n/a</v>
      </c>
      <c r="BW23" s="109" t="str">
        <f>'Capital IQ Sheet-GPC'!BW23</f>
        <v>n/a</v>
      </c>
      <c r="BX23" s="109" t="str">
        <f>'Capital IQ Sheet-GPC'!BX23</f>
        <v>n/a</v>
      </c>
      <c r="BY23" s="109" t="str">
        <f>'Capital IQ Sheet-GPC'!BY23</f>
        <v>n/a</v>
      </c>
      <c r="BZ23" s="109" t="str">
        <f>'Capital IQ Sheet-GPC'!BZ23</f>
        <v>n/a</v>
      </c>
      <c r="CB23" s="74">
        <v>2</v>
      </c>
      <c r="CC23" s="149" t="s">
        <v>315</v>
      </c>
      <c r="CD23" s="149" t="s">
        <v>314</v>
      </c>
      <c r="CE23" s="76">
        <f t="shared" si="0"/>
        <v>42005</v>
      </c>
    </row>
    <row r="24" spans="1:83" s="74" customFormat="1" ht="12.75">
      <c r="A24" s="75" t="e">
        <f ca="1">_xll.ciqfunctions.udf.CIQ($B24,"IQ_COMPANY_TICKER")</f>
        <v>#NAME?</v>
      </c>
      <c r="B24" s="104" t="str">
        <f>'Capital IQ Sheet-GPC'!B24</f>
        <v>IQ7924894</v>
      </c>
      <c r="C24" s="75" t="e">
        <f ca="1">_xll.ciqfunctions.udf.CIQ($A24,"IQ_COMPANY_NAME")</f>
        <v>#NAME?</v>
      </c>
      <c r="D24" s="75" t="e">
        <f ca="1">_xll.ciqfunctions.udf.CIQ($A24, "IQ_EXCHANGE")</f>
        <v>#NAME?</v>
      </c>
      <c r="E24" s="103" t="e">
        <f ca="1">_xll.ciqfunctions.udf.CIQ($A24, "IQ_PERIODDATE_IS", IQ_FY)</f>
        <v>#NAME?</v>
      </c>
      <c r="F24" s="103" t="e">
        <f ca="1">_xll.ciqfunctions.udf.CIQ(A24, "IQ_PERIODDATE_IS", IQ_LTM, $B$1,$L$4,$L$3)</f>
        <v>#NAME?</v>
      </c>
      <c r="G24" s="103" t="e">
        <f ca="1">_xll.ciqfunctions.udf.CIQ($A24, "IQ_FIRSTPRICINGDATE")</f>
        <v>#NAME?</v>
      </c>
      <c r="H24" s="105" t="e">
        <f ca="1">_xll.ciqfunctions.udf.CIQ($A24, "IQ_TEV", $L$2, $L$5, $L$6)</f>
        <v>#NAME?</v>
      </c>
      <c r="I24" s="105" t="e">
        <f ca="1">_xll.ciqfunctions.udf.CIQ(A24, "IQ_LASTSALEPRICE", $B$1,$L$5)</f>
        <v>#NAME?</v>
      </c>
      <c r="J24" s="105" t="e">
        <f ca="1">_xll.ciqfunctions.udf.CIQ($A24, "IQ_MARKETCAP", $L$2, $L$5, $L$6)</f>
        <v>#NAME?</v>
      </c>
      <c r="K24" s="105" t="e">
        <f ca="1">_xll.ciqfunctions.udf.CIQ($A24, "IQ_TOTAL_DEBT", IQ_LTM, $L$2,$L$4, $L$3, $L$5, $L$6)</f>
        <v>#NAME?</v>
      </c>
      <c r="L24" s="105" t="e">
        <f ca="1">_xll.ciqfunctions.udf.CIQ($A24, "IQ_PREF_EQUITY", IQ_LTM, $L$2, $L$4, $L$3, $L$5, $L$6)</f>
        <v>#NAME?</v>
      </c>
      <c r="M24" s="105" t="e">
        <f ca="1">_xll.ciqfunctions.udf.CIQ($A24, "IQ_MINORITY_INTEREST_TOTAL", IQ_LTM, $L$2, $L$4, $L$3, $L$5, $L$6)</f>
        <v>#NAME?</v>
      </c>
      <c r="N24" s="105" t="e">
        <f ca="1">_xll.ciqfunctions.udf.CIQ($A24, "IQ_CASH_ST_INVEST", IQ_LTM, $L$2, $L$4, $L$3, $L$5, $L$6)</f>
        <v>#NAME?</v>
      </c>
      <c r="O24" s="105" t="e">
        <f ca="1">_xll.ciqfunctions.udf.CIQ($A24, "IQ_TOTAL_REV", IQ_LTM-8, $L$2, $L$4, $L$3, $L$5, $L$6)</f>
        <v>#NAME?</v>
      </c>
      <c r="P24" s="105" t="e">
        <f ca="1">_xll.ciqfunctions.udf.CIQ($A24, "IQ_TOTAL_REV", IQ_LTM - 4, $L$2, $L$4, $L$3, $L$5,$L$6)</f>
        <v>#NAME?</v>
      </c>
      <c r="Q24" s="105" t="e">
        <f ca="1">_xll.ciqfunctions.udf.CIQ($A24, "IQ_TOTAL_REV", IQ_LTM, $L$2, $L$4, $L$3, $L$5, $L$6)</f>
        <v>#NAME?</v>
      </c>
      <c r="R24" s="105" t="e">
        <f ca="1">_xll.ciqfunctions.udf.CIQ($A24, "IQ_TOTAL_REV", $B$2, $L$2, $L$4, $L$3, $L$5, $L$6)</f>
        <v>#NAME?</v>
      </c>
      <c r="S24" s="105" t="e">
        <f ca="1">IF(_xll.ciqfunctions.udf.CIQ($A24, "IQ_TOTAL_REV", $B$3, $L$2,$L$4, $L$3, $L$5, $L$6)=0,Q24,_xll.ciqfunctions.udf.CIQ($A24, "IQ_TOTAL_REV", $B$3, $L$2,$L$4, $L$3, $L$5, $L$6))</f>
        <v>#NAME?</v>
      </c>
      <c r="T24" s="105" t="e">
        <f ca="1">IF(_xll.ciqfunctions.udf.CIQ($A24, "IQ_REVENUE_EST",$B$4, $L$2, "CON", $L$3, $L$5, $L$6)=0,"n/a",_xll.ciqfunctions.udf.CIQ($A24, "IQ_REVENUE_EST",$B$4, $L$2, "CON", $L$3, $L$5, $L$6))</f>
        <v>#NAME?</v>
      </c>
      <c r="U24" s="105" t="e">
        <f ca="1">IF(_xll.ciqfunctions.udf.CIQ($A24, "IQ_REVENUE_EST",$B$5, $L$2, "CON", $L$3, $L$5, $L$6)=0,"n/a",_xll.ciqfunctions.udf.CIQ($A24, "IQ_REVENUE_EST",$B$5, $L$2, "CON", $L$3, $L$5, $L$6))</f>
        <v>#NAME?</v>
      </c>
      <c r="V24" s="105" t="e">
        <f ca="1">IF(_xll.ciqfunctions.udf.CIQ($A24, "IQ_REVENUE_EST",$B$6, $L$2, "CON", $L$3, $L$5, $L$6)=0,"n/a",_xll.ciqfunctions.udf.CIQ($A24, "IQ_REVENUE_EST",$B$6, $L$2, "CON", $L$3, $L$5, $L$6))</f>
        <v>#NAME?</v>
      </c>
      <c r="W24" s="105" t="e">
        <f ca="1">IF(_xll.ciqfunctions.udf.CIQ($A24, "IQ_REVENUE_EST", $B$7, $L$2, "CON", $L$3, $L$5, $L$6)=0,"n/a",_xll.ciqfunctions.udf.CIQ($A24, "IQ_REVENUE_EST",$B$7, $L$2, "CON", $L$3, $L$5, $L$6))</f>
        <v>#NAME?</v>
      </c>
      <c r="X24" s="105" t="e">
        <f ca="1">_xll.ciqfunctions.udf.CIQ($A24, "IQ_EBITDA", IQ_LTM-8, $L$2, $L$4, $L$3, $L$5, $L$6)</f>
        <v>#NAME?</v>
      </c>
      <c r="Y24" s="105" t="e">
        <f ca="1">_xll.ciqfunctions.udf.CIQ($A24, "IQ_EBITDA", IQ_LTM-4, $L$2,$L$4, $L$3, $L$5, $L$6)</f>
        <v>#NAME?</v>
      </c>
      <c r="Z24" s="105" t="e">
        <f ca="1">_xll.ciqfunctions.udf.CIQ($A24, "IQ_EBITDA", IQ_LTM, $L$2, $L$4, $L$3, $L$5, $L$6)</f>
        <v>#NAME?</v>
      </c>
      <c r="AA24" s="105" t="e">
        <f ca="1">_xll.ciqfunctions.udf.CIQ($A24, "IQ_EBITDA", $B$2, $L$2, $L$4, $L$3, $L$5, $L$6)</f>
        <v>#NAME?</v>
      </c>
      <c r="AB24" s="105" t="e">
        <f ca="1">IF(_xll.ciqfunctions.udf.CIQ($A24, "IQ_EBITDA", $B$3, $L$2,$L$4, $L$3, $L$5, $L$6)=0,Z24,_xll.ciqfunctions.udf.CIQ($A24, "IQ_EBITDA", $B$3, $L$2,$L$4, $L$3, $L$5, $L$6))</f>
        <v>#NAME?</v>
      </c>
      <c r="AC24" s="105" t="e">
        <f ca="1">IF(_xll.ciqfunctions.udf.CIQ($A24, "IQ_EBITDA_EST",$B$4, $L$2, "CON", $L$3, $L$5, $L$6)=0,"n/a",_xll.ciqfunctions.udf.CIQ($A24, "IQ_EBITDA_EST",$B$4, $L$2, "CON", $L$3, $L$5, $L$6))</f>
        <v>#NAME?</v>
      </c>
      <c r="AD24" s="105" t="e">
        <f ca="1">IF(_xll.ciqfunctions.udf.CIQ($A24, "IQ_EBITDA_EST",$B$5, $L$2, "CON", $L$3, $L$5, $L$6)=0,"n/a",_xll.ciqfunctions.udf.CIQ($A24, "IQ_EBITDA_EST",$B$5, $L$2, "CON", $L$3, $L$5, $L$6))</f>
        <v>#NAME?</v>
      </c>
      <c r="AE24" s="105" t="e">
        <f ca="1">IF(_xll.ciqfunctions.udf.CIQ($A24, "IQ_EBITDA_EST",$B$6, $L$2, "CON", $L$3, $L$5, $L$6)=0,"n/a",_xll.ciqfunctions.udf.CIQ($A24, "IQ_EBITDA_EST",$B$6, $L$2, "CON", $L$3, $L$5, $L$6))</f>
        <v>#NAME?</v>
      </c>
      <c r="AF24" s="106" t="str">
        <f ca="1">IF(ISERROR(_xll.ciqfunctions.udf.CIQ($A24, "IQ_GROSS_MARGIN", IQ_LTM, $L$2,$L$4, $L$3, $L$5, $L$6)/100), "n/a", _xll.ciqfunctions.udf.CIQ($A24,  "IQ_GROSS_MARGIN", IQ_LTM, $L$2, $L$4, $L$3, $L$5, $L$6)/100)</f>
        <v>n/a</v>
      </c>
      <c r="AG24" s="106" t="str">
        <f ca="1">IF(ISERROR(_xll.ciqfunctions.udf.CIQ($A24,"IQ_EBITDA_MARGIN", IQ_LTM, $L$2, $L$4, $L$3, $L$5, $L$6)/100), "n/a", _xll.ciqfunctions.udf.CIQ($A24, "IQ_EBITDA_MARGIN", IQ_LTM, $L$2, $L$4, $L$3, $L$5, $L$6)/100)</f>
        <v>n/a</v>
      </c>
      <c r="AH24" s="106" t="str">
        <f ca="1">IF(ISERROR(_xll.ciqfunctions.udf.CIQ($A24,"IQ_EBIT_MARGIN", IQ_LTM, $L$2, $L$4, $L$3, $L$5, $L$6)/100), "n/a", _xll.ciqfunctions.udf.CIQ($A24, "IQ_EBIT_MARGIN", IQ_LTM, $L$2, $L$4, $L$3, $L$5, $L$6)/100)</f>
        <v>n/a</v>
      </c>
      <c r="AI24" s="106" t="str">
        <f ca="1">IF(ISERROR(_xll.ciqfunctions.udf.CIQ($A24,"IQ_NI_MARGIN", IQ_LTM, $L$2, $L$4, $L$3, $L$5, $L$6)/100), "n/a", _xll.ciqfunctions.udf.CIQ($A24, "IQ_NI_MARGIN", IQ_LTM, $L$2, $L$4, $L$3, $L$5, $L$6)/100)</f>
        <v>n/a</v>
      </c>
      <c r="AJ24" s="105" t="str">
        <f ca="1">IF(ISERROR(_xll.ciqfunctions.udf.CIQ($A24, "IQ_NET_WORKING_CAP", IQ_LTM-8, $L$2, $L$4, $L$3, $L$5, $L$6)), "n/a", _xll.ciqfunctions.udf.CIQ($A24, "IQ_NET_WORKING_CAP", IQ_LTM-8, $L$2, $L$4, $L$3, $L$5, $L$6))</f>
        <v>n/a</v>
      </c>
      <c r="AK24" s="105" t="str">
        <f ca="1">IF(ISERROR(_xll.ciqfunctions.udf.CIQ($A24, "IQ_NET_WORKING_CAP", IQ_LTM-4, $L$2, $L$4, $L$3, $L$5, $L$6)), "n/a", _xll.ciqfunctions.udf.CIQ($A24, "IQ_NET_WORKING_CAP", IQ_LTM-4, $L$2, $L$4, $L$3, $L$5, $L$6))</f>
        <v>n/a</v>
      </c>
      <c r="AL24" s="105" t="str">
        <f ca="1">IF(ISERROR(_xll.ciqfunctions.udf.CIQ($A24, "IQ_NET_WORKING_CAP", IQ_LTM, $L$2,$L$4, $L$3, $L$5, $L$6)), "n/a", _xll.ciqfunctions.udf.CIQ($A24, "IQ_NET_WORKING_CAP", IQ_LTM, $L$2, $L$4, $L$3, $L$5, $L$6))</f>
        <v>n/a</v>
      </c>
      <c r="AM24" s="105" t="str">
        <f ca="1">IF(ISERROR(_xll.ciqfunctions.udf.CIQ($A24, "IQ_Capex", IQ_LTM-8, $L$2,$L$4, $L$3, $L$5, $L$6)), "n/a", _xll.ciqfunctions.udf.CIQ($A24, "IQ_Capex", IQ_LTM-8, $L$2, $L$4, $L$3, $L$5, $L$6))</f>
        <v>n/a</v>
      </c>
      <c r="AN24" s="105" t="str">
        <f ca="1">IF(ISERROR(_xll.ciqfunctions.udf.CIQ($A24, "IQ_Capex", IQ_LTM-4, $L$2,$L$4, $L$3, $L$5, $L$6)), "n/a", _xll.ciqfunctions.udf.CIQ($A24, "IQ_Capex", IQ_LTM-4, $L$2,$L$4, $L$3, $L$5, $L$6))</f>
        <v>n/a</v>
      </c>
      <c r="AO24" s="105" t="str">
        <f ca="1">IF(ISERROR(_xll.ciqfunctions.udf.CIQ($A24, "IQ_Capex", IQ_LTM, $L$2, $L$4, $L$3, $L$5, $L$6)), "n/a", _xll.ciqfunctions.udf.CIQ($A24, "IQ_Capex", IQ_LTM, $L$2, $L$4, $L$3, $L$5, $L$6))</f>
        <v>n/a</v>
      </c>
      <c r="AP24" s="107" t="e">
        <f ca="1">_xll.ciqfunctions.udf.CIQ(A24, "IQ_BUSINESS_DESCRIPTION")</f>
        <v>#NAME?</v>
      </c>
      <c r="AQ24" s="108" t="e">
        <f ca="1">_xll.ciqfunctions.udf.CIQ($A24, "IQ_BETA_1YR", $B$1)</f>
        <v>#NAME?</v>
      </c>
      <c r="AR24" s="108" t="e">
        <f ca="1">_xll.ciqfunctions.udf.CIQ($A24, "IQ_BETA_2YR", $B$1)</f>
        <v>#NAME?</v>
      </c>
      <c r="AS24" s="108" t="e">
        <f ca="1">_xll.ciqfunctions.udf.CIQ($A24, "IQ_BETA_5YR", $B$1)</f>
        <v>#NAME?</v>
      </c>
      <c r="AT24" s="106" t="e">
        <f ca="1">_xll.ciqfunctions.udf.CIQ($A24, "IQ_DIVIDEND_YIELD", $B$1)/100</f>
        <v>#NAME?</v>
      </c>
      <c r="AU24" s="105" t="e">
        <f ca="1">_xll.ciqfunctions.udf.CIQ($A24, "IQ_EARNING_CO", IQ_LTM-8, $L$2, $L$4, $L$3, $L$5, $L$6)</f>
        <v>#NAME?</v>
      </c>
      <c r="AV24" s="105" t="e">
        <f ca="1">_xll.ciqfunctions.udf.CIQ($A24, "IQ_EARNING_CO", IQ_LTM-4, $L$2, $L$4, $L$3, $L$5, $L$6)</f>
        <v>#NAME?</v>
      </c>
      <c r="AW24" s="105" t="e">
        <f ca="1">_xll.ciqfunctions.udf.CIQ($A24, "IQ_EARNING_CO", IQ_LTM, $L$2, $L$4, $L$3, $L$5, $L$6)</f>
        <v>#NAME?</v>
      </c>
      <c r="AX24" s="105" t="e">
        <f ca="1">_xll.ciqfunctions.udf.CIQ($A24, "IQ_EARNING_CO", $B$2, $L$2, $L$4, $L$3, $L$5, $L$6)</f>
        <v>#NAME?</v>
      </c>
      <c r="AY24" s="105" t="e">
        <f ca="1">IF(_xll.ciqfunctions.udf.CIQ($A24, "IQ_EARNING_CO", $B$3, $L$2,$L$4, $L$3, $L$5, $L$6)=0,AW24,_xll.ciqfunctions.udf.CIQ($A24, "IQ_EARNING_CO", $B$3, $L$2,$L$4, $L$3, $L$5, $L$6))</f>
        <v>#NAME?</v>
      </c>
      <c r="AZ24" s="105" t="e">
        <f ca="1">_xll.ciqfunctions.udf.CIQ($A24, "IQ_TOTAL_EQUITY", IQ_LTM-8, $L$2, $L$4, $L$3, $L$5, $L$6)</f>
        <v>#NAME?</v>
      </c>
      <c r="BA24" s="105" t="e">
        <f ca="1">_xll.ciqfunctions.udf.CIQ($A24, "IQ_TOTAL_EQUITY", IQ_LTM-4, $L$2, $L$4, $L$3, $L$5, $L$6)</f>
        <v>#NAME?</v>
      </c>
      <c r="BB24" s="105" t="e">
        <f ca="1">_xll.ciqfunctions.udf.CIQ($A24, "IQ_TOTAL_EQUITY", IQ_LTM, $L$2, $L$4, $L$3, $L$5, $L$6)</f>
        <v>#NAME?</v>
      </c>
      <c r="BC24" s="105" t="e">
        <f ca="1">_xll.ciqfunctions.udf.CIQ($A24, "IQ_TOTAL_EQUITY", $B$2, $L$2, $L$4, $L$3, $L$5, $L$6)</f>
        <v>#NAME?</v>
      </c>
      <c r="BD24" s="105" t="e">
        <f ca="1">IF(_xll.ciqfunctions.udf.CIQ($A24, "IQ_TOTAL_EQUITY", $B$3, $L$2,$L$4, $L$3, $L$5, $L$6)=0,BB24,_xll.ciqfunctions.udf.CIQ($A24, "IQ_TOTAL_EQUITY", $B$3, $L$2,$L$4, $L$3, $L$5, $L$6))</f>
        <v>#NAME?</v>
      </c>
      <c r="BE24" s="105" t="e">
        <f ca="1">_xll.ciqfunctions.udf.CIQ(A24, "IQ_LASTSALEPRICE", $B$8)</f>
        <v>#NAME?</v>
      </c>
      <c r="BF24" s="105" t="e">
        <f ca="1">_xll.ciqfunctions.udf.CIQ($A24, "IQ_MARKETCAP", $B$8, $L$5, $L$6)</f>
        <v>#NAME?</v>
      </c>
      <c r="BG24" s="105" t="e">
        <f ca="1">_xll.ciqfunctions.udf.CIQ($A24, "IQ_TOTAL_DEBT", IQ_LTM, $B$8,$L$4, $L$3, $L$5, $L$6)</f>
        <v>#NAME?</v>
      </c>
      <c r="BH24" s="74" t="e">
        <f ca="1">_xll.ciqfunctions.udf.CIQ($A24,"IQ_PREF_EQUITY",IQ_LTM,$B$8,$L$4,$L$3,$L$5,$L$6)</f>
        <v>#NAME?</v>
      </c>
      <c r="BI24" s="74" t="e">
        <f ca="1">_xll.ciqfunctions.udf.CIQ($A24, "IQ_MINORITY_INTEREST_TOTAL", IQ_LTM,$B$8,$L$4,$L$3,$L$5,$L$6)</f>
        <v>#NAME?</v>
      </c>
      <c r="BJ24" s="105" t="e">
        <f ca="1">_xll.ciqfunctions.udf.CIQ($A24, "IQ_CASH_ST_INVEST", IQ_LTM, $B$8, $L$4, $L$3, $L$5, $L$6)</f>
        <v>#NAME?</v>
      </c>
      <c r="BK24" s="74" t="e">
        <f ca="1">_xll.ciqfunctions.udf.CIQ($A24, "IQ_EFFECT_TAX_RATE")</f>
        <v>#NAME?</v>
      </c>
      <c r="BL24" s="74" t="e">
        <f ca="1">IF(_xll.ciqfunctions.udf.CIQ($A24, "IQ_TOTAL_REV_2YR_ANN_CAGR", IQ_LTM, $B$1,$L$4, $L$3, $L$5, $L$6)="NM","n/a",(_xll.ciqfunctions.udf.CIQ($A24, "IQ_TOTAL_REV_2YR_ANN_CAGR", IQ_LTM, $B$1,$L$4, $L$3, $L$5, $L$6)/100))</f>
        <v>#NAME?</v>
      </c>
      <c r="BM24" s="74" t="e">
        <f ca="1">IF(_xll.ciqfunctions.udf.CIQ($A24, "IQ_TOTAL_REV_3YR_ANN_CAGR", IQ_LTM, $B$1,$L$4, $L$3, $L$5, $L$6)="NM","n/a",(_xll.ciqfunctions.udf.CIQ($A24, "IQ_TOTAL_REV_3YR_ANN_CAGR", IQ_LTM, $B$1,$L$4, $L$3, $L$5, $L$6)/100))</f>
        <v>#NAME?</v>
      </c>
      <c r="BN24" s="74" t="e">
        <f ca="1">IF(_xll.ciqfunctions.udf.CIQ($A24, "IQ_TOTAL_REV_5YR_ANN_CAGR", IQ_LTM, $B$1,$L$4, $L$3, $L$5, $L$6)="NM","n/a",(_xll.ciqfunctions.udf.CIQ($A24, "IQ_TOTAL_REV_5YR_ANN_CAGR", IQ_LTM, $B$1,$L$4, $L$3, $L$5, $L$6)/100))</f>
        <v>#NAME?</v>
      </c>
      <c r="BO24" s="74" t="e">
        <f ca="1">IF(_xll.ciqfunctions.udf.CIQ($A24,"IQ_EBITDA_2YR_ANN_CAGR", IQ_LTM,$B$1,$L$4, $L$3, $L$5, $L$6)="NM","n/a",(_xll.ciqfunctions.udf.CIQ($A24,"IQ_EBITDA_2YR_ANN_CAGR", IQ_LTM,$B$1,$L$4, $L$3, $L$5, $L$6)/100))</f>
        <v>#NAME?</v>
      </c>
      <c r="BP24" s="74" t="e">
        <f ca="1">IF(_xll.ciqfunctions.udf.CIQ($A24,"IQ_EBITDA_3YR_ANN_CAGR", IQ_LTM,$B$1,$L$4, $L$3, $L$5, $L$6)="NM","n/a",(_xll.ciqfunctions.udf.CIQ($A24,"IQ_EBITDA_3YR_ANN_CAGR", IQ_LTM,$B$1,$L$4, $L$3, $L$5, $L$6)/100))</f>
        <v>#NAME?</v>
      </c>
      <c r="BQ24" s="74" t="e">
        <f ca="1">IF(_xll.ciqfunctions.udf.CIQ($A24,"IQ_EBITDA_5YR_ANN_CAGR", IQ_LTM,$B$1,$L$4, $L$3, $L$5, $L$6)="NM","n/a",(_xll.ciqfunctions.udf.CIQ($A24,"IQ_EBITDA_5YR_ANN_CAGR", IQ_LTM,$B$1,$L$4, $L$3, $L$5, $L$6)/100))</f>
        <v>#NAME?</v>
      </c>
      <c r="BR24" s="78" t="str">
        <f ca="1">IFERROR((_xll.ciqfunctions.udf.CIQ($A24, "IQ_DA_CF", IQ_LTM, $B$1, $L$4, $L$3, $L$5, $L$6)/Q24),"NM")</f>
        <v>NM</v>
      </c>
      <c r="BS24" s="109">
        <f>'Capital IQ Sheet-GPC'!BS24</f>
        <v>0.90151721249655303</v>
      </c>
      <c r="BT24" s="109">
        <f>'Capital IQ Sheet-GPC'!BT24</f>
        <v>1.0114092642984704</v>
      </c>
      <c r="BU24" s="109">
        <f>'Capital IQ Sheet-GPC'!BU24</f>
        <v>0.90964738135601619</v>
      </c>
      <c r="BV24" s="109">
        <f>'Capital IQ Sheet-GPC'!BV24</f>
        <v>1.0742375822796089</v>
      </c>
      <c r="BW24" s="109">
        <f>'Capital IQ Sheet-GPC'!BW24</f>
        <v>1.0412099777317645</v>
      </c>
      <c r="BX24" s="109">
        <f>'Capital IQ Sheet-GPC'!BX24</f>
        <v>0.98050617584828204</v>
      </c>
      <c r="BY24" s="109">
        <f>'Capital IQ Sheet-GPC'!BY24</f>
        <v>0.95189274818239156</v>
      </c>
      <c r="BZ24" s="109">
        <f>'Capital IQ Sheet-GPC'!BZ24</f>
        <v>1.202555986908926</v>
      </c>
      <c r="CB24" s="74">
        <v>2</v>
      </c>
      <c r="CC24" s="149" t="s">
        <v>315</v>
      </c>
      <c r="CD24" s="149" t="s">
        <v>314</v>
      </c>
      <c r="CE24" s="76">
        <f t="shared" ref="CE24:CE34" si="1">$B$1-365*CB24</f>
        <v>42005</v>
      </c>
    </row>
    <row r="25" spans="1:83" s="74" customFormat="1" ht="12.75">
      <c r="A25" s="75" t="e">
        <f ca="1">_xll.ciqfunctions.udf.CIQ($B25,"IQ_COMPANY_TICKER")</f>
        <v>#NAME?</v>
      </c>
      <c r="B25" s="104" t="str">
        <f>'Capital IQ Sheet-GPC'!B25</f>
        <v>IQ243223852</v>
      </c>
      <c r="C25" s="75" t="e">
        <f ca="1">_xll.ciqfunctions.udf.CIQ($A25,"IQ_COMPANY_NAME")</f>
        <v>#NAME?</v>
      </c>
      <c r="D25" s="75" t="e">
        <f ca="1">_xll.ciqfunctions.udf.CIQ($A25, "IQ_EXCHANGE")</f>
        <v>#NAME?</v>
      </c>
      <c r="E25" s="103" t="e">
        <f ca="1">_xll.ciqfunctions.udf.CIQ($A25, "IQ_PERIODDATE_IS", IQ_FY)</f>
        <v>#NAME?</v>
      </c>
      <c r="F25" s="103" t="e">
        <f ca="1">_xll.ciqfunctions.udf.CIQ(A25, "IQ_PERIODDATE_IS", IQ_LTM, $B$1,$L$4,$L$3)</f>
        <v>#NAME?</v>
      </c>
      <c r="G25" s="103" t="e">
        <f ca="1">_xll.ciqfunctions.udf.CIQ($A25, "IQ_FIRSTPRICINGDATE")</f>
        <v>#NAME?</v>
      </c>
      <c r="H25" s="105" t="e">
        <f ca="1">_xll.ciqfunctions.udf.CIQ($A25, "IQ_TEV", $L$2, $L$5, $L$6)</f>
        <v>#NAME?</v>
      </c>
      <c r="I25" s="105" t="e">
        <f ca="1">_xll.ciqfunctions.udf.CIQ(A25, "IQ_LASTSALEPRICE", $B$1,$L$5)</f>
        <v>#NAME?</v>
      </c>
      <c r="J25" s="105" t="e">
        <f ca="1">_xll.ciqfunctions.udf.CIQ($A25, "IQ_MARKETCAP", $L$2, $L$5, $L$6)</f>
        <v>#NAME?</v>
      </c>
      <c r="K25" s="105" t="e">
        <f ca="1">_xll.ciqfunctions.udf.CIQ($A25, "IQ_TOTAL_DEBT", IQ_LTM, $L$2,$L$4, $L$3, $L$5, $L$6)</f>
        <v>#NAME?</v>
      </c>
      <c r="L25" s="105" t="e">
        <f ca="1">_xll.ciqfunctions.udf.CIQ($A25, "IQ_PREF_EQUITY", IQ_LTM, $L$2, $L$4, $L$3, $L$5, $L$6)</f>
        <v>#NAME?</v>
      </c>
      <c r="M25" s="105" t="e">
        <f ca="1">_xll.ciqfunctions.udf.CIQ($A25, "IQ_MINORITY_INTEREST_TOTAL", IQ_LTM, $L$2, $L$4, $L$3, $L$5, $L$6)</f>
        <v>#NAME?</v>
      </c>
      <c r="N25" s="105" t="e">
        <f ca="1">_xll.ciqfunctions.udf.CIQ($A25, "IQ_CASH_ST_INVEST", IQ_LTM, $L$2, $L$4, $L$3, $L$5, $L$6)</f>
        <v>#NAME?</v>
      </c>
      <c r="O25" s="105" t="e">
        <f ca="1">_xll.ciqfunctions.udf.CIQ($A25, "IQ_TOTAL_REV", IQ_LTM-8, $L$2, $L$4, $L$3, $L$5, $L$6)</f>
        <v>#NAME?</v>
      </c>
      <c r="P25" s="105" t="e">
        <f ca="1">_xll.ciqfunctions.udf.CIQ($A25, "IQ_TOTAL_REV", IQ_LTM - 4, $L$2, $L$4, $L$3, $L$5,$L$6)</f>
        <v>#NAME?</v>
      </c>
      <c r="Q25" s="105" t="e">
        <f ca="1">_xll.ciqfunctions.udf.CIQ($A25, "IQ_TOTAL_REV", IQ_LTM, $L$2, $L$4, $L$3, $L$5, $L$6)</f>
        <v>#NAME?</v>
      </c>
      <c r="R25" s="105" t="e">
        <f ca="1">_xll.ciqfunctions.udf.CIQ($A25, "IQ_TOTAL_REV", $B$2, $L$2, $L$4, $L$3, $L$5, $L$6)</f>
        <v>#NAME?</v>
      </c>
      <c r="S25" s="105" t="e">
        <f ca="1">IF(_xll.ciqfunctions.udf.CIQ($A25, "IQ_TOTAL_REV", $B$3, $L$2,$L$4, $L$3, $L$5, $L$6)=0,Q25,_xll.ciqfunctions.udf.CIQ($A25, "IQ_TOTAL_REV", $B$3, $L$2,$L$4, $L$3, $L$5, $L$6))</f>
        <v>#NAME?</v>
      </c>
      <c r="T25" s="105" t="e">
        <f ca="1">IF(_xll.ciqfunctions.udf.CIQ($A25, "IQ_REVENUE_EST",$B$4, $L$2, "CON", $L$3, $L$5, $L$6)=0,"n/a",_xll.ciqfunctions.udf.CIQ($A25, "IQ_REVENUE_EST",$B$4, $L$2, "CON", $L$3, $L$5, $L$6))</f>
        <v>#NAME?</v>
      </c>
      <c r="U25" s="105" t="e">
        <f ca="1">IF(_xll.ciqfunctions.udf.CIQ($A25, "IQ_REVENUE_EST",$B$5, $L$2, "CON", $L$3, $L$5, $L$6)=0,"n/a",_xll.ciqfunctions.udf.CIQ($A25, "IQ_REVENUE_EST",$B$5, $L$2, "CON", $L$3, $L$5, $L$6))</f>
        <v>#NAME?</v>
      </c>
      <c r="V25" s="105" t="e">
        <f ca="1">IF(_xll.ciqfunctions.udf.CIQ($A25, "IQ_REVENUE_EST",$B$6, $L$2, "CON", $L$3, $L$5, $L$6)=0,"n/a",_xll.ciqfunctions.udf.CIQ($A25, "IQ_REVENUE_EST",$B$6, $L$2, "CON", $L$3, $L$5, $L$6))</f>
        <v>#NAME?</v>
      </c>
      <c r="W25" s="105" t="e">
        <f ca="1">IF(_xll.ciqfunctions.udf.CIQ($A25, "IQ_REVENUE_EST", $B$7, $L$2, "CON", $L$3, $L$5, $L$6)=0,"n/a",_xll.ciqfunctions.udf.CIQ($A25, "IQ_REVENUE_EST",$B$7, $L$2, "CON", $L$3, $L$5, $L$6))</f>
        <v>#NAME?</v>
      </c>
      <c r="X25" s="105" t="e">
        <f ca="1">_xll.ciqfunctions.udf.CIQ($A25, "IQ_EBITDA", IQ_LTM-8, $L$2, $L$4, $L$3, $L$5, $L$6)</f>
        <v>#NAME?</v>
      </c>
      <c r="Y25" s="105" t="e">
        <f ca="1">_xll.ciqfunctions.udf.CIQ($A25, "IQ_EBITDA", IQ_LTM-4, $L$2,$L$4, $L$3, $L$5, $L$6)</f>
        <v>#NAME?</v>
      </c>
      <c r="Z25" s="105" t="e">
        <f ca="1">_xll.ciqfunctions.udf.CIQ($A25, "IQ_EBITDA", IQ_LTM, $L$2, $L$4, $L$3, $L$5, $L$6)</f>
        <v>#NAME?</v>
      </c>
      <c r="AA25" s="105" t="e">
        <f ca="1">_xll.ciqfunctions.udf.CIQ($A25, "IQ_EBITDA", $B$2, $L$2, $L$4, $L$3, $L$5, $L$6)</f>
        <v>#NAME?</v>
      </c>
      <c r="AB25" s="105" t="e">
        <f ca="1">IF(_xll.ciqfunctions.udf.CIQ($A25, "IQ_EBITDA", $B$3, $L$2,$L$4, $L$3, $L$5, $L$6)=0,Z25,_xll.ciqfunctions.udf.CIQ($A25, "IQ_EBITDA", $B$3, $L$2,$L$4, $L$3, $L$5, $L$6))</f>
        <v>#NAME?</v>
      </c>
      <c r="AC25" s="105" t="e">
        <f ca="1">IF(_xll.ciqfunctions.udf.CIQ($A25, "IQ_EBITDA_EST",$B$4, $L$2, "CON", $L$3, $L$5, $L$6)=0,"n/a",_xll.ciqfunctions.udf.CIQ($A25, "IQ_EBITDA_EST",$B$4, $L$2, "CON", $L$3, $L$5, $L$6))</f>
        <v>#NAME?</v>
      </c>
      <c r="AD25" s="105" t="e">
        <f ca="1">IF(_xll.ciqfunctions.udf.CIQ($A25, "IQ_EBITDA_EST",$B$5, $L$2, "CON", $L$3, $L$5, $L$6)=0,"n/a",_xll.ciqfunctions.udf.CIQ($A25, "IQ_EBITDA_EST",$B$5, $L$2, "CON", $L$3, $L$5, $L$6))</f>
        <v>#NAME?</v>
      </c>
      <c r="AE25" s="105" t="e">
        <f ca="1">IF(_xll.ciqfunctions.udf.CIQ($A25, "IQ_EBITDA_EST",$B$6, $L$2, "CON", $L$3, $L$5, $L$6)=0,"n/a",_xll.ciqfunctions.udf.CIQ($A25, "IQ_EBITDA_EST",$B$6, $L$2, "CON", $L$3, $L$5, $L$6))</f>
        <v>#NAME?</v>
      </c>
      <c r="AF25" s="106" t="str">
        <f ca="1">IF(ISERROR(_xll.ciqfunctions.udf.CIQ($A25, "IQ_GROSS_MARGIN", IQ_LTM, $L$2,$L$4, $L$3, $L$5, $L$6)/100), "n/a", _xll.ciqfunctions.udf.CIQ($A25,  "IQ_GROSS_MARGIN", IQ_LTM, $L$2, $L$4, $L$3, $L$5, $L$6)/100)</f>
        <v>n/a</v>
      </c>
      <c r="AG25" s="106" t="str">
        <f ca="1">IF(ISERROR(_xll.ciqfunctions.udf.CIQ($A25,"IQ_EBITDA_MARGIN", IQ_LTM, $L$2, $L$4, $L$3, $L$5, $L$6)/100), "n/a", _xll.ciqfunctions.udf.CIQ($A25, "IQ_EBITDA_MARGIN", IQ_LTM, $L$2, $L$4, $L$3, $L$5, $L$6)/100)</f>
        <v>n/a</v>
      </c>
      <c r="AH25" s="106" t="str">
        <f ca="1">IF(ISERROR(_xll.ciqfunctions.udf.CIQ($A25,"IQ_EBIT_MARGIN", IQ_LTM, $L$2, $L$4, $L$3, $L$5, $L$6)/100), "n/a", _xll.ciqfunctions.udf.CIQ($A25, "IQ_EBIT_MARGIN", IQ_LTM, $L$2, $L$4, $L$3, $L$5, $L$6)/100)</f>
        <v>n/a</v>
      </c>
      <c r="AI25" s="106" t="str">
        <f ca="1">IF(ISERROR(_xll.ciqfunctions.udf.CIQ($A25,"IQ_NI_MARGIN", IQ_LTM, $L$2, $L$4, $L$3, $L$5, $L$6)/100), "n/a", _xll.ciqfunctions.udf.CIQ($A25, "IQ_NI_MARGIN", IQ_LTM, $L$2, $L$4, $L$3, $L$5, $L$6)/100)</f>
        <v>n/a</v>
      </c>
      <c r="AJ25" s="105" t="str">
        <f ca="1">IF(ISERROR(_xll.ciqfunctions.udf.CIQ($A25, "IQ_NET_WORKING_CAP", IQ_LTM-8, $L$2, $L$4, $L$3, $L$5, $L$6)), "n/a", _xll.ciqfunctions.udf.CIQ($A25, "IQ_NET_WORKING_CAP", IQ_LTM-8, $L$2, $L$4, $L$3, $L$5, $L$6))</f>
        <v>n/a</v>
      </c>
      <c r="AK25" s="105" t="str">
        <f ca="1">IF(ISERROR(_xll.ciqfunctions.udf.CIQ($A25, "IQ_NET_WORKING_CAP", IQ_LTM-4, $L$2, $L$4, $L$3, $L$5, $L$6)), "n/a", _xll.ciqfunctions.udf.CIQ($A25, "IQ_NET_WORKING_CAP", IQ_LTM-4, $L$2, $L$4, $L$3, $L$5, $L$6))</f>
        <v>n/a</v>
      </c>
      <c r="AL25" s="105" t="str">
        <f ca="1">IF(ISERROR(_xll.ciqfunctions.udf.CIQ($A25, "IQ_NET_WORKING_CAP", IQ_LTM, $L$2,$L$4, $L$3, $L$5, $L$6)), "n/a", _xll.ciqfunctions.udf.CIQ($A25, "IQ_NET_WORKING_CAP", IQ_LTM, $L$2, $L$4, $L$3, $L$5, $L$6))</f>
        <v>n/a</v>
      </c>
      <c r="AM25" s="105" t="str">
        <f ca="1">IF(ISERROR(_xll.ciqfunctions.udf.CIQ($A25, "IQ_Capex", IQ_LTM-8, $L$2,$L$4, $L$3, $L$5, $L$6)), "n/a", _xll.ciqfunctions.udf.CIQ($A25, "IQ_Capex", IQ_LTM-8, $L$2, $L$4, $L$3, $L$5, $L$6))</f>
        <v>n/a</v>
      </c>
      <c r="AN25" s="105" t="str">
        <f ca="1">IF(ISERROR(_xll.ciqfunctions.udf.CIQ($A25, "IQ_Capex", IQ_LTM-4, $L$2,$L$4, $L$3, $L$5, $L$6)), "n/a", _xll.ciqfunctions.udf.CIQ($A25, "IQ_Capex", IQ_LTM-4, $L$2,$L$4, $L$3, $L$5, $L$6))</f>
        <v>n/a</v>
      </c>
      <c r="AO25" s="105" t="str">
        <f ca="1">IF(ISERROR(_xll.ciqfunctions.udf.CIQ($A25, "IQ_Capex", IQ_LTM, $L$2, $L$4, $L$3, $L$5, $L$6)), "n/a", _xll.ciqfunctions.udf.CIQ($A25, "IQ_Capex", IQ_LTM, $L$2, $L$4, $L$3, $L$5, $L$6))</f>
        <v>n/a</v>
      </c>
      <c r="AP25" s="107" t="e">
        <f ca="1">_xll.ciqfunctions.udf.CIQ(A25, "IQ_BUSINESS_DESCRIPTION")</f>
        <v>#NAME?</v>
      </c>
      <c r="AQ25" s="108" t="e">
        <f ca="1">_xll.ciqfunctions.udf.CIQ($A25, "IQ_BETA_1YR", $B$1)</f>
        <v>#NAME?</v>
      </c>
      <c r="AR25" s="108" t="e">
        <f ca="1">_xll.ciqfunctions.udf.CIQ($A25, "IQ_BETA_2YR", $B$1)</f>
        <v>#NAME?</v>
      </c>
      <c r="AS25" s="108" t="e">
        <f ca="1">_xll.ciqfunctions.udf.CIQ($A25, "IQ_BETA_5YR", $B$1)</f>
        <v>#NAME?</v>
      </c>
      <c r="AT25" s="106" t="e">
        <f ca="1">_xll.ciqfunctions.udf.CIQ($A25, "IQ_DIVIDEND_YIELD", $B$1)/100</f>
        <v>#NAME?</v>
      </c>
      <c r="AU25" s="105" t="e">
        <f ca="1">_xll.ciqfunctions.udf.CIQ($A25, "IQ_EARNING_CO", IQ_LTM-8, $L$2, $L$4, $L$3, $L$5, $L$6)</f>
        <v>#NAME?</v>
      </c>
      <c r="AV25" s="105" t="e">
        <f ca="1">_xll.ciqfunctions.udf.CIQ($A25, "IQ_EARNING_CO", IQ_LTM-4, $L$2, $L$4, $L$3, $L$5, $L$6)</f>
        <v>#NAME?</v>
      </c>
      <c r="AW25" s="105" t="e">
        <f ca="1">_xll.ciqfunctions.udf.CIQ($A25, "IQ_EARNING_CO", IQ_LTM, $L$2, $L$4, $L$3, $L$5, $L$6)</f>
        <v>#NAME?</v>
      </c>
      <c r="AX25" s="105" t="e">
        <f ca="1">_xll.ciqfunctions.udf.CIQ($A25, "IQ_EARNING_CO", $B$2, $L$2, $L$4, $L$3, $L$5, $L$6)</f>
        <v>#NAME?</v>
      </c>
      <c r="AY25" s="105" t="e">
        <f ca="1">IF(_xll.ciqfunctions.udf.CIQ($A25, "IQ_EARNING_CO", $B$3, $L$2,$L$4, $L$3, $L$5, $L$6)=0,AW25,_xll.ciqfunctions.udf.CIQ($A25, "IQ_EARNING_CO", $B$3, $L$2,$L$4, $L$3, $L$5, $L$6))</f>
        <v>#NAME?</v>
      </c>
      <c r="AZ25" s="105" t="e">
        <f ca="1">_xll.ciqfunctions.udf.CIQ($A25, "IQ_TOTAL_EQUITY", IQ_LTM-8, $L$2, $L$4, $L$3, $L$5, $L$6)</f>
        <v>#NAME?</v>
      </c>
      <c r="BA25" s="105" t="e">
        <f ca="1">_xll.ciqfunctions.udf.CIQ($A25, "IQ_TOTAL_EQUITY", IQ_LTM-4, $L$2, $L$4, $L$3, $L$5, $L$6)</f>
        <v>#NAME?</v>
      </c>
      <c r="BB25" s="105" t="e">
        <f ca="1">_xll.ciqfunctions.udf.CIQ($A25, "IQ_TOTAL_EQUITY", IQ_LTM, $L$2, $L$4, $L$3, $L$5, $L$6)</f>
        <v>#NAME?</v>
      </c>
      <c r="BC25" s="105" t="e">
        <f ca="1">_xll.ciqfunctions.udf.CIQ($A25, "IQ_TOTAL_EQUITY", $B$2, $L$2, $L$4, $L$3, $L$5, $L$6)</f>
        <v>#NAME?</v>
      </c>
      <c r="BD25" s="105" t="e">
        <f ca="1">IF(_xll.ciqfunctions.udf.CIQ($A25, "IQ_TOTAL_EQUITY", $B$3, $L$2,$L$4, $L$3, $L$5, $L$6)=0,BB25,_xll.ciqfunctions.udf.CIQ($A25, "IQ_TOTAL_EQUITY", $B$3, $L$2,$L$4, $L$3, $L$5, $L$6))</f>
        <v>#NAME?</v>
      </c>
      <c r="BE25" s="105" t="e">
        <f ca="1">_xll.ciqfunctions.udf.CIQ(A25, "IQ_LASTSALEPRICE", $B$8)</f>
        <v>#NAME?</v>
      </c>
      <c r="BF25" s="105" t="e">
        <f ca="1">_xll.ciqfunctions.udf.CIQ($A25, "IQ_MARKETCAP", $B$8, $L$5, $L$6)</f>
        <v>#NAME?</v>
      </c>
      <c r="BG25" s="105" t="e">
        <f ca="1">_xll.ciqfunctions.udf.CIQ($A25, "IQ_TOTAL_DEBT", IQ_LTM, $B$8,$L$4, $L$3, $L$5, $L$6)</f>
        <v>#NAME?</v>
      </c>
      <c r="BH25" s="74" t="e">
        <f ca="1">_xll.ciqfunctions.udf.CIQ($A25,"IQ_PREF_EQUITY",IQ_LTM,$B$8,$L$4,$L$3,$L$5,$L$6)</f>
        <v>#NAME?</v>
      </c>
      <c r="BI25" s="74" t="e">
        <f ca="1">_xll.ciqfunctions.udf.CIQ($A25, "IQ_MINORITY_INTEREST_TOTAL", IQ_LTM,$B$8,$L$4,$L$3,$L$5,$L$6)</f>
        <v>#NAME?</v>
      </c>
      <c r="BJ25" s="105" t="e">
        <f ca="1">_xll.ciqfunctions.udf.CIQ($A25, "IQ_CASH_ST_INVEST", IQ_LTM, $B$8, $L$4, $L$3, $L$5, $L$6)</f>
        <v>#NAME?</v>
      </c>
      <c r="BK25" s="74" t="e">
        <f ca="1">_xll.ciqfunctions.udf.CIQ($A25, "IQ_EFFECT_TAX_RATE")</f>
        <v>#NAME?</v>
      </c>
      <c r="BL25" s="74" t="e">
        <f ca="1">IF(_xll.ciqfunctions.udf.CIQ($A25, "IQ_TOTAL_REV_2YR_ANN_CAGR", IQ_LTM, $B$1,$L$4, $L$3, $L$5, $L$6)="NM","n/a",(_xll.ciqfunctions.udf.CIQ($A25, "IQ_TOTAL_REV_2YR_ANN_CAGR", IQ_LTM, $B$1,$L$4, $L$3, $L$5, $L$6)/100))</f>
        <v>#NAME?</v>
      </c>
      <c r="BM25" s="74" t="e">
        <f ca="1">IF(_xll.ciqfunctions.udf.CIQ($A25, "IQ_TOTAL_REV_3YR_ANN_CAGR", IQ_LTM, $B$1,$L$4, $L$3, $L$5, $L$6)="NM","n/a",(_xll.ciqfunctions.udf.CIQ($A25, "IQ_TOTAL_REV_3YR_ANN_CAGR", IQ_LTM, $B$1,$L$4, $L$3, $L$5, $L$6)/100))</f>
        <v>#NAME?</v>
      </c>
      <c r="BN25" s="74" t="e">
        <f ca="1">IF(_xll.ciqfunctions.udf.CIQ($A25, "IQ_TOTAL_REV_5YR_ANN_CAGR", IQ_LTM, $B$1,$L$4, $L$3, $L$5, $L$6)="NM","n/a",(_xll.ciqfunctions.udf.CIQ($A25, "IQ_TOTAL_REV_5YR_ANN_CAGR", IQ_LTM, $B$1,$L$4, $L$3, $L$5, $L$6)/100))</f>
        <v>#NAME?</v>
      </c>
      <c r="BO25" s="74" t="e">
        <f ca="1">IF(_xll.ciqfunctions.udf.CIQ($A25,"IQ_EBITDA_2YR_ANN_CAGR", IQ_LTM,$B$1,$L$4, $L$3, $L$5, $L$6)="NM","n/a",(_xll.ciqfunctions.udf.CIQ($A25,"IQ_EBITDA_2YR_ANN_CAGR", IQ_LTM,$B$1,$L$4, $L$3, $L$5, $L$6)/100))</f>
        <v>#NAME?</v>
      </c>
      <c r="BP25" s="74" t="e">
        <f ca="1">IF(_xll.ciqfunctions.udf.CIQ($A25,"IQ_EBITDA_3YR_ANN_CAGR", IQ_LTM,$B$1,$L$4, $L$3, $L$5, $L$6)="NM","n/a",(_xll.ciqfunctions.udf.CIQ($A25,"IQ_EBITDA_3YR_ANN_CAGR", IQ_LTM,$B$1,$L$4, $L$3, $L$5, $L$6)/100))</f>
        <v>#NAME?</v>
      </c>
      <c r="BQ25" s="74" t="e">
        <f ca="1">IF(_xll.ciqfunctions.udf.CIQ($A25,"IQ_EBITDA_5YR_ANN_CAGR", IQ_LTM,$B$1,$L$4, $L$3, $L$5, $L$6)="NM","n/a",(_xll.ciqfunctions.udf.CIQ($A25,"IQ_EBITDA_5YR_ANN_CAGR", IQ_LTM,$B$1,$L$4, $L$3, $L$5, $L$6)/100))</f>
        <v>#NAME?</v>
      </c>
      <c r="BR25" s="78" t="str">
        <f ca="1">IFERROR((_xll.ciqfunctions.udf.CIQ($A25, "IQ_DA_CF", IQ_LTM, $B$1, $L$4, $L$3, $L$5, $L$6)/Q25),"NM")</f>
        <v>NM</v>
      </c>
      <c r="BS25" s="109">
        <f>'Capital IQ Sheet-GPC'!BS25</f>
        <v>0.54716779865156173</v>
      </c>
      <c r="BT25" s="109" t="str">
        <f>'Capital IQ Sheet-GPC'!BT25</f>
        <v>n/a</v>
      </c>
      <c r="BU25" s="109" t="str">
        <f>'Capital IQ Sheet-GPC'!BU25</f>
        <v>n/a</v>
      </c>
      <c r="BV25" s="109" t="str">
        <f>'Capital IQ Sheet-GPC'!BV25</f>
        <v>n/a</v>
      </c>
      <c r="BW25" s="109" t="str">
        <f>'Capital IQ Sheet-GPC'!BW25</f>
        <v>n/a</v>
      </c>
      <c r="BX25" s="109" t="str">
        <f>'Capital IQ Sheet-GPC'!BX25</f>
        <v>n/a</v>
      </c>
      <c r="BY25" s="109" t="str">
        <f>'Capital IQ Sheet-GPC'!BY25</f>
        <v>n/a</v>
      </c>
      <c r="BZ25" s="109" t="str">
        <f>'Capital IQ Sheet-GPC'!BZ25</f>
        <v>n/a</v>
      </c>
      <c r="CB25" s="74">
        <v>2</v>
      </c>
      <c r="CC25" s="149" t="s">
        <v>315</v>
      </c>
      <c r="CD25" s="149" t="s">
        <v>314</v>
      </c>
      <c r="CE25" s="76">
        <f t="shared" si="1"/>
        <v>42005</v>
      </c>
    </row>
    <row r="26" spans="1:83" s="74" customFormat="1" ht="12.75">
      <c r="A26" s="75" t="e">
        <f ca="1">_xll.ciqfunctions.udf.CIQ($B26,"IQ_COMPANY_TICKER")</f>
        <v>#NAME?</v>
      </c>
      <c r="B26" s="104" t="str">
        <f>'Capital IQ Sheet-GPC'!B26</f>
        <v>IQ236291486</v>
      </c>
      <c r="C26" s="75" t="e">
        <f ca="1">_xll.ciqfunctions.udf.CIQ($A26,"IQ_COMPANY_NAME")</f>
        <v>#NAME?</v>
      </c>
      <c r="D26" s="75" t="e">
        <f ca="1">_xll.ciqfunctions.udf.CIQ($A26, "IQ_EXCHANGE")</f>
        <v>#NAME?</v>
      </c>
      <c r="E26" s="103" t="e">
        <f ca="1">_xll.ciqfunctions.udf.CIQ($A26, "IQ_PERIODDATE_IS", IQ_FY)</f>
        <v>#NAME?</v>
      </c>
      <c r="F26" s="103" t="e">
        <f ca="1">_xll.ciqfunctions.udf.CIQ(A26, "IQ_PERIODDATE_IS", IQ_LTM, $B$1,$L$4,$L$3)</f>
        <v>#NAME?</v>
      </c>
      <c r="G26" s="103" t="e">
        <f ca="1">_xll.ciqfunctions.udf.CIQ($A26, "IQ_FIRSTPRICINGDATE")</f>
        <v>#NAME?</v>
      </c>
      <c r="H26" s="105" t="e">
        <f ca="1">_xll.ciqfunctions.udf.CIQ($A26, "IQ_TEV", $L$2, $L$5, $L$6)</f>
        <v>#NAME?</v>
      </c>
      <c r="I26" s="105" t="e">
        <f ca="1">_xll.ciqfunctions.udf.CIQ(A26, "IQ_LASTSALEPRICE", $B$1,$L$5)</f>
        <v>#NAME?</v>
      </c>
      <c r="J26" s="105" t="e">
        <f ca="1">_xll.ciqfunctions.udf.CIQ($A26, "IQ_MARKETCAP", $L$2, $L$5, $L$6)</f>
        <v>#NAME?</v>
      </c>
      <c r="K26" s="105" t="e">
        <f ca="1">_xll.ciqfunctions.udf.CIQ($A26, "IQ_TOTAL_DEBT", IQ_LTM, $L$2,$L$4, $L$3, $L$5, $L$6)</f>
        <v>#NAME?</v>
      </c>
      <c r="L26" s="105" t="e">
        <f ca="1">_xll.ciqfunctions.udf.CIQ($A26, "IQ_PREF_EQUITY", IQ_LTM, $L$2, $L$4, $L$3, $L$5, $L$6)</f>
        <v>#NAME?</v>
      </c>
      <c r="M26" s="105" t="e">
        <f ca="1">_xll.ciqfunctions.udf.CIQ($A26, "IQ_MINORITY_INTEREST_TOTAL", IQ_LTM, $L$2, $L$4, $L$3, $L$5, $L$6)</f>
        <v>#NAME?</v>
      </c>
      <c r="N26" s="105" t="e">
        <f ca="1">_xll.ciqfunctions.udf.CIQ($A26, "IQ_CASH_ST_INVEST", IQ_LTM, $L$2, $L$4, $L$3, $L$5, $L$6)</f>
        <v>#NAME?</v>
      </c>
      <c r="O26" s="105" t="e">
        <f ca="1">_xll.ciqfunctions.udf.CIQ($A26, "IQ_TOTAL_REV", IQ_LTM-8, $L$2, $L$4, $L$3, $L$5, $L$6)</f>
        <v>#NAME?</v>
      </c>
      <c r="P26" s="105" t="e">
        <f ca="1">_xll.ciqfunctions.udf.CIQ($A26, "IQ_TOTAL_REV", IQ_LTM - 4, $L$2, $L$4, $L$3, $L$5,$L$6)</f>
        <v>#NAME?</v>
      </c>
      <c r="Q26" s="105" t="e">
        <f ca="1">_xll.ciqfunctions.udf.CIQ($A26, "IQ_TOTAL_REV", IQ_LTM, $L$2, $L$4, $L$3, $L$5, $L$6)</f>
        <v>#NAME?</v>
      </c>
      <c r="R26" s="105" t="e">
        <f ca="1">_xll.ciqfunctions.udf.CIQ($A26, "IQ_TOTAL_REV", $B$2, $L$2, $L$4, $L$3, $L$5, $L$6)</f>
        <v>#NAME?</v>
      </c>
      <c r="S26" s="105" t="e">
        <f ca="1">IF(_xll.ciqfunctions.udf.CIQ($A26, "IQ_TOTAL_REV", $B$3, $L$2,$L$4, $L$3, $L$5, $L$6)=0,Q26,_xll.ciqfunctions.udf.CIQ($A26, "IQ_TOTAL_REV", $B$3, $L$2,$L$4, $L$3, $L$5, $L$6))</f>
        <v>#NAME?</v>
      </c>
      <c r="T26" s="105" t="e">
        <f ca="1">IF(_xll.ciqfunctions.udf.CIQ($A26, "IQ_REVENUE_EST",$B$4, $L$2, "CON", $L$3, $L$5, $L$6)=0,"n/a",_xll.ciqfunctions.udf.CIQ($A26, "IQ_REVENUE_EST",$B$4, $L$2, "CON", $L$3, $L$5, $L$6))</f>
        <v>#NAME?</v>
      </c>
      <c r="U26" s="105" t="e">
        <f ca="1">IF(_xll.ciqfunctions.udf.CIQ($A26, "IQ_REVENUE_EST",$B$5, $L$2, "CON", $L$3, $L$5, $L$6)=0,"n/a",_xll.ciqfunctions.udf.CIQ($A26, "IQ_REVENUE_EST",$B$5, $L$2, "CON", $L$3, $L$5, $L$6))</f>
        <v>#NAME?</v>
      </c>
      <c r="V26" s="105" t="e">
        <f ca="1">IF(_xll.ciqfunctions.udf.CIQ($A26, "IQ_REVENUE_EST",$B$6, $L$2, "CON", $L$3, $L$5, $L$6)=0,"n/a",_xll.ciqfunctions.udf.CIQ($A26, "IQ_REVENUE_EST",$B$6, $L$2, "CON", $L$3, $L$5, $L$6))</f>
        <v>#NAME?</v>
      </c>
      <c r="W26" s="105" t="e">
        <f ca="1">IF(_xll.ciqfunctions.udf.CIQ($A26, "IQ_REVENUE_EST", $B$7, $L$2, "CON", $L$3, $L$5, $L$6)=0,"n/a",_xll.ciqfunctions.udf.CIQ($A26, "IQ_REVENUE_EST",$B$7, $L$2, "CON", $L$3, $L$5, $L$6))</f>
        <v>#NAME?</v>
      </c>
      <c r="X26" s="105" t="e">
        <f ca="1">_xll.ciqfunctions.udf.CIQ($A26, "IQ_EBITDA", IQ_LTM-8, $L$2, $L$4, $L$3, $L$5, $L$6)</f>
        <v>#NAME?</v>
      </c>
      <c r="Y26" s="105" t="e">
        <f ca="1">_xll.ciqfunctions.udf.CIQ($A26, "IQ_EBITDA", IQ_LTM-4, $L$2,$L$4, $L$3, $L$5, $L$6)</f>
        <v>#NAME?</v>
      </c>
      <c r="Z26" s="105" t="e">
        <f ca="1">_xll.ciqfunctions.udf.CIQ($A26, "IQ_EBITDA", IQ_LTM, $L$2, $L$4, $L$3, $L$5, $L$6)</f>
        <v>#NAME?</v>
      </c>
      <c r="AA26" s="105" t="e">
        <f ca="1">_xll.ciqfunctions.udf.CIQ($A26, "IQ_EBITDA", $B$2, $L$2, $L$4, $L$3, $L$5, $L$6)</f>
        <v>#NAME?</v>
      </c>
      <c r="AB26" s="105" t="e">
        <f ca="1">IF(_xll.ciqfunctions.udf.CIQ($A26, "IQ_EBITDA", $B$3, $L$2,$L$4, $L$3, $L$5, $L$6)=0,Z26,_xll.ciqfunctions.udf.CIQ($A26, "IQ_EBITDA", $B$3, $L$2,$L$4, $L$3, $L$5, $L$6))</f>
        <v>#NAME?</v>
      </c>
      <c r="AC26" s="105" t="e">
        <f ca="1">IF(_xll.ciqfunctions.udf.CIQ($A26, "IQ_EBITDA_EST",$B$4, $L$2, "CON", $L$3, $L$5, $L$6)=0,"n/a",_xll.ciqfunctions.udf.CIQ($A26, "IQ_EBITDA_EST",$B$4, $L$2, "CON", $L$3, $L$5, $L$6))</f>
        <v>#NAME?</v>
      </c>
      <c r="AD26" s="105" t="e">
        <f ca="1">IF(_xll.ciqfunctions.udf.CIQ($A26, "IQ_EBITDA_EST",$B$5, $L$2, "CON", $L$3, $L$5, $L$6)=0,"n/a",_xll.ciqfunctions.udf.CIQ($A26, "IQ_EBITDA_EST",$B$5, $L$2, "CON", $L$3, $L$5, $L$6))</f>
        <v>#NAME?</v>
      </c>
      <c r="AE26" s="105" t="e">
        <f ca="1">IF(_xll.ciqfunctions.udf.CIQ($A26, "IQ_EBITDA_EST",$B$6, $L$2, "CON", $L$3, $L$5, $L$6)=0,"n/a",_xll.ciqfunctions.udf.CIQ($A26, "IQ_EBITDA_EST",$B$6, $L$2, "CON", $L$3, $L$5, $L$6))</f>
        <v>#NAME?</v>
      </c>
      <c r="AF26" s="106" t="str">
        <f ca="1">IF(ISERROR(_xll.ciqfunctions.udf.CIQ($A26, "IQ_GROSS_MARGIN", IQ_LTM, $L$2,$L$4, $L$3, $L$5, $L$6)/100), "n/a", _xll.ciqfunctions.udf.CIQ($A26,  "IQ_GROSS_MARGIN", IQ_LTM, $L$2, $L$4, $L$3, $L$5, $L$6)/100)</f>
        <v>n/a</v>
      </c>
      <c r="AG26" s="106" t="str">
        <f ca="1">IF(ISERROR(_xll.ciqfunctions.udf.CIQ($A26,"IQ_EBITDA_MARGIN", IQ_LTM, $L$2, $L$4, $L$3, $L$5, $L$6)/100), "n/a", _xll.ciqfunctions.udf.CIQ($A26, "IQ_EBITDA_MARGIN", IQ_LTM, $L$2, $L$4, $L$3, $L$5, $L$6)/100)</f>
        <v>n/a</v>
      </c>
      <c r="AH26" s="106" t="str">
        <f ca="1">IF(ISERROR(_xll.ciqfunctions.udf.CIQ($A26,"IQ_EBIT_MARGIN", IQ_LTM, $L$2, $L$4, $L$3, $L$5, $L$6)/100), "n/a", _xll.ciqfunctions.udf.CIQ($A26, "IQ_EBIT_MARGIN", IQ_LTM, $L$2, $L$4, $L$3, $L$5, $L$6)/100)</f>
        <v>n/a</v>
      </c>
      <c r="AI26" s="106" t="str">
        <f ca="1">IF(ISERROR(_xll.ciqfunctions.udf.CIQ($A26,"IQ_NI_MARGIN", IQ_LTM, $L$2, $L$4, $L$3, $L$5, $L$6)/100), "n/a", _xll.ciqfunctions.udf.CIQ($A26, "IQ_NI_MARGIN", IQ_LTM, $L$2, $L$4, $L$3, $L$5, $L$6)/100)</f>
        <v>n/a</v>
      </c>
      <c r="AJ26" s="105" t="str">
        <f ca="1">IF(ISERROR(_xll.ciqfunctions.udf.CIQ($A26, "IQ_NET_WORKING_CAP", IQ_LTM-8, $L$2, $L$4, $L$3, $L$5, $L$6)), "n/a", _xll.ciqfunctions.udf.CIQ($A26, "IQ_NET_WORKING_CAP", IQ_LTM-8, $L$2, $L$4, $L$3, $L$5, $L$6))</f>
        <v>n/a</v>
      </c>
      <c r="AK26" s="105" t="str">
        <f ca="1">IF(ISERROR(_xll.ciqfunctions.udf.CIQ($A26, "IQ_NET_WORKING_CAP", IQ_LTM-4, $L$2, $L$4, $L$3, $L$5, $L$6)), "n/a", _xll.ciqfunctions.udf.CIQ($A26, "IQ_NET_WORKING_CAP", IQ_LTM-4, $L$2, $L$4, $L$3, $L$5, $L$6))</f>
        <v>n/a</v>
      </c>
      <c r="AL26" s="105" t="str">
        <f ca="1">IF(ISERROR(_xll.ciqfunctions.udf.CIQ($A26, "IQ_NET_WORKING_CAP", IQ_LTM, $L$2,$L$4, $L$3, $L$5, $L$6)), "n/a", _xll.ciqfunctions.udf.CIQ($A26, "IQ_NET_WORKING_CAP", IQ_LTM, $L$2, $L$4, $L$3, $L$5, $L$6))</f>
        <v>n/a</v>
      </c>
      <c r="AM26" s="105" t="str">
        <f ca="1">IF(ISERROR(_xll.ciqfunctions.udf.CIQ($A26, "IQ_Capex", IQ_LTM-8, $L$2,$L$4, $L$3, $L$5, $L$6)), "n/a", _xll.ciqfunctions.udf.CIQ($A26, "IQ_Capex", IQ_LTM-8, $L$2, $L$4, $L$3, $L$5, $L$6))</f>
        <v>n/a</v>
      </c>
      <c r="AN26" s="105" t="str">
        <f ca="1">IF(ISERROR(_xll.ciqfunctions.udf.CIQ($A26, "IQ_Capex", IQ_LTM-4, $L$2,$L$4, $L$3, $L$5, $L$6)), "n/a", _xll.ciqfunctions.udf.CIQ($A26, "IQ_Capex", IQ_LTM-4, $L$2,$L$4, $L$3, $L$5, $L$6))</f>
        <v>n/a</v>
      </c>
      <c r="AO26" s="105" t="str">
        <f ca="1">IF(ISERROR(_xll.ciqfunctions.udf.CIQ($A26, "IQ_Capex", IQ_LTM, $L$2, $L$4, $L$3, $L$5, $L$6)), "n/a", _xll.ciqfunctions.udf.CIQ($A26, "IQ_Capex", IQ_LTM, $L$2, $L$4, $L$3, $L$5, $L$6))</f>
        <v>n/a</v>
      </c>
      <c r="AP26" s="107" t="e">
        <f ca="1">_xll.ciqfunctions.udf.CIQ(A26, "IQ_BUSINESS_DESCRIPTION")</f>
        <v>#NAME?</v>
      </c>
      <c r="AQ26" s="108" t="e">
        <f ca="1">_xll.ciqfunctions.udf.CIQ($A26, "IQ_BETA_1YR", $B$1)</f>
        <v>#NAME?</v>
      </c>
      <c r="AR26" s="108" t="e">
        <f ca="1">_xll.ciqfunctions.udf.CIQ($A26, "IQ_BETA_2YR", $B$1)</f>
        <v>#NAME?</v>
      </c>
      <c r="AS26" s="108" t="e">
        <f ca="1">_xll.ciqfunctions.udf.CIQ($A26, "IQ_BETA_5YR", $B$1)</f>
        <v>#NAME?</v>
      </c>
      <c r="AT26" s="106" t="e">
        <f ca="1">_xll.ciqfunctions.udf.CIQ($A26, "IQ_DIVIDEND_YIELD", $B$1)/100</f>
        <v>#NAME?</v>
      </c>
      <c r="AU26" s="105" t="e">
        <f ca="1">_xll.ciqfunctions.udf.CIQ($A26, "IQ_EARNING_CO", IQ_LTM-8, $L$2, $L$4, $L$3, $L$5, $L$6)</f>
        <v>#NAME?</v>
      </c>
      <c r="AV26" s="105" t="e">
        <f ca="1">_xll.ciqfunctions.udf.CIQ($A26, "IQ_EARNING_CO", IQ_LTM-4, $L$2, $L$4, $L$3, $L$5, $L$6)</f>
        <v>#NAME?</v>
      </c>
      <c r="AW26" s="105" t="e">
        <f ca="1">_xll.ciqfunctions.udf.CIQ($A26, "IQ_EARNING_CO", IQ_LTM, $L$2, $L$4, $L$3, $L$5, $L$6)</f>
        <v>#NAME?</v>
      </c>
      <c r="AX26" s="105" t="e">
        <f ca="1">_xll.ciqfunctions.udf.CIQ($A26, "IQ_EARNING_CO", $B$2, $L$2, $L$4, $L$3, $L$5, $L$6)</f>
        <v>#NAME?</v>
      </c>
      <c r="AY26" s="105" t="e">
        <f ca="1">IF(_xll.ciqfunctions.udf.CIQ($A26, "IQ_EARNING_CO", $B$3, $L$2,$L$4, $L$3, $L$5, $L$6)=0,AW26,_xll.ciqfunctions.udf.CIQ($A26, "IQ_EARNING_CO", $B$3, $L$2,$L$4, $L$3, $L$5, $L$6))</f>
        <v>#NAME?</v>
      </c>
      <c r="AZ26" s="105" t="e">
        <f ca="1">_xll.ciqfunctions.udf.CIQ($A26, "IQ_TOTAL_EQUITY", IQ_LTM-8, $L$2, $L$4, $L$3, $L$5, $L$6)</f>
        <v>#NAME?</v>
      </c>
      <c r="BA26" s="105" t="e">
        <f ca="1">_xll.ciqfunctions.udf.CIQ($A26, "IQ_TOTAL_EQUITY", IQ_LTM-4, $L$2, $L$4, $L$3, $L$5, $L$6)</f>
        <v>#NAME?</v>
      </c>
      <c r="BB26" s="105" t="e">
        <f ca="1">_xll.ciqfunctions.udf.CIQ($A26, "IQ_TOTAL_EQUITY", IQ_LTM, $L$2, $L$4, $L$3, $L$5, $L$6)</f>
        <v>#NAME?</v>
      </c>
      <c r="BC26" s="105" t="e">
        <f ca="1">_xll.ciqfunctions.udf.CIQ($A26, "IQ_TOTAL_EQUITY", $B$2, $L$2, $L$4, $L$3, $L$5, $L$6)</f>
        <v>#NAME?</v>
      </c>
      <c r="BD26" s="105" t="e">
        <f ca="1">IF(_xll.ciqfunctions.udf.CIQ($A26, "IQ_TOTAL_EQUITY", $B$3, $L$2,$L$4, $L$3, $L$5, $L$6)=0,BB26,_xll.ciqfunctions.udf.CIQ($A26, "IQ_TOTAL_EQUITY", $B$3, $L$2,$L$4, $L$3, $L$5, $L$6))</f>
        <v>#NAME?</v>
      </c>
      <c r="BE26" s="105" t="e">
        <f ca="1">_xll.ciqfunctions.udf.CIQ(A26, "IQ_LASTSALEPRICE", $B$8)</f>
        <v>#NAME?</v>
      </c>
      <c r="BF26" s="105" t="e">
        <f ca="1">_xll.ciqfunctions.udf.CIQ($A26, "IQ_MARKETCAP", $B$8, $L$5, $L$6)</f>
        <v>#NAME?</v>
      </c>
      <c r="BG26" s="105" t="e">
        <f ca="1">_xll.ciqfunctions.udf.CIQ($A26, "IQ_TOTAL_DEBT", IQ_LTM, $B$8,$L$4, $L$3, $L$5, $L$6)</f>
        <v>#NAME?</v>
      </c>
      <c r="BH26" s="74" t="e">
        <f ca="1">_xll.ciqfunctions.udf.CIQ($A26,"IQ_PREF_EQUITY",IQ_LTM,$B$8,$L$4,$L$3,$L$5,$L$6)</f>
        <v>#NAME?</v>
      </c>
      <c r="BI26" s="74" t="e">
        <f ca="1">_xll.ciqfunctions.udf.CIQ($A26, "IQ_MINORITY_INTEREST_TOTAL", IQ_LTM,$B$8,$L$4,$L$3,$L$5,$L$6)</f>
        <v>#NAME?</v>
      </c>
      <c r="BJ26" s="105" t="e">
        <f ca="1">_xll.ciqfunctions.udf.CIQ($A26, "IQ_CASH_ST_INVEST", IQ_LTM, $B$8, $L$4, $L$3, $L$5, $L$6)</f>
        <v>#NAME?</v>
      </c>
      <c r="BK26" s="74" t="e">
        <f ca="1">_xll.ciqfunctions.udf.CIQ($A26, "IQ_EFFECT_TAX_RATE")</f>
        <v>#NAME?</v>
      </c>
      <c r="BL26" s="74" t="e">
        <f ca="1">IF(_xll.ciqfunctions.udf.CIQ($A26, "IQ_TOTAL_REV_2YR_ANN_CAGR", IQ_LTM, $B$1,$L$4, $L$3, $L$5, $L$6)="NM","n/a",(_xll.ciqfunctions.udf.CIQ($A26, "IQ_TOTAL_REV_2YR_ANN_CAGR", IQ_LTM, $B$1,$L$4, $L$3, $L$5, $L$6)/100))</f>
        <v>#NAME?</v>
      </c>
      <c r="BM26" s="74" t="e">
        <f ca="1">IF(_xll.ciqfunctions.udf.CIQ($A26, "IQ_TOTAL_REV_3YR_ANN_CAGR", IQ_LTM, $B$1,$L$4, $L$3, $L$5, $L$6)="NM","n/a",(_xll.ciqfunctions.udf.CIQ($A26, "IQ_TOTAL_REV_3YR_ANN_CAGR", IQ_LTM, $B$1,$L$4, $L$3, $L$5, $L$6)/100))</f>
        <v>#NAME?</v>
      </c>
      <c r="BN26" s="74" t="e">
        <f ca="1">IF(_xll.ciqfunctions.udf.CIQ($A26, "IQ_TOTAL_REV_5YR_ANN_CAGR", IQ_LTM, $B$1,$L$4, $L$3, $L$5, $L$6)="NM","n/a",(_xll.ciqfunctions.udf.CIQ($A26, "IQ_TOTAL_REV_5YR_ANN_CAGR", IQ_LTM, $B$1,$L$4, $L$3, $L$5, $L$6)/100))</f>
        <v>#NAME?</v>
      </c>
      <c r="BO26" s="74" t="e">
        <f ca="1">IF(_xll.ciqfunctions.udf.CIQ($A26,"IQ_EBITDA_2YR_ANN_CAGR", IQ_LTM,$B$1,$L$4, $L$3, $L$5, $L$6)="NM","n/a",(_xll.ciqfunctions.udf.CIQ($A26,"IQ_EBITDA_2YR_ANN_CAGR", IQ_LTM,$B$1,$L$4, $L$3, $L$5, $L$6)/100))</f>
        <v>#NAME?</v>
      </c>
      <c r="BP26" s="74" t="e">
        <f ca="1">IF(_xll.ciqfunctions.udf.CIQ($A26,"IQ_EBITDA_3YR_ANN_CAGR", IQ_LTM,$B$1,$L$4, $L$3, $L$5, $L$6)="NM","n/a",(_xll.ciqfunctions.udf.CIQ($A26,"IQ_EBITDA_3YR_ANN_CAGR", IQ_LTM,$B$1,$L$4, $L$3, $L$5, $L$6)/100))</f>
        <v>#NAME?</v>
      </c>
      <c r="BQ26" s="74" t="e">
        <f ca="1">IF(_xll.ciqfunctions.udf.CIQ($A26,"IQ_EBITDA_5YR_ANN_CAGR", IQ_LTM,$B$1,$L$4, $L$3, $L$5, $L$6)="NM","n/a",(_xll.ciqfunctions.udf.CIQ($A26,"IQ_EBITDA_5YR_ANN_CAGR", IQ_LTM,$B$1,$L$4, $L$3, $L$5, $L$6)/100))</f>
        <v>#NAME?</v>
      </c>
      <c r="BR26" s="78" t="str">
        <f ca="1">IFERROR((_xll.ciqfunctions.udf.CIQ($A26, "IQ_DA_CF", IQ_LTM, $B$1, $L$4, $L$3, $L$5, $L$6)/Q26),"NM")</f>
        <v>NM</v>
      </c>
      <c r="BS26" s="109">
        <f>'Capital IQ Sheet-GPC'!BS26</f>
        <v>0.83000273906617572</v>
      </c>
      <c r="BT26" s="109" t="str">
        <f>'Capital IQ Sheet-GPC'!BT26</f>
        <v>n/a</v>
      </c>
      <c r="BU26" s="109" t="str">
        <f>'Capital IQ Sheet-GPC'!BU26</f>
        <v>n/a</v>
      </c>
      <c r="BV26" s="109" t="str">
        <f>'Capital IQ Sheet-GPC'!BV26</f>
        <v>n/a</v>
      </c>
      <c r="BW26" s="109" t="str">
        <f>'Capital IQ Sheet-GPC'!BW26</f>
        <v>n/a</v>
      </c>
      <c r="BX26" s="109" t="str">
        <f>'Capital IQ Sheet-GPC'!BX26</f>
        <v>n/a</v>
      </c>
      <c r="BY26" s="109" t="str">
        <f>'Capital IQ Sheet-GPC'!BY26</f>
        <v>n/a</v>
      </c>
      <c r="BZ26" s="109" t="str">
        <f>'Capital IQ Sheet-GPC'!BZ26</f>
        <v>n/a</v>
      </c>
      <c r="CB26" s="74">
        <v>2</v>
      </c>
      <c r="CC26" s="149" t="s">
        <v>315</v>
      </c>
      <c r="CD26" s="149" t="s">
        <v>314</v>
      </c>
      <c r="CE26" s="76">
        <f t="shared" si="1"/>
        <v>42005</v>
      </c>
    </row>
    <row r="27" spans="1:83" s="74" customFormat="1" ht="12.75">
      <c r="A27" s="75" t="e">
        <f ca="1">_xll.ciqfunctions.udf.CIQ($B27,"IQ_COMPANY_TICKER")</f>
        <v>#NAME?</v>
      </c>
      <c r="B27" s="104" t="str">
        <f>'Capital IQ Sheet-GPC'!B27</f>
        <v>IQ360935</v>
      </c>
      <c r="C27" s="75" t="e">
        <f ca="1">_xll.ciqfunctions.udf.CIQ($A27,"IQ_COMPANY_NAME")</f>
        <v>#NAME?</v>
      </c>
      <c r="D27" s="75" t="e">
        <f ca="1">_xll.ciqfunctions.udf.CIQ($A27, "IQ_EXCHANGE")</f>
        <v>#NAME?</v>
      </c>
      <c r="E27" s="103" t="e">
        <f ca="1">_xll.ciqfunctions.udf.CIQ($A27, "IQ_PERIODDATE_IS", IQ_FY)</f>
        <v>#NAME?</v>
      </c>
      <c r="F27" s="103" t="e">
        <f ca="1">_xll.ciqfunctions.udf.CIQ(A27, "IQ_PERIODDATE_IS", IQ_LTM, $B$1,$L$4,$L$3)</f>
        <v>#NAME?</v>
      </c>
      <c r="G27" s="103" t="e">
        <f ca="1">_xll.ciqfunctions.udf.CIQ($A27, "IQ_FIRSTPRICINGDATE")</f>
        <v>#NAME?</v>
      </c>
      <c r="H27" s="105" t="e">
        <f ca="1">_xll.ciqfunctions.udf.CIQ($A27, "IQ_TEV", $L$2, $L$5, $L$6)</f>
        <v>#NAME?</v>
      </c>
      <c r="I27" s="105" t="e">
        <f ca="1">_xll.ciqfunctions.udf.CIQ(A27, "IQ_LASTSALEPRICE", $B$1,$L$5)</f>
        <v>#NAME?</v>
      </c>
      <c r="J27" s="105" t="e">
        <f ca="1">_xll.ciqfunctions.udf.CIQ($A27, "IQ_MARKETCAP", $L$2, $L$5, $L$6)</f>
        <v>#NAME?</v>
      </c>
      <c r="K27" s="105" t="e">
        <f ca="1">_xll.ciqfunctions.udf.CIQ($A27, "IQ_TOTAL_DEBT", IQ_LTM, $L$2,$L$4, $L$3, $L$5, $L$6)</f>
        <v>#NAME?</v>
      </c>
      <c r="L27" s="105" t="e">
        <f ca="1">_xll.ciqfunctions.udf.CIQ($A27, "IQ_PREF_EQUITY", IQ_LTM, $L$2, $L$4, $L$3, $L$5, $L$6)</f>
        <v>#NAME?</v>
      </c>
      <c r="M27" s="105" t="e">
        <f ca="1">_xll.ciqfunctions.udf.CIQ($A27, "IQ_MINORITY_INTEREST_TOTAL", IQ_LTM, $L$2, $L$4, $L$3, $L$5, $L$6)</f>
        <v>#NAME?</v>
      </c>
      <c r="N27" s="105" t="e">
        <f ca="1">_xll.ciqfunctions.udf.CIQ($A27, "IQ_CASH_ST_INVEST", IQ_LTM, $L$2, $L$4, $L$3, $L$5, $L$6)</f>
        <v>#NAME?</v>
      </c>
      <c r="O27" s="105" t="e">
        <f ca="1">_xll.ciqfunctions.udf.CIQ($A27, "IQ_TOTAL_REV", IQ_LTM-8, $L$2, $L$4, $L$3, $L$5, $L$6)</f>
        <v>#NAME?</v>
      </c>
      <c r="P27" s="105" t="e">
        <f ca="1">_xll.ciqfunctions.udf.CIQ($A27, "IQ_TOTAL_REV", IQ_LTM - 4, $L$2, $L$4, $L$3, $L$5,$L$6)</f>
        <v>#NAME?</v>
      </c>
      <c r="Q27" s="105" t="e">
        <f ca="1">_xll.ciqfunctions.udf.CIQ($A27, "IQ_TOTAL_REV", IQ_LTM, $L$2, $L$4, $L$3, $L$5, $L$6)</f>
        <v>#NAME?</v>
      </c>
      <c r="R27" s="105" t="e">
        <f ca="1">_xll.ciqfunctions.udf.CIQ($A27, "IQ_TOTAL_REV", $B$2, $L$2, $L$4, $L$3, $L$5, $L$6)</f>
        <v>#NAME?</v>
      </c>
      <c r="S27" s="105" t="e">
        <f ca="1">IF(_xll.ciqfunctions.udf.CIQ($A27, "IQ_TOTAL_REV", $B$3, $L$2,$L$4, $L$3, $L$5, $L$6)=0,Q27,_xll.ciqfunctions.udf.CIQ($A27, "IQ_TOTAL_REV", $B$3, $L$2,$L$4, $L$3, $L$5, $L$6))</f>
        <v>#NAME?</v>
      </c>
      <c r="T27" s="105" t="e">
        <f ca="1">IF(_xll.ciqfunctions.udf.CIQ($A27, "IQ_REVENUE_EST",$B$4, $L$2, "CON", $L$3, $L$5, $L$6)=0,"n/a",_xll.ciqfunctions.udf.CIQ($A27, "IQ_REVENUE_EST",$B$4, $L$2, "CON", $L$3, $L$5, $L$6))</f>
        <v>#NAME?</v>
      </c>
      <c r="U27" s="105" t="e">
        <f ca="1">IF(_xll.ciqfunctions.udf.CIQ($A27, "IQ_REVENUE_EST",$B$5, $L$2, "CON", $L$3, $L$5, $L$6)=0,"n/a",_xll.ciqfunctions.udf.CIQ($A27, "IQ_REVENUE_EST",$B$5, $L$2, "CON", $L$3, $L$5, $L$6))</f>
        <v>#NAME?</v>
      </c>
      <c r="V27" s="105" t="e">
        <f ca="1">IF(_xll.ciqfunctions.udf.CIQ($A27, "IQ_REVENUE_EST",$B$6, $L$2, "CON", $L$3, $L$5, $L$6)=0,"n/a",_xll.ciqfunctions.udf.CIQ($A27, "IQ_REVENUE_EST",$B$6, $L$2, "CON", $L$3, $L$5, $L$6))</f>
        <v>#NAME?</v>
      </c>
      <c r="W27" s="105" t="e">
        <f ca="1">IF(_xll.ciqfunctions.udf.CIQ($A27, "IQ_REVENUE_EST", $B$7, $L$2, "CON", $L$3, $L$5, $L$6)=0,"n/a",_xll.ciqfunctions.udf.CIQ($A27, "IQ_REVENUE_EST",$B$7, $L$2, "CON", $L$3, $L$5, $L$6))</f>
        <v>#NAME?</v>
      </c>
      <c r="X27" s="105" t="e">
        <f ca="1">_xll.ciqfunctions.udf.CIQ($A27, "IQ_EBITDA", IQ_LTM-8, $L$2, $L$4, $L$3, $L$5, $L$6)</f>
        <v>#NAME?</v>
      </c>
      <c r="Y27" s="105" t="e">
        <f ca="1">_xll.ciqfunctions.udf.CIQ($A27, "IQ_EBITDA", IQ_LTM-4, $L$2,$L$4, $L$3, $L$5, $L$6)</f>
        <v>#NAME?</v>
      </c>
      <c r="Z27" s="105" t="e">
        <f ca="1">_xll.ciqfunctions.udf.CIQ($A27, "IQ_EBITDA", IQ_LTM, $L$2, $L$4, $L$3, $L$5, $L$6)</f>
        <v>#NAME?</v>
      </c>
      <c r="AA27" s="105" t="e">
        <f ca="1">_xll.ciqfunctions.udf.CIQ($A27, "IQ_EBITDA", $B$2, $L$2, $L$4, $L$3, $L$5, $L$6)</f>
        <v>#NAME?</v>
      </c>
      <c r="AB27" s="105" t="e">
        <f ca="1">IF(_xll.ciqfunctions.udf.CIQ($A27, "IQ_EBITDA", $B$3, $L$2,$L$4, $L$3, $L$5, $L$6)=0,Z27,_xll.ciqfunctions.udf.CIQ($A27, "IQ_EBITDA", $B$3, $L$2,$L$4, $L$3, $L$5, $L$6))</f>
        <v>#NAME?</v>
      </c>
      <c r="AC27" s="105" t="e">
        <f ca="1">IF(_xll.ciqfunctions.udf.CIQ($A27, "IQ_EBITDA_EST",$B$4, $L$2, "CON", $L$3, $L$5, $L$6)=0,"n/a",_xll.ciqfunctions.udf.CIQ($A27, "IQ_EBITDA_EST",$B$4, $L$2, "CON", $L$3, $L$5, $L$6))</f>
        <v>#NAME?</v>
      </c>
      <c r="AD27" s="105" t="e">
        <f ca="1">IF(_xll.ciqfunctions.udf.CIQ($A27, "IQ_EBITDA_EST",$B$5, $L$2, "CON", $L$3, $L$5, $L$6)=0,"n/a",_xll.ciqfunctions.udf.CIQ($A27, "IQ_EBITDA_EST",$B$5, $L$2, "CON", $L$3, $L$5, $L$6))</f>
        <v>#NAME?</v>
      </c>
      <c r="AE27" s="105" t="e">
        <f ca="1">IF(_xll.ciqfunctions.udf.CIQ($A27, "IQ_EBITDA_EST",$B$6, $L$2, "CON", $L$3, $L$5, $L$6)=0,"n/a",_xll.ciqfunctions.udf.CIQ($A27, "IQ_EBITDA_EST",$B$6, $L$2, "CON", $L$3, $L$5, $L$6))</f>
        <v>#NAME?</v>
      </c>
      <c r="AF27" s="106" t="str">
        <f ca="1">IF(ISERROR(_xll.ciqfunctions.udf.CIQ($A27, "IQ_GROSS_MARGIN", IQ_LTM, $L$2,$L$4, $L$3, $L$5, $L$6)/100), "n/a", _xll.ciqfunctions.udf.CIQ($A27,  "IQ_GROSS_MARGIN", IQ_LTM, $L$2, $L$4, $L$3, $L$5, $L$6)/100)</f>
        <v>n/a</v>
      </c>
      <c r="AG27" s="106" t="str">
        <f ca="1">IF(ISERROR(_xll.ciqfunctions.udf.CIQ($A27,"IQ_EBITDA_MARGIN", IQ_LTM, $L$2, $L$4, $L$3, $L$5, $L$6)/100), "n/a", _xll.ciqfunctions.udf.CIQ($A27, "IQ_EBITDA_MARGIN", IQ_LTM, $L$2, $L$4, $L$3, $L$5, $L$6)/100)</f>
        <v>n/a</v>
      </c>
      <c r="AH27" s="106" t="str">
        <f ca="1">IF(ISERROR(_xll.ciqfunctions.udf.CIQ($A27,"IQ_EBIT_MARGIN", IQ_LTM, $L$2, $L$4, $L$3, $L$5, $L$6)/100), "n/a", _xll.ciqfunctions.udf.CIQ($A27, "IQ_EBIT_MARGIN", IQ_LTM, $L$2, $L$4, $L$3, $L$5, $L$6)/100)</f>
        <v>n/a</v>
      </c>
      <c r="AI27" s="106" t="str">
        <f ca="1">IF(ISERROR(_xll.ciqfunctions.udf.CIQ($A27,"IQ_NI_MARGIN", IQ_LTM, $L$2, $L$4, $L$3, $L$5, $L$6)/100), "n/a", _xll.ciqfunctions.udf.CIQ($A27, "IQ_NI_MARGIN", IQ_LTM, $L$2, $L$4, $L$3, $L$5, $L$6)/100)</f>
        <v>n/a</v>
      </c>
      <c r="AJ27" s="105" t="str">
        <f ca="1">IF(ISERROR(_xll.ciqfunctions.udf.CIQ($A27, "IQ_NET_WORKING_CAP", IQ_LTM-8, $L$2, $L$4, $L$3, $L$5, $L$6)), "n/a", _xll.ciqfunctions.udf.CIQ($A27, "IQ_NET_WORKING_CAP", IQ_LTM-8, $L$2, $L$4, $L$3, $L$5, $L$6))</f>
        <v>n/a</v>
      </c>
      <c r="AK27" s="105" t="str">
        <f ca="1">IF(ISERROR(_xll.ciqfunctions.udf.CIQ($A27, "IQ_NET_WORKING_CAP", IQ_LTM-4, $L$2, $L$4, $L$3, $L$5, $L$6)), "n/a", _xll.ciqfunctions.udf.CIQ($A27, "IQ_NET_WORKING_CAP", IQ_LTM-4, $L$2, $L$4, $L$3, $L$5, $L$6))</f>
        <v>n/a</v>
      </c>
      <c r="AL27" s="105" t="str">
        <f ca="1">IF(ISERROR(_xll.ciqfunctions.udf.CIQ($A27, "IQ_NET_WORKING_CAP", IQ_LTM, $L$2,$L$4, $L$3, $L$5, $L$6)), "n/a", _xll.ciqfunctions.udf.CIQ($A27, "IQ_NET_WORKING_CAP", IQ_LTM, $L$2, $L$4, $L$3, $L$5, $L$6))</f>
        <v>n/a</v>
      </c>
      <c r="AM27" s="105" t="str">
        <f ca="1">IF(ISERROR(_xll.ciqfunctions.udf.CIQ($A27, "IQ_Capex", IQ_LTM-8, $L$2,$L$4, $L$3, $L$5, $L$6)), "n/a", _xll.ciqfunctions.udf.CIQ($A27, "IQ_Capex", IQ_LTM-8, $L$2, $L$4, $L$3, $L$5, $L$6))</f>
        <v>n/a</v>
      </c>
      <c r="AN27" s="105" t="str">
        <f ca="1">IF(ISERROR(_xll.ciqfunctions.udf.CIQ($A27, "IQ_Capex", IQ_LTM-4, $L$2,$L$4, $L$3, $L$5, $L$6)), "n/a", _xll.ciqfunctions.udf.CIQ($A27, "IQ_Capex", IQ_LTM-4, $L$2,$L$4, $L$3, $L$5, $L$6))</f>
        <v>n/a</v>
      </c>
      <c r="AO27" s="105" t="str">
        <f ca="1">IF(ISERROR(_xll.ciqfunctions.udf.CIQ($A27, "IQ_Capex", IQ_LTM, $L$2, $L$4, $L$3, $L$5, $L$6)), "n/a", _xll.ciqfunctions.udf.CIQ($A27, "IQ_Capex", IQ_LTM, $L$2, $L$4, $L$3, $L$5, $L$6))</f>
        <v>n/a</v>
      </c>
      <c r="AP27" s="107" t="e">
        <f ca="1">_xll.ciqfunctions.udf.CIQ(A27, "IQ_BUSINESS_DESCRIPTION")</f>
        <v>#NAME?</v>
      </c>
      <c r="AQ27" s="108" t="e">
        <f ca="1">_xll.ciqfunctions.udf.CIQ($A27, "IQ_BETA_1YR", $B$1)</f>
        <v>#NAME?</v>
      </c>
      <c r="AR27" s="108" t="e">
        <f ca="1">_xll.ciqfunctions.udf.CIQ($A27, "IQ_BETA_2YR", $B$1)</f>
        <v>#NAME?</v>
      </c>
      <c r="AS27" s="108" t="e">
        <f ca="1">_xll.ciqfunctions.udf.CIQ($A27, "IQ_BETA_5YR", $B$1)</f>
        <v>#NAME?</v>
      </c>
      <c r="AT27" s="106" t="e">
        <f ca="1">_xll.ciqfunctions.udf.CIQ($A27, "IQ_DIVIDEND_YIELD", $B$1)/100</f>
        <v>#NAME?</v>
      </c>
      <c r="AU27" s="105" t="e">
        <f ca="1">_xll.ciqfunctions.udf.CIQ($A27, "IQ_EARNING_CO", IQ_LTM-8, $L$2, $L$4, $L$3, $L$5, $L$6)</f>
        <v>#NAME?</v>
      </c>
      <c r="AV27" s="105" t="e">
        <f ca="1">_xll.ciqfunctions.udf.CIQ($A27, "IQ_EARNING_CO", IQ_LTM-4, $L$2, $L$4, $L$3, $L$5, $L$6)</f>
        <v>#NAME?</v>
      </c>
      <c r="AW27" s="105" t="e">
        <f ca="1">_xll.ciqfunctions.udf.CIQ($A27, "IQ_EARNING_CO", IQ_LTM, $L$2, $L$4, $L$3, $L$5, $L$6)</f>
        <v>#NAME?</v>
      </c>
      <c r="AX27" s="105" t="e">
        <f ca="1">_xll.ciqfunctions.udf.CIQ($A27, "IQ_EARNING_CO", $B$2, $L$2, $L$4, $L$3, $L$5, $L$6)</f>
        <v>#NAME?</v>
      </c>
      <c r="AY27" s="105" t="e">
        <f ca="1">IF(_xll.ciqfunctions.udf.CIQ($A27, "IQ_EARNING_CO", $B$3, $L$2,$L$4, $L$3, $L$5, $L$6)=0,AW27,_xll.ciqfunctions.udf.CIQ($A27, "IQ_EARNING_CO", $B$3, $L$2,$L$4, $L$3, $L$5, $L$6))</f>
        <v>#NAME?</v>
      </c>
      <c r="AZ27" s="105" t="e">
        <f ca="1">_xll.ciqfunctions.udf.CIQ($A27, "IQ_TOTAL_EQUITY", IQ_LTM-8, $L$2, $L$4, $L$3, $L$5, $L$6)</f>
        <v>#NAME?</v>
      </c>
      <c r="BA27" s="105" t="e">
        <f ca="1">_xll.ciqfunctions.udf.CIQ($A27, "IQ_TOTAL_EQUITY", IQ_LTM-4, $L$2, $L$4, $L$3, $L$5, $L$6)</f>
        <v>#NAME?</v>
      </c>
      <c r="BB27" s="105" t="e">
        <f ca="1">_xll.ciqfunctions.udf.CIQ($A27, "IQ_TOTAL_EQUITY", IQ_LTM, $L$2, $L$4, $L$3, $L$5, $L$6)</f>
        <v>#NAME?</v>
      </c>
      <c r="BC27" s="105" t="e">
        <f ca="1">_xll.ciqfunctions.udf.CIQ($A27, "IQ_TOTAL_EQUITY", $B$2, $L$2, $L$4, $L$3, $L$5, $L$6)</f>
        <v>#NAME?</v>
      </c>
      <c r="BD27" s="105" t="e">
        <f ca="1">IF(_xll.ciqfunctions.udf.CIQ($A27, "IQ_TOTAL_EQUITY", $B$3, $L$2,$L$4, $L$3, $L$5, $L$6)=0,BB27,_xll.ciqfunctions.udf.CIQ($A27, "IQ_TOTAL_EQUITY", $B$3, $L$2,$L$4, $L$3, $L$5, $L$6))</f>
        <v>#NAME?</v>
      </c>
      <c r="BE27" s="105" t="e">
        <f ca="1">_xll.ciqfunctions.udf.CIQ(A27, "IQ_LASTSALEPRICE", $B$8)</f>
        <v>#NAME?</v>
      </c>
      <c r="BF27" s="105" t="e">
        <f ca="1">_xll.ciqfunctions.udf.CIQ($A27, "IQ_MARKETCAP", $B$8, $L$5, $L$6)</f>
        <v>#NAME?</v>
      </c>
      <c r="BG27" s="105" t="e">
        <f ca="1">_xll.ciqfunctions.udf.CIQ($A27, "IQ_TOTAL_DEBT", IQ_LTM, $B$8,$L$4, $L$3, $L$5, $L$6)</f>
        <v>#NAME?</v>
      </c>
      <c r="BH27" s="74" t="e">
        <f ca="1">_xll.ciqfunctions.udf.CIQ($A27,"IQ_PREF_EQUITY",IQ_LTM,$B$8,$L$4,$L$3,$L$5,$L$6)</f>
        <v>#NAME?</v>
      </c>
      <c r="BI27" s="74" t="e">
        <f ca="1">_xll.ciqfunctions.udf.CIQ($A27, "IQ_MINORITY_INTEREST_TOTAL", IQ_LTM,$B$8,$L$4,$L$3,$L$5,$L$6)</f>
        <v>#NAME?</v>
      </c>
      <c r="BJ27" s="105" t="e">
        <f ca="1">_xll.ciqfunctions.udf.CIQ($A27, "IQ_CASH_ST_INVEST", IQ_LTM, $B$8, $L$4, $L$3, $L$5, $L$6)</f>
        <v>#NAME?</v>
      </c>
      <c r="BK27" s="74" t="e">
        <f ca="1">_xll.ciqfunctions.udf.CIQ($A27, "IQ_EFFECT_TAX_RATE")</f>
        <v>#NAME?</v>
      </c>
      <c r="BL27" s="74" t="e">
        <f ca="1">IF(_xll.ciqfunctions.udf.CIQ($A27, "IQ_TOTAL_REV_2YR_ANN_CAGR", IQ_LTM, $B$1,$L$4, $L$3, $L$5, $L$6)="NM","n/a",(_xll.ciqfunctions.udf.CIQ($A27, "IQ_TOTAL_REV_2YR_ANN_CAGR", IQ_LTM, $B$1,$L$4, $L$3, $L$5, $L$6)/100))</f>
        <v>#NAME?</v>
      </c>
      <c r="BM27" s="74" t="e">
        <f ca="1">IF(_xll.ciqfunctions.udf.CIQ($A27, "IQ_TOTAL_REV_3YR_ANN_CAGR", IQ_LTM, $B$1,$L$4, $L$3, $L$5, $L$6)="NM","n/a",(_xll.ciqfunctions.udf.CIQ($A27, "IQ_TOTAL_REV_3YR_ANN_CAGR", IQ_LTM, $B$1,$L$4, $L$3, $L$5, $L$6)/100))</f>
        <v>#NAME?</v>
      </c>
      <c r="BN27" s="74" t="e">
        <f ca="1">IF(_xll.ciqfunctions.udf.CIQ($A27, "IQ_TOTAL_REV_5YR_ANN_CAGR", IQ_LTM, $B$1,$L$4, $L$3, $L$5, $L$6)="NM","n/a",(_xll.ciqfunctions.udf.CIQ($A27, "IQ_TOTAL_REV_5YR_ANN_CAGR", IQ_LTM, $B$1,$L$4, $L$3, $L$5, $L$6)/100))</f>
        <v>#NAME?</v>
      </c>
      <c r="BO27" s="74" t="e">
        <f ca="1">IF(_xll.ciqfunctions.udf.CIQ($A27,"IQ_EBITDA_2YR_ANN_CAGR", IQ_LTM,$B$1,$L$4, $L$3, $L$5, $L$6)="NM","n/a",(_xll.ciqfunctions.udf.CIQ($A27,"IQ_EBITDA_2YR_ANN_CAGR", IQ_LTM,$B$1,$L$4, $L$3, $L$5, $L$6)/100))</f>
        <v>#NAME?</v>
      </c>
      <c r="BP27" s="74" t="e">
        <f ca="1">IF(_xll.ciqfunctions.udf.CIQ($A27,"IQ_EBITDA_3YR_ANN_CAGR", IQ_LTM,$B$1,$L$4, $L$3, $L$5, $L$6)="NM","n/a",(_xll.ciqfunctions.udf.CIQ($A27,"IQ_EBITDA_3YR_ANN_CAGR", IQ_LTM,$B$1,$L$4, $L$3, $L$5, $L$6)/100))</f>
        <v>#NAME?</v>
      </c>
      <c r="BQ27" s="74" t="e">
        <f ca="1">IF(_xll.ciqfunctions.udf.CIQ($A27,"IQ_EBITDA_5YR_ANN_CAGR", IQ_LTM,$B$1,$L$4, $L$3, $L$5, $L$6)="NM","n/a",(_xll.ciqfunctions.udf.CIQ($A27,"IQ_EBITDA_5YR_ANN_CAGR", IQ_LTM,$B$1,$L$4, $L$3, $L$5, $L$6)/100))</f>
        <v>#NAME?</v>
      </c>
      <c r="BR27" s="78" t="str">
        <f ca="1">IFERROR((_xll.ciqfunctions.udf.CIQ($A27, "IQ_DA_CF", IQ_LTM, $B$1, $L$4, $L$3, $L$5, $L$6)/Q27),"NM")</f>
        <v>NM</v>
      </c>
      <c r="BS27" s="109">
        <f>'Capital IQ Sheet-GPC'!BS27</f>
        <v>0.74036174837069324</v>
      </c>
      <c r="BT27" s="109">
        <f>'Capital IQ Sheet-GPC'!BT27</f>
        <v>1.0161279587876995</v>
      </c>
      <c r="BU27" s="109">
        <f>'Capital IQ Sheet-GPC'!BU27</f>
        <v>0.99599672896108482</v>
      </c>
      <c r="BV27" s="109">
        <f>'Capital IQ Sheet-GPC'!BV27</f>
        <v>1.0074578957998359</v>
      </c>
      <c r="BW27" s="109">
        <f>'Capital IQ Sheet-GPC'!BW27</f>
        <v>1.0777389955753038</v>
      </c>
      <c r="BX27" s="109">
        <f>'Capital IQ Sheet-GPC'!BX27</f>
        <v>1.0163456904071684</v>
      </c>
      <c r="BY27" s="109">
        <f>'Capital IQ Sheet-GPC'!BY27</f>
        <v>0.96307818231197206</v>
      </c>
      <c r="BZ27" s="109">
        <f>'Capital IQ Sheet-GPC'!BZ27</f>
        <v>1.0073478684724886</v>
      </c>
      <c r="CB27" s="74">
        <v>2</v>
      </c>
      <c r="CC27" s="149" t="s">
        <v>315</v>
      </c>
      <c r="CD27" s="149" t="s">
        <v>314</v>
      </c>
      <c r="CE27" s="76">
        <f t="shared" si="1"/>
        <v>42005</v>
      </c>
    </row>
    <row r="28" spans="1:83" s="74" customFormat="1" ht="12.75">
      <c r="A28" s="75" t="e">
        <f ca="1">_xll.ciqfunctions.udf.CIQ($B28,"IQ_COMPANY_TICKER")</f>
        <v>#NAME?</v>
      </c>
      <c r="B28" s="104" t="str">
        <f>'Capital IQ Sheet-GPC'!B28</f>
        <v>IQ29643</v>
      </c>
      <c r="C28" s="75" t="e">
        <f ca="1">_xll.ciqfunctions.udf.CIQ($A28,"IQ_COMPANY_NAME")</f>
        <v>#NAME?</v>
      </c>
      <c r="D28" s="75" t="e">
        <f ca="1">_xll.ciqfunctions.udf.CIQ($A28, "IQ_EXCHANGE")</f>
        <v>#NAME?</v>
      </c>
      <c r="E28" s="103" t="e">
        <f ca="1">_xll.ciqfunctions.udf.CIQ($A28, "IQ_PERIODDATE_IS", IQ_FY)</f>
        <v>#NAME?</v>
      </c>
      <c r="F28" s="103" t="e">
        <f ca="1">_xll.ciqfunctions.udf.CIQ(A28, "IQ_PERIODDATE_IS", IQ_LTM, $B$1,$L$4,$L$3)</f>
        <v>#NAME?</v>
      </c>
      <c r="G28" s="103" t="e">
        <f ca="1">_xll.ciqfunctions.udf.CIQ($A28, "IQ_FIRSTPRICINGDATE")</f>
        <v>#NAME?</v>
      </c>
      <c r="H28" s="105" t="e">
        <f ca="1">_xll.ciqfunctions.udf.CIQ($A28, "IQ_TEV", $L$2, $L$5, $L$6)</f>
        <v>#NAME?</v>
      </c>
      <c r="I28" s="105" t="e">
        <f ca="1">_xll.ciqfunctions.udf.CIQ(A28, "IQ_LASTSALEPRICE", $B$1,$L$5)</f>
        <v>#NAME?</v>
      </c>
      <c r="J28" s="105" t="e">
        <f ca="1">_xll.ciqfunctions.udf.CIQ($A28, "IQ_MARKETCAP", $L$2, $L$5, $L$6)</f>
        <v>#NAME?</v>
      </c>
      <c r="K28" s="105" t="e">
        <f ca="1">_xll.ciqfunctions.udf.CIQ($A28, "IQ_TOTAL_DEBT", IQ_LTM, $L$2,$L$4, $L$3, $L$5, $L$6)</f>
        <v>#NAME?</v>
      </c>
      <c r="L28" s="105" t="e">
        <f ca="1">_xll.ciqfunctions.udf.CIQ($A28, "IQ_PREF_EQUITY", IQ_LTM, $L$2, $L$4, $L$3, $L$5, $L$6)</f>
        <v>#NAME?</v>
      </c>
      <c r="M28" s="105" t="e">
        <f ca="1">_xll.ciqfunctions.udf.CIQ($A28, "IQ_MINORITY_INTEREST_TOTAL", IQ_LTM, $L$2, $L$4, $L$3, $L$5, $L$6)</f>
        <v>#NAME?</v>
      </c>
      <c r="N28" s="105" t="e">
        <f ca="1">_xll.ciqfunctions.udf.CIQ($A28, "IQ_CASH_ST_INVEST", IQ_LTM, $L$2, $L$4, $L$3, $L$5, $L$6)</f>
        <v>#NAME?</v>
      </c>
      <c r="O28" s="105" t="e">
        <f ca="1">_xll.ciqfunctions.udf.CIQ($A28, "IQ_TOTAL_REV", IQ_LTM-8, $L$2, $L$4, $L$3, $L$5, $L$6)</f>
        <v>#NAME?</v>
      </c>
      <c r="P28" s="105" t="e">
        <f ca="1">_xll.ciqfunctions.udf.CIQ($A28, "IQ_TOTAL_REV", IQ_LTM - 4, $L$2, $L$4, $L$3, $L$5,$L$6)</f>
        <v>#NAME?</v>
      </c>
      <c r="Q28" s="105" t="e">
        <f ca="1">_xll.ciqfunctions.udf.CIQ($A28, "IQ_TOTAL_REV", IQ_LTM, $L$2, $L$4, $L$3, $L$5, $L$6)</f>
        <v>#NAME?</v>
      </c>
      <c r="R28" s="105" t="e">
        <f ca="1">_xll.ciqfunctions.udf.CIQ($A28, "IQ_TOTAL_REV", $B$2, $L$2, $L$4, $L$3, $L$5, $L$6)</f>
        <v>#NAME?</v>
      </c>
      <c r="S28" s="105" t="e">
        <f ca="1">IF(_xll.ciqfunctions.udf.CIQ($A28, "IQ_TOTAL_REV", $B$3, $L$2,$L$4, $L$3, $L$5, $L$6)=0,Q28,_xll.ciqfunctions.udf.CIQ($A28, "IQ_TOTAL_REV", $B$3, $L$2,$L$4, $L$3, $L$5, $L$6))</f>
        <v>#NAME?</v>
      </c>
      <c r="T28" s="105" t="e">
        <f ca="1">IF(_xll.ciqfunctions.udf.CIQ($A28, "IQ_REVENUE_EST",$B$4, $L$2, "CON", $L$3, $L$5, $L$6)=0,"n/a",_xll.ciqfunctions.udf.CIQ($A28, "IQ_REVENUE_EST",$B$4, $L$2, "CON", $L$3, $L$5, $L$6))</f>
        <v>#NAME?</v>
      </c>
      <c r="U28" s="105" t="e">
        <f ca="1">IF(_xll.ciqfunctions.udf.CIQ($A28, "IQ_REVENUE_EST",$B$5, $L$2, "CON", $L$3, $L$5, $L$6)=0,"n/a",_xll.ciqfunctions.udf.CIQ($A28, "IQ_REVENUE_EST",$B$5, $L$2, "CON", $L$3, $L$5, $L$6))</f>
        <v>#NAME?</v>
      </c>
      <c r="V28" s="105" t="e">
        <f ca="1">IF(_xll.ciqfunctions.udf.CIQ($A28, "IQ_REVENUE_EST",$B$6, $L$2, "CON", $L$3, $L$5, $L$6)=0,"n/a",_xll.ciqfunctions.udf.CIQ($A28, "IQ_REVENUE_EST",$B$6, $L$2, "CON", $L$3, $L$5, $L$6))</f>
        <v>#NAME?</v>
      </c>
      <c r="W28" s="105" t="e">
        <f ca="1">IF(_xll.ciqfunctions.udf.CIQ($A28, "IQ_REVENUE_EST", $B$7, $L$2, "CON", $L$3, $L$5, $L$6)=0,"n/a",_xll.ciqfunctions.udf.CIQ($A28, "IQ_REVENUE_EST",$B$7, $L$2, "CON", $L$3, $L$5, $L$6))</f>
        <v>#NAME?</v>
      </c>
      <c r="X28" s="105" t="e">
        <f ca="1">_xll.ciqfunctions.udf.CIQ($A28, "IQ_EBITDA", IQ_LTM-8, $L$2, $L$4, $L$3, $L$5, $L$6)</f>
        <v>#NAME?</v>
      </c>
      <c r="Y28" s="105" t="e">
        <f ca="1">_xll.ciqfunctions.udf.CIQ($A28, "IQ_EBITDA", IQ_LTM-4, $L$2,$L$4, $L$3, $L$5, $L$6)</f>
        <v>#NAME?</v>
      </c>
      <c r="Z28" s="105" t="e">
        <f ca="1">_xll.ciqfunctions.udf.CIQ($A28, "IQ_EBITDA", IQ_LTM, $L$2, $L$4, $L$3, $L$5, $L$6)</f>
        <v>#NAME?</v>
      </c>
      <c r="AA28" s="105" t="e">
        <f ca="1">_xll.ciqfunctions.udf.CIQ($A28, "IQ_EBITDA", $B$2, $L$2, $L$4, $L$3, $L$5, $L$6)</f>
        <v>#NAME?</v>
      </c>
      <c r="AB28" s="105" t="e">
        <f ca="1">IF(_xll.ciqfunctions.udf.CIQ($A28, "IQ_EBITDA", $B$3, $L$2,$L$4, $L$3, $L$5, $L$6)=0,Z28,_xll.ciqfunctions.udf.CIQ($A28, "IQ_EBITDA", $B$3, $L$2,$L$4, $L$3, $L$5, $L$6))</f>
        <v>#NAME?</v>
      </c>
      <c r="AC28" s="105" t="e">
        <f ca="1">IF(_xll.ciqfunctions.udf.CIQ($A28, "IQ_EBITDA_EST",$B$4, $L$2, "CON", $L$3, $L$5, $L$6)=0,"n/a",_xll.ciqfunctions.udf.CIQ($A28, "IQ_EBITDA_EST",$B$4, $L$2, "CON", $L$3, $L$5, $L$6))</f>
        <v>#NAME?</v>
      </c>
      <c r="AD28" s="105" t="e">
        <f ca="1">IF(_xll.ciqfunctions.udf.CIQ($A28, "IQ_EBITDA_EST",$B$5, $L$2, "CON", $L$3, $L$5, $L$6)=0,"n/a",_xll.ciqfunctions.udf.CIQ($A28, "IQ_EBITDA_EST",$B$5, $L$2, "CON", $L$3, $L$5, $L$6))</f>
        <v>#NAME?</v>
      </c>
      <c r="AE28" s="105" t="e">
        <f ca="1">IF(_xll.ciqfunctions.udf.CIQ($A28, "IQ_EBITDA_EST",$B$6, $L$2, "CON", $L$3, $L$5, $L$6)=0,"n/a",_xll.ciqfunctions.udf.CIQ($A28, "IQ_EBITDA_EST",$B$6, $L$2, "CON", $L$3, $L$5, $L$6))</f>
        <v>#NAME?</v>
      </c>
      <c r="AF28" s="106" t="str">
        <f ca="1">IF(ISERROR(_xll.ciqfunctions.udf.CIQ($A28, "IQ_GROSS_MARGIN", IQ_LTM, $L$2,$L$4, $L$3, $L$5, $L$6)/100), "n/a", _xll.ciqfunctions.udf.CIQ($A28,  "IQ_GROSS_MARGIN", IQ_LTM, $L$2, $L$4, $L$3, $L$5, $L$6)/100)</f>
        <v>n/a</v>
      </c>
      <c r="AG28" s="106" t="str">
        <f ca="1">IF(ISERROR(_xll.ciqfunctions.udf.CIQ($A28,"IQ_EBITDA_MARGIN", IQ_LTM, $L$2, $L$4, $L$3, $L$5, $L$6)/100), "n/a", _xll.ciqfunctions.udf.CIQ($A28, "IQ_EBITDA_MARGIN", IQ_LTM, $L$2, $L$4, $L$3, $L$5, $L$6)/100)</f>
        <v>n/a</v>
      </c>
      <c r="AH28" s="106" t="str">
        <f ca="1">IF(ISERROR(_xll.ciqfunctions.udf.CIQ($A28,"IQ_EBIT_MARGIN", IQ_LTM, $L$2, $L$4, $L$3, $L$5, $L$6)/100), "n/a", _xll.ciqfunctions.udf.CIQ($A28, "IQ_EBIT_MARGIN", IQ_LTM, $L$2, $L$4, $L$3, $L$5, $L$6)/100)</f>
        <v>n/a</v>
      </c>
      <c r="AI28" s="106" t="str">
        <f ca="1">IF(ISERROR(_xll.ciqfunctions.udf.CIQ($A28,"IQ_NI_MARGIN", IQ_LTM, $L$2, $L$4, $L$3, $L$5, $L$6)/100), "n/a", _xll.ciqfunctions.udf.CIQ($A28, "IQ_NI_MARGIN", IQ_LTM, $L$2, $L$4, $L$3, $L$5, $L$6)/100)</f>
        <v>n/a</v>
      </c>
      <c r="AJ28" s="105" t="str">
        <f ca="1">IF(ISERROR(_xll.ciqfunctions.udf.CIQ($A28, "IQ_NET_WORKING_CAP", IQ_LTM-8, $L$2, $L$4, $L$3, $L$5, $L$6)), "n/a", _xll.ciqfunctions.udf.CIQ($A28, "IQ_NET_WORKING_CAP", IQ_LTM-8, $L$2, $L$4, $L$3, $L$5, $L$6))</f>
        <v>n/a</v>
      </c>
      <c r="AK28" s="105" t="str">
        <f ca="1">IF(ISERROR(_xll.ciqfunctions.udf.CIQ($A28, "IQ_NET_WORKING_CAP", IQ_LTM-4, $L$2, $L$4, $L$3, $L$5, $L$6)), "n/a", _xll.ciqfunctions.udf.CIQ($A28, "IQ_NET_WORKING_CAP", IQ_LTM-4, $L$2, $L$4, $L$3, $L$5, $L$6))</f>
        <v>n/a</v>
      </c>
      <c r="AL28" s="105" t="str">
        <f ca="1">IF(ISERROR(_xll.ciqfunctions.udf.CIQ($A28, "IQ_NET_WORKING_CAP", IQ_LTM, $L$2,$L$4, $L$3, $L$5, $L$6)), "n/a", _xll.ciqfunctions.udf.CIQ($A28, "IQ_NET_WORKING_CAP", IQ_LTM, $L$2, $L$4, $L$3, $L$5, $L$6))</f>
        <v>n/a</v>
      </c>
      <c r="AM28" s="105" t="str">
        <f ca="1">IF(ISERROR(_xll.ciqfunctions.udf.CIQ($A28, "IQ_Capex", IQ_LTM-8, $L$2,$L$4, $L$3, $L$5, $L$6)), "n/a", _xll.ciqfunctions.udf.CIQ($A28, "IQ_Capex", IQ_LTM-8, $L$2, $L$4, $L$3, $L$5, $L$6))</f>
        <v>n/a</v>
      </c>
      <c r="AN28" s="105" t="str">
        <f ca="1">IF(ISERROR(_xll.ciqfunctions.udf.CIQ($A28, "IQ_Capex", IQ_LTM-4, $L$2,$L$4, $L$3, $L$5, $L$6)), "n/a", _xll.ciqfunctions.udf.CIQ($A28, "IQ_Capex", IQ_LTM-4, $L$2,$L$4, $L$3, $L$5, $L$6))</f>
        <v>n/a</v>
      </c>
      <c r="AO28" s="105" t="str">
        <f ca="1">IF(ISERROR(_xll.ciqfunctions.udf.CIQ($A28, "IQ_Capex", IQ_LTM, $L$2, $L$4, $L$3, $L$5, $L$6)), "n/a", _xll.ciqfunctions.udf.CIQ($A28, "IQ_Capex", IQ_LTM, $L$2, $L$4, $L$3, $L$5, $L$6))</f>
        <v>n/a</v>
      </c>
      <c r="AP28" s="107" t="e">
        <f ca="1">_xll.ciqfunctions.udf.CIQ(A28, "IQ_BUSINESS_DESCRIPTION")</f>
        <v>#NAME?</v>
      </c>
      <c r="AQ28" s="108" t="e">
        <f ca="1">_xll.ciqfunctions.udf.CIQ($A28, "IQ_BETA_1YR", $B$1)</f>
        <v>#NAME?</v>
      </c>
      <c r="AR28" s="108" t="e">
        <f ca="1">_xll.ciqfunctions.udf.CIQ($A28, "IQ_BETA_2YR", $B$1)</f>
        <v>#NAME?</v>
      </c>
      <c r="AS28" s="108" t="e">
        <f ca="1">_xll.ciqfunctions.udf.CIQ($A28, "IQ_BETA_5YR", $B$1)</f>
        <v>#NAME?</v>
      </c>
      <c r="AT28" s="106" t="e">
        <f ca="1">_xll.ciqfunctions.udf.CIQ($A28, "IQ_DIVIDEND_YIELD", $B$1)/100</f>
        <v>#NAME?</v>
      </c>
      <c r="AU28" s="105" t="e">
        <f ca="1">_xll.ciqfunctions.udf.CIQ($A28, "IQ_EARNING_CO", IQ_LTM-8, $L$2, $L$4, $L$3, $L$5, $L$6)</f>
        <v>#NAME?</v>
      </c>
      <c r="AV28" s="105" t="e">
        <f ca="1">_xll.ciqfunctions.udf.CIQ($A28, "IQ_EARNING_CO", IQ_LTM-4, $L$2, $L$4, $L$3, $L$5, $L$6)</f>
        <v>#NAME?</v>
      </c>
      <c r="AW28" s="105" t="e">
        <f ca="1">_xll.ciqfunctions.udf.CIQ($A28, "IQ_EARNING_CO", IQ_LTM, $L$2, $L$4, $L$3, $L$5, $L$6)</f>
        <v>#NAME?</v>
      </c>
      <c r="AX28" s="105" t="e">
        <f ca="1">_xll.ciqfunctions.udf.CIQ($A28, "IQ_EARNING_CO", $B$2, $L$2, $L$4, $L$3, $L$5, $L$6)</f>
        <v>#NAME?</v>
      </c>
      <c r="AY28" s="105" t="e">
        <f ca="1">IF(_xll.ciqfunctions.udf.CIQ($A28, "IQ_EARNING_CO", $B$3, $L$2,$L$4, $L$3, $L$5, $L$6)=0,AW28,_xll.ciqfunctions.udf.CIQ($A28, "IQ_EARNING_CO", $B$3, $L$2,$L$4, $L$3, $L$5, $L$6))</f>
        <v>#NAME?</v>
      </c>
      <c r="AZ28" s="105" t="e">
        <f ca="1">_xll.ciqfunctions.udf.CIQ($A28, "IQ_TOTAL_EQUITY", IQ_LTM-8, $L$2, $L$4, $L$3, $L$5, $L$6)</f>
        <v>#NAME?</v>
      </c>
      <c r="BA28" s="105" t="e">
        <f ca="1">_xll.ciqfunctions.udf.CIQ($A28, "IQ_TOTAL_EQUITY", IQ_LTM-4, $L$2, $L$4, $L$3, $L$5, $L$6)</f>
        <v>#NAME?</v>
      </c>
      <c r="BB28" s="105" t="e">
        <f ca="1">_xll.ciqfunctions.udf.CIQ($A28, "IQ_TOTAL_EQUITY", IQ_LTM, $L$2, $L$4, $L$3, $L$5, $L$6)</f>
        <v>#NAME?</v>
      </c>
      <c r="BC28" s="105" t="e">
        <f ca="1">_xll.ciqfunctions.udf.CIQ($A28, "IQ_TOTAL_EQUITY", $B$2, $L$2, $L$4, $L$3, $L$5, $L$6)</f>
        <v>#NAME?</v>
      </c>
      <c r="BD28" s="105" t="e">
        <f ca="1">IF(_xll.ciqfunctions.udf.CIQ($A28, "IQ_TOTAL_EQUITY", $B$3, $L$2,$L$4, $L$3, $L$5, $L$6)=0,BB28,_xll.ciqfunctions.udf.CIQ($A28, "IQ_TOTAL_EQUITY", $B$3, $L$2,$L$4, $L$3, $L$5, $L$6))</f>
        <v>#NAME?</v>
      </c>
      <c r="BE28" s="105" t="e">
        <f ca="1">_xll.ciqfunctions.udf.CIQ(A28, "IQ_LASTSALEPRICE", $B$8)</f>
        <v>#NAME?</v>
      </c>
      <c r="BF28" s="105" t="e">
        <f ca="1">_xll.ciqfunctions.udf.CIQ($A28, "IQ_MARKETCAP", $B$8, $L$5, $L$6)</f>
        <v>#NAME?</v>
      </c>
      <c r="BG28" s="105" t="e">
        <f ca="1">_xll.ciqfunctions.udf.CIQ($A28, "IQ_TOTAL_DEBT", IQ_LTM, $B$8,$L$4, $L$3, $L$5, $L$6)</f>
        <v>#NAME?</v>
      </c>
      <c r="BH28" s="74" t="e">
        <f ca="1">_xll.ciqfunctions.udf.CIQ($A28,"IQ_PREF_EQUITY",IQ_LTM,$B$8,$L$4,$L$3,$L$5,$L$6)</f>
        <v>#NAME?</v>
      </c>
      <c r="BI28" s="74" t="e">
        <f ca="1">_xll.ciqfunctions.udf.CIQ($A28, "IQ_MINORITY_INTEREST_TOTAL", IQ_LTM,$B$8,$L$4,$L$3,$L$5,$L$6)</f>
        <v>#NAME?</v>
      </c>
      <c r="BJ28" s="105" t="e">
        <f ca="1">_xll.ciqfunctions.udf.CIQ($A28, "IQ_CASH_ST_INVEST", IQ_LTM, $B$8, $L$4, $L$3, $L$5, $L$6)</f>
        <v>#NAME?</v>
      </c>
      <c r="BK28" s="74" t="e">
        <f ca="1">_xll.ciqfunctions.udf.CIQ($A28, "IQ_EFFECT_TAX_RATE")</f>
        <v>#NAME?</v>
      </c>
      <c r="BL28" s="74" t="e">
        <f ca="1">IF(_xll.ciqfunctions.udf.CIQ($A28, "IQ_TOTAL_REV_2YR_ANN_CAGR", IQ_LTM, $B$1,$L$4, $L$3, $L$5, $L$6)="NM","n/a",(_xll.ciqfunctions.udf.CIQ($A28, "IQ_TOTAL_REV_2YR_ANN_CAGR", IQ_LTM, $B$1,$L$4, $L$3, $L$5, $L$6)/100))</f>
        <v>#NAME?</v>
      </c>
      <c r="BM28" s="74" t="e">
        <f ca="1">IF(_xll.ciqfunctions.udf.CIQ($A28, "IQ_TOTAL_REV_3YR_ANN_CAGR", IQ_LTM, $B$1,$L$4, $L$3, $L$5, $L$6)="NM","n/a",(_xll.ciqfunctions.udf.CIQ($A28, "IQ_TOTAL_REV_3YR_ANN_CAGR", IQ_LTM, $B$1,$L$4, $L$3, $L$5, $L$6)/100))</f>
        <v>#NAME?</v>
      </c>
      <c r="BN28" s="74" t="e">
        <f ca="1">IF(_xll.ciqfunctions.udf.CIQ($A28, "IQ_TOTAL_REV_5YR_ANN_CAGR", IQ_LTM, $B$1,$L$4, $L$3, $L$5, $L$6)="NM","n/a",(_xll.ciqfunctions.udf.CIQ($A28, "IQ_TOTAL_REV_5YR_ANN_CAGR", IQ_LTM, $B$1,$L$4, $L$3, $L$5, $L$6)/100))</f>
        <v>#NAME?</v>
      </c>
      <c r="BO28" s="74" t="e">
        <f ca="1">IF(_xll.ciqfunctions.udf.CIQ($A28,"IQ_EBITDA_2YR_ANN_CAGR", IQ_LTM,$B$1,$L$4, $L$3, $L$5, $L$6)="NM","n/a",(_xll.ciqfunctions.udf.CIQ($A28,"IQ_EBITDA_2YR_ANN_CAGR", IQ_LTM,$B$1,$L$4, $L$3, $L$5, $L$6)/100))</f>
        <v>#NAME?</v>
      </c>
      <c r="BP28" s="74" t="e">
        <f ca="1">IF(_xll.ciqfunctions.udf.CIQ($A28,"IQ_EBITDA_3YR_ANN_CAGR", IQ_LTM,$B$1,$L$4, $L$3, $L$5, $L$6)="NM","n/a",(_xll.ciqfunctions.udf.CIQ($A28,"IQ_EBITDA_3YR_ANN_CAGR", IQ_LTM,$B$1,$L$4, $L$3, $L$5, $L$6)/100))</f>
        <v>#NAME?</v>
      </c>
      <c r="BQ28" s="74" t="e">
        <f ca="1">IF(_xll.ciqfunctions.udf.CIQ($A28,"IQ_EBITDA_5YR_ANN_CAGR", IQ_LTM,$B$1,$L$4, $L$3, $L$5, $L$6)="NM","n/a",(_xll.ciqfunctions.udf.CIQ($A28,"IQ_EBITDA_5YR_ANN_CAGR", IQ_LTM,$B$1,$L$4, $L$3, $L$5, $L$6)/100))</f>
        <v>#NAME?</v>
      </c>
      <c r="BR28" s="78" t="str">
        <f ca="1">IFERROR((_xll.ciqfunctions.udf.CIQ($A28, "IQ_DA_CF", IQ_LTM, $B$1, $L$4, $L$3, $L$5, $L$6)/Q28),"NM")</f>
        <v>NM</v>
      </c>
      <c r="BS28" s="109">
        <f>'Capital IQ Sheet-GPC'!BS28</f>
        <v>0.76022699192998089</v>
      </c>
      <c r="BT28" s="109">
        <f>'Capital IQ Sheet-GPC'!BT28</f>
        <v>0.75325423670083858</v>
      </c>
      <c r="BU28" s="109">
        <f>'Capital IQ Sheet-GPC'!BU28</f>
        <v>0.80520266549599839</v>
      </c>
      <c r="BV28" s="109">
        <f>'Capital IQ Sheet-GPC'!BV28</f>
        <v>0.90589864721013202</v>
      </c>
      <c r="BW28" s="109">
        <f>'Capital IQ Sheet-GPC'!BW28</f>
        <v>0.9057602474049008</v>
      </c>
      <c r="BX28" s="109">
        <f>'Capital IQ Sheet-GPC'!BX28</f>
        <v>0.8745116303842424</v>
      </c>
      <c r="BY28" s="109">
        <f>'Capital IQ Sheet-GPC'!BY28</f>
        <v>0.84013884124992089</v>
      </c>
      <c r="BZ28" s="109">
        <f>'Capital IQ Sheet-GPC'!BZ28</f>
        <v>0.83235412823632671</v>
      </c>
      <c r="CB28" s="74">
        <v>2</v>
      </c>
      <c r="CC28" s="149" t="s">
        <v>315</v>
      </c>
      <c r="CD28" s="149" t="s">
        <v>314</v>
      </c>
      <c r="CE28" s="76">
        <f t="shared" si="1"/>
        <v>42005</v>
      </c>
    </row>
    <row r="29" spans="1:83" s="74" customFormat="1" ht="12.75">
      <c r="A29" s="75" t="e">
        <f ca="1">_xll.ciqfunctions.udf.CIQ($B29,"IQ_COMPANY_TICKER")</f>
        <v>#NAME?</v>
      </c>
      <c r="B29" s="104" t="str">
        <f>'Capital IQ Sheet-GPC'!B29</f>
        <v>IQ120199</v>
      </c>
      <c r="C29" s="75" t="e">
        <f ca="1">_xll.ciqfunctions.udf.CIQ($A29,"IQ_COMPANY_NAME")</f>
        <v>#NAME?</v>
      </c>
      <c r="D29" s="75" t="e">
        <f ca="1">_xll.ciqfunctions.udf.CIQ($A29, "IQ_EXCHANGE")</f>
        <v>#NAME?</v>
      </c>
      <c r="E29" s="103" t="e">
        <f ca="1">_xll.ciqfunctions.udf.CIQ($A29, "IQ_PERIODDATE_IS", IQ_FY)</f>
        <v>#NAME?</v>
      </c>
      <c r="F29" s="103" t="e">
        <f ca="1">_xll.ciqfunctions.udf.CIQ(A29, "IQ_PERIODDATE_IS", IQ_LTM, $B$1,$L$4,$L$3)</f>
        <v>#NAME?</v>
      </c>
      <c r="G29" s="103" t="e">
        <f ca="1">_xll.ciqfunctions.udf.CIQ($A29, "IQ_FIRSTPRICINGDATE")</f>
        <v>#NAME?</v>
      </c>
      <c r="H29" s="105" t="e">
        <f ca="1">_xll.ciqfunctions.udf.CIQ($A29, "IQ_TEV", $L$2, $L$5, $L$6)</f>
        <v>#NAME?</v>
      </c>
      <c r="I29" s="105" t="e">
        <f ca="1">_xll.ciqfunctions.udf.CIQ(A29, "IQ_LASTSALEPRICE", $B$1,$L$5)</f>
        <v>#NAME?</v>
      </c>
      <c r="J29" s="105" t="e">
        <f ca="1">_xll.ciqfunctions.udf.CIQ($A29, "IQ_MARKETCAP", $L$2, $L$5, $L$6)</f>
        <v>#NAME?</v>
      </c>
      <c r="K29" s="105" t="e">
        <f ca="1">_xll.ciqfunctions.udf.CIQ($A29, "IQ_TOTAL_DEBT", IQ_LTM, $L$2,$L$4, $L$3, $L$5, $L$6)</f>
        <v>#NAME?</v>
      </c>
      <c r="L29" s="105" t="e">
        <f ca="1">_xll.ciqfunctions.udf.CIQ($A29, "IQ_PREF_EQUITY", IQ_LTM, $L$2, $L$4, $L$3, $L$5, $L$6)</f>
        <v>#NAME?</v>
      </c>
      <c r="M29" s="105" t="e">
        <f ca="1">_xll.ciqfunctions.udf.CIQ($A29, "IQ_MINORITY_INTEREST_TOTAL", IQ_LTM, $L$2, $L$4, $L$3, $L$5, $L$6)</f>
        <v>#NAME?</v>
      </c>
      <c r="N29" s="105" t="e">
        <f ca="1">_xll.ciqfunctions.udf.CIQ($A29, "IQ_CASH_ST_INVEST", IQ_LTM, $L$2, $L$4, $L$3, $L$5, $L$6)</f>
        <v>#NAME?</v>
      </c>
      <c r="O29" s="105" t="e">
        <f ca="1">_xll.ciqfunctions.udf.CIQ($A29, "IQ_TOTAL_REV", IQ_LTM-8, $L$2, $L$4, $L$3, $L$5, $L$6)</f>
        <v>#NAME?</v>
      </c>
      <c r="P29" s="105" t="e">
        <f ca="1">_xll.ciqfunctions.udf.CIQ($A29, "IQ_TOTAL_REV", IQ_LTM - 4, $L$2, $L$4, $L$3, $L$5,$L$6)</f>
        <v>#NAME?</v>
      </c>
      <c r="Q29" s="105" t="e">
        <f ca="1">_xll.ciqfunctions.udf.CIQ($A29, "IQ_TOTAL_REV", IQ_LTM, $L$2, $L$4, $L$3, $L$5, $L$6)</f>
        <v>#NAME?</v>
      </c>
      <c r="R29" s="105" t="e">
        <f ca="1">_xll.ciqfunctions.udf.CIQ($A29, "IQ_TOTAL_REV", $B$2, $L$2, $L$4, $L$3, $L$5, $L$6)</f>
        <v>#NAME?</v>
      </c>
      <c r="S29" s="105" t="e">
        <f ca="1">IF(_xll.ciqfunctions.udf.CIQ($A29, "IQ_TOTAL_REV", $B$3, $L$2,$L$4, $L$3, $L$5, $L$6)=0,Q29,_xll.ciqfunctions.udf.CIQ($A29, "IQ_TOTAL_REV", $B$3, $L$2,$L$4, $L$3, $L$5, $L$6))</f>
        <v>#NAME?</v>
      </c>
      <c r="T29" s="105" t="e">
        <f ca="1">IF(_xll.ciqfunctions.udf.CIQ($A29, "IQ_REVENUE_EST",$B$4, $L$2, "CON", $L$3, $L$5, $L$6)=0,"n/a",_xll.ciqfunctions.udf.CIQ($A29, "IQ_REVENUE_EST",$B$4, $L$2, "CON", $L$3, $L$5, $L$6))</f>
        <v>#NAME?</v>
      </c>
      <c r="U29" s="105" t="e">
        <f ca="1">IF(_xll.ciqfunctions.udf.CIQ($A29, "IQ_REVENUE_EST",$B$5, $L$2, "CON", $L$3, $L$5, $L$6)=0,"n/a",_xll.ciqfunctions.udf.CIQ($A29, "IQ_REVENUE_EST",$B$5, $L$2, "CON", $L$3, $L$5, $L$6))</f>
        <v>#NAME?</v>
      </c>
      <c r="V29" s="105" t="e">
        <f ca="1">IF(_xll.ciqfunctions.udf.CIQ($A29, "IQ_REVENUE_EST",$B$6, $L$2, "CON", $L$3, $L$5, $L$6)=0,"n/a",_xll.ciqfunctions.udf.CIQ($A29, "IQ_REVENUE_EST",$B$6, $L$2, "CON", $L$3, $L$5, $L$6))</f>
        <v>#NAME?</v>
      </c>
      <c r="W29" s="105" t="e">
        <f ca="1">IF(_xll.ciqfunctions.udf.CIQ($A29, "IQ_REVENUE_EST", $B$7, $L$2, "CON", $L$3, $L$5, $L$6)=0,"n/a",_xll.ciqfunctions.udf.CIQ($A29, "IQ_REVENUE_EST",$B$7, $L$2, "CON", $L$3, $L$5, $L$6))</f>
        <v>#NAME?</v>
      </c>
      <c r="X29" s="105" t="e">
        <f ca="1">_xll.ciqfunctions.udf.CIQ($A29, "IQ_EBITDA", IQ_LTM-8, $L$2, $L$4, $L$3, $L$5, $L$6)</f>
        <v>#NAME?</v>
      </c>
      <c r="Y29" s="105" t="e">
        <f ca="1">_xll.ciqfunctions.udf.CIQ($A29, "IQ_EBITDA", IQ_LTM-4, $L$2,$L$4, $L$3, $L$5, $L$6)</f>
        <v>#NAME?</v>
      </c>
      <c r="Z29" s="105" t="e">
        <f ca="1">_xll.ciqfunctions.udf.CIQ($A29, "IQ_EBITDA", IQ_LTM, $L$2, $L$4, $L$3, $L$5, $L$6)</f>
        <v>#NAME?</v>
      </c>
      <c r="AA29" s="105" t="e">
        <f ca="1">_xll.ciqfunctions.udf.CIQ($A29, "IQ_EBITDA", $B$2, $L$2, $L$4, $L$3, $L$5, $L$6)</f>
        <v>#NAME?</v>
      </c>
      <c r="AB29" s="105" t="e">
        <f ca="1">IF(_xll.ciqfunctions.udf.CIQ($A29, "IQ_EBITDA", $B$3, $L$2,$L$4, $L$3, $L$5, $L$6)=0,Z29,_xll.ciqfunctions.udf.CIQ($A29, "IQ_EBITDA", $B$3, $L$2,$L$4, $L$3, $L$5, $L$6))</f>
        <v>#NAME?</v>
      </c>
      <c r="AC29" s="105" t="e">
        <f ca="1">IF(_xll.ciqfunctions.udf.CIQ($A29, "IQ_EBITDA_EST",$B$4, $L$2, "CON", $L$3, $L$5, $L$6)=0,"n/a",_xll.ciqfunctions.udf.CIQ($A29, "IQ_EBITDA_EST",$B$4, $L$2, "CON", $L$3, $L$5, $L$6))</f>
        <v>#NAME?</v>
      </c>
      <c r="AD29" s="105" t="e">
        <f ca="1">IF(_xll.ciqfunctions.udf.CIQ($A29, "IQ_EBITDA_EST",$B$5, $L$2, "CON", $L$3, $L$5, $L$6)=0,"n/a",_xll.ciqfunctions.udf.CIQ($A29, "IQ_EBITDA_EST",$B$5, $L$2, "CON", $L$3, $L$5, $L$6))</f>
        <v>#NAME?</v>
      </c>
      <c r="AE29" s="105" t="e">
        <f ca="1">IF(_xll.ciqfunctions.udf.CIQ($A29, "IQ_EBITDA_EST",$B$6, $L$2, "CON", $L$3, $L$5, $L$6)=0,"n/a",_xll.ciqfunctions.udf.CIQ($A29, "IQ_EBITDA_EST",$B$6, $L$2, "CON", $L$3, $L$5, $L$6))</f>
        <v>#NAME?</v>
      </c>
      <c r="AF29" s="106" t="str">
        <f ca="1">IF(ISERROR(_xll.ciqfunctions.udf.CIQ($A29, "IQ_GROSS_MARGIN", IQ_LTM, $L$2,$L$4, $L$3, $L$5, $L$6)/100), "n/a", _xll.ciqfunctions.udf.CIQ($A29,  "IQ_GROSS_MARGIN", IQ_LTM, $L$2, $L$4, $L$3, $L$5, $L$6)/100)</f>
        <v>n/a</v>
      </c>
      <c r="AG29" s="106" t="str">
        <f ca="1">IF(ISERROR(_xll.ciqfunctions.udf.CIQ($A29,"IQ_EBITDA_MARGIN", IQ_LTM, $L$2, $L$4, $L$3, $L$5, $L$6)/100), "n/a", _xll.ciqfunctions.udf.CIQ($A29, "IQ_EBITDA_MARGIN", IQ_LTM, $L$2, $L$4, $L$3, $L$5, $L$6)/100)</f>
        <v>n/a</v>
      </c>
      <c r="AH29" s="106" t="str">
        <f ca="1">IF(ISERROR(_xll.ciqfunctions.udf.CIQ($A29,"IQ_EBIT_MARGIN", IQ_LTM, $L$2, $L$4, $L$3, $L$5, $L$6)/100), "n/a", _xll.ciqfunctions.udf.CIQ($A29, "IQ_EBIT_MARGIN", IQ_LTM, $L$2, $L$4, $L$3, $L$5, $L$6)/100)</f>
        <v>n/a</v>
      </c>
      <c r="AI29" s="106" t="str">
        <f ca="1">IF(ISERROR(_xll.ciqfunctions.udf.CIQ($A29,"IQ_NI_MARGIN", IQ_LTM, $L$2, $L$4, $L$3, $L$5, $L$6)/100), "n/a", _xll.ciqfunctions.udf.CIQ($A29, "IQ_NI_MARGIN", IQ_LTM, $L$2, $L$4, $L$3, $L$5, $L$6)/100)</f>
        <v>n/a</v>
      </c>
      <c r="AJ29" s="105" t="str">
        <f ca="1">IF(ISERROR(_xll.ciqfunctions.udf.CIQ($A29, "IQ_NET_WORKING_CAP", IQ_LTM-8, $L$2, $L$4, $L$3, $L$5, $L$6)), "n/a", _xll.ciqfunctions.udf.CIQ($A29, "IQ_NET_WORKING_CAP", IQ_LTM-8, $L$2, $L$4, $L$3, $L$5, $L$6))</f>
        <v>n/a</v>
      </c>
      <c r="AK29" s="105" t="str">
        <f ca="1">IF(ISERROR(_xll.ciqfunctions.udf.CIQ($A29, "IQ_NET_WORKING_CAP", IQ_LTM-4, $L$2, $L$4, $L$3, $L$5, $L$6)), "n/a", _xll.ciqfunctions.udf.CIQ($A29, "IQ_NET_WORKING_CAP", IQ_LTM-4, $L$2, $L$4, $L$3, $L$5, $L$6))</f>
        <v>n/a</v>
      </c>
      <c r="AL29" s="105" t="str">
        <f ca="1">IF(ISERROR(_xll.ciqfunctions.udf.CIQ($A29, "IQ_NET_WORKING_CAP", IQ_LTM, $L$2,$L$4, $L$3, $L$5, $L$6)), "n/a", _xll.ciqfunctions.udf.CIQ($A29, "IQ_NET_WORKING_CAP", IQ_LTM, $L$2, $L$4, $L$3, $L$5, $L$6))</f>
        <v>n/a</v>
      </c>
      <c r="AM29" s="105" t="str">
        <f ca="1">IF(ISERROR(_xll.ciqfunctions.udf.CIQ($A29, "IQ_Capex", IQ_LTM-8, $L$2,$L$4, $L$3, $L$5, $L$6)), "n/a", _xll.ciqfunctions.udf.CIQ($A29, "IQ_Capex", IQ_LTM-8, $L$2, $L$4, $L$3, $L$5, $L$6))</f>
        <v>n/a</v>
      </c>
      <c r="AN29" s="105" t="str">
        <f ca="1">IF(ISERROR(_xll.ciqfunctions.udf.CIQ($A29, "IQ_Capex", IQ_LTM-4, $L$2,$L$4, $L$3, $L$5, $L$6)), "n/a", _xll.ciqfunctions.udf.CIQ($A29, "IQ_Capex", IQ_LTM-4, $L$2,$L$4, $L$3, $L$5, $L$6))</f>
        <v>n/a</v>
      </c>
      <c r="AO29" s="105" t="str">
        <f ca="1">IF(ISERROR(_xll.ciqfunctions.udf.CIQ($A29, "IQ_Capex", IQ_LTM, $L$2, $L$4, $L$3, $L$5, $L$6)), "n/a", _xll.ciqfunctions.udf.CIQ($A29, "IQ_Capex", IQ_LTM, $L$2, $L$4, $L$3, $L$5, $L$6))</f>
        <v>n/a</v>
      </c>
      <c r="AP29" s="107" t="e">
        <f ca="1">_xll.ciqfunctions.udf.CIQ(A29, "IQ_BUSINESS_DESCRIPTION")</f>
        <v>#NAME?</v>
      </c>
      <c r="AQ29" s="108" t="e">
        <f ca="1">_xll.ciqfunctions.udf.CIQ($A29, "IQ_BETA_1YR", $B$1)</f>
        <v>#NAME?</v>
      </c>
      <c r="AR29" s="108" t="e">
        <f ca="1">_xll.ciqfunctions.udf.CIQ($A29, "IQ_BETA_2YR", $B$1)</f>
        <v>#NAME?</v>
      </c>
      <c r="AS29" s="108" t="e">
        <f ca="1">_xll.ciqfunctions.udf.CIQ($A29, "IQ_BETA_5YR", $B$1)</f>
        <v>#NAME?</v>
      </c>
      <c r="AT29" s="106" t="e">
        <f ca="1">_xll.ciqfunctions.udf.CIQ($A29, "IQ_DIVIDEND_YIELD", $B$1)/100</f>
        <v>#NAME?</v>
      </c>
      <c r="AU29" s="105" t="e">
        <f ca="1">_xll.ciqfunctions.udf.CIQ($A29, "IQ_EARNING_CO", IQ_LTM-8, $L$2, $L$4, $L$3, $L$5, $L$6)</f>
        <v>#NAME?</v>
      </c>
      <c r="AV29" s="105" t="e">
        <f ca="1">_xll.ciqfunctions.udf.CIQ($A29, "IQ_EARNING_CO", IQ_LTM-4, $L$2, $L$4, $L$3, $L$5, $L$6)</f>
        <v>#NAME?</v>
      </c>
      <c r="AW29" s="105" t="e">
        <f ca="1">_xll.ciqfunctions.udf.CIQ($A29, "IQ_EARNING_CO", IQ_LTM, $L$2, $L$4, $L$3, $L$5, $L$6)</f>
        <v>#NAME?</v>
      </c>
      <c r="AX29" s="105" t="e">
        <f ca="1">_xll.ciqfunctions.udf.CIQ($A29, "IQ_EARNING_CO", $B$2, $L$2, $L$4, $L$3, $L$5, $L$6)</f>
        <v>#NAME?</v>
      </c>
      <c r="AY29" s="105" t="e">
        <f ca="1">IF(_xll.ciqfunctions.udf.CIQ($A29, "IQ_EARNING_CO", $B$3, $L$2,$L$4, $L$3, $L$5, $L$6)=0,AW29,_xll.ciqfunctions.udf.CIQ($A29, "IQ_EARNING_CO", $B$3, $L$2,$L$4, $L$3, $L$5, $L$6))</f>
        <v>#NAME?</v>
      </c>
      <c r="AZ29" s="105" t="e">
        <f ca="1">_xll.ciqfunctions.udf.CIQ($A29, "IQ_TOTAL_EQUITY", IQ_LTM-8, $L$2, $L$4, $L$3, $L$5, $L$6)</f>
        <v>#NAME?</v>
      </c>
      <c r="BA29" s="105" t="e">
        <f ca="1">_xll.ciqfunctions.udf.CIQ($A29, "IQ_TOTAL_EQUITY", IQ_LTM-4, $L$2, $L$4, $L$3, $L$5, $L$6)</f>
        <v>#NAME?</v>
      </c>
      <c r="BB29" s="105" t="e">
        <f ca="1">_xll.ciqfunctions.udf.CIQ($A29, "IQ_TOTAL_EQUITY", IQ_LTM, $L$2, $L$4, $L$3, $L$5, $L$6)</f>
        <v>#NAME?</v>
      </c>
      <c r="BC29" s="105" t="e">
        <f ca="1">_xll.ciqfunctions.udf.CIQ($A29, "IQ_TOTAL_EQUITY", $B$2, $L$2, $L$4, $L$3, $L$5, $L$6)</f>
        <v>#NAME?</v>
      </c>
      <c r="BD29" s="105" t="e">
        <f ca="1">IF(_xll.ciqfunctions.udf.CIQ($A29, "IQ_TOTAL_EQUITY", $B$3, $L$2,$L$4, $L$3, $L$5, $L$6)=0,BB29,_xll.ciqfunctions.udf.CIQ($A29, "IQ_TOTAL_EQUITY", $B$3, $L$2,$L$4, $L$3, $L$5, $L$6))</f>
        <v>#NAME?</v>
      </c>
      <c r="BE29" s="105" t="e">
        <f ca="1">_xll.ciqfunctions.udf.CIQ(A29, "IQ_LASTSALEPRICE", $B$8)</f>
        <v>#NAME?</v>
      </c>
      <c r="BF29" s="105" t="e">
        <f ca="1">_xll.ciqfunctions.udf.CIQ($A29, "IQ_MARKETCAP", $B$8, $L$5, $L$6)</f>
        <v>#NAME?</v>
      </c>
      <c r="BG29" s="105" t="e">
        <f ca="1">_xll.ciqfunctions.udf.CIQ($A29, "IQ_TOTAL_DEBT", IQ_LTM, $B$8,$L$4, $L$3, $L$5, $L$6)</f>
        <v>#NAME?</v>
      </c>
      <c r="BH29" s="74" t="e">
        <f ca="1">_xll.ciqfunctions.udf.CIQ($A29,"IQ_PREF_EQUITY",IQ_LTM,$B$8,$L$4,$L$3,$L$5,$L$6)</f>
        <v>#NAME?</v>
      </c>
      <c r="BI29" s="74" t="e">
        <f ca="1">_xll.ciqfunctions.udf.CIQ($A29, "IQ_MINORITY_INTEREST_TOTAL", IQ_LTM,$B$8,$L$4,$L$3,$L$5,$L$6)</f>
        <v>#NAME?</v>
      </c>
      <c r="BJ29" s="105" t="e">
        <f ca="1">_xll.ciqfunctions.udf.CIQ($A29, "IQ_CASH_ST_INVEST", IQ_LTM, $B$8, $L$4, $L$3, $L$5, $L$6)</f>
        <v>#NAME?</v>
      </c>
      <c r="BK29" s="74" t="e">
        <f ca="1">_xll.ciqfunctions.udf.CIQ($A29, "IQ_EFFECT_TAX_RATE")</f>
        <v>#NAME?</v>
      </c>
      <c r="BL29" s="74" t="e">
        <f ca="1">IF(_xll.ciqfunctions.udf.CIQ($A29, "IQ_TOTAL_REV_2YR_ANN_CAGR", IQ_LTM, $B$1,$L$4, $L$3, $L$5, $L$6)="NM","n/a",(_xll.ciqfunctions.udf.CIQ($A29, "IQ_TOTAL_REV_2YR_ANN_CAGR", IQ_LTM, $B$1,$L$4, $L$3, $L$5, $L$6)/100))</f>
        <v>#NAME?</v>
      </c>
      <c r="BM29" s="74" t="e">
        <f ca="1">IF(_xll.ciqfunctions.udf.CIQ($A29, "IQ_TOTAL_REV_3YR_ANN_CAGR", IQ_LTM, $B$1,$L$4, $L$3, $L$5, $L$6)="NM","n/a",(_xll.ciqfunctions.udf.CIQ($A29, "IQ_TOTAL_REV_3YR_ANN_CAGR", IQ_LTM, $B$1,$L$4, $L$3, $L$5, $L$6)/100))</f>
        <v>#NAME?</v>
      </c>
      <c r="BN29" s="74" t="e">
        <f ca="1">IF(_xll.ciqfunctions.udf.CIQ($A29, "IQ_TOTAL_REV_5YR_ANN_CAGR", IQ_LTM, $B$1,$L$4, $L$3, $L$5, $L$6)="NM","n/a",(_xll.ciqfunctions.udf.CIQ($A29, "IQ_TOTAL_REV_5YR_ANN_CAGR", IQ_LTM, $B$1,$L$4, $L$3, $L$5, $L$6)/100))</f>
        <v>#NAME?</v>
      </c>
      <c r="BO29" s="74" t="e">
        <f ca="1">IF(_xll.ciqfunctions.udf.CIQ($A29,"IQ_EBITDA_2YR_ANN_CAGR", IQ_LTM,$B$1,$L$4, $L$3, $L$5, $L$6)="NM","n/a",(_xll.ciqfunctions.udf.CIQ($A29,"IQ_EBITDA_2YR_ANN_CAGR", IQ_LTM,$B$1,$L$4, $L$3, $L$5, $L$6)/100))</f>
        <v>#NAME?</v>
      </c>
      <c r="BP29" s="74" t="e">
        <f ca="1">IF(_xll.ciqfunctions.udf.CIQ($A29,"IQ_EBITDA_3YR_ANN_CAGR", IQ_LTM,$B$1,$L$4, $L$3, $L$5, $L$6)="NM","n/a",(_xll.ciqfunctions.udf.CIQ($A29,"IQ_EBITDA_3YR_ANN_CAGR", IQ_LTM,$B$1,$L$4, $L$3, $L$5, $L$6)/100))</f>
        <v>#NAME?</v>
      </c>
      <c r="BQ29" s="74" t="e">
        <f ca="1">IF(_xll.ciqfunctions.udf.CIQ($A29,"IQ_EBITDA_5YR_ANN_CAGR", IQ_LTM,$B$1,$L$4, $L$3, $L$5, $L$6)="NM","n/a",(_xll.ciqfunctions.udf.CIQ($A29,"IQ_EBITDA_5YR_ANN_CAGR", IQ_LTM,$B$1,$L$4, $L$3, $L$5, $L$6)/100))</f>
        <v>#NAME?</v>
      </c>
      <c r="BR29" s="78" t="str">
        <f ca="1">IFERROR((_xll.ciqfunctions.udf.CIQ($A29, "IQ_DA_CF", IQ_LTM, $B$1, $L$4, $L$3, $L$5, $L$6)/Q29),"NM")</f>
        <v>NM</v>
      </c>
      <c r="BS29" s="109">
        <f>'Capital IQ Sheet-GPC'!BS29</f>
        <v>0.61039878806996517</v>
      </c>
      <c r="BT29" s="109">
        <f>'Capital IQ Sheet-GPC'!BT29</f>
        <v>0.65060803171501025</v>
      </c>
      <c r="BU29" s="109">
        <f>'Capital IQ Sheet-GPC'!BU29</f>
        <v>0.80172115434392432</v>
      </c>
      <c r="BV29" s="109">
        <f>'Capital IQ Sheet-GPC'!BV29</f>
        <v>0.8728708379384067</v>
      </c>
      <c r="BW29" s="109">
        <f>'Capital IQ Sheet-GPC'!BW29</f>
        <v>0.85388772335499374</v>
      </c>
      <c r="BX29" s="109">
        <f>'Capital IQ Sheet-GPC'!BX29</f>
        <v>0.84211164162369512</v>
      </c>
      <c r="BY29" s="109">
        <f>'Capital IQ Sheet-GPC'!BY29</f>
        <v>0.82093613565478285</v>
      </c>
      <c r="BZ29" s="109">
        <f>'Capital IQ Sheet-GPC'!BZ29</f>
        <v>0.85930587479122611</v>
      </c>
      <c r="CB29" s="74">
        <v>2</v>
      </c>
      <c r="CC29" s="149" t="s">
        <v>315</v>
      </c>
      <c r="CD29" s="149" t="s">
        <v>314</v>
      </c>
      <c r="CE29" s="76">
        <f t="shared" si="1"/>
        <v>42005</v>
      </c>
    </row>
    <row r="30" spans="1:83" s="74" customFormat="1" ht="12.75">
      <c r="A30" s="75" t="e">
        <f ca="1">_xll.ciqfunctions.udf.CIQ($B30,"IQ_COMPANY_TICKER")</f>
        <v>#NAME?</v>
      </c>
      <c r="B30" s="104" t="str">
        <f>'Capital IQ Sheet-GPC'!B30</f>
        <v>IQ244424098</v>
      </c>
      <c r="C30" s="75" t="e">
        <f ca="1">_xll.ciqfunctions.udf.CIQ($A30,"IQ_COMPANY_NAME")</f>
        <v>#NAME?</v>
      </c>
      <c r="D30" s="75" t="e">
        <f ca="1">_xll.ciqfunctions.udf.CIQ($A30, "IQ_EXCHANGE")</f>
        <v>#NAME?</v>
      </c>
      <c r="E30" s="103" t="e">
        <f ca="1">_xll.ciqfunctions.udf.CIQ($A30, "IQ_PERIODDATE_IS", IQ_FY)</f>
        <v>#NAME?</v>
      </c>
      <c r="F30" s="103" t="e">
        <f ca="1">_xll.ciqfunctions.udf.CIQ(A30, "IQ_PERIODDATE_IS", IQ_LTM, $B$1,$L$4,$L$3)</f>
        <v>#NAME?</v>
      </c>
      <c r="G30" s="103" t="e">
        <f ca="1">_xll.ciqfunctions.udf.CIQ($A30, "IQ_FIRSTPRICINGDATE")</f>
        <v>#NAME?</v>
      </c>
      <c r="H30" s="105" t="e">
        <f ca="1">_xll.ciqfunctions.udf.CIQ($A30, "IQ_TEV", $L$2, $L$5, $L$6)</f>
        <v>#NAME?</v>
      </c>
      <c r="I30" s="105" t="e">
        <f ca="1">_xll.ciqfunctions.udf.CIQ(A30, "IQ_LASTSALEPRICE", $B$1,$L$5)</f>
        <v>#NAME?</v>
      </c>
      <c r="J30" s="105" t="e">
        <f ca="1">_xll.ciqfunctions.udf.CIQ($A30, "IQ_MARKETCAP", $L$2, $L$5, $L$6)</f>
        <v>#NAME?</v>
      </c>
      <c r="K30" s="105" t="e">
        <f ca="1">_xll.ciqfunctions.udf.CIQ($A30, "IQ_TOTAL_DEBT", IQ_LTM, $L$2,$L$4, $L$3, $L$5, $L$6)</f>
        <v>#NAME?</v>
      </c>
      <c r="L30" s="105" t="e">
        <f ca="1">_xll.ciqfunctions.udf.CIQ($A30, "IQ_PREF_EQUITY", IQ_LTM, $L$2, $L$4, $L$3, $L$5, $L$6)</f>
        <v>#NAME?</v>
      </c>
      <c r="M30" s="105" t="e">
        <f ca="1">_xll.ciqfunctions.udf.CIQ($A30, "IQ_MINORITY_INTEREST_TOTAL", IQ_LTM, $L$2, $L$4, $L$3, $L$5, $L$6)</f>
        <v>#NAME?</v>
      </c>
      <c r="N30" s="105" t="e">
        <f ca="1">_xll.ciqfunctions.udf.CIQ($A30, "IQ_CASH_ST_INVEST", IQ_LTM, $L$2, $L$4, $L$3, $L$5, $L$6)</f>
        <v>#NAME?</v>
      </c>
      <c r="O30" s="105" t="e">
        <f ca="1">_xll.ciqfunctions.udf.CIQ($A30, "IQ_TOTAL_REV", IQ_LTM-8, $L$2, $L$4, $L$3, $L$5, $L$6)</f>
        <v>#NAME?</v>
      </c>
      <c r="P30" s="105" t="e">
        <f ca="1">_xll.ciqfunctions.udf.CIQ($A30, "IQ_TOTAL_REV", IQ_LTM - 4, $L$2, $L$4, $L$3, $L$5,$L$6)</f>
        <v>#NAME?</v>
      </c>
      <c r="Q30" s="105" t="e">
        <f ca="1">_xll.ciqfunctions.udf.CIQ($A30, "IQ_TOTAL_REV", IQ_LTM, $L$2, $L$4, $L$3, $L$5, $L$6)</f>
        <v>#NAME?</v>
      </c>
      <c r="R30" s="105" t="e">
        <f ca="1">_xll.ciqfunctions.udf.CIQ($A30, "IQ_TOTAL_REV", $B$2, $L$2, $L$4, $L$3, $L$5, $L$6)</f>
        <v>#NAME?</v>
      </c>
      <c r="S30" s="105" t="e">
        <f ca="1">IF(_xll.ciqfunctions.udf.CIQ($A30, "IQ_TOTAL_REV", $B$3, $L$2,$L$4, $L$3, $L$5, $L$6)=0,Q30,_xll.ciqfunctions.udf.CIQ($A30, "IQ_TOTAL_REV", $B$3, $L$2,$L$4, $L$3, $L$5, $L$6))</f>
        <v>#NAME?</v>
      </c>
      <c r="T30" s="105" t="e">
        <f ca="1">IF(_xll.ciqfunctions.udf.CIQ($A30, "IQ_REVENUE_EST",$B$4, $L$2, "CON", $L$3, $L$5, $L$6)=0,"n/a",_xll.ciqfunctions.udf.CIQ($A30, "IQ_REVENUE_EST",$B$4, $L$2, "CON", $L$3, $L$5, $L$6))</f>
        <v>#NAME?</v>
      </c>
      <c r="U30" s="105" t="e">
        <f ca="1">IF(_xll.ciqfunctions.udf.CIQ($A30, "IQ_REVENUE_EST",$B$5, $L$2, "CON", $L$3, $L$5, $L$6)=0,"n/a",_xll.ciqfunctions.udf.CIQ($A30, "IQ_REVENUE_EST",$B$5, $L$2, "CON", $L$3, $L$5, $L$6))</f>
        <v>#NAME?</v>
      </c>
      <c r="V30" s="105" t="e">
        <f ca="1">IF(_xll.ciqfunctions.udf.CIQ($A30, "IQ_REVENUE_EST",$B$6, $L$2, "CON", $L$3, $L$5, $L$6)=0,"n/a",_xll.ciqfunctions.udf.CIQ($A30, "IQ_REVENUE_EST",$B$6, $L$2, "CON", $L$3, $L$5, $L$6))</f>
        <v>#NAME?</v>
      </c>
      <c r="W30" s="105" t="e">
        <f ca="1">IF(_xll.ciqfunctions.udf.CIQ($A30, "IQ_REVENUE_EST", $B$7, $L$2, "CON", $L$3, $L$5, $L$6)=0,"n/a",_xll.ciqfunctions.udf.CIQ($A30, "IQ_REVENUE_EST",$B$7, $L$2, "CON", $L$3, $L$5, $L$6))</f>
        <v>#NAME?</v>
      </c>
      <c r="X30" s="105" t="e">
        <f ca="1">_xll.ciqfunctions.udf.CIQ($A30, "IQ_EBITDA", IQ_LTM-8, $L$2, $L$4, $L$3, $L$5, $L$6)</f>
        <v>#NAME?</v>
      </c>
      <c r="Y30" s="105" t="e">
        <f ca="1">_xll.ciqfunctions.udf.CIQ($A30, "IQ_EBITDA", IQ_LTM-4, $L$2,$L$4, $L$3, $L$5, $L$6)</f>
        <v>#NAME?</v>
      </c>
      <c r="Z30" s="105" t="e">
        <f ca="1">_xll.ciqfunctions.udf.CIQ($A30, "IQ_EBITDA", IQ_LTM, $L$2, $L$4, $L$3, $L$5, $L$6)</f>
        <v>#NAME?</v>
      </c>
      <c r="AA30" s="105" t="e">
        <f ca="1">_xll.ciqfunctions.udf.CIQ($A30, "IQ_EBITDA", $B$2, $L$2, $L$4, $L$3, $L$5, $L$6)</f>
        <v>#NAME?</v>
      </c>
      <c r="AB30" s="105" t="e">
        <f ca="1">IF(_xll.ciqfunctions.udf.CIQ($A30, "IQ_EBITDA", $B$3, $L$2,$L$4, $L$3, $L$5, $L$6)=0,Z30,_xll.ciqfunctions.udf.CIQ($A30, "IQ_EBITDA", $B$3, $L$2,$L$4, $L$3, $L$5, $L$6))</f>
        <v>#NAME?</v>
      </c>
      <c r="AC30" s="105" t="e">
        <f ca="1">IF(_xll.ciqfunctions.udf.CIQ($A30, "IQ_EBITDA_EST",$B$4, $L$2, "CON", $L$3, $L$5, $L$6)=0,"n/a",_xll.ciqfunctions.udf.CIQ($A30, "IQ_EBITDA_EST",$B$4, $L$2, "CON", $L$3, $L$5, $L$6))</f>
        <v>#NAME?</v>
      </c>
      <c r="AD30" s="105" t="e">
        <f ca="1">IF(_xll.ciqfunctions.udf.CIQ($A30, "IQ_EBITDA_EST",$B$5, $L$2, "CON", $L$3, $L$5, $L$6)=0,"n/a",_xll.ciqfunctions.udf.CIQ($A30, "IQ_EBITDA_EST",$B$5, $L$2, "CON", $L$3, $L$5, $L$6))</f>
        <v>#NAME?</v>
      </c>
      <c r="AE30" s="105" t="e">
        <f ca="1">IF(_xll.ciqfunctions.udf.CIQ($A30, "IQ_EBITDA_EST",$B$6, $L$2, "CON", $L$3, $L$5, $L$6)=0,"n/a",_xll.ciqfunctions.udf.CIQ($A30, "IQ_EBITDA_EST",$B$6, $L$2, "CON", $L$3, $L$5, $L$6))</f>
        <v>#NAME?</v>
      </c>
      <c r="AF30" s="106" t="str">
        <f ca="1">IF(ISERROR(_xll.ciqfunctions.udf.CIQ($A30, "IQ_GROSS_MARGIN", IQ_LTM, $L$2,$L$4, $L$3, $L$5, $L$6)/100), "n/a", _xll.ciqfunctions.udf.CIQ($A30,  "IQ_GROSS_MARGIN", IQ_LTM, $L$2, $L$4, $L$3, $L$5, $L$6)/100)</f>
        <v>n/a</v>
      </c>
      <c r="AG30" s="106" t="str">
        <f ca="1">IF(ISERROR(_xll.ciqfunctions.udf.CIQ($A30,"IQ_EBITDA_MARGIN", IQ_LTM, $L$2, $L$4, $L$3, $L$5, $L$6)/100), "n/a", _xll.ciqfunctions.udf.CIQ($A30, "IQ_EBITDA_MARGIN", IQ_LTM, $L$2, $L$4, $L$3, $L$5, $L$6)/100)</f>
        <v>n/a</v>
      </c>
      <c r="AH30" s="106" t="str">
        <f ca="1">IF(ISERROR(_xll.ciqfunctions.udf.CIQ($A30,"IQ_EBIT_MARGIN", IQ_LTM, $L$2, $L$4, $L$3, $L$5, $L$6)/100), "n/a", _xll.ciqfunctions.udf.CIQ($A30, "IQ_EBIT_MARGIN", IQ_LTM, $L$2, $L$4, $L$3, $L$5, $L$6)/100)</f>
        <v>n/a</v>
      </c>
      <c r="AI30" s="106" t="str">
        <f ca="1">IF(ISERROR(_xll.ciqfunctions.udf.CIQ($A30,"IQ_NI_MARGIN", IQ_LTM, $L$2, $L$4, $L$3, $L$5, $L$6)/100), "n/a", _xll.ciqfunctions.udf.CIQ($A30, "IQ_NI_MARGIN", IQ_LTM, $L$2, $L$4, $L$3, $L$5, $L$6)/100)</f>
        <v>n/a</v>
      </c>
      <c r="AJ30" s="105" t="str">
        <f ca="1">IF(ISERROR(_xll.ciqfunctions.udf.CIQ($A30, "IQ_NET_WORKING_CAP", IQ_LTM-8, $L$2, $L$4, $L$3, $L$5, $L$6)), "n/a", _xll.ciqfunctions.udf.CIQ($A30, "IQ_NET_WORKING_CAP", IQ_LTM-8, $L$2, $L$4, $L$3, $L$5, $L$6))</f>
        <v>n/a</v>
      </c>
      <c r="AK30" s="105" t="str">
        <f ca="1">IF(ISERROR(_xll.ciqfunctions.udf.CIQ($A30, "IQ_NET_WORKING_CAP", IQ_LTM-4, $L$2, $L$4, $L$3, $L$5, $L$6)), "n/a", _xll.ciqfunctions.udf.CIQ($A30, "IQ_NET_WORKING_CAP", IQ_LTM-4, $L$2, $L$4, $L$3, $L$5, $L$6))</f>
        <v>n/a</v>
      </c>
      <c r="AL30" s="105" t="str">
        <f ca="1">IF(ISERROR(_xll.ciqfunctions.udf.CIQ($A30, "IQ_NET_WORKING_CAP", IQ_LTM, $L$2,$L$4, $L$3, $L$5, $L$6)), "n/a", _xll.ciqfunctions.udf.CIQ($A30, "IQ_NET_WORKING_CAP", IQ_LTM, $L$2, $L$4, $L$3, $L$5, $L$6))</f>
        <v>n/a</v>
      </c>
      <c r="AM30" s="105" t="str">
        <f ca="1">IF(ISERROR(_xll.ciqfunctions.udf.CIQ($A30, "IQ_Capex", IQ_LTM-8, $L$2,$L$4, $L$3, $L$5, $L$6)), "n/a", _xll.ciqfunctions.udf.CIQ($A30, "IQ_Capex", IQ_LTM-8, $L$2, $L$4, $L$3, $L$5, $L$6))</f>
        <v>n/a</v>
      </c>
      <c r="AN30" s="105" t="str">
        <f ca="1">IF(ISERROR(_xll.ciqfunctions.udf.CIQ($A30, "IQ_Capex", IQ_LTM-4, $L$2,$L$4, $L$3, $L$5, $L$6)), "n/a", _xll.ciqfunctions.udf.CIQ($A30, "IQ_Capex", IQ_LTM-4, $L$2,$L$4, $L$3, $L$5, $L$6))</f>
        <v>n/a</v>
      </c>
      <c r="AO30" s="105" t="str">
        <f ca="1">IF(ISERROR(_xll.ciqfunctions.udf.CIQ($A30, "IQ_Capex", IQ_LTM, $L$2, $L$4, $L$3, $L$5, $L$6)), "n/a", _xll.ciqfunctions.udf.CIQ($A30, "IQ_Capex", IQ_LTM, $L$2, $L$4, $L$3, $L$5, $L$6))</f>
        <v>n/a</v>
      </c>
      <c r="AP30" s="107" t="e">
        <f ca="1">_xll.ciqfunctions.udf.CIQ(A30, "IQ_BUSINESS_DESCRIPTION")</f>
        <v>#NAME?</v>
      </c>
      <c r="AQ30" s="108" t="e">
        <f ca="1">_xll.ciqfunctions.udf.CIQ($A30, "IQ_BETA_1YR", $B$1)</f>
        <v>#NAME?</v>
      </c>
      <c r="AR30" s="108" t="e">
        <f ca="1">_xll.ciqfunctions.udf.CIQ($A30, "IQ_BETA_2YR", $B$1)</f>
        <v>#NAME?</v>
      </c>
      <c r="AS30" s="108" t="e">
        <f ca="1">_xll.ciqfunctions.udf.CIQ($A30, "IQ_BETA_5YR", $B$1)</f>
        <v>#NAME?</v>
      </c>
      <c r="AT30" s="106" t="e">
        <f ca="1">_xll.ciqfunctions.udf.CIQ($A30, "IQ_DIVIDEND_YIELD", $B$1)/100</f>
        <v>#NAME?</v>
      </c>
      <c r="AU30" s="105" t="e">
        <f ca="1">_xll.ciqfunctions.udf.CIQ($A30, "IQ_EARNING_CO", IQ_LTM-8, $L$2, $L$4, $L$3, $L$5, $L$6)</f>
        <v>#NAME?</v>
      </c>
      <c r="AV30" s="105" t="e">
        <f ca="1">_xll.ciqfunctions.udf.CIQ($A30, "IQ_EARNING_CO", IQ_LTM-4, $L$2, $L$4, $L$3, $L$5, $L$6)</f>
        <v>#NAME?</v>
      </c>
      <c r="AW30" s="105" t="e">
        <f ca="1">_xll.ciqfunctions.udf.CIQ($A30, "IQ_EARNING_CO", IQ_LTM, $L$2, $L$4, $L$3, $L$5, $L$6)</f>
        <v>#NAME?</v>
      </c>
      <c r="AX30" s="105" t="e">
        <f ca="1">_xll.ciqfunctions.udf.CIQ($A30, "IQ_EARNING_CO", $B$2, $L$2, $L$4, $L$3, $L$5, $L$6)</f>
        <v>#NAME?</v>
      </c>
      <c r="AY30" s="105" t="e">
        <f ca="1">IF(_xll.ciqfunctions.udf.CIQ($A30, "IQ_EARNING_CO", $B$3, $L$2,$L$4, $L$3, $L$5, $L$6)=0,AW30,_xll.ciqfunctions.udf.CIQ($A30, "IQ_EARNING_CO", $B$3, $L$2,$L$4, $L$3, $L$5, $L$6))</f>
        <v>#NAME?</v>
      </c>
      <c r="AZ30" s="105" t="e">
        <f ca="1">_xll.ciqfunctions.udf.CIQ($A30, "IQ_TOTAL_EQUITY", IQ_LTM-8, $L$2, $L$4, $L$3, $L$5, $L$6)</f>
        <v>#NAME?</v>
      </c>
      <c r="BA30" s="105" t="e">
        <f ca="1">_xll.ciqfunctions.udf.CIQ($A30, "IQ_TOTAL_EQUITY", IQ_LTM-4, $L$2, $L$4, $L$3, $L$5, $L$6)</f>
        <v>#NAME?</v>
      </c>
      <c r="BB30" s="105" t="e">
        <f ca="1">_xll.ciqfunctions.udf.CIQ($A30, "IQ_TOTAL_EQUITY", IQ_LTM, $L$2, $L$4, $L$3, $L$5, $L$6)</f>
        <v>#NAME?</v>
      </c>
      <c r="BC30" s="105" t="e">
        <f ca="1">_xll.ciqfunctions.udf.CIQ($A30, "IQ_TOTAL_EQUITY", $B$2, $L$2, $L$4, $L$3, $L$5, $L$6)</f>
        <v>#NAME?</v>
      </c>
      <c r="BD30" s="105" t="e">
        <f ca="1">IF(_xll.ciqfunctions.udf.CIQ($A30, "IQ_TOTAL_EQUITY", $B$3, $L$2,$L$4, $L$3, $L$5, $L$6)=0,BB30,_xll.ciqfunctions.udf.CIQ($A30, "IQ_TOTAL_EQUITY", $B$3, $L$2,$L$4, $L$3, $L$5, $L$6))</f>
        <v>#NAME?</v>
      </c>
      <c r="BE30" s="105" t="e">
        <f ca="1">_xll.ciqfunctions.udf.CIQ(A30, "IQ_LASTSALEPRICE", $B$8)</f>
        <v>#NAME?</v>
      </c>
      <c r="BF30" s="105" t="e">
        <f ca="1">_xll.ciqfunctions.udf.CIQ($A30, "IQ_MARKETCAP", $B$8, $L$5, $L$6)</f>
        <v>#NAME?</v>
      </c>
      <c r="BG30" s="105" t="e">
        <f ca="1">_xll.ciqfunctions.udf.CIQ($A30, "IQ_TOTAL_DEBT", IQ_LTM, $B$8,$L$4, $L$3, $L$5, $L$6)</f>
        <v>#NAME?</v>
      </c>
      <c r="BH30" s="74" t="e">
        <f ca="1">_xll.ciqfunctions.udf.CIQ($A30,"IQ_PREF_EQUITY",IQ_LTM,$B$8,$L$4,$L$3,$L$5,$L$6)</f>
        <v>#NAME?</v>
      </c>
      <c r="BI30" s="74" t="e">
        <f ca="1">_xll.ciqfunctions.udf.CIQ($A30, "IQ_MINORITY_INTEREST_TOTAL", IQ_LTM,$B$8,$L$4,$L$3,$L$5,$L$6)</f>
        <v>#NAME?</v>
      </c>
      <c r="BJ30" s="105" t="e">
        <f ca="1">_xll.ciqfunctions.udf.CIQ($A30, "IQ_CASH_ST_INVEST", IQ_LTM, $B$8, $L$4, $L$3, $L$5, $L$6)</f>
        <v>#NAME?</v>
      </c>
      <c r="BK30" s="74" t="e">
        <f ca="1">_xll.ciqfunctions.udf.CIQ($A30, "IQ_EFFECT_TAX_RATE")</f>
        <v>#NAME?</v>
      </c>
      <c r="BL30" s="74" t="e">
        <f ca="1">IF(_xll.ciqfunctions.udf.CIQ($A30, "IQ_TOTAL_REV_2YR_ANN_CAGR", IQ_LTM, $B$1,$L$4, $L$3, $L$5, $L$6)="NM","n/a",(_xll.ciqfunctions.udf.CIQ($A30, "IQ_TOTAL_REV_2YR_ANN_CAGR", IQ_LTM, $B$1,$L$4, $L$3, $L$5, $L$6)/100))</f>
        <v>#NAME?</v>
      </c>
      <c r="BM30" s="74" t="e">
        <f ca="1">IF(_xll.ciqfunctions.udf.CIQ($A30, "IQ_TOTAL_REV_3YR_ANN_CAGR", IQ_LTM, $B$1,$L$4, $L$3, $L$5, $L$6)="NM","n/a",(_xll.ciqfunctions.udf.CIQ($A30, "IQ_TOTAL_REV_3YR_ANN_CAGR", IQ_LTM, $B$1,$L$4, $L$3, $L$5, $L$6)/100))</f>
        <v>#NAME?</v>
      </c>
      <c r="BN30" s="74" t="e">
        <f ca="1">IF(_xll.ciqfunctions.udf.CIQ($A30, "IQ_TOTAL_REV_5YR_ANN_CAGR", IQ_LTM, $B$1,$L$4, $L$3, $L$5, $L$6)="NM","n/a",(_xll.ciqfunctions.udf.CIQ($A30, "IQ_TOTAL_REV_5YR_ANN_CAGR", IQ_LTM, $B$1,$L$4, $L$3, $L$5, $L$6)/100))</f>
        <v>#NAME?</v>
      </c>
      <c r="BO30" s="74" t="e">
        <f ca="1">IF(_xll.ciqfunctions.udf.CIQ($A30,"IQ_EBITDA_2YR_ANN_CAGR", IQ_LTM,$B$1,$L$4, $L$3, $L$5, $L$6)="NM","n/a",(_xll.ciqfunctions.udf.CIQ($A30,"IQ_EBITDA_2YR_ANN_CAGR", IQ_LTM,$B$1,$L$4, $L$3, $L$5, $L$6)/100))</f>
        <v>#NAME?</v>
      </c>
      <c r="BP30" s="74" t="e">
        <f ca="1">IF(_xll.ciqfunctions.udf.CIQ($A30,"IQ_EBITDA_3YR_ANN_CAGR", IQ_LTM,$B$1,$L$4, $L$3, $L$5, $L$6)="NM","n/a",(_xll.ciqfunctions.udf.CIQ($A30,"IQ_EBITDA_3YR_ANN_CAGR", IQ_LTM,$B$1,$L$4, $L$3, $L$5, $L$6)/100))</f>
        <v>#NAME?</v>
      </c>
      <c r="BQ30" s="74" t="e">
        <f ca="1">IF(_xll.ciqfunctions.udf.CIQ($A30,"IQ_EBITDA_5YR_ANN_CAGR", IQ_LTM,$B$1,$L$4, $L$3, $L$5, $L$6)="NM","n/a",(_xll.ciqfunctions.udf.CIQ($A30,"IQ_EBITDA_5YR_ANN_CAGR", IQ_LTM,$B$1,$L$4, $L$3, $L$5, $L$6)/100))</f>
        <v>#NAME?</v>
      </c>
      <c r="BR30" s="78" t="str">
        <f ca="1">IFERROR((_xll.ciqfunctions.udf.CIQ($A30, "IQ_DA_CF", IQ_LTM, $B$1, $L$4, $L$3, $L$5, $L$6)/Q30),"NM")</f>
        <v>NM</v>
      </c>
      <c r="BS30" s="109">
        <f>'Capital IQ Sheet-GPC'!BS30</f>
        <v>1.0131174505067317</v>
      </c>
      <c r="BT30" s="109">
        <f>'Capital IQ Sheet-GPC'!BT30</f>
        <v>1.1933416076473253</v>
      </c>
      <c r="BU30" s="109">
        <f>'Capital IQ Sheet-GPC'!BU30</f>
        <v>1.396853832524193</v>
      </c>
      <c r="BV30" s="109" t="str">
        <f>'Capital IQ Sheet-GPC'!BV30</f>
        <v>n/a</v>
      </c>
      <c r="BW30" s="109" t="str">
        <f>'Capital IQ Sheet-GPC'!BW30</f>
        <v>n/a</v>
      </c>
      <c r="BX30" s="109" t="str">
        <f>'Capital IQ Sheet-GPC'!BX30</f>
        <v>n/a</v>
      </c>
      <c r="BY30" s="109" t="str">
        <f>'Capital IQ Sheet-GPC'!BY30</f>
        <v>n/a</v>
      </c>
      <c r="BZ30" s="109" t="str">
        <f>'Capital IQ Sheet-GPC'!BZ30</f>
        <v>n/a</v>
      </c>
      <c r="CB30" s="74">
        <v>2</v>
      </c>
      <c r="CC30" s="149" t="s">
        <v>315</v>
      </c>
      <c r="CD30" s="149" t="s">
        <v>314</v>
      </c>
      <c r="CE30" s="76">
        <f t="shared" si="1"/>
        <v>42005</v>
      </c>
    </row>
    <row r="31" spans="1:83" s="74" customFormat="1" ht="12.75">
      <c r="A31" s="75" t="e">
        <f ca="1">_xll.ciqfunctions.udf.CIQ($B31,"IQ_COMPANY_TICKER")</f>
        <v>#NAME?</v>
      </c>
      <c r="B31" s="104" t="str">
        <f>'Capital IQ Sheet-GPC'!B31</f>
        <v>IQ412674</v>
      </c>
      <c r="C31" s="75" t="e">
        <f ca="1">_xll.ciqfunctions.udf.CIQ($A31,"IQ_COMPANY_NAME")</f>
        <v>#NAME?</v>
      </c>
      <c r="D31" s="75" t="e">
        <f ca="1">_xll.ciqfunctions.udf.CIQ($A31, "IQ_EXCHANGE")</f>
        <v>#NAME?</v>
      </c>
      <c r="E31" s="103" t="e">
        <f ca="1">_xll.ciqfunctions.udf.CIQ($A31, "IQ_PERIODDATE_IS", IQ_FY)</f>
        <v>#NAME?</v>
      </c>
      <c r="F31" s="103" t="e">
        <f ca="1">_xll.ciqfunctions.udf.CIQ(A31, "IQ_PERIODDATE_IS", IQ_LTM, $B$1,$L$4,$L$3)</f>
        <v>#NAME?</v>
      </c>
      <c r="G31" s="103" t="e">
        <f ca="1">_xll.ciqfunctions.udf.CIQ($A31, "IQ_FIRSTPRICINGDATE")</f>
        <v>#NAME?</v>
      </c>
      <c r="H31" s="105" t="e">
        <f ca="1">_xll.ciqfunctions.udf.CIQ($A31, "IQ_TEV", $L$2, $L$5, $L$6)</f>
        <v>#NAME?</v>
      </c>
      <c r="I31" s="105" t="e">
        <f ca="1">_xll.ciqfunctions.udf.CIQ(A31, "IQ_LASTSALEPRICE", $B$1,$L$5)</f>
        <v>#NAME?</v>
      </c>
      <c r="J31" s="105" t="e">
        <f ca="1">_xll.ciqfunctions.udf.CIQ($A31, "IQ_MARKETCAP", $L$2, $L$5, $L$6)</f>
        <v>#NAME?</v>
      </c>
      <c r="K31" s="105" t="e">
        <f ca="1">_xll.ciqfunctions.udf.CIQ($A31, "IQ_TOTAL_DEBT", IQ_LTM, $L$2,$L$4, $L$3, $L$5, $L$6)</f>
        <v>#NAME?</v>
      </c>
      <c r="L31" s="105" t="e">
        <f ca="1">_xll.ciqfunctions.udf.CIQ($A31, "IQ_PREF_EQUITY", IQ_LTM, $L$2, $L$4, $L$3, $L$5, $L$6)</f>
        <v>#NAME?</v>
      </c>
      <c r="M31" s="105" t="e">
        <f ca="1">_xll.ciqfunctions.udf.CIQ($A31, "IQ_MINORITY_INTEREST_TOTAL", IQ_LTM, $L$2, $L$4, $L$3, $L$5, $L$6)</f>
        <v>#NAME?</v>
      </c>
      <c r="N31" s="105" t="e">
        <f ca="1">_xll.ciqfunctions.udf.CIQ($A31, "IQ_CASH_ST_INVEST", IQ_LTM, $L$2, $L$4, $L$3, $L$5, $L$6)</f>
        <v>#NAME?</v>
      </c>
      <c r="O31" s="105" t="e">
        <f ca="1">_xll.ciqfunctions.udf.CIQ($A31, "IQ_TOTAL_REV", IQ_LTM-8, $L$2, $L$4, $L$3, $L$5, $L$6)</f>
        <v>#NAME?</v>
      </c>
      <c r="P31" s="105" t="e">
        <f ca="1">_xll.ciqfunctions.udf.CIQ($A31, "IQ_TOTAL_REV", IQ_LTM - 4, $L$2, $L$4, $L$3, $L$5,$L$6)</f>
        <v>#NAME?</v>
      </c>
      <c r="Q31" s="105" t="e">
        <f ca="1">_xll.ciqfunctions.udf.CIQ($A31, "IQ_TOTAL_REV", IQ_LTM, $L$2, $L$4, $L$3, $L$5, $L$6)</f>
        <v>#NAME?</v>
      </c>
      <c r="R31" s="105" t="e">
        <f ca="1">_xll.ciqfunctions.udf.CIQ($A31, "IQ_TOTAL_REV", $B$2, $L$2, $L$4, $L$3, $L$5, $L$6)</f>
        <v>#NAME?</v>
      </c>
      <c r="S31" s="105" t="e">
        <f ca="1">IF(_xll.ciqfunctions.udf.CIQ($A31, "IQ_TOTAL_REV", $B$3, $L$2,$L$4, $L$3, $L$5, $L$6)=0,Q31,_xll.ciqfunctions.udf.CIQ($A31, "IQ_TOTAL_REV", $B$3, $L$2,$L$4, $L$3, $L$5, $L$6))</f>
        <v>#NAME?</v>
      </c>
      <c r="T31" s="105" t="e">
        <f ca="1">IF(_xll.ciqfunctions.udf.CIQ($A31, "IQ_REVENUE_EST",$B$4, $L$2, "CON", $L$3, $L$5, $L$6)=0,"n/a",_xll.ciqfunctions.udf.CIQ($A31, "IQ_REVENUE_EST",$B$4, $L$2, "CON", $L$3, $L$5, $L$6))</f>
        <v>#NAME?</v>
      </c>
      <c r="U31" s="105" t="e">
        <f ca="1">IF(_xll.ciqfunctions.udf.CIQ($A31, "IQ_REVENUE_EST",$B$5, $L$2, "CON", $L$3, $L$5, $L$6)=0,"n/a",_xll.ciqfunctions.udf.CIQ($A31, "IQ_REVENUE_EST",$B$5, $L$2, "CON", $L$3, $L$5, $L$6))</f>
        <v>#NAME?</v>
      </c>
      <c r="V31" s="105" t="e">
        <f ca="1">IF(_xll.ciqfunctions.udf.CIQ($A31, "IQ_REVENUE_EST",$B$6, $L$2, "CON", $L$3, $L$5, $L$6)=0,"n/a",_xll.ciqfunctions.udf.CIQ($A31, "IQ_REVENUE_EST",$B$6, $L$2, "CON", $L$3, $L$5, $L$6))</f>
        <v>#NAME?</v>
      </c>
      <c r="W31" s="105" t="e">
        <f ca="1">IF(_xll.ciqfunctions.udf.CIQ($A31, "IQ_REVENUE_EST", $B$7, $L$2, "CON", $L$3, $L$5, $L$6)=0,"n/a",_xll.ciqfunctions.udf.CIQ($A31, "IQ_REVENUE_EST",$B$7, $L$2, "CON", $L$3, $L$5, $L$6))</f>
        <v>#NAME?</v>
      </c>
      <c r="X31" s="105" t="e">
        <f ca="1">_xll.ciqfunctions.udf.CIQ($A31, "IQ_EBITDA", IQ_LTM-8, $L$2, $L$4, $L$3, $L$5, $L$6)</f>
        <v>#NAME?</v>
      </c>
      <c r="Y31" s="105" t="e">
        <f ca="1">_xll.ciqfunctions.udf.CIQ($A31, "IQ_EBITDA", IQ_LTM-4, $L$2,$L$4, $L$3, $L$5, $L$6)</f>
        <v>#NAME?</v>
      </c>
      <c r="Z31" s="105" t="e">
        <f ca="1">_xll.ciqfunctions.udf.CIQ($A31, "IQ_EBITDA", IQ_LTM, $L$2, $L$4, $L$3, $L$5, $L$6)</f>
        <v>#NAME?</v>
      </c>
      <c r="AA31" s="105" t="e">
        <f ca="1">_xll.ciqfunctions.udf.CIQ($A31, "IQ_EBITDA", $B$2, $L$2, $L$4, $L$3, $L$5, $L$6)</f>
        <v>#NAME?</v>
      </c>
      <c r="AB31" s="105" t="e">
        <f ca="1">IF(_xll.ciqfunctions.udf.CIQ($A31, "IQ_EBITDA", $B$3, $L$2,$L$4, $L$3, $L$5, $L$6)=0,Z31,_xll.ciqfunctions.udf.CIQ($A31, "IQ_EBITDA", $B$3, $L$2,$L$4, $L$3, $L$5, $L$6))</f>
        <v>#NAME?</v>
      </c>
      <c r="AC31" s="105" t="e">
        <f ca="1">IF(_xll.ciqfunctions.udf.CIQ($A31, "IQ_EBITDA_EST",$B$4, $L$2, "CON", $L$3, $L$5, $L$6)=0,"n/a",_xll.ciqfunctions.udf.CIQ($A31, "IQ_EBITDA_EST",$B$4, $L$2, "CON", $L$3, $L$5, $L$6))</f>
        <v>#NAME?</v>
      </c>
      <c r="AD31" s="105" t="e">
        <f ca="1">IF(_xll.ciqfunctions.udf.CIQ($A31, "IQ_EBITDA_EST",$B$5, $L$2, "CON", $L$3, $L$5, $L$6)=0,"n/a",_xll.ciqfunctions.udf.CIQ($A31, "IQ_EBITDA_EST",$B$5, $L$2, "CON", $L$3, $L$5, $L$6))</f>
        <v>#NAME?</v>
      </c>
      <c r="AE31" s="105" t="e">
        <f ca="1">IF(_xll.ciqfunctions.udf.CIQ($A31, "IQ_EBITDA_EST",$B$6, $L$2, "CON", $L$3, $L$5, $L$6)=0,"n/a",_xll.ciqfunctions.udf.CIQ($A31, "IQ_EBITDA_EST",$B$6, $L$2, "CON", $L$3, $L$5, $L$6))</f>
        <v>#NAME?</v>
      </c>
      <c r="AF31" s="106" t="str">
        <f ca="1">IF(ISERROR(_xll.ciqfunctions.udf.CIQ($A31, "IQ_GROSS_MARGIN", IQ_LTM, $L$2,$L$4, $L$3, $L$5, $L$6)/100), "n/a", _xll.ciqfunctions.udf.CIQ($A31,  "IQ_GROSS_MARGIN", IQ_LTM, $L$2, $L$4, $L$3, $L$5, $L$6)/100)</f>
        <v>n/a</v>
      </c>
      <c r="AG31" s="106" t="str">
        <f ca="1">IF(ISERROR(_xll.ciqfunctions.udf.CIQ($A31,"IQ_EBITDA_MARGIN", IQ_LTM, $L$2, $L$4, $L$3, $L$5, $L$6)/100), "n/a", _xll.ciqfunctions.udf.CIQ($A31, "IQ_EBITDA_MARGIN", IQ_LTM, $L$2, $L$4, $L$3, $L$5, $L$6)/100)</f>
        <v>n/a</v>
      </c>
      <c r="AH31" s="106" t="str">
        <f ca="1">IF(ISERROR(_xll.ciqfunctions.udf.CIQ($A31,"IQ_EBIT_MARGIN", IQ_LTM, $L$2, $L$4, $L$3, $L$5, $L$6)/100), "n/a", _xll.ciqfunctions.udf.CIQ($A31, "IQ_EBIT_MARGIN", IQ_LTM, $L$2, $L$4, $L$3, $L$5, $L$6)/100)</f>
        <v>n/a</v>
      </c>
      <c r="AI31" s="106" t="str">
        <f ca="1">IF(ISERROR(_xll.ciqfunctions.udf.CIQ($A31,"IQ_NI_MARGIN", IQ_LTM, $L$2, $L$4, $L$3, $L$5, $L$6)/100), "n/a", _xll.ciqfunctions.udf.CIQ($A31, "IQ_NI_MARGIN", IQ_LTM, $L$2, $L$4, $L$3, $L$5, $L$6)/100)</f>
        <v>n/a</v>
      </c>
      <c r="AJ31" s="105" t="str">
        <f ca="1">IF(ISERROR(_xll.ciqfunctions.udf.CIQ($A31, "IQ_NET_WORKING_CAP", IQ_LTM-8, $L$2, $L$4, $L$3, $L$5, $L$6)), "n/a", _xll.ciqfunctions.udf.CIQ($A31, "IQ_NET_WORKING_CAP", IQ_LTM-8, $L$2, $L$4, $L$3, $L$5, $L$6))</f>
        <v>n/a</v>
      </c>
      <c r="AK31" s="105" t="str">
        <f ca="1">IF(ISERROR(_xll.ciqfunctions.udf.CIQ($A31, "IQ_NET_WORKING_CAP", IQ_LTM-4, $L$2, $L$4, $L$3, $L$5, $L$6)), "n/a", _xll.ciqfunctions.udf.CIQ($A31, "IQ_NET_WORKING_CAP", IQ_LTM-4, $L$2, $L$4, $L$3, $L$5, $L$6))</f>
        <v>n/a</v>
      </c>
      <c r="AL31" s="105" t="str">
        <f ca="1">IF(ISERROR(_xll.ciqfunctions.udf.CIQ($A31, "IQ_NET_WORKING_CAP", IQ_LTM, $L$2,$L$4, $L$3, $L$5, $L$6)), "n/a", _xll.ciqfunctions.udf.CIQ($A31, "IQ_NET_WORKING_CAP", IQ_LTM, $L$2, $L$4, $L$3, $L$5, $L$6))</f>
        <v>n/a</v>
      </c>
      <c r="AM31" s="105" t="str">
        <f ca="1">IF(ISERROR(_xll.ciqfunctions.udf.CIQ($A31, "IQ_Capex", IQ_LTM-8, $L$2,$L$4, $L$3, $L$5, $L$6)), "n/a", _xll.ciqfunctions.udf.CIQ($A31, "IQ_Capex", IQ_LTM-8, $L$2, $L$4, $L$3, $L$5, $L$6))</f>
        <v>n/a</v>
      </c>
      <c r="AN31" s="105" t="str">
        <f ca="1">IF(ISERROR(_xll.ciqfunctions.udf.CIQ($A31, "IQ_Capex", IQ_LTM-4, $L$2,$L$4, $L$3, $L$5, $L$6)), "n/a", _xll.ciqfunctions.udf.CIQ($A31, "IQ_Capex", IQ_LTM-4, $L$2,$L$4, $L$3, $L$5, $L$6))</f>
        <v>n/a</v>
      </c>
      <c r="AO31" s="105" t="str">
        <f ca="1">IF(ISERROR(_xll.ciqfunctions.udf.CIQ($A31, "IQ_Capex", IQ_LTM, $L$2, $L$4, $L$3, $L$5, $L$6)), "n/a", _xll.ciqfunctions.udf.CIQ($A31, "IQ_Capex", IQ_LTM, $L$2, $L$4, $L$3, $L$5, $L$6))</f>
        <v>n/a</v>
      </c>
      <c r="AP31" s="107" t="e">
        <f ca="1">_xll.ciqfunctions.udf.CIQ(A31, "IQ_BUSINESS_DESCRIPTION")</f>
        <v>#NAME?</v>
      </c>
      <c r="AQ31" s="108" t="e">
        <f ca="1">_xll.ciqfunctions.udf.CIQ($A31, "IQ_BETA_1YR", $B$1)</f>
        <v>#NAME?</v>
      </c>
      <c r="AR31" s="108" t="e">
        <f ca="1">_xll.ciqfunctions.udf.CIQ($A31, "IQ_BETA_2YR", $B$1)</f>
        <v>#NAME?</v>
      </c>
      <c r="AS31" s="108" t="e">
        <f ca="1">_xll.ciqfunctions.udf.CIQ($A31, "IQ_BETA_5YR", $B$1)</f>
        <v>#NAME?</v>
      </c>
      <c r="AT31" s="106" t="e">
        <f ca="1">_xll.ciqfunctions.udf.CIQ($A31, "IQ_DIVIDEND_YIELD", $B$1)/100</f>
        <v>#NAME?</v>
      </c>
      <c r="AU31" s="105" t="e">
        <f ca="1">_xll.ciqfunctions.udf.CIQ($A31, "IQ_EARNING_CO", IQ_LTM-8, $L$2, $L$4, $L$3, $L$5, $L$6)</f>
        <v>#NAME?</v>
      </c>
      <c r="AV31" s="105" t="e">
        <f ca="1">_xll.ciqfunctions.udf.CIQ($A31, "IQ_EARNING_CO", IQ_LTM-4, $L$2, $L$4, $L$3, $L$5, $L$6)</f>
        <v>#NAME?</v>
      </c>
      <c r="AW31" s="105" t="e">
        <f ca="1">_xll.ciqfunctions.udf.CIQ($A31, "IQ_EARNING_CO", IQ_LTM, $L$2, $L$4, $L$3, $L$5, $L$6)</f>
        <v>#NAME?</v>
      </c>
      <c r="AX31" s="105" t="e">
        <f ca="1">_xll.ciqfunctions.udf.CIQ($A31, "IQ_EARNING_CO", $B$2, $L$2, $L$4, $L$3, $L$5, $L$6)</f>
        <v>#NAME?</v>
      </c>
      <c r="AY31" s="105" t="e">
        <f ca="1">IF(_xll.ciqfunctions.udf.CIQ($A31, "IQ_EARNING_CO", $B$3, $L$2,$L$4, $L$3, $L$5, $L$6)=0,AW31,_xll.ciqfunctions.udf.CIQ($A31, "IQ_EARNING_CO", $B$3, $L$2,$L$4, $L$3, $L$5, $L$6))</f>
        <v>#NAME?</v>
      </c>
      <c r="AZ31" s="105" t="e">
        <f ca="1">_xll.ciqfunctions.udf.CIQ($A31, "IQ_TOTAL_EQUITY", IQ_LTM-8, $L$2, $L$4, $L$3, $L$5, $L$6)</f>
        <v>#NAME?</v>
      </c>
      <c r="BA31" s="105" t="e">
        <f ca="1">_xll.ciqfunctions.udf.CIQ($A31, "IQ_TOTAL_EQUITY", IQ_LTM-4, $L$2, $L$4, $L$3, $L$5, $L$6)</f>
        <v>#NAME?</v>
      </c>
      <c r="BB31" s="105" t="e">
        <f ca="1">_xll.ciqfunctions.udf.CIQ($A31, "IQ_TOTAL_EQUITY", IQ_LTM, $L$2, $L$4, $L$3, $L$5, $L$6)</f>
        <v>#NAME?</v>
      </c>
      <c r="BC31" s="105" t="e">
        <f ca="1">_xll.ciqfunctions.udf.CIQ($A31, "IQ_TOTAL_EQUITY", $B$2, $L$2, $L$4, $L$3, $L$5, $L$6)</f>
        <v>#NAME?</v>
      </c>
      <c r="BD31" s="105" t="e">
        <f ca="1">IF(_xll.ciqfunctions.udf.CIQ($A31, "IQ_TOTAL_EQUITY", $B$3, $L$2,$L$4, $L$3, $L$5, $L$6)=0,BB31,_xll.ciqfunctions.udf.CIQ($A31, "IQ_TOTAL_EQUITY", $B$3, $L$2,$L$4, $L$3, $L$5, $L$6))</f>
        <v>#NAME?</v>
      </c>
      <c r="BE31" s="105" t="e">
        <f ca="1">_xll.ciqfunctions.udf.CIQ(A31, "IQ_LASTSALEPRICE", $B$8)</f>
        <v>#NAME?</v>
      </c>
      <c r="BF31" s="105" t="e">
        <f ca="1">_xll.ciqfunctions.udf.CIQ($A31, "IQ_MARKETCAP", $B$8, $L$5, $L$6)</f>
        <v>#NAME?</v>
      </c>
      <c r="BG31" s="105" t="e">
        <f ca="1">_xll.ciqfunctions.udf.CIQ($A31, "IQ_TOTAL_DEBT", IQ_LTM, $B$8,$L$4, $L$3, $L$5, $L$6)</f>
        <v>#NAME?</v>
      </c>
      <c r="BH31" s="74" t="e">
        <f ca="1">_xll.ciqfunctions.udf.CIQ($A31,"IQ_PREF_EQUITY",IQ_LTM,$B$8,$L$4,$L$3,$L$5,$L$6)</f>
        <v>#NAME?</v>
      </c>
      <c r="BI31" s="74" t="e">
        <f ca="1">_xll.ciqfunctions.udf.CIQ($A31, "IQ_MINORITY_INTEREST_TOTAL", IQ_LTM,$B$8,$L$4,$L$3,$L$5,$L$6)</f>
        <v>#NAME?</v>
      </c>
      <c r="BJ31" s="105" t="e">
        <f ca="1">_xll.ciqfunctions.udf.CIQ($A31, "IQ_CASH_ST_INVEST", IQ_LTM, $B$8, $L$4, $L$3, $L$5, $L$6)</f>
        <v>#NAME?</v>
      </c>
      <c r="BK31" s="74" t="e">
        <f ca="1">_xll.ciqfunctions.udf.CIQ($A31, "IQ_EFFECT_TAX_RATE")</f>
        <v>#NAME?</v>
      </c>
      <c r="BL31" s="74" t="e">
        <f ca="1">IF(_xll.ciqfunctions.udf.CIQ($A31, "IQ_TOTAL_REV_2YR_ANN_CAGR", IQ_LTM, $B$1,$L$4, $L$3, $L$5, $L$6)="NM","n/a",(_xll.ciqfunctions.udf.CIQ($A31, "IQ_TOTAL_REV_2YR_ANN_CAGR", IQ_LTM, $B$1,$L$4, $L$3, $L$5, $L$6)/100))</f>
        <v>#NAME?</v>
      </c>
      <c r="BM31" s="74" t="e">
        <f ca="1">IF(_xll.ciqfunctions.udf.CIQ($A31, "IQ_TOTAL_REV_3YR_ANN_CAGR", IQ_LTM, $B$1,$L$4, $L$3, $L$5, $L$6)="NM","n/a",(_xll.ciqfunctions.udf.CIQ($A31, "IQ_TOTAL_REV_3YR_ANN_CAGR", IQ_LTM, $B$1,$L$4, $L$3, $L$5, $L$6)/100))</f>
        <v>#NAME?</v>
      </c>
      <c r="BN31" s="74" t="e">
        <f ca="1">IF(_xll.ciqfunctions.udf.CIQ($A31, "IQ_TOTAL_REV_5YR_ANN_CAGR", IQ_LTM, $B$1,$L$4, $L$3, $L$5, $L$6)="NM","n/a",(_xll.ciqfunctions.udf.CIQ($A31, "IQ_TOTAL_REV_5YR_ANN_CAGR", IQ_LTM, $B$1,$L$4, $L$3, $L$5, $L$6)/100))</f>
        <v>#NAME?</v>
      </c>
      <c r="BO31" s="74" t="e">
        <f ca="1">IF(_xll.ciqfunctions.udf.CIQ($A31,"IQ_EBITDA_2YR_ANN_CAGR", IQ_LTM,$B$1,$L$4, $L$3, $L$5, $L$6)="NM","n/a",(_xll.ciqfunctions.udf.CIQ($A31,"IQ_EBITDA_2YR_ANN_CAGR", IQ_LTM,$B$1,$L$4, $L$3, $L$5, $L$6)/100))</f>
        <v>#NAME?</v>
      </c>
      <c r="BP31" s="74" t="e">
        <f ca="1">IF(_xll.ciqfunctions.udf.CIQ($A31,"IQ_EBITDA_3YR_ANN_CAGR", IQ_LTM,$B$1,$L$4, $L$3, $L$5, $L$6)="NM","n/a",(_xll.ciqfunctions.udf.CIQ($A31,"IQ_EBITDA_3YR_ANN_CAGR", IQ_LTM,$B$1,$L$4, $L$3, $L$5, $L$6)/100))</f>
        <v>#NAME?</v>
      </c>
      <c r="BQ31" s="74" t="e">
        <f ca="1">IF(_xll.ciqfunctions.udf.CIQ($A31,"IQ_EBITDA_5YR_ANN_CAGR", IQ_LTM,$B$1,$L$4, $L$3, $L$5, $L$6)="NM","n/a",(_xll.ciqfunctions.udf.CIQ($A31,"IQ_EBITDA_5YR_ANN_CAGR", IQ_LTM,$B$1,$L$4, $L$3, $L$5, $L$6)/100))</f>
        <v>#NAME?</v>
      </c>
      <c r="BR31" s="78" t="str">
        <f ca="1">IFERROR((_xll.ciqfunctions.udf.CIQ($A31, "IQ_DA_CF", IQ_LTM, $B$1, $L$4, $L$3, $L$5, $L$6)/Q31),"NM")</f>
        <v>NM</v>
      </c>
      <c r="BS31" s="109">
        <f>'Capital IQ Sheet-GPC'!BS31</f>
        <v>0.77908973534733306</v>
      </c>
      <c r="BT31" s="109">
        <f>'Capital IQ Sheet-GPC'!BT31</f>
        <v>0.75591191240814581</v>
      </c>
      <c r="BU31" s="109">
        <f>'Capital IQ Sheet-GPC'!BU31</f>
        <v>0.72988664995178043</v>
      </c>
      <c r="BV31" s="109">
        <f>'Capital IQ Sheet-GPC'!BV31</f>
        <v>0.69704641565401437</v>
      </c>
      <c r="BW31" s="109">
        <f>'Capital IQ Sheet-GPC'!BW31</f>
        <v>0.67878652003980433</v>
      </c>
      <c r="BX31" s="109">
        <f>'Capital IQ Sheet-GPC'!BX31</f>
        <v>0.68960930690777289</v>
      </c>
      <c r="BY31" s="109">
        <f>'Capital IQ Sheet-GPC'!BY31</f>
        <v>0.68075935270679633</v>
      </c>
      <c r="BZ31" s="109">
        <f>'Capital IQ Sheet-GPC'!BZ31</f>
        <v>0.71199663925791412</v>
      </c>
      <c r="CB31" s="74">
        <v>2</v>
      </c>
      <c r="CC31" s="149" t="s">
        <v>315</v>
      </c>
      <c r="CD31" s="149" t="s">
        <v>314</v>
      </c>
      <c r="CE31" s="76">
        <f t="shared" si="1"/>
        <v>42005</v>
      </c>
    </row>
    <row r="32" spans="1:83" s="74" customFormat="1" ht="12.75">
      <c r="A32" s="75" t="e">
        <f ca="1">_xll.ciqfunctions.udf.CIQ($B32,"IQ_COMPANY_TICKER")</f>
        <v>#NAME?</v>
      </c>
      <c r="B32" s="104" t="str">
        <f>'Capital IQ Sheet-GPC'!B32</f>
        <v>IQ46099827</v>
      </c>
      <c r="C32" s="75" t="e">
        <f ca="1">_xll.ciqfunctions.udf.CIQ($A32,"IQ_COMPANY_NAME")</f>
        <v>#NAME?</v>
      </c>
      <c r="D32" s="75" t="e">
        <f ca="1">_xll.ciqfunctions.udf.CIQ($A32, "IQ_EXCHANGE")</f>
        <v>#NAME?</v>
      </c>
      <c r="E32" s="103" t="e">
        <f ca="1">_xll.ciqfunctions.udf.CIQ($A32, "IQ_PERIODDATE_IS", IQ_FY)</f>
        <v>#NAME?</v>
      </c>
      <c r="F32" s="103" t="e">
        <f ca="1">_xll.ciqfunctions.udf.CIQ(A32, "IQ_PERIODDATE_IS", IQ_LTM, $B$1,$L$4,$L$3)</f>
        <v>#NAME?</v>
      </c>
      <c r="G32" s="103" t="e">
        <f ca="1">_xll.ciqfunctions.udf.CIQ($A32, "IQ_FIRSTPRICINGDATE")</f>
        <v>#NAME?</v>
      </c>
      <c r="H32" s="105" t="e">
        <f ca="1">_xll.ciqfunctions.udf.CIQ($A32, "IQ_TEV", $L$2, $L$5, $L$6)</f>
        <v>#NAME?</v>
      </c>
      <c r="I32" s="105" t="e">
        <f ca="1">_xll.ciqfunctions.udf.CIQ(A32, "IQ_LASTSALEPRICE", $B$1,$L$5)</f>
        <v>#NAME?</v>
      </c>
      <c r="J32" s="105" t="e">
        <f ca="1">_xll.ciqfunctions.udf.CIQ($A32, "IQ_MARKETCAP", $L$2, $L$5, $L$6)</f>
        <v>#NAME?</v>
      </c>
      <c r="K32" s="105" t="e">
        <f ca="1">_xll.ciqfunctions.udf.CIQ($A32, "IQ_TOTAL_DEBT", IQ_LTM, $L$2,$L$4, $L$3, $L$5, $L$6)</f>
        <v>#NAME?</v>
      </c>
      <c r="L32" s="105" t="e">
        <f ca="1">_xll.ciqfunctions.udf.CIQ($A32, "IQ_PREF_EQUITY", IQ_LTM, $L$2, $L$4, $L$3, $L$5, $L$6)</f>
        <v>#NAME?</v>
      </c>
      <c r="M32" s="105" t="e">
        <f ca="1">_xll.ciqfunctions.udf.CIQ($A32, "IQ_MINORITY_INTEREST_TOTAL", IQ_LTM, $L$2, $L$4, $L$3, $L$5, $L$6)</f>
        <v>#NAME?</v>
      </c>
      <c r="N32" s="105" t="e">
        <f ca="1">_xll.ciqfunctions.udf.CIQ($A32, "IQ_CASH_ST_INVEST", IQ_LTM, $L$2, $L$4, $L$3, $L$5, $L$6)</f>
        <v>#NAME?</v>
      </c>
      <c r="O32" s="105" t="e">
        <f ca="1">_xll.ciqfunctions.udf.CIQ($A32, "IQ_TOTAL_REV", IQ_LTM-8, $L$2, $L$4, $L$3, $L$5, $L$6)</f>
        <v>#NAME?</v>
      </c>
      <c r="P32" s="105" t="e">
        <f ca="1">_xll.ciqfunctions.udf.CIQ($A32, "IQ_TOTAL_REV", IQ_LTM - 4, $L$2, $L$4, $L$3, $L$5,$L$6)</f>
        <v>#NAME?</v>
      </c>
      <c r="Q32" s="105" t="e">
        <f ca="1">_xll.ciqfunctions.udf.CIQ($A32, "IQ_TOTAL_REV", IQ_LTM, $L$2, $L$4, $L$3, $L$5, $L$6)</f>
        <v>#NAME?</v>
      </c>
      <c r="R32" s="105" t="e">
        <f ca="1">_xll.ciqfunctions.udf.CIQ($A32, "IQ_TOTAL_REV", $B$2, $L$2, $L$4, $L$3, $L$5, $L$6)</f>
        <v>#NAME?</v>
      </c>
      <c r="S32" s="105" t="e">
        <f ca="1">IF(_xll.ciqfunctions.udf.CIQ($A32, "IQ_TOTAL_REV", $B$3, $L$2,$L$4, $L$3, $L$5, $L$6)=0,Q32,_xll.ciqfunctions.udf.CIQ($A32, "IQ_TOTAL_REV", $B$3, $L$2,$L$4, $L$3, $L$5, $L$6))</f>
        <v>#NAME?</v>
      </c>
      <c r="T32" s="105" t="e">
        <f ca="1">IF(_xll.ciqfunctions.udf.CIQ($A32, "IQ_REVENUE_EST",$B$4, $L$2, "CON", $L$3, $L$5, $L$6)=0,"n/a",_xll.ciqfunctions.udf.CIQ($A32, "IQ_REVENUE_EST",$B$4, $L$2, "CON", $L$3, $L$5, $L$6))</f>
        <v>#NAME?</v>
      </c>
      <c r="U32" s="105" t="e">
        <f ca="1">IF(_xll.ciqfunctions.udf.CIQ($A32, "IQ_REVENUE_EST",$B$5, $L$2, "CON", $L$3, $L$5, $L$6)=0,"n/a",_xll.ciqfunctions.udf.CIQ($A32, "IQ_REVENUE_EST",$B$5, $L$2, "CON", $L$3, $L$5, $L$6))</f>
        <v>#NAME?</v>
      </c>
      <c r="V32" s="105" t="e">
        <f ca="1">IF(_xll.ciqfunctions.udf.CIQ($A32, "IQ_REVENUE_EST",$B$6, $L$2, "CON", $L$3, $L$5, $L$6)=0,"n/a",_xll.ciqfunctions.udf.CIQ($A32, "IQ_REVENUE_EST",$B$6, $L$2, "CON", $L$3, $L$5, $L$6))</f>
        <v>#NAME?</v>
      </c>
      <c r="W32" s="105" t="e">
        <f ca="1">IF(_xll.ciqfunctions.udf.CIQ($A32, "IQ_REVENUE_EST", $B$7, $L$2, "CON", $L$3, $L$5, $L$6)=0,"n/a",_xll.ciqfunctions.udf.CIQ($A32, "IQ_REVENUE_EST",$B$7, $L$2, "CON", $L$3, $L$5, $L$6))</f>
        <v>#NAME?</v>
      </c>
      <c r="X32" s="105" t="e">
        <f ca="1">_xll.ciqfunctions.udf.CIQ($A32, "IQ_EBITDA", IQ_LTM-8, $L$2, $L$4, $L$3, $L$5, $L$6)</f>
        <v>#NAME?</v>
      </c>
      <c r="Y32" s="105" t="e">
        <f ca="1">_xll.ciqfunctions.udf.CIQ($A32, "IQ_EBITDA", IQ_LTM-4, $L$2,$L$4, $L$3, $L$5, $L$6)</f>
        <v>#NAME?</v>
      </c>
      <c r="Z32" s="105" t="e">
        <f ca="1">_xll.ciqfunctions.udf.CIQ($A32, "IQ_EBITDA", IQ_LTM, $L$2, $L$4, $L$3, $L$5, $L$6)</f>
        <v>#NAME?</v>
      </c>
      <c r="AA32" s="105" t="e">
        <f ca="1">_xll.ciqfunctions.udf.CIQ($A32, "IQ_EBITDA", $B$2, $L$2, $L$4, $L$3, $L$5, $L$6)</f>
        <v>#NAME?</v>
      </c>
      <c r="AB32" s="105" t="e">
        <f ca="1">IF(_xll.ciqfunctions.udf.CIQ($A32, "IQ_EBITDA", $B$3, $L$2,$L$4, $L$3, $L$5, $L$6)=0,Z32,_xll.ciqfunctions.udf.CIQ($A32, "IQ_EBITDA", $B$3, $L$2,$L$4, $L$3, $L$5, $L$6))</f>
        <v>#NAME?</v>
      </c>
      <c r="AC32" s="105" t="e">
        <f ca="1">IF(_xll.ciqfunctions.udf.CIQ($A32, "IQ_EBITDA_EST",$B$4, $L$2, "CON", $L$3, $L$5, $L$6)=0,"n/a",_xll.ciqfunctions.udf.CIQ($A32, "IQ_EBITDA_EST",$B$4, $L$2, "CON", $L$3, $L$5, $L$6))</f>
        <v>#NAME?</v>
      </c>
      <c r="AD32" s="105" t="e">
        <f ca="1">IF(_xll.ciqfunctions.udf.CIQ($A32, "IQ_EBITDA_EST",$B$5, $L$2, "CON", $L$3, $L$5, $L$6)=0,"n/a",_xll.ciqfunctions.udf.CIQ($A32, "IQ_EBITDA_EST",$B$5, $L$2, "CON", $L$3, $L$5, $L$6))</f>
        <v>#NAME?</v>
      </c>
      <c r="AE32" s="105" t="e">
        <f ca="1">IF(_xll.ciqfunctions.udf.CIQ($A32, "IQ_EBITDA_EST",$B$6, $L$2, "CON", $L$3, $L$5, $L$6)=0,"n/a",_xll.ciqfunctions.udf.CIQ($A32, "IQ_EBITDA_EST",$B$6, $L$2, "CON", $L$3, $L$5, $L$6))</f>
        <v>#NAME?</v>
      </c>
      <c r="AF32" s="106" t="str">
        <f ca="1">IF(ISERROR(_xll.ciqfunctions.udf.CIQ($A32, "IQ_GROSS_MARGIN", IQ_LTM, $L$2,$L$4, $L$3, $L$5, $L$6)/100), "n/a", _xll.ciqfunctions.udf.CIQ($A32,  "IQ_GROSS_MARGIN", IQ_LTM, $L$2, $L$4, $L$3, $L$5, $L$6)/100)</f>
        <v>n/a</v>
      </c>
      <c r="AG32" s="106" t="str">
        <f ca="1">IF(ISERROR(_xll.ciqfunctions.udf.CIQ($A32,"IQ_EBITDA_MARGIN", IQ_LTM, $L$2, $L$4, $L$3, $L$5, $L$6)/100), "n/a", _xll.ciqfunctions.udf.CIQ($A32, "IQ_EBITDA_MARGIN", IQ_LTM, $L$2, $L$4, $L$3, $L$5, $L$6)/100)</f>
        <v>n/a</v>
      </c>
      <c r="AH32" s="106" t="str">
        <f ca="1">IF(ISERROR(_xll.ciqfunctions.udf.CIQ($A32,"IQ_EBIT_MARGIN", IQ_LTM, $L$2, $L$4, $L$3, $L$5, $L$6)/100), "n/a", _xll.ciqfunctions.udf.CIQ($A32, "IQ_EBIT_MARGIN", IQ_LTM, $L$2, $L$4, $L$3, $L$5, $L$6)/100)</f>
        <v>n/a</v>
      </c>
      <c r="AI32" s="106" t="str">
        <f ca="1">IF(ISERROR(_xll.ciqfunctions.udf.CIQ($A32,"IQ_NI_MARGIN", IQ_LTM, $L$2, $L$4, $L$3, $L$5, $L$6)/100), "n/a", _xll.ciqfunctions.udf.CIQ($A32, "IQ_NI_MARGIN", IQ_LTM, $L$2, $L$4, $L$3, $L$5, $L$6)/100)</f>
        <v>n/a</v>
      </c>
      <c r="AJ32" s="105" t="str">
        <f ca="1">IF(ISERROR(_xll.ciqfunctions.udf.CIQ($A32, "IQ_NET_WORKING_CAP", IQ_LTM-8, $L$2, $L$4, $L$3, $L$5, $L$6)), "n/a", _xll.ciqfunctions.udf.CIQ($A32, "IQ_NET_WORKING_CAP", IQ_LTM-8, $L$2, $L$4, $L$3, $L$5, $L$6))</f>
        <v>n/a</v>
      </c>
      <c r="AK32" s="105" t="str">
        <f ca="1">IF(ISERROR(_xll.ciqfunctions.udf.CIQ($A32, "IQ_NET_WORKING_CAP", IQ_LTM-4, $L$2, $L$4, $L$3, $L$5, $L$6)), "n/a", _xll.ciqfunctions.udf.CIQ($A32, "IQ_NET_WORKING_CAP", IQ_LTM-4, $L$2, $L$4, $L$3, $L$5, $L$6))</f>
        <v>n/a</v>
      </c>
      <c r="AL32" s="105" t="str">
        <f ca="1">IF(ISERROR(_xll.ciqfunctions.udf.CIQ($A32, "IQ_NET_WORKING_CAP", IQ_LTM, $L$2,$L$4, $L$3, $L$5, $L$6)), "n/a", _xll.ciqfunctions.udf.CIQ($A32, "IQ_NET_WORKING_CAP", IQ_LTM, $L$2, $L$4, $L$3, $L$5, $L$6))</f>
        <v>n/a</v>
      </c>
      <c r="AM32" s="105" t="str">
        <f ca="1">IF(ISERROR(_xll.ciqfunctions.udf.CIQ($A32, "IQ_Capex", IQ_LTM-8, $L$2,$L$4, $L$3, $L$5, $L$6)), "n/a", _xll.ciqfunctions.udf.CIQ($A32, "IQ_Capex", IQ_LTM-8, $L$2, $L$4, $L$3, $L$5, $L$6))</f>
        <v>n/a</v>
      </c>
      <c r="AN32" s="105" t="str">
        <f ca="1">IF(ISERROR(_xll.ciqfunctions.udf.CIQ($A32, "IQ_Capex", IQ_LTM-4, $L$2,$L$4, $L$3, $L$5, $L$6)), "n/a", _xll.ciqfunctions.udf.CIQ($A32, "IQ_Capex", IQ_LTM-4, $L$2,$L$4, $L$3, $L$5, $L$6))</f>
        <v>n/a</v>
      </c>
      <c r="AO32" s="105" t="str">
        <f ca="1">IF(ISERROR(_xll.ciqfunctions.udf.CIQ($A32, "IQ_Capex", IQ_LTM, $L$2, $L$4, $L$3, $L$5, $L$6)), "n/a", _xll.ciqfunctions.udf.CIQ($A32, "IQ_Capex", IQ_LTM, $L$2, $L$4, $L$3, $L$5, $L$6))</f>
        <v>n/a</v>
      </c>
      <c r="AP32" s="107" t="e">
        <f ca="1">_xll.ciqfunctions.udf.CIQ(A32, "IQ_BUSINESS_DESCRIPTION")</f>
        <v>#NAME?</v>
      </c>
      <c r="AQ32" s="108" t="e">
        <f ca="1">_xll.ciqfunctions.udf.CIQ($A32, "IQ_BETA_1YR", $B$1)</f>
        <v>#NAME?</v>
      </c>
      <c r="AR32" s="108" t="e">
        <f ca="1">_xll.ciqfunctions.udf.CIQ($A32, "IQ_BETA_2YR", $B$1)</f>
        <v>#NAME?</v>
      </c>
      <c r="AS32" s="108" t="e">
        <f ca="1">_xll.ciqfunctions.udf.CIQ($A32, "IQ_BETA_5YR", $B$1)</f>
        <v>#NAME?</v>
      </c>
      <c r="AT32" s="106" t="e">
        <f ca="1">_xll.ciqfunctions.udf.CIQ($A32, "IQ_DIVIDEND_YIELD", $B$1)/100</f>
        <v>#NAME?</v>
      </c>
      <c r="AU32" s="105" t="e">
        <f ca="1">_xll.ciqfunctions.udf.CIQ($A32, "IQ_EARNING_CO", IQ_LTM-8, $L$2, $L$4, $L$3, $L$5, $L$6)</f>
        <v>#NAME?</v>
      </c>
      <c r="AV32" s="105" t="e">
        <f ca="1">_xll.ciqfunctions.udf.CIQ($A32, "IQ_EARNING_CO", IQ_LTM-4, $L$2, $L$4, $L$3, $L$5, $L$6)</f>
        <v>#NAME?</v>
      </c>
      <c r="AW32" s="105" t="e">
        <f ca="1">_xll.ciqfunctions.udf.CIQ($A32, "IQ_EARNING_CO", IQ_LTM, $L$2, $L$4, $L$3, $L$5, $L$6)</f>
        <v>#NAME?</v>
      </c>
      <c r="AX32" s="105" t="e">
        <f ca="1">_xll.ciqfunctions.udf.CIQ($A32, "IQ_EARNING_CO", $B$2, $L$2, $L$4, $L$3, $L$5, $L$6)</f>
        <v>#NAME?</v>
      </c>
      <c r="AY32" s="105" t="e">
        <f ca="1">IF(_xll.ciqfunctions.udf.CIQ($A32, "IQ_EARNING_CO", $B$3, $L$2,$L$4, $L$3, $L$5, $L$6)=0,AW32,_xll.ciqfunctions.udf.CIQ($A32, "IQ_EARNING_CO", $B$3, $L$2,$L$4, $L$3, $L$5, $L$6))</f>
        <v>#NAME?</v>
      </c>
      <c r="AZ32" s="105" t="e">
        <f ca="1">_xll.ciqfunctions.udf.CIQ($A32, "IQ_TOTAL_EQUITY", IQ_LTM-8, $L$2, $L$4, $L$3, $L$5, $L$6)</f>
        <v>#NAME?</v>
      </c>
      <c r="BA32" s="105" t="e">
        <f ca="1">_xll.ciqfunctions.udf.CIQ($A32, "IQ_TOTAL_EQUITY", IQ_LTM-4, $L$2, $L$4, $L$3, $L$5, $L$6)</f>
        <v>#NAME?</v>
      </c>
      <c r="BB32" s="105" t="e">
        <f ca="1">_xll.ciqfunctions.udf.CIQ($A32, "IQ_TOTAL_EQUITY", IQ_LTM, $L$2, $L$4, $L$3, $L$5, $L$6)</f>
        <v>#NAME?</v>
      </c>
      <c r="BC32" s="105" t="e">
        <f ca="1">_xll.ciqfunctions.udf.CIQ($A32, "IQ_TOTAL_EQUITY", $B$2, $L$2, $L$4, $L$3, $L$5, $L$6)</f>
        <v>#NAME?</v>
      </c>
      <c r="BD32" s="105" t="e">
        <f ca="1">IF(_xll.ciqfunctions.udf.CIQ($A32, "IQ_TOTAL_EQUITY", $B$3, $L$2,$L$4, $L$3, $L$5, $L$6)=0,BB32,_xll.ciqfunctions.udf.CIQ($A32, "IQ_TOTAL_EQUITY", $B$3, $L$2,$L$4, $L$3, $L$5, $L$6))</f>
        <v>#NAME?</v>
      </c>
      <c r="BE32" s="105" t="e">
        <f ca="1">_xll.ciqfunctions.udf.CIQ(A32, "IQ_LASTSALEPRICE", $B$8)</f>
        <v>#NAME?</v>
      </c>
      <c r="BF32" s="105" t="e">
        <f ca="1">_xll.ciqfunctions.udf.CIQ($A32, "IQ_MARKETCAP", $B$8, $L$5, $L$6)</f>
        <v>#NAME?</v>
      </c>
      <c r="BG32" s="105" t="e">
        <f ca="1">_xll.ciqfunctions.udf.CIQ($A32, "IQ_TOTAL_DEBT", IQ_LTM, $B$8,$L$4, $L$3, $L$5, $L$6)</f>
        <v>#NAME?</v>
      </c>
      <c r="BH32" s="74" t="e">
        <f ca="1">_xll.ciqfunctions.udf.CIQ($A32,"IQ_PREF_EQUITY",IQ_LTM,$B$8,$L$4,$L$3,$L$5,$L$6)</f>
        <v>#NAME?</v>
      </c>
      <c r="BI32" s="74" t="e">
        <f ca="1">_xll.ciqfunctions.udf.CIQ($A32, "IQ_MINORITY_INTEREST_TOTAL", IQ_LTM,$B$8,$L$4,$L$3,$L$5,$L$6)</f>
        <v>#NAME?</v>
      </c>
      <c r="BJ32" s="105" t="e">
        <f ca="1">_xll.ciqfunctions.udf.CIQ($A32, "IQ_CASH_ST_INVEST", IQ_LTM, $B$8, $L$4, $L$3, $L$5, $L$6)</f>
        <v>#NAME?</v>
      </c>
      <c r="BK32" s="74" t="e">
        <f ca="1">_xll.ciqfunctions.udf.CIQ($A32, "IQ_EFFECT_TAX_RATE")</f>
        <v>#NAME?</v>
      </c>
      <c r="BL32" s="74" t="e">
        <f ca="1">IF(_xll.ciqfunctions.udf.CIQ($A32, "IQ_TOTAL_REV_2YR_ANN_CAGR", IQ_LTM, $B$1,$L$4, $L$3, $L$5, $L$6)="NM","n/a",(_xll.ciqfunctions.udf.CIQ($A32, "IQ_TOTAL_REV_2YR_ANN_CAGR", IQ_LTM, $B$1,$L$4, $L$3, $L$5, $L$6)/100))</f>
        <v>#NAME?</v>
      </c>
      <c r="BM32" s="74" t="e">
        <f ca="1">IF(_xll.ciqfunctions.udf.CIQ($A32, "IQ_TOTAL_REV_3YR_ANN_CAGR", IQ_LTM, $B$1,$L$4, $L$3, $L$5, $L$6)="NM","n/a",(_xll.ciqfunctions.udf.CIQ($A32, "IQ_TOTAL_REV_3YR_ANN_CAGR", IQ_LTM, $B$1,$L$4, $L$3, $L$5, $L$6)/100))</f>
        <v>#NAME?</v>
      </c>
      <c r="BN32" s="74" t="e">
        <f ca="1">IF(_xll.ciqfunctions.udf.CIQ($A32, "IQ_TOTAL_REV_5YR_ANN_CAGR", IQ_LTM, $B$1,$L$4, $L$3, $L$5, $L$6)="NM","n/a",(_xll.ciqfunctions.udf.CIQ($A32, "IQ_TOTAL_REV_5YR_ANN_CAGR", IQ_LTM, $B$1,$L$4, $L$3, $L$5, $L$6)/100))</f>
        <v>#NAME?</v>
      </c>
      <c r="BO32" s="74" t="e">
        <f ca="1">IF(_xll.ciqfunctions.udf.CIQ($A32,"IQ_EBITDA_2YR_ANN_CAGR", IQ_LTM,$B$1,$L$4, $L$3, $L$5, $L$6)="NM","n/a",(_xll.ciqfunctions.udf.CIQ($A32,"IQ_EBITDA_2YR_ANN_CAGR", IQ_LTM,$B$1,$L$4, $L$3, $L$5, $L$6)/100))</f>
        <v>#NAME?</v>
      </c>
      <c r="BP32" s="74" t="e">
        <f ca="1">IF(_xll.ciqfunctions.udf.CIQ($A32,"IQ_EBITDA_3YR_ANN_CAGR", IQ_LTM,$B$1,$L$4, $L$3, $L$5, $L$6)="NM","n/a",(_xll.ciqfunctions.udf.CIQ($A32,"IQ_EBITDA_3YR_ANN_CAGR", IQ_LTM,$B$1,$L$4, $L$3, $L$5, $L$6)/100))</f>
        <v>#NAME?</v>
      </c>
      <c r="BQ32" s="74" t="e">
        <f ca="1">IF(_xll.ciqfunctions.udf.CIQ($A32,"IQ_EBITDA_5YR_ANN_CAGR", IQ_LTM,$B$1,$L$4, $L$3, $L$5, $L$6)="NM","n/a",(_xll.ciqfunctions.udf.CIQ($A32,"IQ_EBITDA_5YR_ANN_CAGR", IQ_LTM,$B$1,$L$4, $L$3, $L$5, $L$6)/100))</f>
        <v>#NAME?</v>
      </c>
      <c r="BR32" s="78" t="str">
        <f ca="1">IFERROR((_xll.ciqfunctions.udf.CIQ($A32, "IQ_DA_CF", IQ_LTM, $B$1, $L$4, $L$3, $L$5, $L$6)/Q32),"NM")</f>
        <v>NM</v>
      </c>
      <c r="BS32" s="109">
        <f>'Capital IQ Sheet-GPC'!BS32</f>
        <v>0.85456554676673191</v>
      </c>
      <c r="BT32" s="109">
        <f>'Capital IQ Sheet-GPC'!BT32</f>
        <v>0.89607154655257915</v>
      </c>
      <c r="BU32" s="109">
        <f>'Capital IQ Sheet-GPC'!BU32</f>
        <v>0.87802203473928597</v>
      </c>
      <c r="BV32" s="109" t="str">
        <f>'Capital IQ Sheet-GPC'!BV32</f>
        <v>n/a</v>
      </c>
      <c r="BW32" s="109" t="str">
        <f>'Capital IQ Sheet-GPC'!BW32</f>
        <v>n/a</v>
      </c>
      <c r="BX32" s="109" t="str">
        <f>'Capital IQ Sheet-GPC'!BX32</f>
        <v>n/a</v>
      </c>
      <c r="BY32" s="109" t="str">
        <f>'Capital IQ Sheet-GPC'!BY32</f>
        <v>n/a</v>
      </c>
      <c r="BZ32" s="109" t="str">
        <f>'Capital IQ Sheet-GPC'!BZ32</f>
        <v>n/a</v>
      </c>
      <c r="CB32" s="74">
        <v>2</v>
      </c>
      <c r="CC32" s="149" t="s">
        <v>315</v>
      </c>
      <c r="CD32" s="149" t="s">
        <v>314</v>
      </c>
      <c r="CE32" s="76">
        <f t="shared" si="1"/>
        <v>42005</v>
      </c>
    </row>
    <row r="33" spans="1:83" s="74" customFormat="1" ht="12.75">
      <c r="A33" s="75" t="e">
        <f ca="1">_xll.ciqfunctions.udf.CIQ($B33,"IQ_COMPANY_TICKER")</f>
        <v>#NAME?</v>
      </c>
      <c r="B33" s="104" t="str">
        <f>'Capital IQ Sheet-GPC'!B33</f>
        <v>IQ39268712</v>
      </c>
      <c r="C33" s="75" t="e">
        <f ca="1">_xll.ciqfunctions.udf.CIQ($A33,"IQ_COMPANY_NAME")</f>
        <v>#NAME?</v>
      </c>
      <c r="D33" s="75" t="e">
        <f ca="1">_xll.ciqfunctions.udf.CIQ($A33, "IQ_EXCHANGE")</f>
        <v>#NAME?</v>
      </c>
      <c r="E33" s="103" t="e">
        <f ca="1">_xll.ciqfunctions.udf.CIQ($A33, "IQ_PERIODDATE_IS", IQ_FY)</f>
        <v>#NAME?</v>
      </c>
      <c r="F33" s="103" t="e">
        <f ca="1">_xll.ciqfunctions.udf.CIQ(A33, "IQ_PERIODDATE_IS", IQ_LTM, $B$1,$L$4,$L$3)</f>
        <v>#NAME?</v>
      </c>
      <c r="G33" s="103" t="e">
        <f ca="1">_xll.ciqfunctions.udf.CIQ($A33, "IQ_FIRSTPRICINGDATE")</f>
        <v>#NAME?</v>
      </c>
      <c r="H33" s="105" t="e">
        <f ca="1">_xll.ciqfunctions.udf.CIQ($A33, "IQ_TEV", $L$2, $L$5, $L$6)</f>
        <v>#NAME?</v>
      </c>
      <c r="I33" s="105" t="e">
        <f ca="1">_xll.ciqfunctions.udf.CIQ(A33, "IQ_LASTSALEPRICE", $B$1,$L$5)</f>
        <v>#NAME?</v>
      </c>
      <c r="J33" s="105" t="e">
        <f ca="1">_xll.ciqfunctions.udf.CIQ($A33, "IQ_MARKETCAP", $L$2, $L$5, $L$6)</f>
        <v>#NAME?</v>
      </c>
      <c r="K33" s="105" t="e">
        <f ca="1">_xll.ciqfunctions.udf.CIQ($A33, "IQ_TOTAL_DEBT", IQ_LTM, $L$2,$L$4, $L$3, $L$5, $L$6)</f>
        <v>#NAME?</v>
      </c>
      <c r="L33" s="105" t="e">
        <f ca="1">_xll.ciqfunctions.udf.CIQ($A33, "IQ_PREF_EQUITY", IQ_LTM, $L$2, $L$4, $L$3, $L$5, $L$6)</f>
        <v>#NAME?</v>
      </c>
      <c r="M33" s="105" t="e">
        <f ca="1">_xll.ciqfunctions.udf.CIQ($A33, "IQ_MINORITY_INTEREST_TOTAL", IQ_LTM, $L$2, $L$4, $L$3, $L$5, $L$6)</f>
        <v>#NAME?</v>
      </c>
      <c r="N33" s="105" t="e">
        <f ca="1">_xll.ciqfunctions.udf.CIQ($A33, "IQ_CASH_ST_INVEST", IQ_LTM, $L$2, $L$4, $L$3, $L$5, $L$6)</f>
        <v>#NAME?</v>
      </c>
      <c r="O33" s="105" t="e">
        <f ca="1">_xll.ciqfunctions.udf.CIQ($A33, "IQ_TOTAL_REV", IQ_LTM-8, $L$2, $L$4, $L$3, $L$5, $L$6)</f>
        <v>#NAME?</v>
      </c>
      <c r="P33" s="105" t="e">
        <f ca="1">_xll.ciqfunctions.udf.CIQ($A33, "IQ_TOTAL_REV", IQ_LTM - 4, $L$2, $L$4, $L$3, $L$5,$L$6)</f>
        <v>#NAME?</v>
      </c>
      <c r="Q33" s="105" t="e">
        <f ca="1">_xll.ciqfunctions.udf.CIQ($A33, "IQ_TOTAL_REV", IQ_LTM, $L$2, $L$4, $L$3, $L$5, $L$6)</f>
        <v>#NAME?</v>
      </c>
      <c r="R33" s="105" t="e">
        <f ca="1">_xll.ciqfunctions.udf.CIQ($A33, "IQ_TOTAL_REV", $B$2, $L$2, $L$4, $L$3, $L$5, $L$6)</f>
        <v>#NAME?</v>
      </c>
      <c r="S33" s="105" t="e">
        <f ca="1">IF(_xll.ciqfunctions.udf.CIQ($A33, "IQ_TOTAL_REV", $B$3, $L$2,$L$4, $L$3, $L$5, $L$6)=0,Q33,_xll.ciqfunctions.udf.CIQ($A33, "IQ_TOTAL_REV", $B$3, $L$2,$L$4, $L$3, $L$5, $L$6))</f>
        <v>#NAME?</v>
      </c>
      <c r="T33" s="105" t="e">
        <f ca="1">IF(_xll.ciqfunctions.udf.CIQ($A33, "IQ_REVENUE_EST",$B$4, $L$2, "CON", $L$3, $L$5, $L$6)=0,"n/a",_xll.ciqfunctions.udf.CIQ($A33, "IQ_REVENUE_EST",$B$4, $L$2, "CON", $L$3, $L$5, $L$6))</f>
        <v>#NAME?</v>
      </c>
      <c r="U33" s="105" t="e">
        <f ca="1">IF(_xll.ciqfunctions.udf.CIQ($A33, "IQ_REVENUE_EST",$B$5, $L$2, "CON", $L$3, $L$5, $L$6)=0,"n/a",_xll.ciqfunctions.udf.CIQ($A33, "IQ_REVENUE_EST",$B$5, $L$2, "CON", $L$3, $L$5, $L$6))</f>
        <v>#NAME?</v>
      </c>
      <c r="V33" s="105" t="e">
        <f ca="1">IF(_xll.ciqfunctions.udf.CIQ($A33, "IQ_REVENUE_EST",$B$6, $L$2, "CON", $L$3, $L$5, $L$6)=0,"n/a",_xll.ciqfunctions.udf.CIQ($A33, "IQ_REVENUE_EST",$B$6, $L$2, "CON", $L$3, $L$5, $L$6))</f>
        <v>#NAME?</v>
      </c>
      <c r="W33" s="105" t="e">
        <f ca="1">IF(_xll.ciqfunctions.udf.CIQ($A33, "IQ_REVENUE_EST", $B$7, $L$2, "CON", $L$3, $L$5, $L$6)=0,"n/a",_xll.ciqfunctions.udf.CIQ($A33, "IQ_REVENUE_EST",$B$7, $L$2, "CON", $L$3, $L$5, $L$6))</f>
        <v>#NAME?</v>
      </c>
      <c r="X33" s="105" t="e">
        <f ca="1">_xll.ciqfunctions.udf.CIQ($A33, "IQ_EBITDA", IQ_LTM-8, $L$2, $L$4, $L$3, $L$5, $L$6)</f>
        <v>#NAME?</v>
      </c>
      <c r="Y33" s="105" t="e">
        <f ca="1">_xll.ciqfunctions.udf.CIQ($A33, "IQ_EBITDA", IQ_LTM-4, $L$2,$L$4, $L$3, $L$5, $L$6)</f>
        <v>#NAME?</v>
      </c>
      <c r="Z33" s="105" t="e">
        <f ca="1">_xll.ciqfunctions.udf.CIQ($A33, "IQ_EBITDA", IQ_LTM, $L$2, $L$4, $L$3, $L$5, $L$6)</f>
        <v>#NAME?</v>
      </c>
      <c r="AA33" s="105" t="e">
        <f ca="1">_xll.ciqfunctions.udf.CIQ($A33, "IQ_EBITDA", $B$2, $L$2, $L$4, $L$3, $L$5, $L$6)</f>
        <v>#NAME?</v>
      </c>
      <c r="AB33" s="105" t="e">
        <f ca="1">IF(_xll.ciqfunctions.udf.CIQ($A33, "IQ_EBITDA", $B$3, $L$2,$L$4, $L$3, $L$5, $L$6)=0,Z33,_xll.ciqfunctions.udf.CIQ($A33, "IQ_EBITDA", $B$3, $L$2,$L$4, $L$3, $L$5, $L$6))</f>
        <v>#NAME?</v>
      </c>
      <c r="AC33" s="105" t="e">
        <f ca="1">IF(_xll.ciqfunctions.udf.CIQ($A33, "IQ_EBITDA_EST",$B$4, $L$2, "CON", $L$3, $L$5, $L$6)=0,"n/a",_xll.ciqfunctions.udf.CIQ($A33, "IQ_EBITDA_EST",$B$4, $L$2, "CON", $L$3, $L$5, $L$6))</f>
        <v>#NAME?</v>
      </c>
      <c r="AD33" s="105" t="e">
        <f ca="1">IF(_xll.ciqfunctions.udf.CIQ($A33, "IQ_EBITDA_EST",$B$5, $L$2, "CON", $L$3, $L$5, $L$6)=0,"n/a",_xll.ciqfunctions.udf.CIQ($A33, "IQ_EBITDA_EST",$B$5, $L$2, "CON", $L$3, $L$5, $L$6))</f>
        <v>#NAME?</v>
      </c>
      <c r="AE33" s="105" t="e">
        <f ca="1">IF(_xll.ciqfunctions.udf.CIQ($A33, "IQ_EBITDA_EST",$B$6, $L$2, "CON", $L$3, $L$5, $L$6)=0,"n/a",_xll.ciqfunctions.udf.CIQ($A33, "IQ_EBITDA_EST",$B$6, $L$2, "CON", $L$3, $L$5, $L$6))</f>
        <v>#NAME?</v>
      </c>
      <c r="AF33" s="106" t="str">
        <f ca="1">IF(ISERROR(_xll.ciqfunctions.udf.CIQ($A33, "IQ_GROSS_MARGIN", IQ_LTM, $L$2,$L$4, $L$3, $L$5, $L$6)/100), "n/a", _xll.ciqfunctions.udf.CIQ($A33,  "IQ_GROSS_MARGIN", IQ_LTM, $L$2, $L$4, $L$3, $L$5, $L$6)/100)</f>
        <v>n/a</v>
      </c>
      <c r="AG33" s="106" t="str">
        <f ca="1">IF(ISERROR(_xll.ciqfunctions.udf.CIQ($A33,"IQ_EBITDA_MARGIN", IQ_LTM, $L$2, $L$4, $L$3, $L$5, $L$6)/100), "n/a", _xll.ciqfunctions.udf.CIQ($A33, "IQ_EBITDA_MARGIN", IQ_LTM, $L$2, $L$4, $L$3, $L$5, $L$6)/100)</f>
        <v>n/a</v>
      </c>
      <c r="AH33" s="106" t="str">
        <f ca="1">IF(ISERROR(_xll.ciqfunctions.udf.CIQ($A33,"IQ_EBIT_MARGIN", IQ_LTM, $L$2, $L$4, $L$3, $L$5, $L$6)/100), "n/a", _xll.ciqfunctions.udf.CIQ($A33, "IQ_EBIT_MARGIN", IQ_LTM, $L$2, $L$4, $L$3, $L$5, $L$6)/100)</f>
        <v>n/a</v>
      </c>
      <c r="AI33" s="106" t="str">
        <f ca="1">IF(ISERROR(_xll.ciqfunctions.udf.CIQ($A33,"IQ_NI_MARGIN", IQ_LTM, $L$2, $L$4, $L$3, $L$5, $L$6)/100), "n/a", _xll.ciqfunctions.udf.CIQ($A33, "IQ_NI_MARGIN", IQ_LTM, $L$2, $L$4, $L$3, $L$5, $L$6)/100)</f>
        <v>n/a</v>
      </c>
      <c r="AJ33" s="105" t="str">
        <f ca="1">IF(ISERROR(_xll.ciqfunctions.udf.CIQ($A33, "IQ_NET_WORKING_CAP", IQ_LTM-8, $L$2, $L$4, $L$3, $L$5, $L$6)), "n/a", _xll.ciqfunctions.udf.CIQ($A33, "IQ_NET_WORKING_CAP", IQ_LTM-8, $L$2, $L$4, $L$3, $L$5, $L$6))</f>
        <v>n/a</v>
      </c>
      <c r="AK33" s="105" t="str">
        <f ca="1">IF(ISERROR(_xll.ciqfunctions.udf.CIQ($A33, "IQ_NET_WORKING_CAP", IQ_LTM-4, $L$2, $L$4, $L$3, $L$5, $L$6)), "n/a", _xll.ciqfunctions.udf.CIQ($A33, "IQ_NET_WORKING_CAP", IQ_LTM-4, $L$2, $L$4, $L$3, $L$5, $L$6))</f>
        <v>n/a</v>
      </c>
      <c r="AL33" s="105" t="str">
        <f ca="1">IF(ISERROR(_xll.ciqfunctions.udf.CIQ($A33, "IQ_NET_WORKING_CAP", IQ_LTM, $L$2,$L$4, $L$3, $L$5, $L$6)), "n/a", _xll.ciqfunctions.udf.CIQ($A33, "IQ_NET_WORKING_CAP", IQ_LTM, $L$2, $L$4, $L$3, $L$5, $L$6))</f>
        <v>n/a</v>
      </c>
      <c r="AM33" s="105" t="str">
        <f ca="1">IF(ISERROR(_xll.ciqfunctions.udf.CIQ($A33, "IQ_Capex", IQ_LTM-8, $L$2,$L$4, $L$3, $L$5, $L$6)), "n/a", _xll.ciqfunctions.udf.CIQ($A33, "IQ_Capex", IQ_LTM-8, $L$2, $L$4, $L$3, $L$5, $L$6))</f>
        <v>n/a</v>
      </c>
      <c r="AN33" s="105" t="str">
        <f ca="1">IF(ISERROR(_xll.ciqfunctions.udf.CIQ($A33, "IQ_Capex", IQ_LTM-4, $L$2,$L$4, $L$3, $L$5, $L$6)), "n/a", _xll.ciqfunctions.udf.CIQ($A33, "IQ_Capex", IQ_LTM-4, $L$2,$L$4, $L$3, $L$5, $L$6))</f>
        <v>n/a</v>
      </c>
      <c r="AO33" s="105" t="str">
        <f ca="1">IF(ISERROR(_xll.ciqfunctions.udf.CIQ($A33, "IQ_Capex", IQ_LTM, $L$2, $L$4, $L$3, $L$5, $L$6)), "n/a", _xll.ciqfunctions.udf.CIQ($A33, "IQ_Capex", IQ_LTM, $L$2, $L$4, $L$3, $L$5, $L$6))</f>
        <v>n/a</v>
      </c>
      <c r="AP33" s="107" t="e">
        <f ca="1">_xll.ciqfunctions.udf.CIQ(A33, "IQ_BUSINESS_DESCRIPTION")</f>
        <v>#NAME?</v>
      </c>
      <c r="AQ33" s="108" t="e">
        <f ca="1">_xll.ciqfunctions.udf.CIQ($A33, "IQ_BETA_1YR", $B$1)</f>
        <v>#NAME?</v>
      </c>
      <c r="AR33" s="108" t="e">
        <f ca="1">_xll.ciqfunctions.udf.CIQ($A33, "IQ_BETA_2YR", $B$1)</f>
        <v>#NAME?</v>
      </c>
      <c r="AS33" s="108" t="e">
        <f ca="1">_xll.ciqfunctions.udf.CIQ($A33, "IQ_BETA_5YR", $B$1)</f>
        <v>#NAME?</v>
      </c>
      <c r="AT33" s="106" t="e">
        <f ca="1">_xll.ciqfunctions.udf.CIQ($A33, "IQ_DIVIDEND_YIELD", $B$1)/100</f>
        <v>#NAME?</v>
      </c>
      <c r="AU33" s="105" t="e">
        <f ca="1">_xll.ciqfunctions.udf.CIQ($A33, "IQ_EARNING_CO", IQ_LTM-8, $L$2, $L$4, $L$3, $L$5, $L$6)</f>
        <v>#NAME?</v>
      </c>
      <c r="AV33" s="105" t="e">
        <f ca="1">_xll.ciqfunctions.udf.CIQ($A33, "IQ_EARNING_CO", IQ_LTM-4, $L$2, $L$4, $L$3, $L$5, $L$6)</f>
        <v>#NAME?</v>
      </c>
      <c r="AW33" s="105" t="e">
        <f ca="1">_xll.ciqfunctions.udf.CIQ($A33, "IQ_EARNING_CO", IQ_LTM, $L$2, $L$4, $L$3, $L$5, $L$6)</f>
        <v>#NAME?</v>
      </c>
      <c r="AX33" s="105" t="e">
        <f ca="1">_xll.ciqfunctions.udf.CIQ($A33, "IQ_EARNING_CO", $B$2, $L$2, $L$4, $L$3, $L$5, $L$6)</f>
        <v>#NAME?</v>
      </c>
      <c r="AY33" s="105" t="e">
        <f ca="1">IF(_xll.ciqfunctions.udf.CIQ($A33, "IQ_EARNING_CO", $B$3, $L$2,$L$4, $L$3, $L$5, $L$6)=0,AW33,_xll.ciqfunctions.udf.CIQ($A33, "IQ_EARNING_CO", $B$3, $L$2,$L$4, $L$3, $L$5, $L$6))</f>
        <v>#NAME?</v>
      </c>
      <c r="AZ33" s="105" t="e">
        <f ca="1">_xll.ciqfunctions.udf.CIQ($A33, "IQ_TOTAL_EQUITY", IQ_LTM-8, $L$2, $L$4, $L$3, $L$5, $L$6)</f>
        <v>#NAME?</v>
      </c>
      <c r="BA33" s="105" t="e">
        <f ca="1">_xll.ciqfunctions.udf.CIQ($A33, "IQ_TOTAL_EQUITY", IQ_LTM-4, $L$2, $L$4, $L$3, $L$5, $L$6)</f>
        <v>#NAME?</v>
      </c>
      <c r="BB33" s="105" t="e">
        <f ca="1">_xll.ciqfunctions.udf.CIQ($A33, "IQ_TOTAL_EQUITY", IQ_LTM, $L$2, $L$4, $L$3, $L$5, $L$6)</f>
        <v>#NAME?</v>
      </c>
      <c r="BC33" s="105" t="e">
        <f ca="1">_xll.ciqfunctions.udf.CIQ($A33, "IQ_TOTAL_EQUITY", $B$2, $L$2, $L$4, $L$3, $L$5, $L$6)</f>
        <v>#NAME?</v>
      </c>
      <c r="BD33" s="105" t="e">
        <f ca="1">IF(_xll.ciqfunctions.udf.CIQ($A33, "IQ_TOTAL_EQUITY", $B$3, $L$2,$L$4, $L$3, $L$5, $L$6)=0,BB33,_xll.ciqfunctions.udf.CIQ($A33, "IQ_TOTAL_EQUITY", $B$3, $L$2,$L$4, $L$3, $L$5, $L$6))</f>
        <v>#NAME?</v>
      </c>
      <c r="BE33" s="105" t="e">
        <f ca="1">_xll.ciqfunctions.udf.CIQ(A33, "IQ_LASTSALEPRICE", $B$8)</f>
        <v>#NAME?</v>
      </c>
      <c r="BF33" s="105" t="e">
        <f ca="1">_xll.ciqfunctions.udf.CIQ($A33, "IQ_MARKETCAP", $B$8, $L$5, $L$6)</f>
        <v>#NAME?</v>
      </c>
      <c r="BG33" s="105" t="e">
        <f ca="1">_xll.ciqfunctions.udf.CIQ($A33, "IQ_TOTAL_DEBT", IQ_LTM, $B$8,$L$4, $L$3, $L$5, $L$6)</f>
        <v>#NAME?</v>
      </c>
      <c r="BH33" s="74" t="e">
        <f ca="1">_xll.ciqfunctions.udf.CIQ($A33,"IQ_PREF_EQUITY",IQ_LTM,$B$8,$L$4,$L$3,$L$5,$L$6)</f>
        <v>#NAME?</v>
      </c>
      <c r="BI33" s="74" t="e">
        <f ca="1">_xll.ciqfunctions.udf.CIQ($A33, "IQ_MINORITY_INTEREST_TOTAL", IQ_LTM,$B$8,$L$4,$L$3,$L$5,$L$6)</f>
        <v>#NAME?</v>
      </c>
      <c r="BJ33" s="105" t="e">
        <f ca="1">_xll.ciqfunctions.udf.CIQ($A33, "IQ_CASH_ST_INVEST", IQ_LTM, $B$8, $L$4, $L$3, $L$5, $L$6)</f>
        <v>#NAME?</v>
      </c>
      <c r="BK33" s="74" t="e">
        <f ca="1">_xll.ciqfunctions.udf.CIQ($A33, "IQ_EFFECT_TAX_RATE")</f>
        <v>#NAME?</v>
      </c>
      <c r="BL33" s="74" t="e">
        <f ca="1">IF(_xll.ciqfunctions.udf.CIQ($A33, "IQ_TOTAL_REV_2YR_ANN_CAGR", IQ_LTM, $B$1,$L$4, $L$3, $L$5, $L$6)="NM","n/a",(_xll.ciqfunctions.udf.CIQ($A33, "IQ_TOTAL_REV_2YR_ANN_CAGR", IQ_LTM, $B$1,$L$4, $L$3, $L$5, $L$6)/100))</f>
        <v>#NAME?</v>
      </c>
      <c r="BM33" s="74" t="e">
        <f ca="1">IF(_xll.ciqfunctions.udf.CIQ($A33, "IQ_TOTAL_REV_3YR_ANN_CAGR", IQ_LTM, $B$1,$L$4, $L$3, $L$5, $L$6)="NM","n/a",(_xll.ciqfunctions.udf.CIQ($A33, "IQ_TOTAL_REV_3YR_ANN_CAGR", IQ_LTM, $B$1,$L$4, $L$3, $L$5, $L$6)/100))</f>
        <v>#NAME?</v>
      </c>
      <c r="BN33" s="74" t="e">
        <f ca="1">IF(_xll.ciqfunctions.udf.CIQ($A33, "IQ_TOTAL_REV_5YR_ANN_CAGR", IQ_LTM, $B$1,$L$4, $L$3, $L$5, $L$6)="NM","n/a",(_xll.ciqfunctions.udf.CIQ($A33, "IQ_TOTAL_REV_5YR_ANN_CAGR", IQ_LTM, $B$1,$L$4, $L$3, $L$5, $L$6)/100))</f>
        <v>#NAME?</v>
      </c>
      <c r="BO33" s="74" t="e">
        <f ca="1">IF(_xll.ciqfunctions.udf.CIQ($A33,"IQ_EBITDA_2YR_ANN_CAGR", IQ_LTM,$B$1,$L$4, $L$3, $L$5, $L$6)="NM","n/a",(_xll.ciqfunctions.udf.CIQ($A33,"IQ_EBITDA_2YR_ANN_CAGR", IQ_LTM,$B$1,$L$4, $L$3, $L$5, $L$6)/100))</f>
        <v>#NAME?</v>
      </c>
      <c r="BP33" s="74" t="e">
        <f ca="1">IF(_xll.ciqfunctions.udf.CIQ($A33,"IQ_EBITDA_3YR_ANN_CAGR", IQ_LTM,$B$1,$L$4, $L$3, $L$5, $L$6)="NM","n/a",(_xll.ciqfunctions.udf.CIQ($A33,"IQ_EBITDA_3YR_ANN_CAGR", IQ_LTM,$B$1,$L$4, $L$3, $L$5, $L$6)/100))</f>
        <v>#NAME?</v>
      </c>
      <c r="BQ33" s="74" t="e">
        <f ca="1">IF(_xll.ciqfunctions.udf.CIQ($A33,"IQ_EBITDA_5YR_ANN_CAGR", IQ_LTM,$B$1,$L$4, $L$3, $L$5, $L$6)="NM","n/a",(_xll.ciqfunctions.udf.CIQ($A33,"IQ_EBITDA_5YR_ANN_CAGR", IQ_LTM,$B$1,$L$4, $L$3, $L$5, $L$6)/100))</f>
        <v>#NAME?</v>
      </c>
      <c r="BR33" s="78" t="str">
        <f ca="1">IFERROR((_xll.ciqfunctions.udf.CIQ($A33, "IQ_DA_CF", IQ_LTM, $B$1, $L$4, $L$3, $L$5, $L$6)/Q33),"NM")</f>
        <v>NM</v>
      </c>
      <c r="BS33" s="109">
        <f>'Capital IQ Sheet-GPC'!BS33</f>
        <v>0.83694308969446407</v>
      </c>
      <c r="BT33" s="109">
        <f>'Capital IQ Sheet-GPC'!BT33</f>
        <v>0.87702243861868245</v>
      </c>
      <c r="BU33" s="109">
        <f>'Capital IQ Sheet-GPC'!BU33</f>
        <v>0.81948065839335027</v>
      </c>
      <c r="BV33" s="109">
        <f>'Capital IQ Sheet-GPC'!BV33</f>
        <v>0.82425686431352063</v>
      </c>
      <c r="BW33" s="109" t="str">
        <f>'Capital IQ Sheet-GPC'!BW33</f>
        <v>n/a</v>
      </c>
      <c r="BX33" s="109" t="str">
        <f>'Capital IQ Sheet-GPC'!BX33</f>
        <v>n/a</v>
      </c>
      <c r="BY33" s="109" t="str">
        <f>'Capital IQ Sheet-GPC'!BY33</f>
        <v>n/a</v>
      </c>
      <c r="BZ33" s="109" t="str">
        <f>'Capital IQ Sheet-GPC'!BZ33</f>
        <v>n/a</v>
      </c>
      <c r="CB33" s="74">
        <v>2</v>
      </c>
      <c r="CC33" s="149" t="s">
        <v>315</v>
      </c>
      <c r="CD33" s="149" t="s">
        <v>314</v>
      </c>
      <c r="CE33" s="76">
        <f t="shared" si="1"/>
        <v>42005</v>
      </c>
    </row>
    <row r="34" spans="1:83" s="74" customFormat="1" ht="12.75">
      <c r="A34" s="75" t="e">
        <f ca="1">_xll.ciqfunctions.udf.CIQ($B34,"IQ_COMPANY_TICKER")</f>
        <v>#NAME?</v>
      </c>
      <c r="B34" s="104" t="str">
        <f>'Capital IQ Sheet-GPC'!B34</f>
        <v>IQ203142</v>
      </c>
      <c r="C34" s="75" t="e">
        <f ca="1">_xll.ciqfunctions.udf.CIQ($A34,"IQ_COMPANY_NAME")</f>
        <v>#NAME?</v>
      </c>
      <c r="D34" s="75" t="e">
        <f ca="1">_xll.ciqfunctions.udf.CIQ($A34, "IQ_EXCHANGE")</f>
        <v>#NAME?</v>
      </c>
      <c r="E34" s="103" t="e">
        <f ca="1">_xll.ciqfunctions.udf.CIQ($A34, "IQ_PERIODDATE_IS", IQ_FY)</f>
        <v>#NAME?</v>
      </c>
      <c r="F34" s="103" t="e">
        <f ca="1">_xll.ciqfunctions.udf.CIQ(A34, "IQ_PERIODDATE_IS", IQ_LTM, $B$1,$L$4,$L$3)</f>
        <v>#NAME?</v>
      </c>
      <c r="G34" s="103" t="e">
        <f ca="1">_xll.ciqfunctions.udf.CIQ($A34, "IQ_FIRSTPRICINGDATE")</f>
        <v>#NAME?</v>
      </c>
      <c r="H34" s="105" t="e">
        <f ca="1">_xll.ciqfunctions.udf.CIQ($A34, "IQ_TEV", $L$2, $L$5, $L$6)</f>
        <v>#NAME?</v>
      </c>
      <c r="I34" s="105" t="e">
        <f ca="1">_xll.ciqfunctions.udf.CIQ(A34, "IQ_LASTSALEPRICE", $B$1,$L$5)</f>
        <v>#NAME?</v>
      </c>
      <c r="J34" s="105" t="e">
        <f ca="1">_xll.ciqfunctions.udf.CIQ($A34, "IQ_MARKETCAP", $L$2, $L$5, $L$6)</f>
        <v>#NAME?</v>
      </c>
      <c r="K34" s="105" t="e">
        <f ca="1">_xll.ciqfunctions.udf.CIQ($A34, "IQ_TOTAL_DEBT", IQ_LTM, $L$2,$L$4, $L$3, $L$5, $L$6)</f>
        <v>#NAME?</v>
      </c>
      <c r="L34" s="105" t="e">
        <f ca="1">_xll.ciqfunctions.udf.CIQ($A34, "IQ_PREF_EQUITY", IQ_LTM, $L$2, $L$4, $L$3, $L$5, $L$6)</f>
        <v>#NAME?</v>
      </c>
      <c r="M34" s="105" t="e">
        <f ca="1">_xll.ciqfunctions.udf.CIQ($A34, "IQ_MINORITY_INTEREST_TOTAL", IQ_LTM, $L$2, $L$4, $L$3, $L$5, $L$6)</f>
        <v>#NAME?</v>
      </c>
      <c r="N34" s="105" t="e">
        <f ca="1">_xll.ciqfunctions.udf.CIQ($A34, "IQ_CASH_ST_INVEST", IQ_LTM, $L$2, $L$4, $L$3, $L$5, $L$6)</f>
        <v>#NAME?</v>
      </c>
      <c r="O34" s="105" t="e">
        <f ca="1">_xll.ciqfunctions.udf.CIQ($A34, "IQ_TOTAL_REV", IQ_LTM-8, $L$2, $L$4, $L$3, $L$5, $L$6)</f>
        <v>#NAME?</v>
      </c>
      <c r="P34" s="105" t="e">
        <f ca="1">_xll.ciqfunctions.udf.CIQ($A34, "IQ_TOTAL_REV", IQ_LTM - 4, $L$2, $L$4, $L$3, $L$5,$L$6)</f>
        <v>#NAME?</v>
      </c>
      <c r="Q34" s="105" t="e">
        <f ca="1">_xll.ciqfunctions.udf.CIQ($A34, "IQ_TOTAL_REV", IQ_LTM, $L$2, $L$4, $L$3, $L$5, $L$6)</f>
        <v>#NAME?</v>
      </c>
      <c r="R34" s="105" t="e">
        <f ca="1">_xll.ciqfunctions.udf.CIQ($A34, "IQ_TOTAL_REV", $B$2, $L$2, $L$4, $L$3, $L$5, $L$6)</f>
        <v>#NAME?</v>
      </c>
      <c r="S34" s="105" t="e">
        <f ca="1">IF(_xll.ciqfunctions.udf.CIQ($A34, "IQ_TOTAL_REV", $B$3, $L$2,$L$4, $L$3, $L$5, $L$6)=0,Q34,_xll.ciqfunctions.udf.CIQ($A34, "IQ_TOTAL_REV", $B$3, $L$2,$L$4, $L$3, $L$5, $L$6))</f>
        <v>#NAME?</v>
      </c>
      <c r="T34" s="105" t="e">
        <f ca="1">IF(_xll.ciqfunctions.udf.CIQ($A34, "IQ_REVENUE_EST",$B$4, $L$2, "CON", $L$3, $L$5, $L$6)=0,"n/a",_xll.ciqfunctions.udf.CIQ($A34, "IQ_REVENUE_EST",$B$4, $L$2, "CON", $L$3, $L$5, $L$6))</f>
        <v>#NAME?</v>
      </c>
      <c r="U34" s="105" t="e">
        <f ca="1">IF(_xll.ciqfunctions.udf.CIQ($A34, "IQ_REVENUE_EST",$B$5, $L$2, "CON", $L$3, $L$5, $L$6)=0,"n/a",_xll.ciqfunctions.udf.CIQ($A34, "IQ_REVENUE_EST",$B$5, $L$2, "CON", $L$3, $L$5, $L$6))</f>
        <v>#NAME?</v>
      </c>
      <c r="V34" s="105" t="e">
        <f ca="1">IF(_xll.ciqfunctions.udf.CIQ($A34, "IQ_REVENUE_EST",$B$6, $L$2, "CON", $L$3, $L$5, $L$6)=0,"n/a",_xll.ciqfunctions.udf.CIQ($A34, "IQ_REVENUE_EST",$B$6, $L$2, "CON", $L$3, $L$5, $L$6))</f>
        <v>#NAME?</v>
      </c>
      <c r="W34" s="105" t="e">
        <f ca="1">IF(_xll.ciqfunctions.udf.CIQ($A34, "IQ_REVENUE_EST", $B$7, $L$2, "CON", $L$3, $L$5, $L$6)=0,"n/a",_xll.ciqfunctions.udf.CIQ($A34, "IQ_REVENUE_EST",$B$7, $L$2, "CON", $L$3, $L$5, $L$6))</f>
        <v>#NAME?</v>
      </c>
      <c r="X34" s="105" t="e">
        <f ca="1">_xll.ciqfunctions.udf.CIQ($A34, "IQ_EBITDA", IQ_LTM-8, $L$2, $L$4, $L$3, $L$5, $L$6)</f>
        <v>#NAME?</v>
      </c>
      <c r="Y34" s="105" t="e">
        <f ca="1">_xll.ciqfunctions.udf.CIQ($A34, "IQ_EBITDA", IQ_LTM-4, $L$2,$L$4, $L$3, $L$5, $L$6)</f>
        <v>#NAME?</v>
      </c>
      <c r="Z34" s="105" t="e">
        <f ca="1">_xll.ciqfunctions.udf.CIQ($A34, "IQ_EBITDA", IQ_LTM, $L$2, $L$4, $L$3, $L$5, $L$6)</f>
        <v>#NAME?</v>
      </c>
      <c r="AA34" s="105" t="e">
        <f ca="1">_xll.ciqfunctions.udf.CIQ($A34, "IQ_EBITDA", $B$2, $L$2, $L$4, $L$3, $L$5, $L$6)</f>
        <v>#NAME?</v>
      </c>
      <c r="AB34" s="105" t="e">
        <f ca="1">IF(_xll.ciqfunctions.udf.CIQ($A34, "IQ_EBITDA", $B$3, $L$2,$L$4, $L$3, $L$5, $L$6)=0,Z34,_xll.ciqfunctions.udf.CIQ($A34, "IQ_EBITDA", $B$3, $L$2,$L$4, $L$3, $L$5, $L$6))</f>
        <v>#NAME?</v>
      </c>
      <c r="AC34" s="105" t="e">
        <f ca="1">IF(_xll.ciqfunctions.udf.CIQ($A34, "IQ_EBITDA_EST",$B$4, $L$2, "CON", $L$3, $L$5, $L$6)=0,"n/a",_xll.ciqfunctions.udf.CIQ($A34, "IQ_EBITDA_EST",$B$4, $L$2, "CON", $L$3, $L$5, $L$6))</f>
        <v>#NAME?</v>
      </c>
      <c r="AD34" s="105" t="e">
        <f ca="1">IF(_xll.ciqfunctions.udf.CIQ($A34, "IQ_EBITDA_EST",$B$5, $L$2, "CON", $L$3, $L$5, $L$6)=0,"n/a",_xll.ciqfunctions.udf.CIQ($A34, "IQ_EBITDA_EST",$B$5, $L$2, "CON", $L$3, $L$5, $L$6))</f>
        <v>#NAME?</v>
      </c>
      <c r="AE34" s="105" t="e">
        <f ca="1">IF(_xll.ciqfunctions.udf.CIQ($A34, "IQ_EBITDA_EST",$B$6, $L$2, "CON", $L$3, $L$5, $L$6)=0,"n/a",_xll.ciqfunctions.udf.CIQ($A34, "IQ_EBITDA_EST",$B$6, $L$2, "CON", $L$3, $L$5, $L$6))</f>
        <v>#NAME?</v>
      </c>
      <c r="AF34" s="106" t="str">
        <f ca="1">IF(ISERROR(_xll.ciqfunctions.udf.CIQ($A34, "IQ_GROSS_MARGIN", IQ_LTM, $L$2,$L$4, $L$3, $L$5, $L$6)/100), "n/a", _xll.ciqfunctions.udf.CIQ($A34,  "IQ_GROSS_MARGIN", IQ_LTM, $L$2, $L$4, $L$3, $L$5, $L$6)/100)</f>
        <v>n/a</v>
      </c>
      <c r="AG34" s="106" t="str">
        <f ca="1">IF(ISERROR(_xll.ciqfunctions.udf.CIQ($A34,"IQ_EBITDA_MARGIN", IQ_LTM, $L$2, $L$4, $L$3, $L$5, $L$6)/100), "n/a", _xll.ciqfunctions.udf.CIQ($A34, "IQ_EBITDA_MARGIN", IQ_LTM, $L$2, $L$4, $L$3, $L$5, $L$6)/100)</f>
        <v>n/a</v>
      </c>
      <c r="AH34" s="106" t="str">
        <f ca="1">IF(ISERROR(_xll.ciqfunctions.udf.CIQ($A34,"IQ_EBIT_MARGIN", IQ_LTM, $L$2, $L$4, $L$3, $L$5, $L$6)/100), "n/a", _xll.ciqfunctions.udf.CIQ($A34, "IQ_EBIT_MARGIN", IQ_LTM, $L$2, $L$4, $L$3, $L$5, $L$6)/100)</f>
        <v>n/a</v>
      </c>
      <c r="AI34" s="106" t="str">
        <f ca="1">IF(ISERROR(_xll.ciqfunctions.udf.CIQ($A34,"IQ_NI_MARGIN", IQ_LTM, $L$2, $L$4, $L$3, $L$5, $L$6)/100), "n/a", _xll.ciqfunctions.udf.CIQ($A34, "IQ_NI_MARGIN", IQ_LTM, $L$2, $L$4, $L$3, $L$5, $L$6)/100)</f>
        <v>n/a</v>
      </c>
      <c r="AJ34" s="105" t="str">
        <f ca="1">IF(ISERROR(_xll.ciqfunctions.udf.CIQ($A34, "IQ_NET_WORKING_CAP", IQ_LTM-8, $L$2, $L$4, $L$3, $L$5, $L$6)), "n/a", _xll.ciqfunctions.udf.CIQ($A34, "IQ_NET_WORKING_CAP", IQ_LTM-8, $L$2, $L$4, $L$3, $L$5, $L$6))</f>
        <v>n/a</v>
      </c>
      <c r="AK34" s="105" t="str">
        <f ca="1">IF(ISERROR(_xll.ciqfunctions.udf.CIQ($A34, "IQ_NET_WORKING_CAP", IQ_LTM-4, $L$2, $L$4, $L$3, $L$5, $L$6)), "n/a", _xll.ciqfunctions.udf.CIQ($A34, "IQ_NET_WORKING_CAP", IQ_LTM-4, $L$2, $L$4, $L$3, $L$5, $L$6))</f>
        <v>n/a</v>
      </c>
      <c r="AL34" s="105" t="str">
        <f ca="1">IF(ISERROR(_xll.ciqfunctions.udf.CIQ($A34, "IQ_NET_WORKING_CAP", IQ_LTM, $L$2,$L$4, $L$3, $L$5, $L$6)), "n/a", _xll.ciqfunctions.udf.CIQ($A34, "IQ_NET_WORKING_CAP", IQ_LTM, $L$2, $L$4, $L$3, $L$5, $L$6))</f>
        <v>n/a</v>
      </c>
      <c r="AM34" s="105" t="str">
        <f ca="1">IF(ISERROR(_xll.ciqfunctions.udf.CIQ($A34, "IQ_Capex", IQ_LTM-8, $L$2,$L$4, $L$3, $L$5, $L$6)), "n/a", _xll.ciqfunctions.udf.CIQ($A34, "IQ_Capex", IQ_LTM-8, $L$2, $L$4, $L$3, $L$5, $L$6))</f>
        <v>n/a</v>
      </c>
      <c r="AN34" s="105" t="str">
        <f ca="1">IF(ISERROR(_xll.ciqfunctions.udf.CIQ($A34, "IQ_Capex", IQ_LTM-4, $L$2,$L$4, $L$3, $L$5, $L$6)), "n/a", _xll.ciqfunctions.udf.CIQ($A34, "IQ_Capex", IQ_LTM-4, $L$2,$L$4, $L$3, $L$5, $L$6))</f>
        <v>n/a</v>
      </c>
      <c r="AO34" s="105" t="str">
        <f ca="1">IF(ISERROR(_xll.ciqfunctions.udf.CIQ($A34, "IQ_Capex", IQ_LTM, $L$2, $L$4, $L$3, $L$5, $L$6)), "n/a", _xll.ciqfunctions.udf.CIQ($A34, "IQ_Capex", IQ_LTM, $L$2, $L$4, $L$3, $L$5, $L$6))</f>
        <v>n/a</v>
      </c>
      <c r="AP34" s="107" t="e">
        <f ca="1">_xll.ciqfunctions.udf.CIQ(A34, "IQ_BUSINESS_DESCRIPTION")</f>
        <v>#NAME?</v>
      </c>
      <c r="AQ34" s="108" t="e">
        <f ca="1">_xll.ciqfunctions.udf.CIQ($A34, "IQ_BETA_1YR", $B$1)</f>
        <v>#NAME?</v>
      </c>
      <c r="AR34" s="108" t="e">
        <f ca="1">_xll.ciqfunctions.udf.CIQ($A34, "IQ_BETA_2YR", $B$1)</f>
        <v>#NAME?</v>
      </c>
      <c r="AS34" s="108" t="e">
        <f ca="1">_xll.ciqfunctions.udf.CIQ($A34, "IQ_BETA_5YR", $B$1)</f>
        <v>#NAME?</v>
      </c>
      <c r="AT34" s="106" t="e">
        <f ca="1">_xll.ciqfunctions.udf.CIQ($A34, "IQ_DIVIDEND_YIELD", $B$1)/100</f>
        <v>#NAME?</v>
      </c>
      <c r="AU34" s="105" t="e">
        <f ca="1">_xll.ciqfunctions.udf.CIQ($A34, "IQ_EARNING_CO", IQ_LTM-8, $L$2, $L$4, $L$3, $L$5, $L$6)</f>
        <v>#NAME?</v>
      </c>
      <c r="AV34" s="105" t="e">
        <f ca="1">_xll.ciqfunctions.udf.CIQ($A34, "IQ_EARNING_CO", IQ_LTM-4, $L$2, $L$4, $L$3, $L$5, $L$6)</f>
        <v>#NAME?</v>
      </c>
      <c r="AW34" s="105" t="e">
        <f ca="1">_xll.ciqfunctions.udf.CIQ($A34, "IQ_EARNING_CO", IQ_LTM, $L$2, $L$4, $L$3, $L$5, $L$6)</f>
        <v>#NAME?</v>
      </c>
      <c r="AX34" s="105" t="e">
        <f ca="1">_xll.ciqfunctions.udf.CIQ($A34, "IQ_EARNING_CO", $B$2, $L$2, $L$4, $L$3, $L$5, $L$6)</f>
        <v>#NAME?</v>
      </c>
      <c r="AY34" s="105" t="e">
        <f ca="1">IF(_xll.ciqfunctions.udf.CIQ($A34, "IQ_EARNING_CO", $B$3, $L$2,$L$4, $L$3, $L$5, $L$6)=0,AW34,_xll.ciqfunctions.udf.CIQ($A34, "IQ_EARNING_CO", $B$3, $L$2,$L$4, $L$3, $L$5, $L$6))</f>
        <v>#NAME?</v>
      </c>
      <c r="AZ34" s="105" t="e">
        <f ca="1">_xll.ciqfunctions.udf.CIQ($A34, "IQ_TOTAL_EQUITY", IQ_LTM-8, $L$2, $L$4, $L$3, $L$5, $L$6)</f>
        <v>#NAME?</v>
      </c>
      <c r="BA34" s="105" t="e">
        <f ca="1">_xll.ciqfunctions.udf.CIQ($A34, "IQ_TOTAL_EQUITY", IQ_LTM-4, $L$2, $L$4, $L$3, $L$5, $L$6)</f>
        <v>#NAME?</v>
      </c>
      <c r="BB34" s="105" t="e">
        <f ca="1">_xll.ciqfunctions.udf.CIQ($A34, "IQ_TOTAL_EQUITY", IQ_LTM, $L$2, $L$4, $L$3, $L$5, $L$6)</f>
        <v>#NAME?</v>
      </c>
      <c r="BC34" s="105" t="e">
        <f ca="1">_xll.ciqfunctions.udf.CIQ($A34, "IQ_TOTAL_EQUITY", $B$2, $L$2, $L$4, $L$3, $L$5, $L$6)</f>
        <v>#NAME?</v>
      </c>
      <c r="BD34" s="105" t="e">
        <f ca="1">IF(_xll.ciqfunctions.udf.CIQ($A34, "IQ_TOTAL_EQUITY", $B$3, $L$2,$L$4, $L$3, $L$5, $L$6)=0,BB34,_xll.ciqfunctions.udf.CIQ($A34, "IQ_TOTAL_EQUITY", $B$3, $L$2,$L$4, $L$3, $L$5, $L$6))</f>
        <v>#NAME?</v>
      </c>
      <c r="BE34" s="105" t="e">
        <f ca="1">_xll.ciqfunctions.udf.CIQ(A34, "IQ_LASTSALEPRICE", $B$8)</f>
        <v>#NAME?</v>
      </c>
      <c r="BF34" s="105" t="e">
        <f ca="1">_xll.ciqfunctions.udf.CIQ($A34, "IQ_MARKETCAP", $B$8, $L$5, $L$6)</f>
        <v>#NAME?</v>
      </c>
      <c r="BG34" s="105" t="e">
        <f ca="1">_xll.ciqfunctions.udf.CIQ($A34, "IQ_TOTAL_DEBT", IQ_LTM, $B$8,$L$4, $L$3, $L$5, $L$6)</f>
        <v>#NAME?</v>
      </c>
      <c r="BH34" s="74" t="e">
        <f ca="1">_xll.ciqfunctions.udf.CIQ($A34,"IQ_PREF_EQUITY",IQ_LTM,$B$8,$L$4,$L$3,$L$5,$L$6)</f>
        <v>#NAME?</v>
      </c>
      <c r="BI34" s="74" t="e">
        <f ca="1">_xll.ciqfunctions.udf.CIQ($A34, "IQ_MINORITY_INTEREST_TOTAL", IQ_LTM,$B$8,$L$4,$L$3,$L$5,$L$6)</f>
        <v>#NAME?</v>
      </c>
      <c r="BJ34" s="105" t="e">
        <f ca="1">_xll.ciqfunctions.udf.CIQ($A34, "IQ_CASH_ST_INVEST", IQ_LTM, $B$8, $L$4, $L$3, $L$5, $L$6)</f>
        <v>#NAME?</v>
      </c>
      <c r="BK34" s="74" t="e">
        <f ca="1">_xll.ciqfunctions.udf.CIQ($A34, "IQ_EFFECT_TAX_RATE")</f>
        <v>#NAME?</v>
      </c>
      <c r="BL34" s="74" t="e">
        <f ca="1">IF(_xll.ciqfunctions.udf.CIQ($A34, "IQ_TOTAL_REV_2YR_ANN_CAGR", IQ_LTM, $B$1,$L$4, $L$3, $L$5, $L$6)="NM","n/a",(_xll.ciqfunctions.udf.CIQ($A34, "IQ_TOTAL_REV_2YR_ANN_CAGR", IQ_LTM, $B$1,$L$4, $L$3, $L$5, $L$6)/100))</f>
        <v>#NAME?</v>
      </c>
      <c r="BM34" s="74" t="e">
        <f ca="1">IF(_xll.ciqfunctions.udf.CIQ($A34, "IQ_TOTAL_REV_3YR_ANN_CAGR", IQ_LTM, $B$1,$L$4, $L$3, $L$5, $L$6)="NM","n/a",(_xll.ciqfunctions.udf.CIQ($A34, "IQ_TOTAL_REV_3YR_ANN_CAGR", IQ_LTM, $B$1,$L$4, $L$3, $L$5, $L$6)/100))</f>
        <v>#NAME?</v>
      </c>
      <c r="BN34" s="74" t="e">
        <f ca="1">IF(_xll.ciqfunctions.udf.CIQ($A34, "IQ_TOTAL_REV_5YR_ANN_CAGR", IQ_LTM, $B$1,$L$4, $L$3, $L$5, $L$6)="NM","n/a",(_xll.ciqfunctions.udf.CIQ($A34, "IQ_TOTAL_REV_5YR_ANN_CAGR", IQ_LTM, $B$1,$L$4, $L$3, $L$5, $L$6)/100))</f>
        <v>#NAME?</v>
      </c>
      <c r="BO34" s="74" t="e">
        <f ca="1">IF(_xll.ciqfunctions.udf.CIQ($A34,"IQ_EBITDA_2YR_ANN_CAGR", IQ_LTM,$B$1,$L$4, $L$3, $L$5, $L$6)="NM","n/a",(_xll.ciqfunctions.udf.CIQ($A34,"IQ_EBITDA_2YR_ANN_CAGR", IQ_LTM,$B$1,$L$4, $L$3, $L$5, $L$6)/100))</f>
        <v>#NAME?</v>
      </c>
      <c r="BP34" s="74" t="e">
        <f ca="1">IF(_xll.ciqfunctions.udf.CIQ($A34,"IQ_EBITDA_3YR_ANN_CAGR", IQ_LTM,$B$1,$L$4, $L$3, $L$5, $L$6)="NM","n/a",(_xll.ciqfunctions.udf.CIQ($A34,"IQ_EBITDA_3YR_ANN_CAGR", IQ_LTM,$B$1,$L$4, $L$3, $L$5, $L$6)/100))</f>
        <v>#NAME?</v>
      </c>
      <c r="BQ34" s="74" t="e">
        <f ca="1">IF(_xll.ciqfunctions.udf.CIQ($A34,"IQ_EBITDA_5YR_ANN_CAGR", IQ_LTM,$B$1,$L$4, $L$3, $L$5, $L$6)="NM","n/a",(_xll.ciqfunctions.udf.CIQ($A34,"IQ_EBITDA_5YR_ANN_CAGR", IQ_LTM,$B$1,$L$4, $L$3, $L$5, $L$6)/100))</f>
        <v>#NAME?</v>
      </c>
      <c r="BR34" s="78" t="str">
        <f ca="1">IFERROR((_xll.ciqfunctions.udf.CIQ($A34, "IQ_DA_CF", IQ_LTM, $B$1, $L$4, $L$3, $L$5, $L$6)/Q34),"NM")</f>
        <v>NM</v>
      </c>
      <c r="BS34" s="109">
        <f>'Capital IQ Sheet-GPC'!BS34</f>
        <v>0.73661696293375278</v>
      </c>
      <c r="BT34" s="109">
        <f>'Capital IQ Sheet-GPC'!BT34</f>
        <v>0.72102275983348885</v>
      </c>
      <c r="BU34" s="109">
        <f>'Capital IQ Sheet-GPC'!BU34</f>
        <v>0.83310850932360714</v>
      </c>
      <c r="BV34" s="109">
        <f>'Capital IQ Sheet-GPC'!BV34</f>
        <v>0.79059769874606856</v>
      </c>
      <c r="BW34" s="109">
        <f>'Capital IQ Sheet-GPC'!BW34</f>
        <v>0.74884430504061683</v>
      </c>
      <c r="BX34" s="109">
        <f>'Capital IQ Sheet-GPC'!BX34</f>
        <v>0.75486080704272351</v>
      </c>
      <c r="BY34" s="109">
        <f>'Capital IQ Sheet-GPC'!BY34</f>
        <v>0.79750215502601585</v>
      </c>
      <c r="BZ34" s="109">
        <f>'Capital IQ Sheet-GPC'!BZ34</f>
        <v>0.85359327331403279</v>
      </c>
      <c r="CB34" s="74">
        <v>2</v>
      </c>
      <c r="CC34" s="149" t="s">
        <v>315</v>
      </c>
      <c r="CD34" s="149" t="s">
        <v>314</v>
      </c>
      <c r="CE34" s="76">
        <f t="shared" si="1"/>
        <v>42005</v>
      </c>
    </row>
    <row r="35" spans="1:83" s="74" customFormat="1" ht="12.75">
      <c r="A35" s="75" t="e">
        <f ca="1">_xll.ciqfunctions.udf.CIQ($B35,"IQ_COMPANY_TICKER")</f>
        <v>#NAME?</v>
      </c>
      <c r="B35" s="104" t="str">
        <f>'Capital IQ Sheet-GPC'!B35</f>
        <v>IQ36742485</v>
      </c>
      <c r="C35" s="75" t="e">
        <f ca="1">_xll.ciqfunctions.udf.CIQ($A35,"IQ_COMPANY_NAME")</f>
        <v>#NAME?</v>
      </c>
      <c r="D35" s="75" t="e">
        <f ca="1">_xll.ciqfunctions.udf.CIQ($A35, "IQ_EXCHANGE")</f>
        <v>#NAME?</v>
      </c>
      <c r="E35" s="103" t="e">
        <f ca="1">_xll.ciqfunctions.udf.CIQ($A35, "IQ_PERIODDATE_IS", IQ_FY)</f>
        <v>#NAME?</v>
      </c>
      <c r="F35" s="103" t="e">
        <f ca="1">_xll.ciqfunctions.udf.CIQ(A35, "IQ_PERIODDATE_IS", IQ_LTM, $B$1,$L$4,$L$3)</f>
        <v>#NAME?</v>
      </c>
      <c r="G35" s="103" t="e">
        <f ca="1">_xll.ciqfunctions.udf.CIQ($A35, "IQ_FIRSTPRICINGDATE")</f>
        <v>#NAME?</v>
      </c>
      <c r="H35" s="105" t="e">
        <f ca="1">_xll.ciqfunctions.udf.CIQ($A35, "IQ_TEV", $L$2, $L$5, $L$6)</f>
        <v>#NAME?</v>
      </c>
      <c r="I35" s="105" t="e">
        <f ca="1">_xll.ciqfunctions.udf.CIQ(A35, "IQ_LASTSALEPRICE", $B$1,$L$5)</f>
        <v>#NAME?</v>
      </c>
      <c r="J35" s="105" t="e">
        <f ca="1">_xll.ciqfunctions.udf.CIQ($A35, "IQ_MARKETCAP", $L$2, $L$5, $L$6)</f>
        <v>#NAME?</v>
      </c>
      <c r="K35" s="105" t="e">
        <f ca="1">_xll.ciqfunctions.udf.CIQ($A35, "IQ_TOTAL_DEBT", IQ_LTM, $L$2,$L$4, $L$3, $L$5, $L$6)</f>
        <v>#NAME?</v>
      </c>
      <c r="L35" s="105" t="e">
        <f ca="1">_xll.ciqfunctions.udf.CIQ($A35, "IQ_PREF_EQUITY", IQ_LTM, $L$2, $L$4, $L$3, $L$5, $L$6)</f>
        <v>#NAME?</v>
      </c>
      <c r="M35" s="105" t="e">
        <f ca="1">_xll.ciqfunctions.udf.CIQ($A35, "IQ_MINORITY_INTEREST_TOTAL", IQ_LTM, $L$2, $L$4, $L$3, $L$5, $L$6)</f>
        <v>#NAME?</v>
      </c>
      <c r="N35" s="105" t="e">
        <f ca="1">_xll.ciqfunctions.udf.CIQ($A35, "IQ_CASH_ST_INVEST", IQ_LTM, $L$2, $L$4, $L$3, $L$5, $L$6)</f>
        <v>#NAME?</v>
      </c>
      <c r="O35" s="105" t="e">
        <f ca="1">_xll.ciqfunctions.udf.CIQ($A35, "IQ_TOTAL_REV", IQ_LTM-8, $L$2, $L$4, $L$3, $L$5, $L$6)</f>
        <v>#NAME?</v>
      </c>
      <c r="P35" s="105" t="e">
        <f ca="1">_xll.ciqfunctions.udf.CIQ($A35, "IQ_TOTAL_REV", IQ_LTM - 4, $L$2, $L$4, $L$3, $L$5,$L$6)</f>
        <v>#NAME?</v>
      </c>
      <c r="Q35" s="105" t="e">
        <f ca="1">_xll.ciqfunctions.udf.CIQ($A35, "IQ_TOTAL_REV", IQ_LTM, $L$2, $L$4, $L$3, $L$5, $L$6)</f>
        <v>#NAME?</v>
      </c>
      <c r="R35" s="105" t="e">
        <f ca="1">_xll.ciqfunctions.udf.CIQ($A35, "IQ_TOTAL_REV", $B$2, $L$2, $L$4, $L$3, $L$5, $L$6)</f>
        <v>#NAME?</v>
      </c>
      <c r="S35" s="105" t="e">
        <f ca="1">IF(_xll.ciqfunctions.udf.CIQ($A35, "IQ_TOTAL_REV", $B$3, $L$2,$L$4, $L$3, $L$5, $L$6)=0,Q35,_xll.ciqfunctions.udf.CIQ($A35, "IQ_TOTAL_REV", $B$3, $L$2,$L$4, $L$3, $L$5, $L$6))</f>
        <v>#NAME?</v>
      </c>
      <c r="T35" s="105" t="e">
        <f ca="1">IF(_xll.ciqfunctions.udf.CIQ($A35, "IQ_REVENUE_EST",$B$4, $L$2, "CON", $L$3, $L$5, $L$6)=0,"n/a",_xll.ciqfunctions.udf.CIQ($A35, "IQ_REVENUE_EST",$B$4, $L$2, "CON", $L$3, $L$5, $L$6))</f>
        <v>#NAME?</v>
      </c>
      <c r="U35" s="105" t="e">
        <f ca="1">IF(_xll.ciqfunctions.udf.CIQ($A35, "IQ_REVENUE_EST",$B$5, $L$2, "CON", $L$3, $L$5, $L$6)=0,"n/a",_xll.ciqfunctions.udf.CIQ($A35, "IQ_REVENUE_EST",$B$5, $L$2, "CON", $L$3, $L$5, $L$6))</f>
        <v>#NAME?</v>
      </c>
      <c r="V35" s="105" t="e">
        <f ca="1">IF(_xll.ciqfunctions.udf.CIQ($A35, "IQ_REVENUE_EST",$B$6, $L$2, "CON", $L$3, $L$5, $L$6)=0,"n/a",_xll.ciqfunctions.udf.CIQ($A35, "IQ_REVENUE_EST",$B$6, $L$2, "CON", $L$3, $L$5, $L$6))</f>
        <v>#NAME?</v>
      </c>
      <c r="W35" s="105" t="e">
        <f ca="1">IF(_xll.ciqfunctions.udf.CIQ($A35, "IQ_REVENUE_EST", $B$7, $L$2, "CON", $L$3, $L$5, $L$6)=0,"n/a",_xll.ciqfunctions.udf.CIQ($A35, "IQ_REVENUE_EST",$B$7, $L$2, "CON", $L$3, $L$5, $L$6))</f>
        <v>#NAME?</v>
      </c>
      <c r="X35" s="105" t="e">
        <f ca="1">_xll.ciqfunctions.udf.CIQ($A35, "IQ_EBITDA", IQ_LTM-8, $L$2, $L$4, $L$3, $L$5, $L$6)</f>
        <v>#NAME?</v>
      </c>
      <c r="Y35" s="105" t="e">
        <f ca="1">_xll.ciqfunctions.udf.CIQ($A35, "IQ_EBITDA", IQ_LTM-4, $L$2,$L$4, $L$3, $L$5, $L$6)</f>
        <v>#NAME?</v>
      </c>
      <c r="Z35" s="105" t="e">
        <f ca="1">_xll.ciqfunctions.udf.CIQ($A35, "IQ_EBITDA", IQ_LTM, $L$2, $L$4, $L$3, $L$5, $L$6)</f>
        <v>#NAME?</v>
      </c>
      <c r="AA35" s="105" t="e">
        <f ca="1">_xll.ciqfunctions.udf.CIQ($A35, "IQ_EBITDA", $B$2, $L$2, $L$4, $L$3, $L$5, $L$6)</f>
        <v>#NAME?</v>
      </c>
      <c r="AB35" s="105" t="e">
        <f ca="1">IF(_xll.ciqfunctions.udf.CIQ($A35, "IQ_EBITDA", $B$3, $L$2,$L$4, $L$3, $L$5, $L$6)=0,Z35,_xll.ciqfunctions.udf.CIQ($A35, "IQ_EBITDA", $B$3, $L$2,$L$4, $L$3, $L$5, $L$6))</f>
        <v>#NAME?</v>
      </c>
      <c r="AC35" s="105" t="e">
        <f ca="1">IF(_xll.ciqfunctions.udf.CIQ($A35, "IQ_EBITDA_EST",$B$4, $L$2, "CON", $L$3, $L$5, $L$6)=0,"n/a",_xll.ciqfunctions.udf.CIQ($A35, "IQ_EBITDA_EST",$B$4, $L$2, "CON", $L$3, $L$5, $L$6))</f>
        <v>#NAME?</v>
      </c>
      <c r="AD35" s="105" t="e">
        <f ca="1">IF(_xll.ciqfunctions.udf.CIQ($A35, "IQ_EBITDA_EST",$B$5, $L$2, "CON", $L$3, $L$5, $L$6)=0,"n/a",_xll.ciqfunctions.udf.CIQ($A35, "IQ_EBITDA_EST",$B$5, $L$2, "CON", $L$3, $L$5, $L$6))</f>
        <v>#NAME?</v>
      </c>
      <c r="AE35" s="105" t="e">
        <f ca="1">IF(_xll.ciqfunctions.udf.CIQ($A35, "IQ_EBITDA_EST",$B$6, $L$2, "CON", $L$3, $L$5, $L$6)=0,"n/a",_xll.ciqfunctions.udf.CIQ($A35, "IQ_EBITDA_EST",$B$6, $L$2, "CON", $L$3, $L$5, $L$6))</f>
        <v>#NAME?</v>
      </c>
      <c r="AF35" s="106" t="str">
        <f ca="1">IF(ISERROR(_xll.ciqfunctions.udf.CIQ($A35, "IQ_GROSS_MARGIN", IQ_LTM, $L$2,$L$4, $L$3, $L$5, $L$6)/100), "n/a", _xll.ciqfunctions.udf.CIQ($A35,  "IQ_GROSS_MARGIN", IQ_LTM, $L$2, $L$4, $L$3, $L$5, $L$6)/100)</f>
        <v>n/a</v>
      </c>
      <c r="AG35" s="106" t="str">
        <f ca="1">IF(ISERROR(_xll.ciqfunctions.udf.CIQ($A35,"IQ_EBITDA_MARGIN", IQ_LTM, $L$2, $L$4, $L$3, $L$5, $L$6)/100), "n/a", _xll.ciqfunctions.udf.CIQ($A35, "IQ_EBITDA_MARGIN", IQ_LTM, $L$2, $L$4, $L$3, $L$5, $L$6)/100)</f>
        <v>n/a</v>
      </c>
      <c r="AH35" s="106" t="str">
        <f ca="1">IF(ISERROR(_xll.ciqfunctions.udf.CIQ($A35,"IQ_EBIT_MARGIN", IQ_LTM, $L$2, $L$4, $L$3, $L$5, $L$6)/100), "n/a", _xll.ciqfunctions.udf.CIQ($A35, "IQ_EBIT_MARGIN", IQ_LTM, $L$2, $L$4, $L$3, $L$5, $L$6)/100)</f>
        <v>n/a</v>
      </c>
      <c r="AI35" s="106" t="str">
        <f ca="1">IF(ISERROR(_xll.ciqfunctions.udf.CIQ($A35,"IQ_NI_MARGIN", IQ_LTM, $L$2, $L$4, $L$3, $L$5, $L$6)/100), "n/a", _xll.ciqfunctions.udf.CIQ($A35, "IQ_NI_MARGIN", IQ_LTM, $L$2, $L$4, $L$3, $L$5, $L$6)/100)</f>
        <v>n/a</v>
      </c>
      <c r="AJ35" s="105" t="str">
        <f ca="1">IF(ISERROR(_xll.ciqfunctions.udf.CIQ($A35, "IQ_NET_WORKING_CAP", IQ_LTM-8, $L$2, $L$4, $L$3, $L$5, $L$6)), "n/a", _xll.ciqfunctions.udf.CIQ($A35, "IQ_NET_WORKING_CAP", IQ_LTM-8, $L$2, $L$4, $L$3, $L$5, $L$6))</f>
        <v>n/a</v>
      </c>
      <c r="AK35" s="105" t="str">
        <f ca="1">IF(ISERROR(_xll.ciqfunctions.udf.CIQ($A35, "IQ_NET_WORKING_CAP", IQ_LTM-4, $L$2, $L$4, $L$3, $L$5, $L$6)), "n/a", _xll.ciqfunctions.udf.CIQ($A35, "IQ_NET_WORKING_CAP", IQ_LTM-4, $L$2, $L$4, $L$3, $L$5, $L$6))</f>
        <v>n/a</v>
      </c>
      <c r="AL35" s="105" t="str">
        <f ca="1">IF(ISERROR(_xll.ciqfunctions.udf.CIQ($A35, "IQ_NET_WORKING_CAP", IQ_LTM, $L$2,$L$4, $L$3, $L$5, $L$6)), "n/a", _xll.ciqfunctions.udf.CIQ($A35, "IQ_NET_WORKING_CAP", IQ_LTM, $L$2, $L$4, $L$3, $L$5, $L$6))</f>
        <v>n/a</v>
      </c>
      <c r="AM35" s="105" t="str">
        <f ca="1">IF(ISERROR(_xll.ciqfunctions.udf.CIQ($A35, "IQ_Capex", IQ_LTM-8, $L$2,$L$4, $L$3, $L$5, $L$6)), "n/a", _xll.ciqfunctions.udf.CIQ($A35, "IQ_Capex", IQ_LTM-8, $L$2, $L$4, $L$3, $L$5, $L$6))</f>
        <v>n/a</v>
      </c>
      <c r="AN35" s="105" t="str">
        <f ca="1">IF(ISERROR(_xll.ciqfunctions.udf.CIQ($A35, "IQ_Capex", IQ_LTM-4, $L$2,$L$4, $L$3, $L$5, $L$6)), "n/a", _xll.ciqfunctions.udf.CIQ($A35, "IQ_Capex", IQ_LTM-4, $L$2,$L$4, $L$3, $L$5, $L$6))</f>
        <v>n/a</v>
      </c>
      <c r="AO35" s="105" t="str">
        <f ca="1">IF(ISERROR(_xll.ciqfunctions.udf.CIQ($A35, "IQ_Capex", IQ_LTM, $L$2, $L$4, $L$3, $L$5, $L$6)), "n/a", _xll.ciqfunctions.udf.CIQ($A35, "IQ_Capex", IQ_LTM, $L$2, $L$4, $L$3, $L$5, $L$6))</f>
        <v>n/a</v>
      </c>
      <c r="AP35" s="107" t="e">
        <f ca="1">_xll.ciqfunctions.udf.CIQ(A35, "IQ_BUSINESS_DESCRIPTION")</f>
        <v>#NAME?</v>
      </c>
      <c r="AQ35" s="108" t="e">
        <f ca="1">_xll.ciqfunctions.udf.CIQ($A35, "IQ_BETA_1YR", $B$1)</f>
        <v>#NAME?</v>
      </c>
      <c r="AR35" s="108" t="e">
        <f ca="1">_xll.ciqfunctions.udf.CIQ($A35, "IQ_BETA_2YR", $B$1)</f>
        <v>#NAME?</v>
      </c>
      <c r="AS35" s="108" t="e">
        <f ca="1">_xll.ciqfunctions.udf.CIQ($A35, "IQ_BETA_5YR", $B$1)</f>
        <v>#NAME?</v>
      </c>
      <c r="AT35" s="106" t="e">
        <f ca="1">_xll.ciqfunctions.udf.CIQ($A35, "IQ_DIVIDEND_YIELD", $B$1)/100</f>
        <v>#NAME?</v>
      </c>
      <c r="AU35" s="105" t="e">
        <f ca="1">_xll.ciqfunctions.udf.CIQ($A35, "IQ_EARNING_CO", IQ_LTM-8, $L$2, $L$4, $L$3, $L$5, $L$6)</f>
        <v>#NAME?</v>
      </c>
      <c r="AV35" s="105" t="e">
        <f ca="1">_xll.ciqfunctions.udf.CIQ($A35, "IQ_EARNING_CO", IQ_LTM-4, $L$2, $L$4, $L$3, $L$5, $L$6)</f>
        <v>#NAME?</v>
      </c>
      <c r="AW35" s="105" t="e">
        <f ca="1">_xll.ciqfunctions.udf.CIQ($A35, "IQ_EARNING_CO", IQ_LTM, $L$2, $L$4, $L$3, $L$5, $L$6)</f>
        <v>#NAME?</v>
      </c>
      <c r="AX35" s="105" t="e">
        <f ca="1">_xll.ciqfunctions.udf.CIQ($A35, "IQ_EARNING_CO", $B$2, $L$2, $L$4, $L$3, $L$5, $L$6)</f>
        <v>#NAME?</v>
      </c>
      <c r="AY35" s="105" t="e">
        <f ca="1">IF(_xll.ciqfunctions.udf.CIQ($A35, "IQ_EARNING_CO", $B$3, $L$2,$L$4, $L$3, $L$5, $L$6)=0,AW35,_xll.ciqfunctions.udf.CIQ($A35, "IQ_EARNING_CO", $B$3, $L$2,$L$4, $L$3, $L$5, $L$6))</f>
        <v>#NAME?</v>
      </c>
      <c r="AZ35" s="105" t="e">
        <f ca="1">_xll.ciqfunctions.udf.CIQ($A35, "IQ_TOTAL_EQUITY", IQ_LTM-8, $L$2, $L$4, $L$3, $L$5, $L$6)</f>
        <v>#NAME?</v>
      </c>
      <c r="BA35" s="105" t="e">
        <f ca="1">_xll.ciqfunctions.udf.CIQ($A35, "IQ_TOTAL_EQUITY", IQ_LTM-4, $L$2, $L$4, $L$3, $L$5, $L$6)</f>
        <v>#NAME?</v>
      </c>
      <c r="BB35" s="105" t="e">
        <f ca="1">_xll.ciqfunctions.udf.CIQ($A35, "IQ_TOTAL_EQUITY", IQ_LTM, $L$2, $L$4, $L$3, $L$5, $L$6)</f>
        <v>#NAME?</v>
      </c>
      <c r="BC35" s="105" t="e">
        <f ca="1">_xll.ciqfunctions.udf.CIQ($A35, "IQ_TOTAL_EQUITY", $B$2, $L$2, $L$4, $L$3, $L$5, $L$6)</f>
        <v>#NAME?</v>
      </c>
      <c r="BD35" s="105" t="e">
        <f ca="1">IF(_xll.ciqfunctions.udf.CIQ($A35, "IQ_TOTAL_EQUITY", $B$3, $L$2,$L$4, $L$3, $L$5, $L$6)=0,BB35,_xll.ciqfunctions.udf.CIQ($A35, "IQ_TOTAL_EQUITY", $B$3, $L$2,$L$4, $L$3, $L$5, $L$6))</f>
        <v>#NAME?</v>
      </c>
      <c r="BE35" s="105" t="e">
        <f ca="1">_xll.ciqfunctions.udf.CIQ(A35, "IQ_LASTSALEPRICE", $B$8)</f>
        <v>#NAME?</v>
      </c>
      <c r="BF35" s="105" t="e">
        <f ca="1">_xll.ciqfunctions.udf.CIQ($A35, "IQ_MARKETCAP", $B$8, $L$5, $L$6)</f>
        <v>#NAME?</v>
      </c>
      <c r="BG35" s="105" t="e">
        <f ca="1">_xll.ciqfunctions.udf.CIQ($A35, "IQ_TOTAL_DEBT", IQ_LTM, $B$8,$L$4, $L$3, $L$5, $L$6)</f>
        <v>#NAME?</v>
      </c>
      <c r="BH35" s="74" t="e">
        <f ca="1">_xll.ciqfunctions.udf.CIQ($A35,"IQ_PREF_EQUITY",IQ_LTM,$B$8,$L$4,$L$3,$L$5,$L$6)</f>
        <v>#NAME?</v>
      </c>
      <c r="BI35" s="74" t="e">
        <f ca="1">_xll.ciqfunctions.udf.CIQ($A35, "IQ_MINORITY_INTEREST_TOTAL", IQ_LTM,$B$8,$L$4,$L$3,$L$5,$L$6)</f>
        <v>#NAME?</v>
      </c>
      <c r="BJ35" s="105" t="e">
        <f ca="1">_xll.ciqfunctions.udf.CIQ($A35, "IQ_CASH_ST_INVEST", IQ_LTM, $B$8, $L$4, $L$3, $L$5, $L$6)</f>
        <v>#NAME?</v>
      </c>
      <c r="BK35" s="74" t="e">
        <f ca="1">_xll.ciqfunctions.udf.CIQ($A35, "IQ_EFFECT_TAX_RATE")</f>
        <v>#NAME?</v>
      </c>
      <c r="BL35" s="74" t="e">
        <f ca="1">IF(_xll.ciqfunctions.udf.CIQ($A35, "IQ_TOTAL_REV_2YR_ANN_CAGR", IQ_LTM, $B$1,$L$4, $L$3, $L$5, $L$6)="NM","n/a",(_xll.ciqfunctions.udf.CIQ($A35, "IQ_TOTAL_REV_2YR_ANN_CAGR", IQ_LTM, $B$1,$L$4, $L$3, $L$5, $L$6)/100))</f>
        <v>#NAME?</v>
      </c>
      <c r="BM35" s="74" t="e">
        <f ca="1">IF(_xll.ciqfunctions.udf.CIQ($A35, "IQ_TOTAL_REV_3YR_ANN_CAGR", IQ_LTM, $B$1,$L$4, $L$3, $L$5, $L$6)="NM","n/a",(_xll.ciqfunctions.udf.CIQ($A35, "IQ_TOTAL_REV_3YR_ANN_CAGR", IQ_LTM, $B$1,$L$4, $L$3, $L$5, $L$6)/100))</f>
        <v>#NAME?</v>
      </c>
      <c r="BN35" s="74" t="e">
        <f ca="1">IF(_xll.ciqfunctions.udf.CIQ($A35, "IQ_TOTAL_REV_5YR_ANN_CAGR", IQ_LTM, $B$1,$L$4, $L$3, $L$5, $L$6)="NM","n/a",(_xll.ciqfunctions.udf.CIQ($A35, "IQ_TOTAL_REV_5YR_ANN_CAGR", IQ_LTM, $B$1,$L$4, $L$3, $L$5, $L$6)/100))</f>
        <v>#NAME?</v>
      </c>
      <c r="BO35" s="74" t="e">
        <f ca="1">IF(_xll.ciqfunctions.udf.CIQ($A35,"IQ_EBITDA_2YR_ANN_CAGR", IQ_LTM,$B$1,$L$4, $L$3, $L$5, $L$6)="NM","n/a",(_xll.ciqfunctions.udf.CIQ($A35,"IQ_EBITDA_2YR_ANN_CAGR", IQ_LTM,$B$1,$L$4, $L$3, $L$5, $L$6)/100))</f>
        <v>#NAME?</v>
      </c>
      <c r="BP35" s="74" t="e">
        <f ca="1">IF(_xll.ciqfunctions.udf.CIQ($A35,"IQ_EBITDA_3YR_ANN_CAGR", IQ_LTM,$B$1,$L$4, $L$3, $L$5, $L$6)="NM","n/a",(_xll.ciqfunctions.udf.CIQ($A35,"IQ_EBITDA_3YR_ANN_CAGR", IQ_LTM,$B$1,$L$4, $L$3, $L$5, $L$6)/100))</f>
        <v>#NAME?</v>
      </c>
      <c r="BQ35" s="74" t="e">
        <f ca="1">IF(_xll.ciqfunctions.udf.CIQ($A35,"IQ_EBITDA_5YR_ANN_CAGR", IQ_LTM,$B$1,$L$4, $L$3, $L$5, $L$6)="NM","n/a",(_xll.ciqfunctions.udf.CIQ($A35,"IQ_EBITDA_5YR_ANN_CAGR", IQ_LTM,$B$1,$L$4, $L$3, $L$5, $L$6)/100))</f>
        <v>#NAME?</v>
      </c>
      <c r="BR35" s="78" t="str">
        <f ca="1">IFERROR((_xll.ciqfunctions.udf.CIQ($A35, "IQ_DA_CF", IQ_LTM, $B$1, $L$4, $L$3, $L$5, $L$6)/Q35),"NM")</f>
        <v>NM</v>
      </c>
      <c r="BS35" s="109">
        <f>'Capital IQ Sheet-GPC'!BS35</f>
        <v>1.0446789664928366</v>
      </c>
      <c r="BT35" s="109">
        <f>'Capital IQ Sheet-GPC'!BT35</f>
        <v>0.91431217256686126</v>
      </c>
      <c r="BU35" s="109">
        <f>'Capital IQ Sheet-GPC'!BU35</f>
        <v>0.94732611198066297</v>
      </c>
      <c r="BV35" s="109">
        <f>'Capital IQ Sheet-GPC'!BV35</f>
        <v>0.86622688036044537</v>
      </c>
      <c r="BW35" s="109">
        <f>'Capital IQ Sheet-GPC'!BW35</f>
        <v>0.85920187744439425</v>
      </c>
      <c r="BX35" s="109" t="str">
        <f>'Capital IQ Sheet-GPC'!BX35</f>
        <v>n/a</v>
      </c>
      <c r="BY35" s="109" t="str">
        <f>'Capital IQ Sheet-GPC'!BY35</f>
        <v>n/a</v>
      </c>
      <c r="BZ35" s="109" t="str">
        <f>'Capital IQ Sheet-GPC'!BZ35</f>
        <v>n/a</v>
      </c>
      <c r="CB35" s="74">
        <v>2</v>
      </c>
      <c r="CC35" s="149" t="s">
        <v>315</v>
      </c>
      <c r="CD35" s="149" t="s">
        <v>314</v>
      </c>
      <c r="CE35" s="76">
        <f t="shared" si="0"/>
        <v>42005</v>
      </c>
    </row>
    <row r="36" spans="1:83" s="74" customFormat="1" ht="12.75">
      <c r="A36" s="75" t="e">
        <f ca="1">_xll.ciqfunctions.udf.CIQ($B36,"IQ_COMPANY_TICKER")</f>
        <v>#NAME?</v>
      </c>
      <c r="B36" s="104" t="str">
        <f>'Capital IQ Sheet-GPC'!B36</f>
        <v>IQ258746</v>
      </c>
      <c r="C36" s="75" t="e">
        <f ca="1">_xll.ciqfunctions.udf.CIQ($A36,"IQ_COMPANY_NAME")</f>
        <v>#NAME?</v>
      </c>
      <c r="D36" s="75" t="e">
        <f ca="1">_xll.ciqfunctions.udf.CIQ($A36, "IQ_EXCHANGE")</f>
        <v>#NAME?</v>
      </c>
      <c r="E36" s="103" t="e">
        <f ca="1">_xll.ciqfunctions.udf.CIQ($A36, "IQ_PERIODDATE_IS", IQ_FY)</f>
        <v>#NAME?</v>
      </c>
      <c r="F36" s="103" t="e">
        <f ca="1">_xll.ciqfunctions.udf.CIQ(A36, "IQ_PERIODDATE_IS", IQ_LTM, $B$1,$L$4,$L$3)</f>
        <v>#NAME?</v>
      </c>
      <c r="G36" s="103" t="e">
        <f ca="1">_xll.ciqfunctions.udf.CIQ($A36, "IQ_FIRSTPRICINGDATE")</f>
        <v>#NAME?</v>
      </c>
      <c r="H36" s="105" t="e">
        <f ca="1">_xll.ciqfunctions.udf.CIQ($A36, "IQ_TEV", $L$2, $L$5, $L$6)</f>
        <v>#NAME?</v>
      </c>
      <c r="I36" s="105" t="e">
        <f ca="1">_xll.ciqfunctions.udf.CIQ(A36, "IQ_LASTSALEPRICE", $B$1,$L$5)</f>
        <v>#NAME?</v>
      </c>
      <c r="J36" s="105" t="e">
        <f ca="1">_xll.ciqfunctions.udf.CIQ($A36, "IQ_MARKETCAP", $L$2, $L$5, $L$6)</f>
        <v>#NAME?</v>
      </c>
      <c r="K36" s="105" t="e">
        <f ca="1">_xll.ciqfunctions.udf.CIQ($A36, "IQ_TOTAL_DEBT", IQ_LTM, $L$2,$L$4, $L$3, $L$5, $L$6)</f>
        <v>#NAME?</v>
      </c>
      <c r="L36" s="105" t="e">
        <f ca="1">_xll.ciqfunctions.udf.CIQ($A36, "IQ_PREF_EQUITY", IQ_LTM, $L$2, $L$4, $L$3, $L$5, $L$6)</f>
        <v>#NAME?</v>
      </c>
      <c r="M36" s="105" t="e">
        <f ca="1">_xll.ciqfunctions.udf.CIQ($A36, "IQ_MINORITY_INTEREST_TOTAL", IQ_LTM, $L$2, $L$4, $L$3, $L$5, $L$6)</f>
        <v>#NAME?</v>
      </c>
      <c r="N36" s="105" t="e">
        <f ca="1">_xll.ciqfunctions.udf.CIQ($A36, "IQ_CASH_ST_INVEST", IQ_LTM, $L$2, $L$4, $L$3, $L$5, $L$6)</f>
        <v>#NAME?</v>
      </c>
      <c r="O36" s="105" t="e">
        <f ca="1">_xll.ciqfunctions.udf.CIQ($A36, "IQ_TOTAL_REV", IQ_LTM-8, $L$2, $L$4, $L$3, $L$5, $L$6)</f>
        <v>#NAME?</v>
      </c>
      <c r="P36" s="105" t="e">
        <f ca="1">_xll.ciqfunctions.udf.CIQ($A36, "IQ_TOTAL_REV", IQ_LTM - 4, $L$2, $L$4, $L$3, $L$5,$L$6)</f>
        <v>#NAME?</v>
      </c>
      <c r="Q36" s="105" t="e">
        <f ca="1">_xll.ciqfunctions.udf.CIQ($A36, "IQ_TOTAL_REV", IQ_LTM, $L$2, $L$4, $L$3, $L$5, $L$6)</f>
        <v>#NAME?</v>
      </c>
      <c r="R36" s="105" t="e">
        <f ca="1">_xll.ciqfunctions.udf.CIQ($A36, "IQ_TOTAL_REV", $B$2, $L$2, $L$4, $L$3, $L$5, $L$6)</f>
        <v>#NAME?</v>
      </c>
      <c r="S36" s="105" t="e">
        <f ca="1">IF(_xll.ciqfunctions.udf.CIQ($A36, "IQ_TOTAL_REV", $B$3, $L$2,$L$4, $L$3, $L$5, $L$6)=0,Q36,_xll.ciqfunctions.udf.CIQ($A36, "IQ_TOTAL_REV", $B$3, $L$2,$L$4, $L$3, $L$5, $L$6))</f>
        <v>#NAME?</v>
      </c>
      <c r="T36" s="105" t="e">
        <f ca="1">IF(_xll.ciqfunctions.udf.CIQ($A36, "IQ_REVENUE_EST",$B$4, $L$2, "CON", $L$3, $L$5, $L$6)=0,"n/a",_xll.ciqfunctions.udf.CIQ($A36, "IQ_REVENUE_EST",$B$4, $L$2, "CON", $L$3, $L$5, $L$6))</f>
        <v>#NAME?</v>
      </c>
      <c r="U36" s="105" t="e">
        <f ca="1">IF(_xll.ciqfunctions.udf.CIQ($A36, "IQ_REVENUE_EST",$B$5, $L$2, "CON", $L$3, $L$5, $L$6)=0,"n/a",_xll.ciqfunctions.udf.CIQ($A36, "IQ_REVENUE_EST",$B$5, $L$2, "CON", $L$3, $L$5, $L$6))</f>
        <v>#NAME?</v>
      </c>
      <c r="V36" s="105" t="e">
        <f ca="1">IF(_xll.ciqfunctions.udf.CIQ($A36, "IQ_REVENUE_EST",$B$6, $L$2, "CON", $L$3, $L$5, $L$6)=0,"n/a",_xll.ciqfunctions.udf.CIQ($A36, "IQ_REVENUE_EST",$B$6, $L$2, "CON", $L$3, $L$5, $L$6))</f>
        <v>#NAME?</v>
      </c>
      <c r="W36" s="105" t="e">
        <f ca="1">IF(_xll.ciqfunctions.udf.CIQ($A36, "IQ_REVENUE_EST", $B$7, $L$2, "CON", $L$3, $L$5, $L$6)=0,"n/a",_xll.ciqfunctions.udf.CIQ($A36, "IQ_REVENUE_EST",$B$7, $L$2, "CON", $L$3, $L$5, $L$6))</f>
        <v>#NAME?</v>
      </c>
      <c r="X36" s="105" t="e">
        <f ca="1">_xll.ciqfunctions.udf.CIQ($A36, "IQ_EBITDA", IQ_LTM-8, $L$2, $L$4, $L$3, $L$5, $L$6)</f>
        <v>#NAME?</v>
      </c>
      <c r="Y36" s="105" t="e">
        <f ca="1">_xll.ciqfunctions.udf.CIQ($A36, "IQ_EBITDA", IQ_LTM-4, $L$2,$L$4, $L$3, $L$5, $L$6)</f>
        <v>#NAME?</v>
      </c>
      <c r="Z36" s="105" t="e">
        <f ca="1">_xll.ciqfunctions.udf.CIQ($A36, "IQ_EBITDA", IQ_LTM, $L$2, $L$4, $L$3, $L$5, $L$6)</f>
        <v>#NAME?</v>
      </c>
      <c r="AA36" s="105" t="e">
        <f ca="1">_xll.ciqfunctions.udf.CIQ($A36, "IQ_EBITDA", $B$2, $L$2, $L$4, $L$3, $L$5, $L$6)</f>
        <v>#NAME?</v>
      </c>
      <c r="AB36" s="105" t="e">
        <f ca="1">IF(_xll.ciqfunctions.udf.CIQ($A36, "IQ_EBITDA", $B$3, $L$2,$L$4, $L$3, $L$5, $L$6)=0,Z36,_xll.ciqfunctions.udf.CIQ($A36, "IQ_EBITDA", $B$3, $L$2,$L$4, $L$3, $L$5, $L$6))</f>
        <v>#NAME?</v>
      </c>
      <c r="AC36" s="105" t="e">
        <f ca="1">IF(_xll.ciqfunctions.udf.CIQ($A36, "IQ_EBITDA_EST",$B$4, $L$2, "CON", $L$3, $L$5, $L$6)=0,"n/a",_xll.ciqfunctions.udf.CIQ($A36, "IQ_EBITDA_EST",$B$4, $L$2, "CON", $L$3, $L$5, $L$6))</f>
        <v>#NAME?</v>
      </c>
      <c r="AD36" s="105" t="e">
        <f ca="1">IF(_xll.ciqfunctions.udf.CIQ($A36, "IQ_EBITDA_EST",$B$5, $L$2, "CON", $L$3, $L$5, $L$6)=0,"n/a",_xll.ciqfunctions.udf.CIQ($A36, "IQ_EBITDA_EST",$B$5, $L$2, "CON", $L$3, $L$5, $L$6))</f>
        <v>#NAME?</v>
      </c>
      <c r="AE36" s="105" t="e">
        <f ca="1">IF(_xll.ciqfunctions.udf.CIQ($A36, "IQ_EBITDA_EST",$B$6, $L$2, "CON", $L$3, $L$5, $L$6)=0,"n/a",_xll.ciqfunctions.udf.CIQ($A36, "IQ_EBITDA_EST",$B$6, $L$2, "CON", $L$3, $L$5, $L$6))</f>
        <v>#NAME?</v>
      </c>
      <c r="AF36" s="106" t="str">
        <f ca="1">IF(ISERROR(_xll.ciqfunctions.udf.CIQ($A36, "IQ_GROSS_MARGIN", IQ_LTM, $L$2,$L$4, $L$3, $L$5, $L$6)/100), "n/a", _xll.ciqfunctions.udf.CIQ($A36,  "IQ_GROSS_MARGIN", IQ_LTM, $L$2, $L$4, $L$3, $L$5, $L$6)/100)</f>
        <v>n/a</v>
      </c>
      <c r="AG36" s="106" t="str">
        <f ca="1">IF(ISERROR(_xll.ciqfunctions.udf.CIQ($A36,"IQ_EBITDA_MARGIN", IQ_LTM, $L$2, $L$4, $L$3, $L$5, $L$6)/100), "n/a", _xll.ciqfunctions.udf.CIQ($A36, "IQ_EBITDA_MARGIN", IQ_LTM, $L$2, $L$4, $L$3, $L$5, $L$6)/100)</f>
        <v>n/a</v>
      </c>
      <c r="AH36" s="106" t="str">
        <f ca="1">IF(ISERROR(_xll.ciqfunctions.udf.CIQ($A36,"IQ_EBIT_MARGIN", IQ_LTM, $L$2, $L$4, $L$3, $L$5, $L$6)/100), "n/a", _xll.ciqfunctions.udf.CIQ($A36, "IQ_EBIT_MARGIN", IQ_LTM, $L$2, $L$4, $L$3, $L$5, $L$6)/100)</f>
        <v>n/a</v>
      </c>
      <c r="AI36" s="106" t="str">
        <f ca="1">IF(ISERROR(_xll.ciqfunctions.udf.CIQ($A36,"IQ_NI_MARGIN", IQ_LTM, $L$2, $L$4, $L$3, $L$5, $L$6)/100), "n/a", _xll.ciqfunctions.udf.CIQ($A36, "IQ_NI_MARGIN", IQ_LTM, $L$2, $L$4, $L$3, $L$5, $L$6)/100)</f>
        <v>n/a</v>
      </c>
      <c r="AJ36" s="105" t="str">
        <f ca="1">IF(ISERROR(_xll.ciqfunctions.udf.CIQ($A36, "IQ_NET_WORKING_CAP", IQ_LTM-8, $L$2, $L$4, $L$3, $L$5, $L$6)), "n/a", _xll.ciqfunctions.udf.CIQ($A36, "IQ_NET_WORKING_CAP", IQ_LTM-8, $L$2, $L$4, $L$3, $L$5, $L$6))</f>
        <v>n/a</v>
      </c>
      <c r="AK36" s="105" t="str">
        <f ca="1">IF(ISERROR(_xll.ciqfunctions.udf.CIQ($A36, "IQ_NET_WORKING_CAP", IQ_LTM-4, $L$2, $L$4, $L$3, $L$5, $L$6)), "n/a", _xll.ciqfunctions.udf.CIQ($A36, "IQ_NET_WORKING_CAP", IQ_LTM-4, $L$2, $L$4, $L$3, $L$5, $L$6))</f>
        <v>n/a</v>
      </c>
      <c r="AL36" s="105" t="str">
        <f ca="1">IF(ISERROR(_xll.ciqfunctions.udf.CIQ($A36, "IQ_NET_WORKING_CAP", IQ_LTM, $L$2,$L$4, $L$3, $L$5, $L$6)), "n/a", _xll.ciqfunctions.udf.CIQ($A36, "IQ_NET_WORKING_CAP", IQ_LTM, $L$2, $L$4, $L$3, $L$5, $L$6))</f>
        <v>n/a</v>
      </c>
      <c r="AM36" s="105" t="str">
        <f ca="1">IF(ISERROR(_xll.ciqfunctions.udf.CIQ($A36, "IQ_Capex", IQ_LTM-8, $L$2,$L$4, $L$3, $L$5, $L$6)), "n/a", _xll.ciqfunctions.udf.CIQ($A36, "IQ_Capex", IQ_LTM-8, $L$2, $L$4, $L$3, $L$5, $L$6))</f>
        <v>n/a</v>
      </c>
      <c r="AN36" s="105" t="str">
        <f ca="1">IF(ISERROR(_xll.ciqfunctions.udf.CIQ($A36, "IQ_Capex", IQ_LTM-4, $L$2,$L$4, $L$3, $L$5, $L$6)), "n/a", _xll.ciqfunctions.udf.CIQ($A36, "IQ_Capex", IQ_LTM-4, $L$2,$L$4, $L$3, $L$5, $L$6))</f>
        <v>n/a</v>
      </c>
      <c r="AO36" s="105" t="str">
        <f ca="1">IF(ISERROR(_xll.ciqfunctions.udf.CIQ($A36, "IQ_Capex", IQ_LTM, $L$2, $L$4, $L$3, $L$5, $L$6)), "n/a", _xll.ciqfunctions.udf.CIQ($A36, "IQ_Capex", IQ_LTM, $L$2, $L$4, $L$3, $L$5, $L$6))</f>
        <v>n/a</v>
      </c>
      <c r="AP36" s="107" t="e">
        <f ca="1">_xll.ciqfunctions.udf.CIQ(A36, "IQ_BUSINESS_DESCRIPTION")</f>
        <v>#NAME?</v>
      </c>
      <c r="AQ36" s="108" t="e">
        <f ca="1">_xll.ciqfunctions.udf.CIQ($A36, "IQ_BETA_1YR", $B$1)</f>
        <v>#NAME?</v>
      </c>
      <c r="AR36" s="108" t="e">
        <f ca="1">_xll.ciqfunctions.udf.CIQ($A36, "IQ_BETA_2YR", $B$1)</f>
        <v>#NAME?</v>
      </c>
      <c r="AS36" s="108" t="e">
        <f ca="1">_xll.ciqfunctions.udf.CIQ($A36, "IQ_BETA_5YR", $B$1)</f>
        <v>#NAME?</v>
      </c>
      <c r="AT36" s="106" t="e">
        <f ca="1">_xll.ciqfunctions.udf.CIQ($A36, "IQ_DIVIDEND_YIELD", $B$1)/100</f>
        <v>#NAME?</v>
      </c>
      <c r="AU36" s="105" t="e">
        <f ca="1">_xll.ciqfunctions.udf.CIQ($A36, "IQ_EARNING_CO", IQ_LTM-8, $L$2, $L$4, $L$3, $L$5, $L$6)</f>
        <v>#NAME?</v>
      </c>
      <c r="AV36" s="105" t="e">
        <f ca="1">_xll.ciqfunctions.udf.CIQ($A36, "IQ_EARNING_CO", IQ_LTM-4, $L$2, $L$4, $L$3, $L$5, $L$6)</f>
        <v>#NAME?</v>
      </c>
      <c r="AW36" s="105" t="e">
        <f ca="1">_xll.ciqfunctions.udf.CIQ($A36, "IQ_EARNING_CO", IQ_LTM, $L$2, $L$4, $L$3, $L$5, $L$6)</f>
        <v>#NAME?</v>
      </c>
      <c r="AX36" s="105" t="e">
        <f ca="1">_xll.ciqfunctions.udf.CIQ($A36, "IQ_EARNING_CO", $B$2, $L$2, $L$4, $L$3, $L$5, $L$6)</f>
        <v>#NAME?</v>
      </c>
      <c r="AY36" s="105" t="e">
        <f ca="1">IF(_xll.ciqfunctions.udf.CIQ($A36, "IQ_EARNING_CO", $B$3, $L$2,$L$4, $L$3, $L$5, $L$6)=0,AW36,_xll.ciqfunctions.udf.CIQ($A36, "IQ_EARNING_CO", $B$3, $L$2,$L$4, $L$3, $L$5, $L$6))</f>
        <v>#NAME?</v>
      </c>
      <c r="AZ36" s="105" t="e">
        <f ca="1">_xll.ciqfunctions.udf.CIQ($A36, "IQ_TOTAL_EQUITY", IQ_LTM-8, $L$2, $L$4, $L$3, $L$5, $L$6)</f>
        <v>#NAME?</v>
      </c>
      <c r="BA36" s="105" t="e">
        <f ca="1">_xll.ciqfunctions.udf.CIQ($A36, "IQ_TOTAL_EQUITY", IQ_LTM-4, $L$2, $L$4, $L$3, $L$5, $L$6)</f>
        <v>#NAME?</v>
      </c>
      <c r="BB36" s="105" t="e">
        <f ca="1">_xll.ciqfunctions.udf.CIQ($A36, "IQ_TOTAL_EQUITY", IQ_LTM, $L$2, $L$4, $L$3, $L$5, $L$6)</f>
        <v>#NAME?</v>
      </c>
      <c r="BC36" s="105" t="e">
        <f ca="1">_xll.ciqfunctions.udf.CIQ($A36, "IQ_TOTAL_EQUITY", $B$2, $L$2, $L$4, $L$3, $L$5, $L$6)</f>
        <v>#NAME?</v>
      </c>
      <c r="BD36" s="105" t="e">
        <f ca="1">IF(_xll.ciqfunctions.udf.CIQ($A36, "IQ_TOTAL_EQUITY", $B$3, $L$2,$L$4, $L$3, $L$5, $L$6)=0,BB36,_xll.ciqfunctions.udf.CIQ($A36, "IQ_TOTAL_EQUITY", $B$3, $L$2,$L$4, $L$3, $L$5, $L$6))</f>
        <v>#NAME?</v>
      </c>
      <c r="BE36" s="105" t="e">
        <f ca="1">_xll.ciqfunctions.udf.CIQ(A36, "IQ_LASTSALEPRICE", $B$8)</f>
        <v>#NAME?</v>
      </c>
      <c r="BF36" s="105" t="e">
        <f ca="1">_xll.ciqfunctions.udf.CIQ($A36, "IQ_MARKETCAP", $B$8, $L$5, $L$6)</f>
        <v>#NAME?</v>
      </c>
      <c r="BG36" s="105" t="e">
        <f ca="1">_xll.ciqfunctions.udf.CIQ($A36, "IQ_TOTAL_DEBT", IQ_LTM, $B$8,$L$4, $L$3, $L$5, $L$6)</f>
        <v>#NAME?</v>
      </c>
      <c r="BH36" s="74" t="e">
        <f ca="1">_xll.ciqfunctions.udf.CIQ($A36,"IQ_PREF_EQUITY",IQ_LTM,$B$8,$L$4,$L$3,$L$5,$L$6)</f>
        <v>#NAME?</v>
      </c>
      <c r="BI36" s="74" t="e">
        <f ca="1">_xll.ciqfunctions.udf.CIQ($A36, "IQ_MINORITY_INTEREST_TOTAL", IQ_LTM,$B$8,$L$4,$L$3,$L$5,$L$6)</f>
        <v>#NAME?</v>
      </c>
      <c r="BJ36" s="105" t="e">
        <f ca="1">_xll.ciqfunctions.udf.CIQ($A36, "IQ_CASH_ST_INVEST", IQ_LTM, $B$8, $L$4, $L$3, $L$5, $L$6)</f>
        <v>#NAME?</v>
      </c>
      <c r="BK36" s="74" t="e">
        <f ca="1">_xll.ciqfunctions.udf.CIQ($A36, "IQ_EFFECT_TAX_RATE")</f>
        <v>#NAME?</v>
      </c>
      <c r="BL36" s="74" t="e">
        <f ca="1">IF(_xll.ciqfunctions.udf.CIQ($A36, "IQ_TOTAL_REV_2YR_ANN_CAGR", IQ_LTM, $B$1,$L$4, $L$3, $L$5, $L$6)="NM","n/a",(_xll.ciqfunctions.udf.CIQ($A36, "IQ_TOTAL_REV_2YR_ANN_CAGR", IQ_LTM, $B$1,$L$4, $L$3, $L$5, $L$6)/100))</f>
        <v>#NAME?</v>
      </c>
      <c r="BM36" s="74" t="e">
        <f ca="1">IF(_xll.ciqfunctions.udf.CIQ($A36, "IQ_TOTAL_REV_3YR_ANN_CAGR", IQ_LTM, $B$1,$L$4, $L$3, $L$5, $L$6)="NM","n/a",(_xll.ciqfunctions.udf.CIQ($A36, "IQ_TOTAL_REV_3YR_ANN_CAGR", IQ_LTM, $B$1,$L$4, $L$3, $L$5, $L$6)/100))</f>
        <v>#NAME?</v>
      </c>
      <c r="BN36" s="74" t="e">
        <f ca="1">IF(_xll.ciqfunctions.udf.CIQ($A36, "IQ_TOTAL_REV_5YR_ANN_CAGR", IQ_LTM, $B$1,$L$4, $L$3, $L$5, $L$6)="NM","n/a",(_xll.ciqfunctions.udf.CIQ($A36, "IQ_TOTAL_REV_5YR_ANN_CAGR", IQ_LTM, $B$1,$L$4, $L$3, $L$5, $L$6)/100))</f>
        <v>#NAME?</v>
      </c>
      <c r="BO36" s="74" t="e">
        <f ca="1">IF(_xll.ciqfunctions.udf.CIQ($A36,"IQ_EBITDA_2YR_ANN_CAGR", IQ_LTM,$B$1,$L$4, $L$3, $L$5, $L$6)="NM","n/a",(_xll.ciqfunctions.udf.CIQ($A36,"IQ_EBITDA_2YR_ANN_CAGR", IQ_LTM,$B$1,$L$4, $L$3, $L$5, $L$6)/100))</f>
        <v>#NAME?</v>
      </c>
      <c r="BP36" s="74" t="e">
        <f ca="1">IF(_xll.ciqfunctions.udf.CIQ($A36,"IQ_EBITDA_3YR_ANN_CAGR", IQ_LTM,$B$1,$L$4, $L$3, $L$5, $L$6)="NM","n/a",(_xll.ciqfunctions.udf.CIQ($A36,"IQ_EBITDA_3YR_ANN_CAGR", IQ_LTM,$B$1,$L$4, $L$3, $L$5, $L$6)/100))</f>
        <v>#NAME?</v>
      </c>
      <c r="BQ36" s="74" t="e">
        <f ca="1">IF(_xll.ciqfunctions.udf.CIQ($A36,"IQ_EBITDA_5YR_ANN_CAGR", IQ_LTM,$B$1,$L$4, $L$3, $L$5, $L$6)="NM","n/a",(_xll.ciqfunctions.udf.CIQ($A36,"IQ_EBITDA_5YR_ANN_CAGR", IQ_LTM,$B$1,$L$4, $L$3, $L$5, $L$6)/100))</f>
        <v>#NAME?</v>
      </c>
      <c r="BR36" s="78" t="str">
        <f ca="1">IFERROR((_xll.ciqfunctions.udf.CIQ($A36, "IQ_DA_CF", IQ_LTM, $B$1, $L$4, $L$3, $L$5, $L$6)/Q36),"NM")</f>
        <v>NM</v>
      </c>
      <c r="BS36" s="109">
        <f>'Capital IQ Sheet-GPC'!BS36</f>
        <v>0.83803751866109888</v>
      </c>
      <c r="BT36" s="109">
        <f>'Capital IQ Sheet-GPC'!BT36</f>
        <v>0.79234406162523929</v>
      </c>
      <c r="BU36" s="109">
        <f>'Capital IQ Sheet-GPC'!BU36</f>
        <v>0.79750368267574068</v>
      </c>
      <c r="BV36" s="109">
        <f>'Capital IQ Sheet-GPC'!BV36</f>
        <v>0.78543514696831052</v>
      </c>
      <c r="BW36" s="109">
        <f>'Capital IQ Sheet-GPC'!BW36</f>
        <v>0.7775543150554266</v>
      </c>
      <c r="BX36" s="109">
        <f>'Capital IQ Sheet-GPC'!BX36</f>
        <v>0.75058668801827222</v>
      </c>
      <c r="BY36" s="109">
        <f>'Capital IQ Sheet-GPC'!BY36</f>
        <v>0.74456570064465366</v>
      </c>
      <c r="BZ36" s="109">
        <f>'Capital IQ Sheet-GPC'!BZ36</f>
        <v>0.8644817081877354</v>
      </c>
      <c r="CB36" s="74">
        <v>2</v>
      </c>
      <c r="CC36" s="149" t="s">
        <v>315</v>
      </c>
      <c r="CD36" s="149" t="s">
        <v>314</v>
      </c>
      <c r="CE36" s="76">
        <f t="shared" si="0"/>
        <v>42005</v>
      </c>
    </row>
    <row r="37" spans="1:83" s="74" customFormat="1" ht="12.75">
      <c r="A37" s="75" t="e">
        <f ca="1">_xll.ciqfunctions.udf.CIQ($B37,"IQ_COMPANY_TICKER")</f>
        <v>#NAME?</v>
      </c>
      <c r="B37" s="104" t="str">
        <f>'Capital IQ Sheet-GPC'!B37</f>
        <v>IQ41693120</v>
      </c>
      <c r="C37" s="75" t="e">
        <f ca="1">_xll.ciqfunctions.udf.CIQ($A37,"IQ_COMPANY_NAME")</f>
        <v>#NAME?</v>
      </c>
      <c r="D37" s="75" t="e">
        <f ca="1">_xll.ciqfunctions.udf.CIQ($A37, "IQ_EXCHANGE")</f>
        <v>#NAME?</v>
      </c>
      <c r="E37" s="103" t="e">
        <f ca="1">_xll.ciqfunctions.udf.CIQ($A37, "IQ_PERIODDATE_IS", IQ_FY)</f>
        <v>#NAME?</v>
      </c>
      <c r="F37" s="103" t="e">
        <f ca="1">_xll.ciqfunctions.udf.CIQ(A37, "IQ_PERIODDATE_IS", IQ_LTM, $B$1,$L$4,$L$3)</f>
        <v>#NAME?</v>
      </c>
      <c r="G37" s="103" t="e">
        <f ca="1">_xll.ciqfunctions.udf.CIQ($A37, "IQ_FIRSTPRICINGDATE")</f>
        <v>#NAME?</v>
      </c>
      <c r="H37" s="105" t="e">
        <f ca="1">_xll.ciqfunctions.udf.CIQ($A37, "IQ_TEV", $L$2, $L$5, $L$6)</f>
        <v>#NAME?</v>
      </c>
      <c r="I37" s="105" t="e">
        <f ca="1">_xll.ciqfunctions.udf.CIQ(A37, "IQ_LASTSALEPRICE", $B$1,$L$5)</f>
        <v>#NAME?</v>
      </c>
      <c r="J37" s="105" t="e">
        <f ca="1">_xll.ciqfunctions.udf.CIQ($A37, "IQ_MARKETCAP", $L$2, $L$5, $L$6)</f>
        <v>#NAME?</v>
      </c>
      <c r="K37" s="105" t="e">
        <f ca="1">_xll.ciqfunctions.udf.CIQ($A37, "IQ_TOTAL_DEBT", IQ_LTM, $L$2,$L$4, $L$3, $L$5, $L$6)</f>
        <v>#NAME?</v>
      </c>
      <c r="L37" s="105" t="e">
        <f ca="1">_xll.ciqfunctions.udf.CIQ($A37, "IQ_PREF_EQUITY", IQ_LTM, $L$2, $L$4, $L$3, $L$5, $L$6)</f>
        <v>#NAME?</v>
      </c>
      <c r="M37" s="105" t="e">
        <f ca="1">_xll.ciqfunctions.udf.CIQ($A37, "IQ_MINORITY_INTEREST_TOTAL", IQ_LTM, $L$2, $L$4, $L$3, $L$5, $L$6)</f>
        <v>#NAME?</v>
      </c>
      <c r="N37" s="105" t="e">
        <f ca="1">_xll.ciqfunctions.udf.CIQ($A37, "IQ_CASH_ST_INVEST", IQ_LTM, $L$2, $L$4, $L$3, $L$5, $L$6)</f>
        <v>#NAME?</v>
      </c>
      <c r="O37" s="105" t="e">
        <f ca="1">_xll.ciqfunctions.udf.CIQ($A37, "IQ_TOTAL_REV", IQ_LTM-8, $L$2, $L$4, $L$3, $L$5, $L$6)</f>
        <v>#NAME?</v>
      </c>
      <c r="P37" s="105" t="e">
        <f ca="1">_xll.ciqfunctions.udf.CIQ($A37, "IQ_TOTAL_REV", IQ_LTM - 4, $L$2, $L$4, $L$3, $L$5,$L$6)</f>
        <v>#NAME?</v>
      </c>
      <c r="Q37" s="105" t="e">
        <f ca="1">_xll.ciqfunctions.udf.CIQ($A37, "IQ_TOTAL_REV", IQ_LTM, $L$2, $L$4, $L$3, $L$5, $L$6)</f>
        <v>#NAME?</v>
      </c>
      <c r="R37" s="105" t="e">
        <f ca="1">_xll.ciqfunctions.udf.CIQ($A37, "IQ_TOTAL_REV", $B$2, $L$2, $L$4, $L$3, $L$5, $L$6)</f>
        <v>#NAME?</v>
      </c>
      <c r="S37" s="105" t="e">
        <f ca="1">IF(_xll.ciqfunctions.udf.CIQ($A37, "IQ_TOTAL_REV", $B$3, $L$2,$L$4, $L$3, $L$5, $L$6)=0,Q37,_xll.ciqfunctions.udf.CIQ($A37, "IQ_TOTAL_REV", $B$3, $L$2,$L$4, $L$3, $L$5, $L$6))</f>
        <v>#NAME?</v>
      </c>
      <c r="T37" s="105" t="e">
        <f ca="1">IF(_xll.ciqfunctions.udf.CIQ($A37, "IQ_REVENUE_EST",$B$4, $L$2, "CON", $L$3, $L$5, $L$6)=0,"n/a",_xll.ciqfunctions.udf.CIQ($A37, "IQ_REVENUE_EST",$B$4, $L$2, "CON", $L$3, $L$5, $L$6))</f>
        <v>#NAME?</v>
      </c>
      <c r="U37" s="105" t="e">
        <f ca="1">IF(_xll.ciqfunctions.udf.CIQ($A37, "IQ_REVENUE_EST",$B$5, $L$2, "CON", $L$3, $L$5, $L$6)=0,"n/a",_xll.ciqfunctions.udf.CIQ($A37, "IQ_REVENUE_EST",$B$5, $L$2, "CON", $L$3, $L$5, $L$6))</f>
        <v>#NAME?</v>
      </c>
      <c r="V37" s="105" t="e">
        <f ca="1">IF(_xll.ciqfunctions.udf.CIQ($A37, "IQ_REVENUE_EST",$B$6, $L$2, "CON", $L$3, $L$5, $L$6)=0,"n/a",_xll.ciqfunctions.udf.CIQ($A37, "IQ_REVENUE_EST",$B$6, $L$2, "CON", $L$3, $L$5, $L$6))</f>
        <v>#NAME?</v>
      </c>
      <c r="W37" s="105" t="e">
        <f ca="1">IF(_xll.ciqfunctions.udf.CIQ($A37, "IQ_REVENUE_EST", $B$7, $L$2, "CON", $L$3, $L$5, $L$6)=0,"n/a",_xll.ciqfunctions.udf.CIQ($A37, "IQ_REVENUE_EST",$B$7, $L$2, "CON", $L$3, $L$5, $L$6))</f>
        <v>#NAME?</v>
      </c>
      <c r="X37" s="105" t="e">
        <f ca="1">_xll.ciqfunctions.udf.CIQ($A37, "IQ_EBITDA", IQ_LTM-8, $L$2, $L$4, $L$3, $L$5, $L$6)</f>
        <v>#NAME?</v>
      </c>
      <c r="Y37" s="105" t="e">
        <f ca="1">_xll.ciqfunctions.udf.CIQ($A37, "IQ_EBITDA", IQ_LTM-4, $L$2,$L$4, $L$3, $L$5, $L$6)</f>
        <v>#NAME?</v>
      </c>
      <c r="Z37" s="105" t="e">
        <f ca="1">_xll.ciqfunctions.udf.CIQ($A37, "IQ_EBITDA", IQ_LTM, $L$2, $L$4, $L$3, $L$5, $L$6)</f>
        <v>#NAME?</v>
      </c>
      <c r="AA37" s="105" t="e">
        <f ca="1">_xll.ciqfunctions.udf.CIQ($A37, "IQ_EBITDA", $B$2, $L$2, $L$4, $L$3, $L$5, $L$6)</f>
        <v>#NAME?</v>
      </c>
      <c r="AB37" s="105" t="e">
        <f ca="1">IF(_xll.ciqfunctions.udf.CIQ($A37, "IQ_EBITDA", $B$3, $L$2,$L$4, $L$3, $L$5, $L$6)=0,Z37,_xll.ciqfunctions.udf.CIQ($A37, "IQ_EBITDA", $B$3, $L$2,$L$4, $L$3, $L$5, $L$6))</f>
        <v>#NAME?</v>
      </c>
      <c r="AC37" s="105" t="e">
        <f ca="1">IF(_xll.ciqfunctions.udf.CIQ($A37, "IQ_EBITDA_EST",$B$4, $L$2, "CON", $L$3, $L$5, $L$6)=0,"n/a",_xll.ciqfunctions.udf.CIQ($A37, "IQ_EBITDA_EST",$B$4, $L$2, "CON", $L$3, $L$5, $L$6))</f>
        <v>#NAME?</v>
      </c>
      <c r="AD37" s="105" t="e">
        <f ca="1">IF(_xll.ciqfunctions.udf.CIQ($A37, "IQ_EBITDA_EST",$B$5, $L$2, "CON", $L$3, $L$5, $L$6)=0,"n/a",_xll.ciqfunctions.udf.CIQ($A37, "IQ_EBITDA_EST",$B$5, $L$2, "CON", $L$3, $L$5, $L$6))</f>
        <v>#NAME?</v>
      </c>
      <c r="AE37" s="105" t="e">
        <f ca="1">IF(_xll.ciqfunctions.udf.CIQ($A37, "IQ_EBITDA_EST",$B$6, $L$2, "CON", $L$3, $L$5, $L$6)=0,"n/a",_xll.ciqfunctions.udf.CIQ($A37, "IQ_EBITDA_EST",$B$6, $L$2, "CON", $L$3, $L$5, $L$6))</f>
        <v>#NAME?</v>
      </c>
      <c r="AF37" s="106" t="str">
        <f ca="1">IF(ISERROR(_xll.ciqfunctions.udf.CIQ($A37, "IQ_GROSS_MARGIN", IQ_LTM, $L$2,$L$4, $L$3, $L$5, $L$6)/100), "n/a", _xll.ciqfunctions.udf.CIQ($A37,  "IQ_GROSS_MARGIN", IQ_LTM, $L$2, $L$4, $L$3, $L$5, $L$6)/100)</f>
        <v>n/a</v>
      </c>
      <c r="AG37" s="106" t="str">
        <f ca="1">IF(ISERROR(_xll.ciqfunctions.udf.CIQ($A37,"IQ_EBITDA_MARGIN", IQ_LTM, $L$2, $L$4, $L$3, $L$5, $L$6)/100), "n/a", _xll.ciqfunctions.udf.CIQ($A37, "IQ_EBITDA_MARGIN", IQ_LTM, $L$2, $L$4, $L$3, $L$5, $L$6)/100)</f>
        <v>n/a</v>
      </c>
      <c r="AH37" s="106" t="str">
        <f ca="1">IF(ISERROR(_xll.ciqfunctions.udf.CIQ($A37,"IQ_EBIT_MARGIN", IQ_LTM, $L$2, $L$4, $L$3, $L$5, $L$6)/100), "n/a", _xll.ciqfunctions.udf.CIQ($A37, "IQ_EBIT_MARGIN", IQ_LTM, $L$2, $L$4, $L$3, $L$5, $L$6)/100)</f>
        <v>n/a</v>
      </c>
      <c r="AI37" s="106" t="str">
        <f ca="1">IF(ISERROR(_xll.ciqfunctions.udf.CIQ($A37,"IQ_NI_MARGIN", IQ_LTM, $L$2, $L$4, $L$3, $L$5, $L$6)/100), "n/a", _xll.ciqfunctions.udf.CIQ($A37, "IQ_NI_MARGIN", IQ_LTM, $L$2, $L$4, $L$3, $L$5, $L$6)/100)</f>
        <v>n/a</v>
      </c>
      <c r="AJ37" s="105" t="str">
        <f ca="1">IF(ISERROR(_xll.ciqfunctions.udf.CIQ($A37, "IQ_NET_WORKING_CAP", IQ_LTM-8, $L$2, $L$4, $L$3, $L$5, $L$6)), "n/a", _xll.ciqfunctions.udf.CIQ($A37, "IQ_NET_WORKING_CAP", IQ_LTM-8, $L$2, $L$4, $L$3, $L$5, $L$6))</f>
        <v>n/a</v>
      </c>
      <c r="AK37" s="105" t="str">
        <f ca="1">IF(ISERROR(_xll.ciqfunctions.udf.CIQ($A37, "IQ_NET_WORKING_CAP", IQ_LTM-4, $L$2, $L$4, $L$3, $L$5, $L$6)), "n/a", _xll.ciqfunctions.udf.CIQ($A37, "IQ_NET_WORKING_CAP", IQ_LTM-4, $L$2, $L$4, $L$3, $L$5, $L$6))</f>
        <v>n/a</v>
      </c>
      <c r="AL37" s="105" t="str">
        <f ca="1">IF(ISERROR(_xll.ciqfunctions.udf.CIQ($A37, "IQ_NET_WORKING_CAP", IQ_LTM, $L$2,$L$4, $L$3, $L$5, $L$6)), "n/a", _xll.ciqfunctions.udf.CIQ($A37, "IQ_NET_WORKING_CAP", IQ_LTM, $L$2, $L$4, $L$3, $L$5, $L$6))</f>
        <v>n/a</v>
      </c>
      <c r="AM37" s="105" t="str">
        <f ca="1">IF(ISERROR(_xll.ciqfunctions.udf.CIQ($A37, "IQ_Capex", IQ_LTM-8, $L$2,$L$4, $L$3, $L$5, $L$6)), "n/a", _xll.ciqfunctions.udf.CIQ($A37, "IQ_Capex", IQ_LTM-8, $L$2, $L$4, $L$3, $L$5, $L$6))</f>
        <v>n/a</v>
      </c>
      <c r="AN37" s="105" t="str">
        <f ca="1">IF(ISERROR(_xll.ciqfunctions.udf.CIQ($A37, "IQ_Capex", IQ_LTM-4, $L$2,$L$4, $L$3, $L$5, $L$6)), "n/a", _xll.ciqfunctions.udf.CIQ($A37, "IQ_Capex", IQ_LTM-4, $L$2,$L$4, $L$3, $L$5, $L$6))</f>
        <v>n/a</v>
      </c>
      <c r="AO37" s="105" t="str">
        <f ca="1">IF(ISERROR(_xll.ciqfunctions.udf.CIQ($A37, "IQ_Capex", IQ_LTM, $L$2, $L$4, $L$3, $L$5, $L$6)), "n/a", _xll.ciqfunctions.udf.CIQ($A37, "IQ_Capex", IQ_LTM, $L$2, $L$4, $L$3, $L$5, $L$6))</f>
        <v>n/a</v>
      </c>
      <c r="AP37" s="107" t="e">
        <f ca="1">_xll.ciqfunctions.udf.CIQ(A37, "IQ_BUSINESS_DESCRIPTION")</f>
        <v>#NAME?</v>
      </c>
      <c r="AQ37" s="108" t="e">
        <f ca="1">_xll.ciqfunctions.udf.CIQ($A37, "IQ_BETA_1YR", $B$1)</f>
        <v>#NAME?</v>
      </c>
      <c r="AR37" s="108" t="e">
        <f ca="1">_xll.ciqfunctions.udf.CIQ($A37, "IQ_BETA_2YR", $B$1)</f>
        <v>#NAME?</v>
      </c>
      <c r="AS37" s="108" t="e">
        <f ca="1">_xll.ciqfunctions.udf.CIQ($A37, "IQ_BETA_5YR", $B$1)</f>
        <v>#NAME?</v>
      </c>
      <c r="AT37" s="106" t="e">
        <f ca="1">_xll.ciqfunctions.udf.CIQ($A37, "IQ_DIVIDEND_YIELD", $B$1)/100</f>
        <v>#NAME?</v>
      </c>
      <c r="AU37" s="105" t="e">
        <f ca="1">_xll.ciqfunctions.udf.CIQ($A37, "IQ_EARNING_CO", IQ_LTM-8, $L$2, $L$4, $L$3, $L$5, $L$6)</f>
        <v>#NAME?</v>
      </c>
      <c r="AV37" s="105" t="e">
        <f ca="1">_xll.ciqfunctions.udf.CIQ($A37, "IQ_EARNING_CO", IQ_LTM-4, $L$2, $L$4, $L$3, $L$5, $L$6)</f>
        <v>#NAME?</v>
      </c>
      <c r="AW37" s="105" t="e">
        <f ca="1">_xll.ciqfunctions.udf.CIQ($A37, "IQ_EARNING_CO", IQ_LTM, $L$2, $L$4, $L$3, $L$5, $L$6)</f>
        <v>#NAME?</v>
      </c>
      <c r="AX37" s="105" t="e">
        <f ca="1">_xll.ciqfunctions.udf.CIQ($A37, "IQ_EARNING_CO", $B$2, $L$2, $L$4, $L$3, $L$5, $L$6)</f>
        <v>#NAME?</v>
      </c>
      <c r="AY37" s="105" t="e">
        <f ca="1">IF(_xll.ciqfunctions.udf.CIQ($A37, "IQ_EARNING_CO", $B$3, $L$2,$L$4, $L$3, $L$5, $L$6)=0,AW37,_xll.ciqfunctions.udf.CIQ($A37, "IQ_EARNING_CO", $B$3, $L$2,$L$4, $L$3, $L$5, $L$6))</f>
        <v>#NAME?</v>
      </c>
      <c r="AZ37" s="105" t="e">
        <f ca="1">_xll.ciqfunctions.udf.CIQ($A37, "IQ_TOTAL_EQUITY", IQ_LTM-8, $L$2, $L$4, $L$3, $L$5, $L$6)</f>
        <v>#NAME?</v>
      </c>
      <c r="BA37" s="105" t="e">
        <f ca="1">_xll.ciqfunctions.udf.CIQ($A37, "IQ_TOTAL_EQUITY", IQ_LTM-4, $L$2, $L$4, $L$3, $L$5, $L$6)</f>
        <v>#NAME?</v>
      </c>
      <c r="BB37" s="105" t="e">
        <f ca="1">_xll.ciqfunctions.udf.CIQ($A37, "IQ_TOTAL_EQUITY", IQ_LTM, $L$2, $L$4, $L$3, $L$5, $L$6)</f>
        <v>#NAME?</v>
      </c>
      <c r="BC37" s="105" t="e">
        <f ca="1">_xll.ciqfunctions.udf.CIQ($A37, "IQ_TOTAL_EQUITY", $B$2, $L$2, $L$4, $L$3, $L$5, $L$6)</f>
        <v>#NAME?</v>
      </c>
      <c r="BD37" s="105" t="e">
        <f ca="1">IF(_xll.ciqfunctions.udf.CIQ($A37, "IQ_TOTAL_EQUITY", $B$3, $L$2,$L$4, $L$3, $L$5, $L$6)=0,BB37,_xll.ciqfunctions.udf.CIQ($A37, "IQ_TOTAL_EQUITY", $B$3, $L$2,$L$4, $L$3, $L$5, $L$6))</f>
        <v>#NAME?</v>
      </c>
      <c r="BE37" s="105" t="e">
        <f ca="1">_xll.ciqfunctions.udf.CIQ(A37, "IQ_LASTSALEPRICE", $B$8)</f>
        <v>#NAME?</v>
      </c>
      <c r="BF37" s="105" t="e">
        <f ca="1">_xll.ciqfunctions.udf.CIQ($A37, "IQ_MARKETCAP", $B$8, $L$5, $L$6)</f>
        <v>#NAME?</v>
      </c>
      <c r="BG37" s="105" t="e">
        <f ca="1">_xll.ciqfunctions.udf.CIQ($A37, "IQ_TOTAL_DEBT", IQ_LTM, $B$8,$L$4, $L$3, $L$5, $L$6)</f>
        <v>#NAME?</v>
      </c>
      <c r="BH37" s="74" t="e">
        <f ca="1">_xll.ciqfunctions.udf.CIQ($A37,"IQ_PREF_EQUITY",IQ_LTM,$B$8,$L$4,$L$3,$L$5,$L$6)</f>
        <v>#NAME?</v>
      </c>
      <c r="BI37" s="74" t="e">
        <f ca="1">_xll.ciqfunctions.udf.CIQ($A37, "IQ_MINORITY_INTEREST_TOTAL", IQ_LTM,$B$8,$L$4,$L$3,$L$5,$L$6)</f>
        <v>#NAME?</v>
      </c>
      <c r="BJ37" s="105" t="e">
        <f ca="1">_xll.ciqfunctions.udf.CIQ($A37, "IQ_CASH_ST_INVEST", IQ_LTM, $B$8, $L$4, $L$3, $L$5, $L$6)</f>
        <v>#NAME?</v>
      </c>
      <c r="BK37" s="74" t="e">
        <f ca="1">_xll.ciqfunctions.udf.CIQ($A37, "IQ_EFFECT_TAX_RATE")</f>
        <v>#NAME?</v>
      </c>
      <c r="BL37" s="74" t="e">
        <f ca="1">IF(_xll.ciqfunctions.udf.CIQ($A37, "IQ_TOTAL_REV_2YR_ANN_CAGR", IQ_LTM, $B$1,$L$4, $L$3, $L$5, $L$6)="NM","n/a",(_xll.ciqfunctions.udf.CIQ($A37, "IQ_TOTAL_REV_2YR_ANN_CAGR", IQ_LTM, $B$1,$L$4, $L$3, $L$5, $L$6)/100))</f>
        <v>#NAME?</v>
      </c>
      <c r="BM37" s="74" t="e">
        <f ca="1">IF(_xll.ciqfunctions.udf.CIQ($A37, "IQ_TOTAL_REV_3YR_ANN_CAGR", IQ_LTM, $B$1,$L$4, $L$3, $L$5, $L$6)="NM","n/a",(_xll.ciqfunctions.udf.CIQ($A37, "IQ_TOTAL_REV_3YR_ANN_CAGR", IQ_LTM, $B$1,$L$4, $L$3, $L$5, $L$6)/100))</f>
        <v>#NAME?</v>
      </c>
      <c r="BN37" s="74" t="e">
        <f ca="1">IF(_xll.ciqfunctions.udf.CIQ($A37, "IQ_TOTAL_REV_5YR_ANN_CAGR", IQ_LTM, $B$1,$L$4, $L$3, $L$5, $L$6)="NM","n/a",(_xll.ciqfunctions.udf.CIQ($A37, "IQ_TOTAL_REV_5YR_ANN_CAGR", IQ_LTM, $B$1,$L$4, $L$3, $L$5, $L$6)/100))</f>
        <v>#NAME?</v>
      </c>
      <c r="BO37" s="74" t="e">
        <f ca="1">IF(_xll.ciqfunctions.udf.CIQ($A37,"IQ_EBITDA_2YR_ANN_CAGR", IQ_LTM,$B$1,$L$4, $L$3, $L$5, $L$6)="NM","n/a",(_xll.ciqfunctions.udf.CIQ($A37,"IQ_EBITDA_2YR_ANN_CAGR", IQ_LTM,$B$1,$L$4, $L$3, $L$5, $L$6)/100))</f>
        <v>#NAME?</v>
      </c>
      <c r="BP37" s="74" t="e">
        <f ca="1">IF(_xll.ciqfunctions.udf.CIQ($A37,"IQ_EBITDA_3YR_ANN_CAGR", IQ_LTM,$B$1,$L$4, $L$3, $L$5, $L$6)="NM","n/a",(_xll.ciqfunctions.udf.CIQ($A37,"IQ_EBITDA_3YR_ANN_CAGR", IQ_LTM,$B$1,$L$4, $L$3, $L$5, $L$6)/100))</f>
        <v>#NAME?</v>
      </c>
      <c r="BQ37" s="74" t="e">
        <f ca="1">IF(_xll.ciqfunctions.udf.CIQ($A37,"IQ_EBITDA_5YR_ANN_CAGR", IQ_LTM,$B$1,$L$4, $L$3, $L$5, $L$6)="NM","n/a",(_xll.ciqfunctions.udf.CIQ($A37,"IQ_EBITDA_5YR_ANN_CAGR", IQ_LTM,$B$1,$L$4, $L$3, $L$5, $L$6)/100))</f>
        <v>#NAME?</v>
      </c>
      <c r="BR37" s="78" t="str">
        <f ca="1">IFERROR((_xll.ciqfunctions.udf.CIQ($A37, "IQ_DA_CF", IQ_LTM, $B$1, $L$4, $L$3, $L$5, $L$6)/Q37),"NM")</f>
        <v>NM</v>
      </c>
      <c r="BS37" s="109">
        <f>'Capital IQ Sheet-GPC'!BS37</f>
        <v>1.5649349868976454</v>
      </c>
      <c r="BT37" s="109" t="str">
        <f>'Capital IQ Sheet-GPC'!BT37</f>
        <v>n/a</v>
      </c>
      <c r="BU37" s="109" t="str">
        <f>'Capital IQ Sheet-GPC'!BU37</f>
        <v>n/a</v>
      </c>
      <c r="BV37" s="109" t="str">
        <f>'Capital IQ Sheet-GPC'!BV37</f>
        <v>n/a</v>
      </c>
      <c r="BW37" s="109" t="str">
        <f>'Capital IQ Sheet-GPC'!BW37</f>
        <v>n/a</v>
      </c>
      <c r="BX37" s="109" t="str">
        <f>'Capital IQ Sheet-GPC'!BX37</f>
        <v>n/a</v>
      </c>
      <c r="BY37" s="109" t="str">
        <f>'Capital IQ Sheet-GPC'!BY37</f>
        <v>n/a</v>
      </c>
      <c r="BZ37" s="109" t="str">
        <f>'Capital IQ Sheet-GPC'!BZ37</f>
        <v>n/a</v>
      </c>
      <c r="CB37" s="74">
        <v>2</v>
      </c>
      <c r="CC37" s="149" t="s">
        <v>315</v>
      </c>
      <c r="CD37" s="149" t="s">
        <v>314</v>
      </c>
      <c r="CE37" s="76">
        <f t="shared" si="0"/>
        <v>42005</v>
      </c>
    </row>
    <row r="38" spans="1:83" s="74" customFormat="1" ht="12.75">
      <c r="A38" s="75" t="e">
        <f ca="1">_xll.ciqfunctions.udf.CIQ($B38,"IQ_COMPANY_TICKER")</f>
        <v>#NAME?</v>
      </c>
      <c r="B38" s="104" t="str">
        <f>'Capital IQ Sheet-GPC'!B38</f>
        <v>IQ280596151</v>
      </c>
      <c r="C38" s="75" t="e">
        <f ca="1">_xll.ciqfunctions.udf.CIQ($A38,"IQ_COMPANY_NAME")</f>
        <v>#NAME?</v>
      </c>
      <c r="D38" s="75" t="e">
        <f ca="1">_xll.ciqfunctions.udf.CIQ($A38, "IQ_EXCHANGE")</f>
        <v>#NAME?</v>
      </c>
      <c r="E38" s="103" t="e">
        <f ca="1">_xll.ciqfunctions.udf.CIQ($A38, "IQ_PERIODDATE_IS", IQ_FY)</f>
        <v>#NAME?</v>
      </c>
      <c r="F38" s="103" t="e">
        <f ca="1">_xll.ciqfunctions.udf.CIQ(A38, "IQ_PERIODDATE_IS", IQ_LTM, $B$1,$L$4,$L$3)</f>
        <v>#NAME?</v>
      </c>
      <c r="G38" s="103" t="e">
        <f ca="1">_xll.ciqfunctions.udf.CIQ($A38, "IQ_FIRSTPRICINGDATE")</f>
        <v>#NAME?</v>
      </c>
      <c r="H38" s="105" t="e">
        <f ca="1">_xll.ciqfunctions.udf.CIQ($A38, "IQ_TEV", $L$2, $L$5, $L$6)</f>
        <v>#NAME?</v>
      </c>
      <c r="I38" s="105" t="e">
        <f ca="1">_xll.ciqfunctions.udf.CIQ(A38, "IQ_LASTSALEPRICE", $B$1,$L$5)</f>
        <v>#NAME?</v>
      </c>
      <c r="J38" s="105" t="e">
        <f ca="1">_xll.ciqfunctions.udf.CIQ($A38, "IQ_MARKETCAP", $L$2, $L$5, $L$6)</f>
        <v>#NAME?</v>
      </c>
      <c r="K38" s="105" t="e">
        <f ca="1">_xll.ciqfunctions.udf.CIQ($A38, "IQ_TOTAL_DEBT", IQ_LTM, $L$2,$L$4, $L$3, $L$5, $L$6)</f>
        <v>#NAME?</v>
      </c>
      <c r="L38" s="105" t="e">
        <f ca="1">_xll.ciqfunctions.udf.CIQ($A38, "IQ_PREF_EQUITY", IQ_LTM, $L$2, $L$4, $L$3, $L$5, $L$6)</f>
        <v>#NAME?</v>
      </c>
      <c r="M38" s="105" t="e">
        <f ca="1">_xll.ciqfunctions.udf.CIQ($A38, "IQ_MINORITY_INTEREST_TOTAL", IQ_LTM, $L$2, $L$4, $L$3, $L$5, $L$6)</f>
        <v>#NAME?</v>
      </c>
      <c r="N38" s="105" t="e">
        <f ca="1">_xll.ciqfunctions.udf.CIQ($A38, "IQ_CASH_ST_INVEST", IQ_LTM, $L$2, $L$4, $L$3, $L$5, $L$6)</f>
        <v>#NAME?</v>
      </c>
      <c r="O38" s="105" t="e">
        <f ca="1">_xll.ciqfunctions.udf.CIQ($A38, "IQ_TOTAL_REV", IQ_LTM-8, $L$2, $L$4, $L$3, $L$5, $L$6)</f>
        <v>#NAME?</v>
      </c>
      <c r="P38" s="105" t="e">
        <f ca="1">_xll.ciqfunctions.udf.CIQ($A38, "IQ_TOTAL_REV", IQ_LTM - 4, $L$2, $L$4, $L$3, $L$5,$L$6)</f>
        <v>#NAME?</v>
      </c>
      <c r="Q38" s="105" t="e">
        <f ca="1">_xll.ciqfunctions.udf.CIQ($A38, "IQ_TOTAL_REV", IQ_LTM, $L$2, $L$4, $L$3, $L$5, $L$6)</f>
        <v>#NAME?</v>
      </c>
      <c r="R38" s="105" t="e">
        <f ca="1">_xll.ciqfunctions.udf.CIQ($A38, "IQ_TOTAL_REV", $B$2, $L$2, $L$4, $L$3, $L$5, $L$6)</f>
        <v>#NAME?</v>
      </c>
      <c r="S38" s="105" t="e">
        <f ca="1">IF(_xll.ciqfunctions.udf.CIQ($A38, "IQ_TOTAL_REV", $B$3, $L$2,$L$4, $L$3, $L$5, $L$6)=0,Q38,_xll.ciqfunctions.udf.CIQ($A38, "IQ_TOTAL_REV", $B$3, $L$2,$L$4, $L$3, $L$5, $L$6))</f>
        <v>#NAME?</v>
      </c>
      <c r="T38" s="105" t="e">
        <f ca="1">IF(_xll.ciqfunctions.udf.CIQ($A38, "IQ_REVENUE_EST",$B$4, $L$2, "CON", $L$3, $L$5, $L$6)=0,"n/a",_xll.ciqfunctions.udf.CIQ($A38, "IQ_REVENUE_EST",$B$4, $L$2, "CON", $L$3, $L$5, $L$6))</f>
        <v>#NAME?</v>
      </c>
      <c r="U38" s="105" t="e">
        <f ca="1">IF(_xll.ciqfunctions.udf.CIQ($A38, "IQ_REVENUE_EST",$B$5, $L$2, "CON", $L$3, $L$5, $L$6)=0,"n/a",_xll.ciqfunctions.udf.CIQ($A38, "IQ_REVENUE_EST",$B$5, $L$2, "CON", $L$3, $L$5, $L$6))</f>
        <v>#NAME?</v>
      </c>
      <c r="V38" s="105" t="e">
        <f ca="1">IF(_xll.ciqfunctions.udf.CIQ($A38, "IQ_REVENUE_EST",$B$6, $L$2, "CON", $L$3, $L$5, $L$6)=0,"n/a",_xll.ciqfunctions.udf.CIQ($A38, "IQ_REVENUE_EST",$B$6, $L$2, "CON", $L$3, $L$5, $L$6))</f>
        <v>#NAME?</v>
      </c>
      <c r="W38" s="105" t="e">
        <f ca="1">IF(_xll.ciqfunctions.udf.CIQ($A38, "IQ_REVENUE_EST", $B$7, $L$2, "CON", $L$3, $L$5, $L$6)=0,"n/a",_xll.ciqfunctions.udf.CIQ($A38, "IQ_REVENUE_EST",$B$7, $L$2, "CON", $L$3, $L$5, $L$6))</f>
        <v>#NAME?</v>
      </c>
      <c r="X38" s="105" t="e">
        <f ca="1">_xll.ciqfunctions.udf.CIQ($A38, "IQ_EBITDA", IQ_LTM-8, $L$2, $L$4, $L$3, $L$5, $L$6)</f>
        <v>#NAME?</v>
      </c>
      <c r="Y38" s="105" t="e">
        <f ca="1">_xll.ciqfunctions.udf.CIQ($A38, "IQ_EBITDA", IQ_LTM-4, $L$2,$L$4, $L$3, $L$5, $L$6)</f>
        <v>#NAME?</v>
      </c>
      <c r="Z38" s="105" t="e">
        <f ca="1">_xll.ciqfunctions.udf.CIQ($A38, "IQ_EBITDA", IQ_LTM, $L$2, $L$4, $L$3, $L$5, $L$6)</f>
        <v>#NAME?</v>
      </c>
      <c r="AA38" s="105" t="e">
        <f ca="1">_xll.ciqfunctions.udf.CIQ($A38, "IQ_EBITDA", $B$2, $L$2, $L$4, $L$3, $L$5, $L$6)</f>
        <v>#NAME?</v>
      </c>
      <c r="AB38" s="105" t="e">
        <f ca="1">IF(_xll.ciqfunctions.udf.CIQ($A38, "IQ_EBITDA", $B$3, $L$2,$L$4, $L$3, $L$5, $L$6)=0,Z38,_xll.ciqfunctions.udf.CIQ($A38, "IQ_EBITDA", $B$3, $L$2,$L$4, $L$3, $L$5, $L$6))</f>
        <v>#NAME?</v>
      </c>
      <c r="AC38" s="105" t="e">
        <f ca="1">IF(_xll.ciqfunctions.udf.CIQ($A38, "IQ_EBITDA_EST",$B$4, $L$2, "CON", $L$3, $L$5, $L$6)=0,"n/a",_xll.ciqfunctions.udf.CIQ($A38, "IQ_EBITDA_EST",$B$4, $L$2, "CON", $L$3, $L$5, $L$6))</f>
        <v>#NAME?</v>
      </c>
      <c r="AD38" s="105" t="e">
        <f ca="1">IF(_xll.ciqfunctions.udf.CIQ($A38, "IQ_EBITDA_EST",$B$5, $L$2, "CON", $L$3, $L$5, $L$6)=0,"n/a",_xll.ciqfunctions.udf.CIQ($A38, "IQ_EBITDA_EST",$B$5, $L$2, "CON", $L$3, $L$5, $L$6))</f>
        <v>#NAME?</v>
      </c>
      <c r="AE38" s="105" t="e">
        <f ca="1">IF(_xll.ciqfunctions.udf.CIQ($A38, "IQ_EBITDA_EST",$B$6, $L$2, "CON", $L$3, $L$5, $L$6)=0,"n/a",_xll.ciqfunctions.udf.CIQ($A38, "IQ_EBITDA_EST",$B$6, $L$2, "CON", $L$3, $L$5, $L$6))</f>
        <v>#NAME?</v>
      </c>
      <c r="AF38" s="106" t="str">
        <f ca="1">IF(ISERROR(_xll.ciqfunctions.udf.CIQ($A38, "IQ_GROSS_MARGIN", IQ_LTM, $L$2,$L$4, $L$3, $L$5, $L$6)/100), "n/a", _xll.ciqfunctions.udf.CIQ($A38,  "IQ_GROSS_MARGIN", IQ_LTM, $L$2, $L$4, $L$3, $L$5, $L$6)/100)</f>
        <v>n/a</v>
      </c>
      <c r="AG38" s="106" t="str">
        <f ca="1">IF(ISERROR(_xll.ciqfunctions.udf.CIQ($A38,"IQ_EBITDA_MARGIN", IQ_LTM, $L$2, $L$4, $L$3, $L$5, $L$6)/100), "n/a", _xll.ciqfunctions.udf.CIQ($A38, "IQ_EBITDA_MARGIN", IQ_LTM, $L$2, $L$4, $L$3, $L$5, $L$6)/100)</f>
        <v>n/a</v>
      </c>
      <c r="AH38" s="106" t="str">
        <f ca="1">IF(ISERROR(_xll.ciqfunctions.udf.CIQ($A38,"IQ_EBIT_MARGIN", IQ_LTM, $L$2, $L$4, $L$3, $L$5, $L$6)/100), "n/a", _xll.ciqfunctions.udf.CIQ($A38, "IQ_EBIT_MARGIN", IQ_LTM, $L$2, $L$4, $L$3, $L$5, $L$6)/100)</f>
        <v>n/a</v>
      </c>
      <c r="AI38" s="106" t="str">
        <f ca="1">IF(ISERROR(_xll.ciqfunctions.udf.CIQ($A38,"IQ_NI_MARGIN", IQ_LTM, $L$2, $L$4, $L$3, $L$5, $L$6)/100), "n/a", _xll.ciqfunctions.udf.CIQ($A38, "IQ_NI_MARGIN", IQ_LTM, $L$2, $L$4, $L$3, $L$5, $L$6)/100)</f>
        <v>n/a</v>
      </c>
      <c r="AJ38" s="105" t="str">
        <f ca="1">IF(ISERROR(_xll.ciqfunctions.udf.CIQ($A38, "IQ_NET_WORKING_CAP", IQ_LTM-8, $L$2, $L$4, $L$3, $L$5, $L$6)), "n/a", _xll.ciqfunctions.udf.CIQ($A38, "IQ_NET_WORKING_CAP", IQ_LTM-8, $L$2, $L$4, $L$3, $L$5, $L$6))</f>
        <v>n/a</v>
      </c>
      <c r="AK38" s="105" t="str">
        <f ca="1">IF(ISERROR(_xll.ciqfunctions.udf.CIQ($A38, "IQ_NET_WORKING_CAP", IQ_LTM-4, $L$2, $L$4, $L$3, $L$5, $L$6)), "n/a", _xll.ciqfunctions.udf.CIQ($A38, "IQ_NET_WORKING_CAP", IQ_LTM-4, $L$2, $L$4, $L$3, $L$5, $L$6))</f>
        <v>n/a</v>
      </c>
      <c r="AL38" s="105" t="str">
        <f ca="1">IF(ISERROR(_xll.ciqfunctions.udf.CIQ($A38, "IQ_NET_WORKING_CAP", IQ_LTM, $L$2,$L$4, $L$3, $L$5, $L$6)), "n/a", _xll.ciqfunctions.udf.CIQ($A38, "IQ_NET_WORKING_CAP", IQ_LTM, $L$2, $L$4, $L$3, $L$5, $L$6))</f>
        <v>n/a</v>
      </c>
      <c r="AM38" s="105" t="str">
        <f ca="1">IF(ISERROR(_xll.ciqfunctions.udf.CIQ($A38, "IQ_Capex", IQ_LTM-8, $L$2,$L$4, $L$3, $L$5, $L$6)), "n/a", _xll.ciqfunctions.udf.CIQ($A38, "IQ_Capex", IQ_LTM-8, $L$2, $L$4, $L$3, $L$5, $L$6))</f>
        <v>n/a</v>
      </c>
      <c r="AN38" s="105" t="str">
        <f ca="1">IF(ISERROR(_xll.ciqfunctions.udf.CIQ($A38, "IQ_Capex", IQ_LTM-4, $L$2,$L$4, $L$3, $L$5, $L$6)), "n/a", _xll.ciqfunctions.udf.CIQ($A38, "IQ_Capex", IQ_LTM-4, $L$2,$L$4, $L$3, $L$5, $L$6))</f>
        <v>n/a</v>
      </c>
      <c r="AO38" s="105" t="str">
        <f ca="1">IF(ISERROR(_xll.ciqfunctions.udf.CIQ($A38, "IQ_Capex", IQ_LTM, $L$2, $L$4, $L$3, $L$5, $L$6)), "n/a", _xll.ciqfunctions.udf.CIQ($A38, "IQ_Capex", IQ_LTM, $L$2, $L$4, $L$3, $L$5, $L$6))</f>
        <v>n/a</v>
      </c>
      <c r="AP38" s="107" t="e">
        <f ca="1">_xll.ciqfunctions.udf.CIQ(A38, "IQ_BUSINESS_DESCRIPTION")</f>
        <v>#NAME?</v>
      </c>
      <c r="AQ38" s="108" t="e">
        <f ca="1">_xll.ciqfunctions.udf.CIQ($A38, "IQ_BETA_1YR", $B$1)</f>
        <v>#NAME?</v>
      </c>
      <c r="AR38" s="108" t="e">
        <f ca="1">_xll.ciqfunctions.udf.CIQ($A38, "IQ_BETA_2YR", $B$1)</f>
        <v>#NAME?</v>
      </c>
      <c r="AS38" s="108" t="e">
        <f ca="1">_xll.ciqfunctions.udf.CIQ($A38, "IQ_BETA_5YR", $B$1)</f>
        <v>#NAME?</v>
      </c>
      <c r="AT38" s="106" t="e">
        <f ca="1">_xll.ciqfunctions.udf.CIQ($A38, "IQ_DIVIDEND_YIELD", $B$1)/100</f>
        <v>#NAME?</v>
      </c>
      <c r="AU38" s="105" t="e">
        <f ca="1">_xll.ciqfunctions.udf.CIQ($A38, "IQ_EARNING_CO", IQ_LTM-8, $L$2, $L$4, $L$3, $L$5, $L$6)</f>
        <v>#NAME?</v>
      </c>
      <c r="AV38" s="105" t="e">
        <f ca="1">_xll.ciqfunctions.udf.CIQ($A38, "IQ_EARNING_CO", IQ_LTM-4, $L$2, $L$4, $L$3, $L$5, $L$6)</f>
        <v>#NAME?</v>
      </c>
      <c r="AW38" s="105" t="e">
        <f ca="1">_xll.ciqfunctions.udf.CIQ($A38, "IQ_EARNING_CO", IQ_LTM, $L$2, $L$4, $L$3, $L$5, $L$6)</f>
        <v>#NAME?</v>
      </c>
      <c r="AX38" s="105" t="e">
        <f ca="1">_xll.ciqfunctions.udf.CIQ($A38, "IQ_EARNING_CO", $B$2, $L$2, $L$4, $L$3, $L$5, $L$6)</f>
        <v>#NAME?</v>
      </c>
      <c r="AY38" s="105" t="e">
        <f ca="1">IF(_xll.ciqfunctions.udf.CIQ($A38, "IQ_EARNING_CO", $B$3, $L$2,$L$4, $L$3, $L$5, $L$6)=0,AW38,_xll.ciqfunctions.udf.CIQ($A38, "IQ_EARNING_CO", $B$3, $L$2,$L$4, $L$3, $L$5, $L$6))</f>
        <v>#NAME?</v>
      </c>
      <c r="AZ38" s="105" t="e">
        <f ca="1">_xll.ciqfunctions.udf.CIQ($A38, "IQ_TOTAL_EQUITY", IQ_LTM-8, $L$2, $L$4, $L$3, $L$5, $L$6)</f>
        <v>#NAME?</v>
      </c>
      <c r="BA38" s="105" t="e">
        <f ca="1">_xll.ciqfunctions.udf.CIQ($A38, "IQ_TOTAL_EQUITY", IQ_LTM-4, $L$2, $L$4, $L$3, $L$5, $L$6)</f>
        <v>#NAME?</v>
      </c>
      <c r="BB38" s="105" t="e">
        <f ca="1">_xll.ciqfunctions.udf.CIQ($A38, "IQ_TOTAL_EQUITY", IQ_LTM, $L$2, $L$4, $L$3, $L$5, $L$6)</f>
        <v>#NAME?</v>
      </c>
      <c r="BC38" s="105" t="e">
        <f ca="1">_xll.ciqfunctions.udf.CIQ($A38, "IQ_TOTAL_EQUITY", $B$2, $L$2, $L$4, $L$3, $L$5, $L$6)</f>
        <v>#NAME?</v>
      </c>
      <c r="BD38" s="105" t="e">
        <f ca="1">IF(_xll.ciqfunctions.udf.CIQ($A38, "IQ_TOTAL_EQUITY", $B$3, $L$2,$L$4, $L$3, $L$5, $L$6)=0,BB38,_xll.ciqfunctions.udf.CIQ($A38, "IQ_TOTAL_EQUITY", $B$3, $L$2,$L$4, $L$3, $L$5, $L$6))</f>
        <v>#NAME?</v>
      </c>
      <c r="BE38" s="105" t="e">
        <f ca="1">_xll.ciqfunctions.udf.CIQ(A38, "IQ_LASTSALEPRICE", $B$8)</f>
        <v>#NAME?</v>
      </c>
      <c r="BF38" s="105" t="e">
        <f ca="1">_xll.ciqfunctions.udf.CIQ($A38, "IQ_MARKETCAP", $B$8, $L$5, $L$6)</f>
        <v>#NAME?</v>
      </c>
      <c r="BG38" s="105" t="e">
        <f ca="1">_xll.ciqfunctions.udf.CIQ($A38, "IQ_TOTAL_DEBT", IQ_LTM, $B$8,$L$4, $L$3, $L$5, $L$6)</f>
        <v>#NAME?</v>
      </c>
      <c r="BH38" s="74" t="e">
        <f ca="1">_xll.ciqfunctions.udf.CIQ($A38,"IQ_PREF_EQUITY",IQ_LTM,$B$8,$L$4,$L$3,$L$5,$L$6)</f>
        <v>#NAME?</v>
      </c>
      <c r="BI38" s="74" t="e">
        <f ca="1">_xll.ciqfunctions.udf.CIQ($A38, "IQ_MINORITY_INTEREST_TOTAL", IQ_LTM,$B$8,$L$4,$L$3,$L$5,$L$6)</f>
        <v>#NAME?</v>
      </c>
      <c r="BJ38" s="105" t="e">
        <f ca="1">_xll.ciqfunctions.udf.CIQ($A38, "IQ_CASH_ST_INVEST", IQ_LTM, $B$8, $L$4, $L$3, $L$5, $L$6)</f>
        <v>#NAME?</v>
      </c>
      <c r="BK38" s="74" t="e">
        <f ca="1">_xll.ciqfunctions.udf.CIQ($A38, "IQ_EFFECT_TAX_RATE")</f>
        <v>#NAME?</v>
      </c>
      <c r="BL38" s="74" t="e">
        <f ca="1">IF(_xll.ciqfunctions.udf.CIQ($A38, "IQ_TOTAL_REV_2YR_ANN_CAGR", IQ_LTM, $B$1,$L$4, $L$3, $L$5, $L$6)="NM","n/a",(_xll.ciqfunctions.udf.CIQ($A38, "IQ_TOTAL_REV_2YR_ANN_CAGR", IQ_LTM, $B$1,$L$4, $L$3, $L$5, $L$6)/100))</f>
        <v>#NAME?</v>
      </c>
      <c r="BM38" s="74" t="e">
        <f ca="1">IF(_xll.ciqfunctions.udf.CIQ($A38, "IQ_TOTAL_REV_3YR_ANN_CAGR", IQ_LTM, $B$1,$L$4, $L$3, $L$5, $L$6)="NM","n/a",(_xll.ciqfunctions.udf.CIQ($A38, "IQ_TOTAL_REV_3YR_ANN_CAGR", IQ_LTM, $B$1,$L$4, $L$3, $L$5, $L$6)/100))</f>
        <v>#NAME?</v>
      </c>
      <c r="BN38" s="74" t="e">
        <f ca="1">IF(_xll.ciqfunctions.udf.CIQ($A38, "IQ_TOTAL_REV_5YR_ANN_CAGR", IQ_LTM, $B$1,$L$4, $L$3, $L$5, $L$6)="NM","n/a",(_xll.ciqfunctions.udf.CIQ($A38, "IQ_TOTAL_REV_5YR_ANN_CAGR", IQ_LTM, $B$1,$L$4, $L$3, $L$5, $L$6)/100))</f>
        <v>#NAME?</v>
      </c>
      <c r="BO38" s="74" t="e">
        <f ca="1">IF(_xll.ciqfunctions.udf.CIQ($A38,"IQ_EBITDA_2YR_ANN_CAGR", IQ_LTM,$B$1,$L$4, $L$3, $L$5, $L$6)="NM","n/a",(_xll.ciqfunctions.udf.CIQ($A38,"IQ_EBITDA_2YR_ANN_CAGR", IQ_LTM,$B$1,$L$4, $L$3, $L$5, $L$6)/100))</f>
        <v>#NAME?</v>
      </c>
      <c r="BP38" s="74" t="e">
        <f ca="1">IF(_xll.ciqfunctions.udf.CIQ($A38,"IQ_EBITDA_3YR_ANN_CAGR", IQ_LTM,$B$1,$L$4, $L$3, $L$5, $L$6)="NM","n/a",(_xll.ciqfunctions.udf.CIQ($A38,"IQ_EBITDA_3YR_ANN_CAGR", IQ_LTM,$B$1,$L$4, $L$3, $L$5, $L$6)/100))</f>
        <v>#NAME?</v>
      </c>
      <c r="BQ38" s="74" t="e">
        <f ca="1">IF(_xll.ciqfunctions.udf.CIQ($A38,"IQ_EBITDA_5YR_ANN_CAGR", IQ_LTM,$B$1,$L$4, $L$3, $L$5, $L$6)="NM","n/a",(_xll.ciqfunctions.udf.CIQ($A38,"IQ_EBITDA_5YR_ANN_CAGR", IQ_LTM,$B$1,$L$4, $L$3, $L$5, $L$6)/100))</f>
        <v>#NAME?</v>
      </c>
      <c r="BR38" s="78" t="str">
        <f ca="1">IFERROR((_xll.ciqfunctions.udf.CIQ($A38, "IQ_DA_CF", IQ_LTM, $B$1, $L$4, $L$3, $L$5, $L$6)/Q38),"NM")</f>
        <v>NM</v>
      </c>
      <c r="BS38" s="109">
        <f>'Capital IQ Sheet-GPC'!BS38</f>
        <v>1.7695764740700834</v>
      </c>
      <c r="BT38" s="109" t="str">
        <f>'Capital IQ Sheet-GPC'!BT38</f>
        <v>n/a</v>
      </c>
      <c r="BU38" s="109" t="str">
        <f>'Capital IQ Sheet-GPC'!BU38</f>
        <v>n/a</v>
      </c>
      <c r="BV38" s="109" t="str">
        <f>'Capital IQ Sheet-GPC'!BV38</f>
        <v>n/a</v>
      </c>
      <c r="BW38" s="109" t="str">
        <f>'Capital IQ Sheet-GPC'!BW38</f>
        <v>n/a</v>
      </c>
      <c r="BX38" s="109" t="str">
        <f>'Capital IQ Sheet-GPC'!BX38</f>
        <v>n/a</v>
      </c>
      <c r="BY38" s="109" t="str">
        <f>'Capital IQ Sheet-GPC'!BY38</f>
        <v>n/a</v>
      </c>
      <c r="BZ38" s="109" t="str">
        <f>'Capital IQ Sheet-GPC'!BZ38</f>
        <v>n/a</v>
      </c>
      <c r="CB38" s="74">
        <v>2</v>
      </c>
      <c r="CC38" s="149" t="s">
        <v>315</v>
      </c>
      <c r="CD38" s="149" t="s">
        <v>314</v>
      </c>
      <c r="CE38" s="76">
        <f t="shared" si="0"/>
        <v>42005</v>
      </c>
    </row>
    <row r="39" spans="1:83" s="74" customFormat="1" ht="12.75">
      <c r="A39" s="75" t="e">
        <f ca="1">_xll.ciqfunctions.udf.CIQ($B39,"IQ_COMPANY_TICKER")</f>
        <v>#NAME?</v>
      </c>
      <c r="B39" s="104" t="str">
        <f>'Capital IQ Sheet-GPC'!B39</f>
        <v>IQ140969529</v>
      </c>
      <c r="C39" s="75" t="e">
        <f ca="1">_xll.ciqfunctions.udf.CIQ($A39,"IQ_COMPANY_NAME")</f>
        <v>#NAME?</v>
      </c>
      <c r="D39" s="75" t="e">
        <f ca="1">_xll.ciqfunctions.udf.CIQ($A39, "IQ_EXCHANGE")</f>
        <v>#NAME?</v>
      </c>
      <c r="E39" s="103" t="e">
        <f ca="1">_xll.ciqfunctions.udf.CIQ($A39, "IQ_PERIODDATE_IS", IQ_FY)</f>
        <v>#NAME?</v>
      </c>
      <c r="F39" s="103" t="e">
        <f ca="1">_xll.ciqfunctions.udf.CIQ(A39, "IQ_PERIODDATE_IS", IQ_LTM, $B$1,$L$4,$L$3)</f>
        <v>#NAME?</v>
      </c>
      <c r="G39" s="103" t="e">
        <f ca="1">_xll.ciqfunctions.udf.CIQ($A39, "IQ_FIRSTPRICINGDATE")</f>
        <v>#NAME?</v>
      </c>
      <c r="H39" s="105" t="e">
        <f ca="1">_xll.ciqfunctions.udf.CIQ($A39, "IQ_TEV", $L$2, $L$5, $L$6)</f>
        <v>#NAME?</v>
      </c>
      <c r="I39" s="105" t="e">
        <f ca="1">_xll.ciqfunctions.udf.CIQ(A39, "IQ_LASTSALEPRICE", $B$1,$L$5)</f>
        <v>#NAME?</v>
      </c>
      <c r="J39" s="105" t="e">
        <f ca="1">_xll.ciqfunctions.udf.CIQ($A39, "IQ_MARKETCAP", $L$2, $L$5, $L$6)</f>
        <v>#NAME?</v>
      </c>
      <c r="K39" s="105" t="e">
        <f ca="1">_xll.ciqfunctions.udf.CIQ($A39, "IQ_TOTAL_DEBT", IQ_LTM, $L$2,$L$4, $L$3, $L$5, $L$6)</f>
        <v>#NAME?</v>
      </c>
      <c r="L39" s="105" t="e">
        <f ca="1">_xll.ciqfunctions.udf.CIQ($A39, "IQ_PREF_EQUITY", IQ_LTM, $L$2, $L$4, $L$3, $L$5, $L$6)</f>
        <v>#NAME?</v>
      </c>
      <c r="M39" s="105" t="e">
        <f ca="1">_xll.ciqfunctions.udf.CIQ($A39, "IQ_MINORITY_INTEREST_TOTAL", IQ_LTM, $L$2, $L$4, $L$3, $L$5, $L$6)</f>
        <v>#NAME?</v>
      </c>
      <c r="N39" s="105" t="e">
        <f ca="1">_xll.ciqfunctions.udf.CIQ($A39, "IQ_CASH_ST_INVEST", IQ_LTM, $L$2, $L$4, $L$3, $L$5, $L$6)</f>
        <v>#NAME?</v>
      </c>
      <c r="O39" s="105" t="e">
        <f ca="1">_xll.ciqfunctions.udf.CIQ($A39, "IQ_TOTAL_REV", IQ_LTM-8, $L$2, $L$4, $L$3, $L$5, $L$6)</f>
        <v>#NAME?</v>
      </c>
      <c r="P39" s="105" t="e">
        <f ca="1">_xll.ciqfunctions.udf.CIQ($A39, "IQ_TOTAL_REV", IQ_LTM - 4, $L$2, $L$4, $L$3, $L$5,$L$6)</f>
        <v>#NAME?</v>
      </c>
      <c r="Q39" s="105" t="e">
        <f ca="1">_xll.ciqfunctions.udf.CIQ($A39, "IQ_TOTAL_REV", IQ_LTM, $L$2, $L$4, $L$3, $L$5, $L$6)</f>
        <v>#NAME?</v>
      </c>
      <c r="R39" s="105" t="e">
        <f ca="1">_xll.ciqfunctions.udf.CIQ($A39, "IQ_TOTAL_REV", $B$2, $L$2, $L$4, $L$3, $L$5, $L$6)</f>
        <v>#NAME?</v>
      </c>
      <c r="S39" s="105" t="e">
        <f ca="1">IF(_xll.ciqfunctions.udf.CIQ($A39, "IQ_TOTAL_REV", $B$3, $L$2,$L$4, $L$3, $L$5, $L$6)=0,Q39,_xll.ciqfunctions.udf.CIQ($A39, "IQ_TOTAL_REV", $B$3, $L$2,$L$4, $L$3, $L$5, $L$6))</f>
        <v>#NAME?</v>
      </c>
      <c r="T39" s="105" t="e">
        <f ca="1">IF(_xll.ciqfunctions.udf.CIQ($A39, "IQ_REVENUE_EST",$B$4, $L$2, "CON", $L$3, $L$5, $L$6)=0,"n/a",_xll.ciqfunctions.udf.CIQ($A39, "IQ_REVENUE_EST",$B$4, $L$2, "CON", $L$3, $L$5, $L$6))</f>
        <v>#NAME?</v>
      </c>
      <c r="U39" s="105" t="e">
        <f ca="1">IF(_xll.ciqfunctions.udf.CIQ($A39, "IQ_REVENUE_EST",$B$5, $L$2, "CON", $L$3, $L$5, $L$6)=0,"n/a",_xll.ciqfunctions.udf.CIQ($A39, "IQ_REVENUE_EST",$B$5, $L$2, "CON", $L$3, $L$5, $L$6))</f>
        <v>#NAME?</v>
      </c>
      <c r="V39" s="105" t="e">
        <f ca="1">IF(_xll.ciqfunctions.udf.CIQ($A39, "IQ_REVENUE_EST",$B$6, $L$2, "CON", $L$3, $L$5, $L$6)=0,"n/a",_xll.ciqfunctions.udf.CIQ($A39, "IQ_REVENUE_EST",$B$6, $L$2, "CON", $L$3, $L$5, $L$6))</f>
        <v>#NAME?</v>
      </c>
      <c r="W39" s="105" t="e">
        <f ca="1">IF(_xll.ciqfunctions.udf.CIQ($A39, "IQ_REVENUE_EST", $B$7, $L$2, "CON", $L$3, $L$5, $L$6)=0,"n/a",_xll.ciqfunctions.udf.CIQ($A39, "IQ_REVENUE_EST",$B$7, $L$2, "CON", $L$3, $L$5, $L$6))</f>
        <v>#NAME?</v>
      </c>
      <c r="X39" s="105" t="e">
        <f ca="1">_xll.ciqfunctions.udf.CIQ($A39, "IQ_EBITDA", IQ_LTM-8, $L$2, $L$4, $L$3, $L$5, $L$6)</f>
        <v>#NAME?</v>
      </c>
      <c r="Y39" s="105" t="e">
        <f ca="1">_xll.ciqfunctions.udf.CIQ($A39, "IQ_EBITDA", IQ_LTM-4, $L$2,$L$4, $L$3, $L$5, $L$6)</f>
        <v>#NAME?</v>
      </c>
      <c r="Z39" s="105" t="e">
        <f ca="1">_xll.ciqfunctions.udf.CIQ($A39, "IQ_EBITDA", IQ_LTM, $L$2, $L$4, $L$3, $L$5, $L$6)</f>
        <v>#NAME?</v>
      </c>
      <c r="AA39" s="105" t="e">
        <f ca="1">_xll.ciqfunctions.udf.CIQ($A39, "IQ_EBITDA", $B$2, $L$2, $L$4, $L$3, $L$5, $L$6)</f>
        <v>#NAME?</v>
      </c>
      <c r="AB39" s="105" t="e">
        <f ca="1">IF(_xll.ciqfunctions.udf.CIQ($A39, "IQ_EBITDA", $B$3, $L$2,$L$4, $L$3, $L$5, $L$6)=0,Z39,_xll.ciqfunctions.udf.CIQ($A39, "IQ_EBITDA", $B$3, $L$2,$L$4, $L$3, $L$5, $L$6))</f>
        <v>#NAME?</v>
      </c>
      <c r="AC39" s="105" t="e">
        <f ca="1">IF(_xll.ciqfunctions.udf.CIQ($A39, "IQ_EBITDA_EST",$B$4, $L$2, "CON", $L$3, $L$5, $L$6)=0,"n/a",_xll.ciqfunctions.udf.CIQ($A39, "IQ_EBITDA_EST",$B$4, $L$2, "CON", $L$3, $L$5, $L$6))</f>
        <v>#NAME?</v>
      </c>
      <c r="AD39" s="105" t="e">
        <f ca="1">IF(_xll.ciqfunctions.udf.CIQ($A39, "IQ_EBITDA_EST",$B$5, $L$2, "CON", $L$3, $L$5, $L$6)=0,"n/a",_xll.ciqfunctions.udf.CIQ($A39, "IQ_EBITDA_EST",$B$5, $L$2, "CON", $L$3, $L$5, $L$6))</f>
        <v>#NAME?</v>
      </c>
      <c r="AE39" s="105" t="e">
        <f ca="1">IF(_xll.ciqfunctions.udf.CIQ($A39, "IQ_EBITDA_EST",$B$6, $L$2, "CON", $L$3, $L$5, $L$6)=0,"n/a",_xll.ciqfunctions.udf.CIQ($A39, "IQ_EBITDA_EST",$B$6, $L$2, "CON", $L$3, $L$5, $L$6))</f>
        <v>#NAME?</v>
      </c>
      <c r="AF39" s="106" t="str">
        <f ca="1">IF(ISERROR(_xll.ciqfunctions.udf.CIQ($A39, "IQ_GROSS_MARGIN", IQ_LTM, $L$2,$L$4, $L$3, $L$5, $L$6)/100), "n/a", _xll.ciqfunctions.udf.CIQ($A39,  "IQ_GROSS_MARGIN", IQ_LTM, $L$2, $L$4, $L$3, $L$5, $L$6)/100)</f>
        <v>n/a</v>
      </c>
      <c r="AG39" s="106" t="str">
        <f ca="1">IF(ISERROR(_xll.ciqfunctions.udf.CIQ($A39,"IQ_EBITDA_MARGIN", IQ_LTM, $L$2, $L$4, $L$3, $L$5, $L$6)/100), "n/a", _xll.ciqfunctions.udf.CIQ($A39, "IQ_EBITDA_MARGIN", IQ_LTM, $L$2, $L$4, $L$3, $L$5, $L$6)/100)</f>
        <v>n/a</v>
      </c>
      <c r="AH39" s="106" t="str">
        <f ca="1">IF(ISERROR(_xll.ciqfunctions.udf.CIQ($A39,"IQ_EBIT_MARGIN", IQ_LTM, $L$2, $L$4, $L$3, $L$5, $L$6)/100), "n/a", _xll.ciqfunctions.udf.CIQ($A39, "IQ_EBIT_MARGIN", IQ_LTM, $L$2, $L$4, $L$3, $L$5, $L$6)/100)</f>
        <v>n/a</v>
      </c>
      <c r="AI39" s="106" t="str">
        <f ca="1">IF(ISERROR(_xll.ciqfunctions.udf.CIQ($A39,"IQ_NI_MARGIN", IQ_LTM, $L$2, $L$4, $L$3, $L$5, $L$6)/100), "n/a", _xll.ciqfunctions.udf.CIQ($A39, "IQ_NI_MARGIN", IQ_LTM, $L$2, $L$4, $L$3, $L$5, $L$6)/100)</f>
        <v>n/a</v>
      </c>
      <c r="AJ39" s="105" t="str">
        <f ca="1">IF(ISERROR(_xll.ciqfunctions.udf.CIQ($A39, "IQ_NET_WORKING_CAP", IQ_LTM-8, $L$2, $L$4, $L$3, $L$5, $L$6)), "n/a", _xll.ciqfunctions.udf.CIQ($A39, "IQ_NET_WORKING_CAP", IQ_LTM-8, $L$2, $L$4, $L$3, $L$5, $L$6))</f>
        <v>n/a</v>
      </c>
      <c r="AK39" s="105" t="str">
        <f ca="1">IF(ISERROR(_xll.ciqfunctions.udf.CIQ($A39, "IQ_NET_WORKING_CAP", IQ_LTM-4, $L$2, $L$4, $L$3, $L$5, $L$6)), "n/a", _xll.ciqfunctions.udf.CIQ($A39, "IQ_NET_WORKING_CAP", IQ_LTM-4, $L$2, $L$4, $L$3, $L$5, $L$6))</f>
        <v>n/a</v>
      </c>
      <c r="AL39" s="105" t="str">
        <f ca="1">IF(ISERROR(_xll.ciqfunctions.udf.CIQ($A39, "IQ_NET_WORKING_CAP", IQ_LTM, $L$2,$L$4, $L$3, $L$5, $L$6)), "n/a", _xll.ciqfunctions.udf.CIQ($A39, "IQ_NET_WORKING_CAP", IQ_LTM, $L$2, $L$4, $L$3, $L$5, $L$6))</f>
        <v>n/a</v>
      </c>
      <c r="AM39" s="105" t="str">
        <f ca="1">IF(ISERROR(_xll.ciqfunctions.udf.CIQ($A39, "IQ_Capex", IQ_LTM-8, $L$2,$L$4, $L$3, $L$5, $L$6)), "n/a", _xll.ciqfunctions.udf.CIQ($A39, "IQ_Capex", IQ_LTM-8, $L$2, $L$4, $L$3, $L$5, $L$6))</f>
        <v>n/a</v>
      </c>
      <c r="AN39" s="105" t="str">
        <f ca="1">IF(ISERROR(_xll.ciqfunctions.udf.CIQ($A39, "IQ_Capex", IQ_LTM-4, $L$2,$L$4, $L$3, $L$5, $L$6)), "n/a", _xll.ciqfunctions.udf.CIQ($A39, "IQ_Capex", IQ_LTM-4, $L$2,$L$4, $L$3, $L$5, $L$6))</f>
        <v>n/a</v>
      </c>
      <c r="AO39" s="105" t="str">
        <f ca="1">IF(ISERROR(_xll.ciqfunctions.udf.CIQ($A39, "IQ_Capex", IQ_LTM, $L$2, $L$4, $L$3, $L$5, $L$6)), "n/a", _xll.ciqfunctions.udf.CIQ($A39, "IQ_Capex", IQ_LTM, $L$2, $L$4, $L$3, $L$5, $L$6))</f>
        <v>n/a</v>
      </c>
      <c r="AP39" s="107" t="e">
        <f ca="1">_xll.ciqfunctions.udf.CIQ(A39, "IQ_BUSINESS_DESCRIPTION")</f>
        <v>#NAME?</v>
      </c>
      <c r="AQ39" s="108" t="e">
        <f ca="1">_xll.ciqfunctions.udf.CIQ($A39, "IQ_BETA_1YR", $B$1)</f>
        <v>#NAME?</v>
      </c>
      <c r="AR39" s="108" t="e">
        <f ca="1">_xll.ciqfunctions.udf.CIQ($A39, "IQ_BETA_2YR", $B$1)</f>
        <v>#NAME?</v>
      </c>
      <c r="AS39" s="108" t="e">
        <f ca="1">_xll.ciqfunctions.udf.CIQ($A39, "IQ_BETA_5YR", $B$1)</f>
        <v>#NAME?</v>
      </c>
      <c r="AT39" s="106" t="e">
        <f ca="1">_xll.ciqfunctions.udf.CIQ($A39, "IQ_DIVIDEND_YIELD", $B$1)/100</f>
        <v>#NAME?</v>
      </c>
      <c r="AU39" s="105" t="e">
        <f ca="1">_xll.ciqfunctions.udf.CIQ($A39, "IQ_EARNING_CO", IQ_LTM-8, $L$2, $L$4, $L$3, $L$5, $L$6)</f>
        <v>#NAME?</v>
      </c>
      <c r="AV39" s="105" t="e">
        <f ca="1">_xll.ciqfunctions.udf.CIQ($A39, "IQ_EARNING_CO", IQ_LTM-4, $L$2, $L$4, $L$3, $L$5, $L$6)</f>
        <v>#NAME?</v>
      </c>
      <c r="AW39" s="105" t="e">
        <f ca="1">_xll.ciqfunctions.udf.CIQ($A39, "IQ_EARNING_CO", IQ_LTM, $L$2, $L$4, $L$3, $L$5, $L$6)</f>
        <v>#NAME?</v>
      </c>
      <c r="AX39" s="105" t="e">
        <f ca="1">_xll.ciqfunctions.udf.CIQ($A39, "IQ_EARNING_CO", $B$2, $L$2, $L$4, $L$3, $L$5, $L$6)</f>
        <v>#NAME?</v>
      </c>
      <c r="AY39" s="105" t="e">
        <f ca="1">IF(_xll.ciqfunctions.udf.CIQ($A39, "IQ_EARNING_CO", $B$3, $L$2,$L$4, $L$3, $L$5, $L$6)=0,AW39,_xll.ciqfunctions.udf.CIQ($A39, "IQ_EARNING_CO", $B$3, $L$2,$L$4, $L$3, $L$5, $L$6))</f>
        <v>#NAME?</v>
      </c>
      <c r="AZ39" s="105" t="e">
        <f ca="1">_xll.ciqfunctions.udf.CIQ($A39, "IQ_TOTAL_EQUITY", IQ_LTM-8, $L$2, $L$4, $L$3, $L$5, $L$6)</f>
        <v>#NAME?</v>
      </c>
      <c r="BA39" s="105" t="e">
        <f ca="1">_xll.ciqfunctions.udf.CIQ($A39, "IQ_TOTAL_EQUITY", IQ_LTM-4, $L$2, $L$4, $L$3, $L$5, $L$6)</f>
        <v>#NAME?</v>
      </c>
      <c r="BB39" s="105" t="e">
        <f ca="1">_xll.ciqfunctions.udf.CIQ($A39, "IQ_TOTAL_EQUITY", IQ_LTM, $L$2, $L$4, $L$3, $L$5, $L$6)</f>
        <v>#NAME?</v>
      </c>
      <c r="BC39" s="105" t="e">
        <f ca="1">_xll.ciqfunctions.udf.CIQ($A39, "IQ_TOTAL_EQUITY", $B$2, $L$2, $L$4, $L$3, $L$5, $L$6)</f>
        <v>#NAME?</v>
      </c>
      <c r="BD39" s="105" t="e">
        <f ca="1">IF(_xll.ciqfunctions.udf.CIQ($A39, "IQ_TOTAL_EQUITY", $B$3, $L$2,$L$4, $L$3, $L$5, $L$6)=0,BB39,_xll.ciqfunctions.udf.CIQ($A39, "IQ_TOTAL_EQUITY", $B$3, $L$2,$L$4, $L$3, $L$5, $L$6))</f>
        <v>#NAME?</v>
      </c>
      <c r="BE39" s="105" t="e">
        <f ca="1">_xll.ciqfunctions.udf.CIQ(A39, "IQ_LASTSALEPRICE", $B$8)</f>
        <v>#NAME?</v>
      </c>
      <c r="BF39" s="105" t="e">
        <f ca="1">_xll.ciqfunctions.udf.CIQ($A39, "IQ_MARKETCAP", $B$8, $L$5, $L$6)</f>
        <v>#NAME?</v>
      </c>
      <c r="BG39" s="105" t="e">
        <f ca="1">_xll.ciqfunctions.udf.CIQ($A39, "IQ_TOTAL_DEBT", IQ_LTM, $B$8,$L$4, $L$3, $L$5, $L$6)</f>
        <v>#NAME?</v>
      </c>
      <c r="BH39" s="74" t="e">
        <f ca="1">_xll.ciqfunctions.udf.CIQ($A39,"IQ_PREF_EQUITY",IQ_LTM,$B$8,$L$4,$L$3,$L$5,$L$6)</f>
        <v>#NAME?</v>
      </c>
      <c r="BI39" s="74" t="e">
        <f ca="1">_xll.ciqfunctions.udf.CIQ($A39, "IQ_MINORITY_INTEREST_TOTAL", IQ_LTM,$B$8,$L$4,$L$3,$L$5,$L$6)</f>
        <v>#NAME?</v>
      </c>
      <c r="BJ39" s="105" t="e">
        <f ca="1">_xll.ciqfunctions.udf.CIQ($A39, "IQ_CASH_ST_INVEST", IQ_LTM, $B$8, $L$4, $L$3, $L$5, $L$6)</f>
        <v>#NAME?</v>
      </c>
      <c r="BK39" s="74" t="e">
        <f ca="1">_xll.ciqfunctions.udf.CIQ($A39, "IQ_EFFECT_TAX_RATE")</f>
        <v>#NAME?</v>
      </c>
      <c r="BL39" s="74" t="e">
        <f ca="1">IF(_xll.ciqfunctions.udf.CIQ($A39, "IQ_TOTAL_REV_2YR_ANN_CAGR", IQ_LTM, $B$1,$L$4, $L$3, $L$5, $L$6)="NM","n/a",(_xll.ciqfunctions.udf.CIQ($A39, "IQ_TOTAL_REV_2YR_ANN_CAGR", IQ_LTM, $B$1,$L$4, $L$3, $L$5, $L$6)/100))</f>
        <v>#NAME?</v>
      </c>
      <c r="BM39" s="74" t="e">
        <f ca="1">IF(_xll.ciqfunctions.udf.CIQ($A39, "IQ_TOTAL_REV_3YR_ANN_CAGR", IQ_LTM, $B$1,$L$4, $L$3, $L$5, $L$6)="NM","n/a",(_xll.ciqfunctions.udf.CIQ($A39, "IQ_TOTAL_REV_3YR_ANN_CAGR", IQ_LTM, $B$1,$L$4, $L$3, $L$5, $L$6)/100))</f>
        <v>#NAME?</v>
      </c>
      <c r="BN39" s="74" t="e">
        <f ca="1">IF(_xll.ciqfunctions.udf.CIQ($A39, "IQ_TOTAL_REV_5YR_ANN_CAGR", IQ_LTM, $B$1,$L$4, $L$3, $L$5, $L$6)="NM","n/a",(_xll.ciqfunctions.udf.CIQ($A39, "IQ_TOTAL_REV_5YR_ANN_CAGR", IQ_LTM, $B$1,$L$4, $L$3, $L$5, $L$6)/100))</f>
        <v>#NAME?</v>
      </c>
      <c r="BO39" s="74" t="e">
        <f ca="1">IF(_xll.ciqfunctions.udf.CIQ($A39,"IQ_EBITDA_2YR_ANN_CAGR", IQ_LTM,$B$1,$L$4, $L$3, $L$5, $L$6)="NM","n/a",(_xll.ciqfunctions.udf.CIQ($A39,"IQ_EBITDA_2YR_ANN_CAGR", IQ_LTM,$B$1,$L$4, $L$3, $L$5, $L$6)/100))</f>
        <v>#NAME?</v>
      </c>
      <c r="BP39" s="74" t="e">
        <f ca="1">IF(_xll.ciqfunctions.udf.CIQ($A39,"IQ_EBITDA_3YR_ANN_CAGR", IQ_LTM,$B$1,$L$4, $L$3, $L$5, $L$6)="NM","n/a",(_xll.ciqfunctions.udf.CIQ($A39,"IQ_EBITDA_3YR_ANN_CAGR", IQ_LTM,$B$1,$L$4, $L$3, $L$5, $L$6)/100))</f>
        <v>#NAME?</v>
      </c>
      <c r="BQ39" s="74" t="e">
        <f ca="1">IF(_xll.ciqfunctions.udf.CIQ($A39,"IQ_EBITDA_5YR_ANN_CAGR", IQ_LTM,$B$1,$L$4, $L$3, $L$5, $L$6)="NM","n/a",(_xll.ciqfunctions.udf.CIQ($A39,"IQ_EBITDA_5YR_ANN_CAGR", IQ_LTM,$B$1,$L$4, $L$3, $L$5, $L$6)/100))</f>
        <v>#NAME?</v>
      </c>
      <c r="BR39" s="78" t="str">
        <f ca="1">IFERROR((_xll.ciqfunctions.udf.CIQ($A39, "IQ_DA_CF", IQ_LTM, $B$1, $L$4, $L$3, $L$5, $L$6)/Q39),"NM")</f>
        <v>NM</v>
      </c>
      <c r="BS39" s="109">
        <f>'Capital IQ Sheet-GPC'!BS39</f>
        <v>1.0089141372390369</v>
      </c>
      <c r="BT39" s="109">
        <f>'Capital IQ Sheet-GPC'!BT39</f>
        <v>0.94144155911266458</v>
      </c>
      <c r="BU39" s="109">
        <f>'Capital IQ Sheet-GPC'!BU39</f>
        <v>0.9097061604101625</v>
      </c>
      <c r="BV39" s="109">
        <f>'Capital IQ Sheet-GPC'!BV39</f>
        <v>0.92299971134205117</v>
      </c>
      <c r="BW39" s="109">
        <f>'Capital IQ Sheet-GPC'!BW39</f>
        <v>0.98778150228867834</v>
      </c>
      <c r="BX39" s="109" t="str">
        <f>'Capital IQ Sheet-GPC'!BX39</f>
        <v>n/a</v>
      </c>
      <c r="BY39" s="109" t="str">
        <f>'Capital IQ Sheet-GPC'!BY39</f>
        <v>n/a</v>
      </c>
      <c r="BZ39" s="109" t="str">
        <f>'Capital IQ Sheet-GPC'!BZ39</f>
        <v>n/a</v>
      </c>
      <c r="CB39" s="74">
        <v>2</v>
      </c>
      <c r="CC39" s="149" t="s">
        <v>315</v>
      </c>
      <c r="CD39" s="149" t="s">
        <v>314</v>
      </c>
      <c r="CE39" s="76">
        <f t="shared" si="0"/>
        <v>42005</v>
      </c>
    </row>
    <row r="40" spans="1:83" s="74" customFormat="1" ht="12.75">
      <c r="A40" s="75" t="e">
        <f ca="1">_xll.ciqfunctions.udf.CIQ($B40,"IQ_COMPANY_TICKER")</f>
        <v>#NAME?</v>
      </c>
      <c r="B40" s="104" t="str">
        <f>'Capital IQ Sheet-GPC'!B40</f>
        <v>IQ4492928</v>
      </c>
      <c r="C40" s="75" t="e">
        <f ca="1">_xll.ciqfunctions.udf.CIQ($A40,"IQ_COMPANY_NAME")</f>
        <v>#NAME?</v>
      </c>
      <c r="D40" s="75" t="e">
        <f ca="1">_xll.ciqfunctions.udf.CIQ($A40, "IQ_EXCHANGE")</f>
        <v>#NAME?</v>
      </c>
      <c r="E40" s="103" t="e">
        <f ca="1">_xll.ciqfunctions.udf.CIQ($A40, "IQ_PERIODDATE_IS", IQ_FY)</f>
        <v>#NAME?</v>
      </c>
      <c r="F40" s="103" t="e">
        <f ca="1">_xll.ciqfunctions.udf.CIQ(A40, "IQ_PERIODDATE_IS", IQ_LTM, $B$1,$L$4,$L$3)</f>
        <v>#NAME?</v>
      </c>
      <c r="G40" s="103" t="e">
        <f ca="1">_xll.ciqfunctions.udf.CIQ($A40, "IQ_FIRSTPRICINGDATE")</f>
        <v>#NAME?</v>
      </c>
      <c r="H40" s="105" t="e">
        <f ca="1">_xll.ciqfunctions.udf.CIQ($A40, "IQ_TEV", $L$2, $L$5, $L$6)</f>
        <v>#NAME?</v>
      </c>
      <c r="I40" s="105" t="e">
        <f ca="1">_xll.ciqfunctions.udf.CIQ(A40, "IQ_LASTSALEPRICE", $B$1,$L$5)</f>
        <v>#NAME?</v>
      </c>
      <c r="J40" s="105" t="e">
        <f ca="1">_xll.ciqfunctions.udf.CIQ($A40, "IQ_MARKETCAP", $L$2, $L$5, $L$6)</f>
        <v>#NAME?</v>
      </c>
      <c r="K40" s="105" t="e">
        <f ca="1">_xll.ciqfunctions.udf.CIQ($A40, "IQ_TOTAL_DEBT", IQ_LTM, $L$2,$L$4, $L$3, $L$5, $L$6)</f>
        <v>#NAME?</v>
      </c>
      <c r="L40" s="105" t="e">
        <f ca="1">_xll.ciqfunctions.udf.CIQ($A40, "IQ_PREF_EQUITY", IQ_LTM, $L$2, $L$4, $L$3, $L$5, $L$6)</f>
        <v>#NAME?</v>
      </c>
      <c r="M40" s="105" t="e">
        <f ca="1">_xll.ciqfunctions.udf.CIQ($A40, "IQ_MINORITY_INTEREST_TOTAL", IQ_LTM, $L$2, $L$4, $L$3, $L$5, $L$6)</f>
        <v>#NAME?</v>
      </c>
      <c r="N40" s="105" t="e">
        <f ca="1">_xll.ciqfunctions.udf.CIQ($A40, "IQ_CASH_ST_INVEST", IQ_LTM, $L$2, $L$4, $L$3, $L$5, $L$6)</f>
        <v>#NAME?</v>
      </c>
      <c r="O40" s="105" t="e">
        <f ca="1">_xll.ciqfunctions.udf.CIQ($A40, "IQ_TOTAL_REV", IQ_LTM-8, $L$2, $L$4, $L$3, $L$5, $L$6)</f>
        <v>#NAME?</v>
      </c>
      <c r="P40" s="105" t="e">
        <f ca="1">_xll.ciqfunctions.udf.CIQ($A40, "IQ_TOTAL_REV", IQ_LTM - 4, $L$2, $L$4, $L$3, $L$5,$L$6)</f>
        <v>#NAME?</v>
      </c>
      <c r="Q40" s="105" t="e">
        <f ca="1">_xll.ciqfunctions.udf.CIQ($A40, "IQ_TOTAL_REV", IQ_LTM, $L$2, $L$4, $L$3, $L$5, $L$6)</f>
        <v>#NAME?</v>
      </c>
      <c r="R40" s="105" t="e">
        <f ca="1">_xll.ciqfunctions.udf.CIQ($A40, "IQ_TOTAL_REV", $B$2, $L$2, $L$4, $L$3, $L$5, $L$6)</f>
        <v>#NAME?</v>
      </c>
      <c r="S40" s="105" t="e">
        <f ca="1">IF(_xll.ciqfunctions.udf.CIQ($A40, "IQ_TOTAL_REV", $B$3, $L$2,$L$4, $L$3, $L$5, $L$6)=0,Q40,_xll.ciqfunctions.udf.CIQ($A40, "IQ_TOTAL_REV", $B$3, $L$2,$L$4, $L$3, $L$5, $L$6))</f>
        <v>#NAME?</v>
      </c>
      <c r="T40" s="105" t="e">
        <f ca="1">IF(_xll.ciqfunctions.udf.CIQ($A40, "IQ_REVENUE_EST",$B$4, $L$2, "CON", $L$3, $L$5, $L$6)=0,"n/a",_xll.ciqfunctions.udf.CIQ($A40, "IQ_REVENUE_EST",$B$4, $L$2, "CON", $L$3, $L$5, $L$6))</f>
        <v>#NAME?</v>
      </c>
      <c r="U40" s="105" t="e">
        <f ca="1">IF(_xll.ciqfunctions.udf.CIQ($A40, "IQ_REVENUE_EST",$B$5, $L$2, "CON", $L$3, $L$5, $L$6)=0,"n/a",_xll.ciqfunctions.udf.CIQ($A40, "IQ_REVENUE_EST",$B$5, $L$2, "CON", $L$3, $L$5, $L$6))</f>
        <v>#NAME?</v>
      </c>
      <c r="V40" s="105" t="e">
        <f ca="1">IF(_xll.ciqfunctions.udf.CIQ($A40, "IQ_REVENUE_EST",$B$6, $L$2, "CON", $L$3, $L$5, $L$6)=0,"n/a",_xll.ciqfunctions.udf.CIQ($A40, "IQ_REVENUE_EST",$B$6, $L$2, "CON", $L$3, $L$5, $L$6))</f>
        <v>#NAME?</v>
      </c>
      <c r="W40" s="105" t="e">
        <f ca="1">IF(_xll.ciqfunctions.udf.CIQ($A40, "IQ_REVENUE_EST", $B$7, $L$2, "CON", $L$3, $L$5, $L$6)=0,"n/a",_xll.ciqfunctions.udf.CIQ($A40, "IQ_REVENUE_EST",$B$7, $L$2, "CON", $L$3, $L$5, $L$6))</f>
        <v>#NAME?</v>
      </c>
      <c r="X40" s="105" t="e">
        <f ca="1">_xll.ciqfunctions.udf.CIQ($A40, "IQ_EBITDA", IQ_LTM-8, $L$2, $L$4, $L$3, $L$5, $L$6)</f>
        <v>#NAME?</v>
      </c>
      <c r="Y40" s="105" t="e">
        <f ca="1">_xll.ciqfunctions.udf.CIQ($A40, "IQ_EBITDA", IQ_LTM-4, $L$2,$L$4, $L$3, $L$5, $L$6)</f>
        <v>#NAME?</v>
      </c>
      <c r="Z40" s="105" t="e">
        <f ca="1">_xll.ciqfunctions.udf.CIQ($A40, "IQ_EBITDA", IQ_LTM, $L$2, $L$4, $L$3, $L$5, $L$6)</f>
        <v>#NAME?</v>
      </c>
      <c r="AA40" s="105" t="e">
        <f ca="1">_xll.ciqfunctions.udf.CIQ($A40, "IQ_EBITDA", $B$2, $L$2, $L$4, $L$3, $L$5, $L$6)</f>
        <v>#NAME?</v>
      </c>
      <c r="AB40" s="105" t="e">
        <f ca="1">IF(_xll.ciqfunctions.udf.CIQ($A40, "IQ_EBITDA", $B$3, $L$2,$L$4, $L$3, $L$5, $L$6)=0,Z40,_xll.ciqfunctions.udf.CIQ($A40, "IQ_EBITDA", $B$3, $L$2,$L$4, $L$3, $L$5, $L$6))</f>
        <v>#NAME?</v>
      </c>
      <c r="AC40" s="105" t="e">
        <f ca="1">IF(_xll.ciqfunctions.udf.CIQ($A40, "IQ_EBITDA_EST",$B$4, $L$2, "CON", $L$3, $L$5, $L$6)=0,"n/a",_xll.ciqfunctions.udf.CIQ($A40, "IQ_EBITDA_EST",$B$4, $L$2, "CON", $L$3, $L$5, $L$6))</f>
        <v>#NAME?</v>
      </c>
      <c r="AD40" s="105" t="e">
        <f ca="1">IF(_xll.ciqfunctions.udf.CIQ($A40, "IQ_EBITDA_EST",$B$5, $L$2, "CON", $L$3, $L$5, $L$6)=0,"n/a",_xll.ciqfunctions.udf.CIQ($A40, "IQ_EBITDA_EST",$B$5, $L$2, "CON", $L$3, $L$5, $L$6))</f>
        <v>#NAME?</v>
      </c>
      <c r="AE40" s="105" t="e">
        <f ca="1">IF(_xll.ciqfunctions.udf.CIQ($A40, "IQ_EBITDA_EST",$B$6, $L$2, "CON", $L$3, $L$5, $L$6)=0,"n/a",_xll.ciqfunctions.udf.CIQ($A40, "IQ_EBITDA_EST",$B$6, $L$2, "CON", $L$3, $L$5, $L$6))</f>
        <v>#NAME?</v>
      </c>
      <c r="AF40" s="106" t="str">
        <f ca="1">IF(ISERROR(_xll.ciqfunctions.udf.CIQ($A40, "IQ_GROSS_MARGIN", IQ_LTM, $L$2,$L$4, $L$3, $L$5, $L$6)/100), "n/a", _xll.ciqfunctions.udf.CIQ($A40,  "IQ_GROSS_MARGIN", IQ_LTM, $L$2, $L$4, $L$3, $L$5, $L$6)/100)</f>
        <v>n/a</v>
      </c>
      <c r="AG40" s="106" t="str">
        <f ca="1">IF(ISERROR(_xll.ciqfunctions.udf.CIQ($A40,"IQ_EBITDA_MARGIN", IQ_LTM, $L$2, $L$4, $L$3, $L$5, $L$6)/100), "n/a", _xll.ciqfunctions.udf.CIQ($A40, "IQ_EBITDA_MARGIN", IQ_LTM, $L$2, $L$4, $L$3, $L$5, $L$6)/100)</f>
        <v>n/a</v>
      </c>
      <c r="AH40" s="106" t="str">
        <f ca="1">IF(ISERROR(_xll.ciqfunctions.udf.CIQ($A40,"IQ_EBIT_MARGIN", IQ_LTM, $L$2, $L$4, $L$3, $L$5, $L$6)/100), "n/a", _xll.ciqfunctions.udf.CIQ($A40, "IQ_EBIT_MARGIN", IQ_LTM, $L$2, $L$4, $L$3, $L$5, $L$6)/100)</f>
        <v>n/a</v>
      </c>
      <c r="AI40" s="106" t="str">
        <f ca="1">IF(ISERROR(_xll.ciqfunctions.udf.CIQ($A40,"IQ_NI_MARGIN", IQ_LTM, $L$2, $L$4, $L$3, $L$5, $L$6)/100), "n/a", _xll.ciqfunctions.udf.CIQ($A40, "IQ_NI_MARGIN", IQ_LTM, $L$2, $L$4, $L$3, $L$5, $L$6)/100)</f>
        <v>n/a</v>
      </c>
      <c r="AJ40" s="105" t="str">
        <f ca="1">IF(ISERROR(_xll.ciqfunctions.udf.CIQ($A40, "IQ_NET_WORKING_CAP", IQ_LTM-8, $L$2, $L$4, $L$3, $L$5, $L$6)), "n/a", _xll.ciqfunctions.udf.CIQ($A40, "IQ_NET_WORKING_CAP", IQ_LTM-8, $L$2, $L$4, $L$3, $L$5, $L$6))</f>
        <v>n/a</v>
      </c>
      <c r="AK40" s="105" t="str">
        <f ca="1">IF(ISERROR(_xll.ciqfunctions.udf.CIQ($A40, "IQ_NET_WORKING_CAP", IQ_LTM-4, $L$2, $L$4, $L$3, $L$5, $L$6)), "n/a", _xll.ciqfunctions.udf.CIQ($A40, "IQ_NET_WORKING_CAP", IQ_LTM-4, $L$2, $L$4, $L$3, $L$5, $L$6))</f>
        <v>n/a</v>
      </c>
      <c r="AL40" s="105" t="str">
        <f ca="1">IF(ISERROR(_xll.ciqfunctions.udf.CIQ($A40, "IQ_NET_WORKING_CAP", IQ_LTM, $L$2,$L$4, $L$3, $L$5, $L$6)), "n/a", _xll.ciqfunctions.udf.CIQ($A40, "IQ_NET_WORKING_CAP", IQ_LTM, $L$2, $L$4, $L$3, $L$5, $L$6))</f>
        <v>n/a</v>
      </c>
      <c r="AM40" s="105" t="str">
        <f ca="1">IF(ISERROR(_xll.ciqfunctions.udf.CIQ($A40, "IQ_Capex", IQ_LTM-8, $L$2,$L$4, $L$3, $L$5, $L$6)), "n/a", _xll.ciqfunctions.udf.CIQ($A40, "IQ_Capex", IQ_LTM-8, $L$2, $L$4, $L$3, $L$5, $L$6))</f>
        <v>n/a</v>
      </c>
      <c r="AN40" s="105" t="str">
        <f ca="1">IF(ISERROR(_xll.ciqfunctions.udf.CIQ($A40, "IQ_Capex", IQ_LTM-4, $L$2,$L$4, $L$3, $L$5, $L$6)), "n/a", _xll.ciqfunctions.udf.CIQ($A40, "IQ_Capex", IQ_LTM-4, $L$2,$L$4, $L$3, $L$5, $L$6))</f>
        <v>n/a</v>
      </c>
      <c r="AO40" s="105" t="str">
        <f ca="1">IF(ISERROR(_xll.ciqfunctions.udf.CIQ($A40, "IQ_Capex", IQ_LTM, $L$2, $L$4, $L$3, $L$5, $L$6)), "n/a", _xll.ciqfunctions.udf.CIQ($A40, "IQ_Capex", IQ_LTM, $L$2, $L$4, $L$3, $L$5, $L$6))</f>
        <v>n/a</v>
      </c>
      <c r="AP40" s="107" t="e">
        <f ca="1">_xll.ciqfunctions.udf.CIQ(A40, "IQ_BUSINESS_DESCRIPTION")</f>
        <v>#NAME?</v>
      </c>
      <c r="AQ40" s="108" t="e">
        <f ca="1">_xll.ciqfunctions.udf.CIQ($A40, "IQ_BETA_1YR", $B$1)</f>
        <v>#NAME?</v>
      </c>
      <c r="AR40" s="108" t="e">
        <f ca="1">_xll.ciqfunctions.udf.CIQ($A40, "IQ_BETA_2YR", $B$1)</f>
        <v>#NAME?</v>
      </c>
      <c r="AS40" s="108" t="e">
        <f ca="1">_xll.ciqfunctions.udf.CIQ($A40, "IQ_BETA_5YR", $B$1)</f>
        <v>#NAME?</v>
      </c>
      <c r="AT40" s="106" t="e">
        <f ca="1">_xll.ciqfunctions.udf.CIQ($A40, "IQ_DIVIDEND_YIELD", $B$1)/100</f>
        <v>#NAME?</v>
      </c>
      <c r="AU40" s="105" t="e">
        <f ca="1">_xll.ciqfunctions.udf.CIQ($A40, "IQ_EARNING_CO", IQ_LTM-8, $L$2, $L$4, $L$3, $L$5, $L$6)</f>
        <v>#NAME?</v>
      </c>
      <c r="AV40" s="105" t="e">
        <f ca="1">_xll.ciqfunctions.udf.CIQ($A40, "IQ_EARNING_CO", IQ_LTM-4, $L$2, $L$4, $L$3, $L$5, $L$6)</f>
        <v>#NAME?</v>
      </c>
      <c r="AW40" s="105" t="e">
        <f ca="1">_xll.ciqfunctions.udf.CIQ($A40, "IQ_EARNING_CO", IQ_LTM, $L$2, $L$4, $L$3, $L$5, $L$6)</f>
        <v>#NAME?</v>
      </c>
      <c r="AX40" s="105" t="e">
        <f ca="1">_xll.ciqfunctions.udf.CIQ($A40, "IQ_EARNING_CO", $B$2, $L$2, $L$4, $L$3, $L$5, $L$6)</f>
        <v>#NAME?</v>
      </c>
      <c r="AY40" s="105" t="e">
        <f ca="1">IF(_xll.ciqfunctions.udf.CIQ($A40, "IQ_EARNING_CO", $B$3, $L$2,$L$4, $L$3, $L$5, $L$6)=0,AW40,_xll.ciqfunctions.udf.CIQ($A40, "IQ_EARNING_CO", $B$3, $L$2,$L$4, $L$3, $L$5, $L$6))</f>
        <v>#NAME?</v>
      </c>
      <c r="AZ40" s="105" t="e">
        <f ca="1">_xll.ciqfunctions.udf.CIQ($A40, "IQ_TOTAL_EQUITY", IQ_LTM-8, $L$2, $L$4, $L$3, $L$5, $L$6)</f>
        <v>#NAME?</v>
      </c>
      <c r="BA40" s="105" t="e">
        <f ca="1">_xll.ciqfunctions.udf.CIQ($A40, "IQ_TOTAL_EQUITY", IQ_LTM-4, $L$2, $L$4, $L$3, $L$5, $L$6)</f>
        <v>#NAME?</v>
      </c>
      <c r="BB40" s="105" t="e">
        <f ca="1">_xll.ciqfunctions.udf.CIQ($A40, "IQ_TOTAL_EQUITY", IQ_LTM, $L$2, $L$4, $L$3, $L$5, $L$6)</f>
        <v>#NAME?</v>
      </c>
      <c r="BC40" s="105" t="e">
        <f ca="1">_xll.ciqfunctions.udf.CIQ($A40, "IQ_TOTAL_EQUITY", $B$2, $L$2, $L$4, $L$3, $L$5, $L$6)</f>
        <v>#NAME?</v>
      </c>
      <c r="BD40" s="105" t="e">
        <f ca="1">IF(_xll.ciqfunctions.udf.CIQ($A40, "IQ_TOTAL_EQUITY", $B$3, $L$2,$L$4, $L$3, $L$5, $L$6)=0,BB40,_xll.ciqfunctions.udf.CIQ($A40, "IQ_TOTAL_EQUITY", $B$3, $L$2,$L$4, $L$3, $L$5, $L$6))</f>
        <v>#NAME?</v>
      </c>
      <c r="BE40" s="105" t="e">
        <f ca="1">_xll.ciqfunctions.udf.CIQ(A40, "IQ_LASTSALEPRICE", $B$8)</f>
        <v>#NAME?</v>
      </c>
      <c r="BF40" s="105" t="e">
        <f ca="1">_xll.ciqfunctions.udf.CIQ($A40, "IQ_MARKETCAP", $B$8, $L$5, $L$6)</f>
        <v>#NAME?</v>
      </c>
      <c r="BG40" s="105" t="e">
        <f ca="1">_xll.ciqfunctions.udf.CIQ($A40, "IQ_TOTAL_DEBT", IQ_LTM, $B$8,$L$4, $L$3, $L$5, $L$6)</f>
        <v>#NAME?</v>
      </c>
      <c r="BH40" s="74" t="e">
        <f ca="1">_xll.ciqfunctions.udf.CIQ($A40,"IQ_PREF_EQUITY",IQ_LTM,$B$8,$L$4,$L$3,$L$5,$L$6)</f>
        <v>#NAME?</v>
      </c>
      <c r="BI40" s="74" t="e">
        <f ca="1">_xll.ciqfunctions.udf.CIQ($A40, "IQ_MINORITY_INTEREST_TOTAL", IQ_LTM,$B$8,$L$4,$L$3,$L$5,$L$6)</f>
        <v>#NAME?</v>
      </c>
      <c r="BJ40" s="105" t="e">
        <f ca="1">_xll.ciqfunctions.udf.CIQ($A40, "IQ_CASH_ST_INVEST", IQ_LTM, $B$8, $L$4, $L$3, $L$5, $L$6)</f>
        <v>#NAME?</v>
      </c>
      <c r="BK40" s="74" t="e">
        <f ca="1">_xll.ciqfunctions.udf.CIQ($A40, "IQ_EFFECT_TAX_RATE")</f>
        <v>#NAME?</v>
      </c>
      <c r="BL40" s="74" t="e">
        <f ca="1">IF(_xll.ciqfunctions.udf.CIQ($A40, "IQ_TOTAL_REV_2YR_ANN_CAGR", IQ_LTM, $B$1,$L$4, $L$3, $L$5, $L$6)="NM","n/a",(_xll.ciqfunctions.udf.CIQ($A40, "IQ_TOTAL_REV_2YR_ANN_CAGR", IQ_LTM, $B$1,$L$4, $L$3, $L$5, $L$6)/100))</f>
        <v>#NAME?</v>
      </c>
      <c r="BM40" s="74" t="e">
        <f ca="1">IF(_xll.ciqfunctions.udf.CIQ($A40, "IQ_TOTAL_REV_3YR_ANN_CAGR", IQ_LTM, $B$1,$L$4, $L$3, $L$5, $L$6)="NM","n/a",(_xll.ciqfunctions.udf.CIQ($A40, "IQ_TOTAL_REV_3YR_ANN_CAGR", IQ_LTM, $B$1,$L$4, $L$3, $L$5, $L$6)/100))</f>
        <v>#NAME?</v>
      </c>
      <c r="BN40" s="74" t="e">
        <f ca="1">IF(_xll.ciqfunctions.udf.CIQ($A40, "IQ_TOTAL_REV_5YR_ANN_CAGR", IQ_LTM, $B$1,$L$4, $L$3, $L$5, $L$6)="NM","n/a",(_xll.ciqfunctions.udf.CIQ($A40, "IQ_TOTAL_REV_5YR_ANN_CAGR", IQ_LTM, $B$1,$L$4, $L$3, $L$5, $L$6)/100))</f>
        <v>#NAME?</v>
      </c>
      <c r="BO40" s="74" t="e">
        <f ca="1">IF(_xll.ciqfunctions.udf.CIQ($A40,"IQ_EBITDA_2YR_ANN_CAGR", IQ_LTM,$B$1,$L$4, $L$3, $L$5, $L$6)="NM","n/a",(_xll.ciqfunctions.udf.CIQ($A40,"IQ_EBITDA_2YR_ANN_CAGR", IQ_LTM,$B$1,$L$4, $L$3, $L$5, $L$6)/100))</f>
        <v>#NAME?</v>
      </c>
      <c r="BP40" s="74" t="e">
        <f ca="1">IF(_xll.ciqfunctions.udf.CIQ($A40,"IQ_EBITDA_3YR_ANN_CAGR", IQ_LTM,$B$1,$L$4, $L$3, $L$5, $L$6)="NM","n/a",(_xll.ciqfunctions.udf.CIQ($A40,"IQ_EBITDA_3YR_ANN_CAGR", IQ_LTM,$B$1,$L$4, $L$3, $L$5, $L$6)/100))</f>
        <v>#NAME?</v>
      </c>
      <c r="BQ40" s="74" t="e">
        <f ca="1">IF(_xll.ciqfunctions.udf.CIQ($A40,"IQ_EBITDA_5YR_ANN_CAGR", IQ_LTM,$B$1,$L$4, $L$3, $L$5, $L$6)="NM","n/a",(_xll.ciqfunctions.udf.CIQ($A40,"IQ_EBITDA_5YR_ANN_CAGR", IQ_LTM,$B$1,$L$4, $L$3, $L$5, $L$6)/100))</f>
        <v>#NAME?</v>
      </c>
      <c r="BR40" s="78" t="str">
        <f ca="1">IFERROR((_xll.ciqfunctions.udf.CIQ($A40, "IQ_DA_CF", IQ_LTM, $B$1, $L$4, $L$3, $L$5, $L$6)/Q40),"NM")</f>
        <v>NM</v>
      </c>
      <c r="BS40" s="109">
        <f>'Capital IQ Sheet-GPC'!BS40</f>
        <v>1.204711380134504</v>
      </c>
      <c r="BT40" s="109">
        <f>'Capital IQ Sheet-GPC'!BT40</f>
        <v>0.97983618266092853</v>
      </c>
      <c r="BU40" s="109">
        <f>'Capital IQ Sheet-GPC'!BU40</f>
        <v>0.98094228131580063</v>
      </c>
      <c r="BV40" s="109">
        <f>'Capital IQ Sheet-GPC'!BV40</f>
        <v>0.98012544660078516</v>
      </c>
      <c r="BW40" s="109">
        <f>'Capital IQ Sheet-GPC'!BW40</f>
        <v>0.97562854984021263</v>
      </c>
      <c r="BX40" s="109">
        <f>'Capital IQ Sheet-GPC'!BX40</f>
        <v>0.97346982530604764</v>
      </c>
      <c r="BY40" s="109">
        <f>'Capital IQ Sheet-GPC'!BY40</f>
        <v>0.99209649294656366</v>
      </c>
      <c r="BZ40" s="109">
        <f>'Capital IQ Sheet-GPC'!BZ40</f>
        <v>1.0373487423697918</v>
      </c>
      <c r="CB40" s="74">
        <v>2</v>
      </c>
      <c r="CC40" s="149" t="s">
        <v>315</v>
      </c>
      <c r="CD40" s="149" t="s">
        <v>314</v>
      </c>
      <c r="CE40" s="76">
        <f t="shared" si="0"/>
        <v>42005</v>
      </c>
    </row>
    <row r="41" spans="1:83" s="74" customFormat="1" ht="12.75">
      <c r="A41" s="75" t="e">
        <f ca="1">_xll.ciqfunctions.udf.CIQ($B41,"IQ_COMPANY_TICKER")</f>
        <v>#NAME?</v>
      </c>
      <c r="B41" s="104" t="str">
        <f>'Capital IQ Sheet-GPC'!B41</f>
        <v>IQ28949</v>
      </c>
      <c r="C41" s="75" t="e">
        <f ca="1">_xll.ciqfunctions.udf.CIQ($A41,"IQ_COMPANY_NAME")</f>
        <v>#NAME?</v>
      </c>
      <c r="D41" s="75" t="e">
        <f ca="1">_xll.ciqfunctions.udf.CIQ($A41, "IQ_EXCHANGE")</f>
        <v>#NAME?</v>
      </c>
      <c r="E41" s="103" t="e">
        <f ca="1">_xll.ciqfunctions.udf.CIQ($A41, "IQ_PERIODDATE_IS", IQ_FY)</f>
        <v>#NAME?</v>
      </c>
      <c r="F41" s="103" t="e">
        <f ca="1">_xll.ciqfunctions.udf.CIQ(A41, "IQ_PERIODDATE_IS", IQ_LTM, $B$1,$L$4,$L$3)</f>
        <v>#NAME?</v>
      </c>
      <c r="G41" s="103" t="e">
        <f ca="1">_xll.ciqfunctions.udf.CIQ($A41, "IQ_FIRSTPRICINGDATE")</f>
        <v>#NAME?</v>
      </c>
      <c r="H41" s="105" t="e">
        <f ca="1">_xll.ciqfunctions.udf.CIQ($A41, "IQ_TEV", $L$2, $L$5, $L$6)</f>
        <v>#NAME?</v>
      </c>
      <c r="I41" s="105" t="e">
        <f ca="1">_xll.ciqfunctions.udf.CIQ(A41, "IQ_LASTSALEPRICE", $B$1,$L$5)</f>
        <v>#NAME?</v>
      </c>
      <c r="J41" s="105" t="e">
        <f ca="1">_xll.ciqfunctions.udf.CIQ($A41, "IQ_MARKETCAP", $L$2, $L$5, $L$6)</f>
        <v>#NAME?</v>
      </c>
      <c r="K41" s="105" t="e">
        <f ca="1">_xll.ciqfunctions.udf.CIQ($A41, "IQ_TOTAL_DEBT", IQ_LTM, $L$2,$L$4, $L$3, $L$5, $L$6)</f>
        <v>#NAME?</v>
      </c>
      <c r="L41" s="105" t="e">
        <f ca="1">_xll.ciqfunctions.udf.CIQ($A41, "IQ_PREF_EQUITY", IQ_LTM, $L$2, $L$4, $L$3, $L$5, $L$6)</f>
        <v>#NAME?</v>
      </c>
      <c r="M41" s="105" t="e">
        <f ca="1">_xll.ciqfunctions.udf.CIQ($A41, "IQ_MINORITY_INTEREST_TOTAL", IQ_LTM, $L$2, $L$4, $L$3, $L$5, $L$6)</f>
        <v>#NAME?</v>
      </c>
      <c r="N41" s="105" t="e">
        <f ca="1">_xll.ciqfunctions.udf.CIQ($A41, "IQ_CASH_ST_INVEST", IQ_LTM, $L$2, $L$4, $L$3, $L$5, $L$6)</f>
        <v>#NAME?</v>
      </c>
      <c r="O41" s="105" t="e">
        <f ca="1">_xll.ciqfunctions.udf.CIQ($A41, "IQ_TOTAL_REV", IQ_LTM-8, $L$2, $L$4, $L$3, $L$5, $L$6)</f>
        <v>#NAME?</v>
      </c>
      <c r="P41" s="105" t="e">
        <f ca="1">_xll.ciqfunctions.udf.CIQ($A41, "IQ_TOTAL_REV", IQ_LTM - 4, $L$2, $L$4, $L$3, $L$5,$L$6)</f>
        <v>#NAME?</v>
      </c>
      <c r="Q41" s="105" t="e">
        <f ca="1">_xll.ciqfunctions.udf.CIQ($A41, "IQ_TOTAL_REV", IQ_LTM, $L$2, $L$4, $L$3, $L$5, $L$6)</f>
        <v>#NAME?</v>
      </c>
      <c r="R41" s="105" t="e">
        <f ca="1">_xll.ciqfunctions.udf.CIQ($A41, "IQ_TOTAL_REV", $B$2, $L$2, $L$4, $L$3, $L$5, $L$6)</f>
        <v>#NAME?</v>
      </c>
      <c r="S41" s="105" t="e">
        <f ca="1">IF(_xll.ciqfunctions.udf.CIQ($A41, "IQ_TOTAL_REV", $B$3, $L$2,$L$4, $L$3, $L$5, $L$6)=0,Q41,_xll.ciqfunctions.udf.CIQ($A41, "IQ_TOTAL_REV", $B$3, $L$2,$L$4, $L$3, $L$5, $L$6))</f>
        <v>#NAME?</v>
      </c>
      <c r="T41" s="105" t="e">
        <f ca="1">IF(_xll.ciqfunctions.udf.CIQ($A41, "IQ_REVENUE_EST",$B$4, $L$2, "CON", $L$3, $L$5, $L$6)=0,"n/a",_xll.ciqfunctions.udf.CIQ($A41, "IQ_REVENUE_EST",$B$4, $L$2, "CON", $L$3, $L$5, $L$6))</f>
        <v>#NAME?</v>
      </c>
      <c r="U41" s="105" t="e">
        <f ca="1">IF(_xll.ciqfunctions.udf.CIQ($A41, "IQ_REVENUE_EST",$B$5, $L$2, "CON", $L$3, $L$5, $L$6)=0,"n/a",_xll.ciqfunctions.udf.CIQ($A41, "IQ_REVENUE_EST",$B$5, $L$2, "CON", $L$3, $L$5, $L$6))</f>
        <v>#NAME?</v>
      </c>
      <c r="V41" s="105" t="e">
        <f ca="1">IF(_xll.ciqfunctions.udf.CIQ($A41, "IQ_REVENUE_EST",$B$6, $L$2, "CON", $L$3, $L$5, $L$6)=0,"n/a",_xll.ciqfunctions.udf.CIQ($A41, "IQ_REVENUE_EST",$B$6, $L$2, "CON", $L$3, $L$5, $L$6))</f>
        <v>#NAME?</v>
      </c>
      <c r="W41" s="105" t="e">
        <f ca="1">IF(_xll.ciqfunctions.udf.CIQ($A41, "IQ_REVENUE_EST", $B$7, $L$2, "CON", $L$3, $L$5, $L$6)=0,"n/a",_xll.ciqfunctions.udf.CIQ($A41, "IQ_REVENUE_EST",$B$7, $L$2, "CON", $L$3, $L$5, $L$6))</f>
        <v>#NAME?</v>
      </c>
      <c r="X41" s="105" t="e">
        <f ca="1">_xll.ciqfunctions.udf.CIQ($A41, "IQ_EBITDA", IQ_LTM-8, $L$2, $L$4, $L$3, $L$5, $L$6)</f>
        <v>#NAME?</v>
      </c>
      <c r="Y41" s="105" t="e">
        <f ca="1">_xll.ciqfunctions.udf.CIQ($A41, "IQ_EBITDA", IQ_LTM-4, $L$2,$L$4, $L$3, $L$5, $L$6)</f>
        <v>#NAME?</v>
      </c>
      <c r="Z41" s="105" t="e">
        <f ca="1">_xll.ciqfunctions.udf.CIQ($A41, "IQ_EBITDA", IQ_LTM, $L$2, $L$4, $L$3, $L$5, $L$6)</f>
        <v>#NAME?</v>
      </c>
      <c r="AA41" s="105" t="e">
        <f ca="1">_xll.ciqfunctions.udf.CIQ($A41, "IQ_EBITDA", $B$2, $L$2, $L$4, $L$3, $L$5, $L$6)</f>
        <v>#NAME?</v>
      </c>
      <c r="AB41" s="105" t="e">
        <f ca="1">IF(_xll.ciqfunctions.udf.CIQ($A41, "IQ_EBITDA", $B$3, $L$2,$L$4, $L$3, $L$5, $L$6)=0,Z41,_xll.ciqfunctions.udf.CIQ($A41, "IQ_EBITDA", $B$3, $L$2,$L$4, $L$3, $L$5, $L$6))</f>
        <v>#NAME?</v>
      </c>
      <c r="AC41" s="105" t="e">
        <f ca="1">IF(_xll.ciqfunctions.udf.CIQ($A41, "IQ_EBITDA_EST",$B$4, $L$2, "CON", $L$3, $L$5, $L$6)=0,"n/a",_xll.ciqfunctions.udf.CIQ($A41, "IQ_EBITDA_EST",$B$4, $L$2, "CON", $L$3, $L$5, $L$6))</f>
        <v>#NAME?</v>
      </c>
      <c r="AD41" s="105" t="e">
        <f ca="1">IF(_xll.ciqfunctions.udf.CIQ($A41, "IQ_EBITDA_EST",$B$5, $L$2, "CON", $L$3, $L$5, $L$6)=0,"n/a",_xll.ciqfunctions.udf.CIQ($A41, "IQ_EBITDA_EST",$B$5, $L$2, "CON", $L$3, $L$5, $L$6))</f>
        <v>#NAME?</v>
      </c>
      <c r="AE41" s="105" t="e">
        <f ca="1">IF(_xll.ciqfunctions.udf.CIQ($A41, "IQ_EBITDA_EST",$B$6, $L$2, "CON", $L$3, $L$5, $L$6)=0,"n/a",_xll.ciqfunctions.udf.CIQ($A41, "IQ_EBITDA_EST",$B$6, $L$2, "CON", $L$3, $L$5, $L$6))</f>
        <v>#NAME?</v>
      </c>
      <c r="AF41" s="106" t="str">
        <f ca="1">IF(ISERROR(_xll.ciqfunctions.udf.CIQ($A41, "IQ_GROSS_MARGIN", IQ_LTM, $L$2,$L$4, $L$3, $L$5, $L$6)/100), "n/a", _xll.ciqfunctions.udf.CIQ($A41,  "IQ_GROSS_MARGIN", IQ_LTM, $L$2, $L$4, $L$3, $L$5, $L$6)/100)</f>
        <v>n/a</v>
      </c>
      <c r="AG41" s="106" t="str">
        <f ca="1">IF(ISERROR(_xll.ciqfunctions.udf.CIQ($A41,"IQ_EBITDA_MARGIN", IQ_LTM, $L$2, $L$4, $L$3, $L$5, $L$6)/100), "n/a", _xll.ciqfunctions.udf.CIQ($A41, "IQ_EBITDA_MARGIN", IQ_LTM, $L$2, $L$4, $L$3, $L$5, $L$6)/100)</f>
        <v>n/a</v>
      </c>
      <c r="AH41" s="106" t="str">
        <f ca="1">IF(ISERROR(_xll.ciqfunctions.udf.CIQ($A41,"IQ_EBIT_MARGIN", IQ_LTM, $L$2, $L$4, $L$3, $L$5, $L$6)/100), "n/a", _xll.ciqfunctions.udf.CIQ($A41, "IQ_EBIT_MARGIN", IQ_LTM, $L$2, $L$4, $L$3, $L$5, $L$6)/100)</f>
        <v>n/a</v>
      </c>
      <c r="AI41" s="106" t="str">
        <f ca="1">IF(ISERROR(_xll.ciqfunctions.udf.CIQ($A41,"IQ_NI_MARGIN", IQ_LTM, $L$2, $L$4, $L$3, $L$5, $L$6)/100), "n/a", _xll.ciqfunctions.udf.CIQ($A41, "IQ_NI_MARGIN", IQ_LTM, $L$2, $L$4, $L$3, $L$5, $L$6)/100)</f>
        <v>n/a</v>
      </c>
      <c r="AJ41" s="105" t="str">
        <f ca="1">IF(ISERROR(_xll.ciqfunctions.udf.CIQ($A41, "IQ_NET_WORKING_CAP", IQ_LTM-8, $L$2, $L$4, $L$3, $L$5, $L$6)), "n/a", _xll.ciqfunctions.udf.CIQ($A41, "IQ_NET_WORKING_CAP", IQ_LTM-8, $L$2, $L$4, $L$3, $L$5, $L$6))</f>
        <v>n/a</v>
      </c>
      <c r="AK41" s="105" t="str">
        <f ca="1">IF(ISERROR(_xll.ciqfunctions.udf.CIQ($A41, "IQ_NET_WORKING_CAP", IQ_LTM-4, $L$2, $L$4, $L$3, $L$5, $L$6)), "n/a", _xll.ciqfunctions.udf.CIQ($A41, "IQ_NET_WORKING_CAP", IQ_LTM-4, $L$2, $L$4, $L$3, $L$5, $L$6))</f>
        <v>n/a</v>
      </c>
      <c r="AL41" s="105" t="str">
        <f ca="1">IF(ISERROR(_xll.ciqfunctions.udf.CIQ($A41, "IQ_NET_WORKING_CAP", IQ_LTM, $L$2,$L$4, $L$3, $L$5, $L$6)), "n/a", _xll.ciqfunctions.udf.CIQ($A41, "IQ_NET_WORKING_CAP", IQ_LTM, $L$2, $L$4, $L$3, $L$5, $L$6))</f>
        <v>n/a</v>
      </c>
      <c r="AM41" s="105" t="str">
        <f ca="1">IF(ISERROR(_xll.ciqfunctions.udf.CIQ($A41, "IQ_Capex", IQ_LTM-8, $L$2,$L$4, $L$3, $L$5, $L$6)), "n/a", _xll.ciqfunctions.udf.CIQ($A41, "IQ_Capex", IQ_LTM-8, $L$2, $L$4, $L$3, $L$5, $L$6))</f>
        <v>n/a</v>
      </c>
      <c r="AN41" s="105" t="str">
        <f ca="1">IF(ISERROR(_xll.ciqfunctions.udf.CIQ($A41, "IQ_Capex", IQ_LTM-4, $L$2,$L$4, $L$3, $L$5, $L$6)), "n/a", _xll.ciqfunctions.udf.CIQ($A41, "IQ_Capex", IQ_LTM-4, $L$2,$L$4, $L$3, $L$5, $L$6))</f>
        <v>n/a</v>
      </c>
      <c r="AO41" s="105" t="str">
        <f ca="1">IF(ISERROR(_xll.ciqfunctions.udf.CIQ($A41, "IQ_Capex", IQ_LTM, $L$2, $L$4, $L$3, $L$5, $L$6)), "n/a", _xll.ciqfunctions.udf.CIQ($A41, "IQ_Capex", IQ_LTM, $L$2, $L$4, $L$3, $L$5, $L$6))</f>
        <v>n/a</v>
      </c>
      <c r="AP41" s="107" t="e">
        <f ca="1">_xll.ciqfunctions.udf.CIQ(A41, "IQ_BUSINESS_DESCRIPTION")</f>
        <v>#NAME?</v>
      </c>
      <c r="AQ41" s="108" t="e">
        <f ca="1">_xll.ciqfunctions.udf.CIQ($A41, "IQ_BETA_1YR", $B$1)</f>
        <v>#NAME?</v>
      </c>
      <c r="AR41" s="108" t="e">
        <f ca="1">_xll.ciqfunctions.udf.CIQ($A41, "IQ_BETA_2YR", $B$1)</f>
        <v>#NAME?</v>
      </c>
      <c r="AS41" s="108" t="e">
        <f ca="1">_xll.ciqfunctions.udf.CIQ($A41, "IQ_BETA_5YR", $B$1)</f>
        <v>#NAME?</v>
      </c>
      <c r="AT41" s="106" t="e">
        <f ca="1">_xll.ciqfunctions.udf.CIQ($A41, "IQ_DIVIDEND_YIELD", $B$1)/100</f>
        <v>#NAME?</v>
      </c>
      <c r="AU41" s="105" t="e">
        <f ca="1">_xll.ciqfunctions.udf.CIQ($A41, "IQ_EARNING_CO", IQ_LTM-8, $L$2, $L$4, $L$3, $L$5, $L$6)</f>
        <v>#NAME?</v>
      </c>
      <c r="AV41" s="105" t="e">
        <f ca="1">_xll.ciqfunctions.udf.CIQ($A41, "IQ_EARNING_CO", IQ_LTM-4, $L$2, $L$4, $L$3, $L$5, $L$6)</f>
        <v>#NAME?</v>
      </c>
      <c r="AW41" s="105" t="e">
        <f ca="1">_xll.ciqfunctions.udf.CIQ($A41, "IQ_EARNING_CO", IQ_LTM, $L$2, $L$4, $L$3, $L$5, $L$6)</f>
        <v>#NAME?</v>
      </c>
      <c r="AX41" s="105" t="e">
        <f ca="1">_xll.ciqfunctions.udf.CIQ($A41, "IQ_EARNING_CO", $B$2, $L$2, $L$4, $L$3, $L$5, $L$6)</f>
        <v>#NAME?</v>
      </c>
      <c r="AY41" s="105" t="e">
        <f ca="1">IF(_xll.ciqfunctions.udf.CIQ($A41, "IQ_EARNING_CO", $B$3, $L$2,$L$4, $L$3, $L$5, $L$6)=0,AW41,_xll.ciqfunctions.udf.CIQ($A41, "IQ_EARNING_CO", $B$3, $L$2,$L$4, $L$3, $L$5, $L$6))</f>
        <v>#NAME?</v>
      </c>
      <c r="AZ41" s="105" t="e">
        <f ca="1">_xll.ciqfunctions.udf.CIQ($A41, "IQ_TOTAL_EQUITY", IQ_LTM-8, $L$2, $L$4, $L$3, $L$5, $L$6)</f>
        <v>#NAME?</v>
      </c>
      <c r="BA41" s="105" t="e">
        <f ca="1">_xll.ciqfunctions.udf.CIQ($A41, "IQ_TOTAL_EQUITY", IQ_LTM-4, $L$2, $L$4, $L$3, $L$5, $L$6)</f>
        <v>#NAME?</v>
      </c>
      <c r="BB41" s="105" t="e">
        <f ca="1">_xll.ciqfunctions.udf.CIQ($A41, "IQ_TOTAL_EQUITY", IQ_LTM, $L$2, $L$4, $L$3, $L$5, $L$6)</f>
        <v>#NAME?</v>
      </c>
      <c r="BC41" s="105" t="e">
        <f ca="1">_xll.ciqfunctions.udf.CIQ($A41, "IQ_TOTAL_EQUITY", $B$2, $L$2, $L$4, $L$3, $L$5, $L$6)</f>
        <v>#NAME?</v>
      </c>
      <c r="BD41" s="105" t="e">
        <f ca="1">IF(_xll.ciqfunctions.udf.CIQ($A41, "IQ_TOTAL_EQUITY", $B$3, $L$2,$L$4, $L$3, $L$5, $L$6)=0,BB41,_xll.ciqfunctions.udf.CIQ($A41, "IQ_TOTAL_EQUITY", $B$3, $L$2,$L$4, $L$3, $L$5, $L$6))</f>
        <v>#NAME?</v>
      </c>
      <c r="BE41" s="105" t="e">
        <f ca="1">_xll.ciqfunctions.udf.CIQ(A41, "IQ_LASTSALEPRICE", $B$8)</f>
        <v>#NAME?</v>
      </c>
      <c r="BF41" s="105" t="e">
        <f ca="1">_xll.ciqfunctions.udf.CIQ($A41, "IQ_MARKETCAP", $B$8, $L$5, $L$6)</f>
        <v>#NAME?</v>
      </c>
      <c r="BG41" s="105" t="e">
        <f ca="1">_xll.ciqfunctions.udf.CIQ($A41, "IQ_TOTAL_DEBT", IQ_LTM, $B$8,$L$4, $L$3, $L$5, $L$6)</f>
        <v>#NAME?</v>
      </c>
      <c r="BH41" s="74" t="e">
        <f ca="1">_xll.ciqfunctions.udf.CIQ($A41,"IQ_PREF_EQUITY",IQ_LTM,$B$8,$L$4,$L$3,$L$5,$L$6)</f>
        <v>#NAME?</v>
      </c>
      <c r="BI41" s="74" t="e">
        <f ca="1">_xll.ciqfunctions.udf.CIQ($A41, "IQ_MINORITY_INTEREST_TOTAL", IQ_LTM,$B$8,$L$4,$L$3,$L$5,$L$6)</f>
        <v>#NAME?</v>
      </c>
      <c r="BJ41" s="105" t="e">
        <f ca="1">_xll.ciqfunctions.udf.CIQ($A41, "IQ_CASH_ST_INVEST", IQ_LTM, $B$8, $L$4, $L$3, $L$5, $L$6)</f>
        <v>#NAME?</v>
      </c>
      <c r="BK41" s="74" t="e">
        <f ca="1">_xll.ciqfunctions.udf.CIQ($A41, "IQ_EFFECT_TAX_RATE")</f>
        <v>#NAME?</v>
      </c>
      <c r="BL41" s="74" t="e">
        <f ca="1">IF(_xll.ciqfunctions.udf.CIQ($A41, "IQ_TOTAL_REV_2YR_ANN_CAGR", IQ_LTM, $B$1,$L$4, $L$3, $L$5, $L$6)="NM","n/a",(_xll.ciqfunctions.udf.CIQ($A41, "IQ_TOTAL_REV_2YR_ANN_CAGR", IQ_LTM, $B$1,$L$4, $L$3, $L$5, $L$6)/100))</f>
        <v>#NAME?</v>
      </c>
      <c r="BM41" s="74" t="e">
        <f ca="1">IF(_xll.ciqfunctions.udf.CIQ($A41, "IQ_TOTAL_REV_3YR_ANN_CAGR", IQ_LTM, $B$1,$L$4, $L$3, $L$5, $L$6)="NM","n/a",(_xll.ciqfunctions.udf.CIQ($A41, "IQ_TOTAL_REV_3YR_ANN_CAGR", IQ_LTM, $B$1,$L$4, $L$3, $L$5, $L$6)/100))</f>
        <v>#NAME?</v>
      </c>
      <c r="BN41" s="74" t="e">
        <f ca="1">IF(_xll.ciqfunctions.udf.CIQ($A41, "IQ_TOTAL_REV_5YR_ANN_CAGR", IQ_LTM, $B$1,$L$4, $L$3, $L$5, $L$6)="NM","n/a",(_xll.ciqfunctions.udf.CIQ($A41, "IQ_TOTAL_REV_5YR_ANN_CAGR", IQ_LTM, $B$1,$L$4, $L$3, $L$5, $L$6)/100))</f>
        <v>#NAME?</v>
      </c>
      <c r="BO41" s="74" t="e">
        <f ca="1">IF(_xll.ciqfunctions.udf.CIQ($A41,"IQ_EBITDA_2YR_ANN_CAGR", IQ_LTM,$B$1,$L$4, $L$3, $L$5, $L$6)="NM","n/a",(_xll.ciqfunctions.udf.CIQ($A41,"IQ_EBITDA_2YR_ANN_CAGR", IQ_LTM,$B$1,$L$4, $L$3, $L$5, $L$6)/100))</f>
        <v>#NAME?</v>
      </c>
      <c r="BP41" s="74" t="e">
        <f ca="1">IF(_xll.ciqfunctions.udf.CIQ($A41,"IQ_EBITDA_3YR_ANN_CAGR", IQ_LTM,$B$1,$L$4, $L$3, $L$5, $L$6)="NM","n/a",(_xll.ciqfunctions.udf.CIQ($A41,"IQ_EBITDA_3YR_ANN_CAGR", IQ_LTM,$B$1,$L$4, $L$3, $L$5, $L$6)/100))</f>
        <v>#NAME?</v>
      </c>
      <c r="BQ41" s="74" t="e">
        <f ca="1">IF(_xll.ciqfunctions.udf.CIQ($A41,"IQ_EBITDA_5YR_ANN_CAGR", IQ_LTM,$B$1,$L$4, $L$3, $L$5, $L$6)="NM","n/a",(_xll.ciqfunctions.udf.CIQ($A41,"IQ_EBITDA_5YR_ANN_CAGR", IQ_LTM,$B$1,$L$4, $L$3, $L$5, $L$6)/100))</f>
        <v>#NAME?</v>
      </c>
      <c r="BR41" s="78" t="str">
        <f ca="1">IFERROR((_xll.ciqfunctions.udf.CIQ($A41, "IQ_DA_CF", IQ_LTM, $B$1, $L$4, $L$3, $L$5, $L$6)/Q41),"NM")</f>
        <v>NM</v>
      </c>
      <c r="BS41" s="109">
        <f>'Capital IQ Sheet-GPC'!BS41</f>
        <v>1.3374273785259052</v>
      </c>
      <c r="BT41" s="109">
        <f>'Capital IQ Sheet-GPC'!BT41</f>
        <v>1.0969190492665144</v>
      </c>
      <c r="BU41" s="109">
        <f>'Capital IQ Sheet-GPC'!BU41</f>
        <v>0.99510388967342045</v>
      </c>
      <c r="BV41" s="109">
        <f>'Capital IQ Sheet-GPC'!BV41</f>
        <v>1.1138625987660433</v>
      </c>
      <c r="BW41" s="109">
        <f>'Capital IQ Sheet-GPC'!BW41</f>
        <v>1.0170750567026225</v>
      </c>
      <c r="BX41" s="109">
        <f>'Capital IQ Sheet-GPC'!BX41</f>
        <v>0.95780285250433184</v>
      </c>
      <c r="BY41" s="109">
        <f>'Capital IQ Sheet-GPC'!BY41</f>
        <v>1.0592397659511921</v>
      </c>
      <c r="BZ41" s="109">
        <f>'Capital IQ Sheet-GPC'!BZ41</f>
        <v>1.0569467467471498</v>
      </c>
      <c r="CB41" s="74">
        <v>2</v>
      </c>
      <c r="CC41" s="149" t="s">
        <v>315</v>
      </c>
      <c r="CD41" s="149" t="s">
        <v>314</v>
      </c>
      <c r="CE41" s="76">
        <f t="shared" si="0"/>
        <v>42005</v>
      </c>
    </row>
    <row r="42" spans="1:83" s="74" customFormat="1" ht="12.75">
      <c r="A42" s="75" t="e">
        <f ca="1">_xll.ciqfunctions.udf.CIQ($B42,"IQ_COMPANY_TICKER")</f>
        <v>#NAME?</v>
      </c>
      <c r="B42" s="104" t="str">
        <f>'Capital IQ Sheet-GPC'!B42</f>
        <v>IQ34160168</v>
      </c>
      <c r="C42" s="75" t="e">
        <f ca="1">_xll.ciqfunctions.udf.CIQ($A42,"IQ_COMPANY_NAME")</f>
        <v>#NAME?</v>
      </c>
      <c r="D42" s="75" t="e">
        <f ca="1">_xll.ciqfunctions.udf.CIQ($A42, "IQ_EXCHANGE")</f>
        <v>#NAME?</v>
      </c>
      <c r="E42" s="103" t="e">
        <f ca="1">_xll.ciqfunctions.udf.CIQ($A42, "IQ_PERIODDATE_IS", IQ_FY)</f>
        <v>#NAME?</v>
      </c>
      <c r="F42" s="103" t="e">
        <f ca="1">_xll.ciqfunctions.udf.CIQ(A42, "IQ_PERIODDATE_IS", IQ_LTM, $B$1,$L$4,$L$3)</f>
        <v>#NAME?</v>
      </c>
      <c r="G42" s="103" t="e">
        <f ca="1">_xll.ciqfunctions.udf.CIQ($A42, "IQ_FIRSTPRICINGDATE")</f>
        <v>#NAME?</v>
      </c>
      <c r="H42" s="105" t="e">
        <f ca="1">_xll.ciqfunctions.udf.CIQ($A42, "IQ_TEV", $L$2, $L$5, $L$6)</f>
        <v>#NAME?</v>
      </c>
      <c r="I42" s="105" t="e">
        <f ca="1">_xll.ciqfunctions.udf.CIQ(A42, "IQ_LASTSALEPRICE", $B$1,$L$5)</f>
        <v>#NAME?</v>
      </c>
      <c r="J42" s="105" t="e">
        <f ca="1">_xll.ciqfunctions.udf.CIQ($A42, "IQ_MARKETCAP", $L$2, $L$5, $L$6)</f>
        <v>#NAME?</v>
      </c>
      <c r="K42" s="105" t="e">
        <f ca="1">_xll.ciqfunctions.udf.CIQ($A42, "IQ_TOTAL_DEBT", IQ_LTM, $L$2,$L$4, $L$3, $L$5, $L$6)</f>
        <v>#NAME?</v>
      </c>
      <c r="L42" s="105" t="e">
        <f ca="1">_xll.ciqfunctions.udf.CIQ($A42, "IQ_PREF_EQUITY", IQ_LTM, $L$2, $L$4, $L$3, $L$5, $L$6)</f>
        <v>#NAME?</v>
      </c>
      <c r="M42" s="105" t="e">
        <f ca="1">_xll.ciqfunctions.udf.CIQ($A42, "IQ_MINORITY_INTEREST_TOTAL", IQ_LTM, $L$2, $L$4, $L$3, $L$5, $L$6)</f>
        <v>#NAME?</v>
      </c>
      <c r="N42" s="105" t="e">
        <f ca="1">_xll.ciqfunctions.udf.CIQ($A42, "IQ_CASH_ST_INVEST", IQ_LTM, $L$2, $L$4, $L$3, $L$5, $L$6)</f>
        <v>#NAME?</v>
      </c>
      <c r="O42" s="105" t="e">
        <f ca="1">_xll.ciqfunctions.udf.CIQ($A42, "IQ_TOTAL_REV", IQ_LTM-8, $L$2, $L$4, $L$3, $L$5, $L$6)</f>
        <v>#NAME?</v>
      </c>
      <c r="P42" s="105" t="e">
        <f ca="1">_xll.ciqfunctions.udf.CIQ($A42, "IQ_TOTAL_REV", IQ_LTM - 4, $L$2, $L$4, $L$3, $L$5,$L$6)</f>
        <v>#NAME?</v>
      </c>
      <c r="Q42" s="105" t="e">
        <f ca="1">_xll.ciqfunctions.udf.CIQ($A42, "IQ_TOTAL_REV", IQ_LTM, $L$2, $L$4, $L$3, $L$5, $L$6)</f>
        <v>#NAME?</v>
      </c>
      <c r="R42" s="105" t="e">
        <f ca="1">_xll.ciqfunctions.udf.CIQ($A42, "IQ_TOTAL_REV", $B$2, $L$2, $L$4, $L$3, $L$5, $L$6)</f>
        <v>#NAME?</v>
      </c>
      <c r="S42" s="105" t="e">
        <f ca="1">IF(_xll.ciqfunctions.udf.CIQ($A42, "IQ_TOTAL_REV", $B$3, $L$2,$L$4, $L$3, $L$5, $L$6)=0,Q42,_xll.ciqfunctions.udf.CIQ($A42, "IQ_TOTAL_REV", $B$3, $L$2,$L$4, $L$3, $L$5, $L$6))</f>
        <v>#NAME?</v>
      </c>
      <c r="T42" s="105" t="e">
        <f ca="1">IF(_xll.ciqfunctions.udf.CIQ($A42, "IQ_REVENUE_EST",$B$4, $L$2, "CON", $L$3, $L$5, $L$6)=0,"n/a",_xll.ciqfunctions.udf.CIQ($A42, "IQ_REVENUE_EST",$B$4, $L$2, "CON", $L$3, $L$5, $L$6))</f>
        <v>#NAME?</v>
      </c>
      <c r="U42" s="105" t="e">
        <f ca="1">IF(_xll.ciqfunctions.udf.CIQ($A42, "IQ_REVENUE_EST",$B$5, $L$2, "CON", $L$3, $L$5, $L$6)=0,"n/a",_xll.ciqfunctions.udf.CIQ($A42, "IQ_REVENUE_EST",$B$5, $L$2, "CON", $L$3, $L$5, $L$6))</f>
        <v>#NAME?</v>
      </c>
      <c r="V42" s="105" t="e">
        <f ca="1">IF(_xll.ciqfunctions.udf.CIQ($A42, "IQ_REVENUE_EST",$B$6, $L$2, "CON", $L$3, $L$5, $L$6)=0,"n/a",_xll.ciqfunctions.udf.CIQ($A42, "IQ_REVENUE_EST",$B$6, $L$2, "CON", $L$3, $L$5, $L$6))</f>
        <v>#NAME?</v>
      </c>
      <c r="W42" s="105" t="e">
        <f ca="1">IF(_xll.ciqfunctions.udf.CIQ($A42, "IQ_REVENUE_EST", $B$7, $L$2, "CON", $L$3, $L$5, $L$6)=0,"n/a",_xll.ciqfunctions.udf.CIQ($A42, "IQ_REVENUE_EST",$B$7, $L$2, "CON", $L$3, $L$5, $L$6))</f>
        <v>#NAME?</v>
      </c>
      <c r="X42" s="105" t="e">
        <f ca="1">_xll.ciqfunctions.udf.CIQ($A42, "IQ_EBITDA", IQ_LTM-8, $L$2, $L$4, $L$3, $L$5, $L$6)</f>
        <v>#NAME?</v>
      </c>
      <c r="Y42" s="105" t="e">
        <f ca="1">_xll.ciqfunctions.udf.CIQ($A42, "IQ_EBITDA", IQ_LTM-4, $L$2,$L$4, $L$3, $L$5, $L$6)</f>
        <v>#NAME?</v>
      </c>
      <c r="Z42" s="105" t="e">
        <f ca="1">_xll.ciqfunctions.udf.CIQ($A42, "IQ_EBITDA", IQ_LTM, $L$2, $L$4, $L$3, $L$5, $L$6)</f>
        <v>#NAME?</v>
      </c>
      <c r="AA42" s="105" t="e">
        <f ca="1">_xll.ciqfunctions.udf.CIQ($A42, "IQ_EBITDA", $B$2, $L$2, $L$4, $L$3, $L$5, $L$6)</f>
        <v>#NAME?</v>
      </c>
      <c r="AB42" s="105" t="e">
        <f ca="1">IF(_xll.ciqfunctions.udf.CIQ($A42, "IQ_EBITDA", $B$3, $L$2,$L$4, $L$3, $L$5, $L$6)=0,Z42,_xll.ciqfunctions.udf.CIQ($A42, "IQ_EBITDA", $B$3, $L$2,$L$4, $L$3, $L$5, $L$6))</f>
        <v>#NAME?</v>
      </c>
      <c r="AC42" s="105" t="e">
        <f ca="1">IF(_xll.ciqfunctions.udf.CIQ($A42, "IQ_EBITDA_EST",$B$4, $L$2, "CON", $L$3, $L$5, $L$6)=0,"n/a",_xll.ciqfunctions.udf.CIQ($A42, "IQ_EBITDA_EST",$B$4, $L$2, "CON", $L$3, $L$5, $L$6))</f>
        <v>#NAME?</v>
      </c>
      <c r="AD42" s="105" t="e">
        <f ca="1">IF(_xll.ciqfunctions.udf.CIQ($A42, "IQ_EBITDA_EST",$B$5, $L$2, "CON", $L$3, $L$5, $L$6)=0,"n/a",_xll.ciqfunctions.udf.CIQ($A42, "IQ_EBITDA_EST",$B$5, $L$2, "CON", $L$3, $L$5, $L$6))</f>
        <v>#NAME?</v>
      </c>
      <c r="AE42" s="105" t="e">
        <f ca="1">IF(_xll.ciqfunctions.udf.CIQ($A42, "IQ_EBITDA_EST",$B$6, $L$2, "CON", $L$3, $L$5, $L$6)=0,"n/a",_xll.ciqfunctions.udf.CIQ($A42, "IQ_EBITDA_EST",$B$6, $L$2, "CON", $L$3, $L$5, $L$6))</f>
        <v>#NAME?</v>
      </c>
      <c r="AF42" s="106" t="str">
        <f ca="1">IF(ISERROR(_xll.ciqfunctions.udf.CIQ($A42, "IQ_GROSS_MARGIN", IQ_LTM, $L$2,$L$4, $L$3, $L$5, $L$6)/100), "n/a", _xll.ciqfunctions.udf.CIQ($A42,  "IQ_GROSS_MARGIN", IQ_LTM, $L$2, $L$4, $L$3, $L$5, $L$6)/100)</f>
        <v>n/a</v>
      </c>
      <c r="AG42" s="106" t="str">
        <f ca="1">IF(ISERROR(_xll.ciqfunctions.udf.CIQ($A42,"IQ_EBITDA_MARGIN", IQ_LTM, $L$2, $L$4, $L$3, $L$5, $L$6)/100), "n/a", _xll.ciqfunctions.udf.CIQ($A42, "IQ_EBITDA_MARGIN", IQ_LTM, $L$2, $L$4, $L$3, $L$5, $L$6)/100)</f>
        <v>n/a</v>
      </c>
      <c r="AH42" s="106" t="str">
        <f ca="1">IF(ISERROR(_xll.ciqfunctions.udf.CIQ($A42,"IQ_EBIT_MARGIN", IQ_LTM, $L$2, $L$4, $L$3, $L$5, $L$6)/100), "n/a", _xll.ciqfunctions.udf.CIQ($A42, "IQ_EBIT_MARGIN", IQ_LTM, $L$2, $L$4, $L$3, $L$5, $L$6)/100)</f>
        <v>n/a</v>
      </c>
      <c r="AI42" s="106" t="str">
        <f ca="1">IF(ISERROR(_xll.ciqfunctions.udf.CIQ($A42,"IQ_NI_MARGIN", IQ_LTM, $L$2, $L$4, $L$3, $L$5, $L$6)/100), "n/a", _xll.ciqfunctions.udf.CIQ($A42, "IQ_NI_MARGIN", IQ_LTM, $L$2, $L$4, $L$3, $L$5, $L$6)/100)</f>
        <v>n/a</v>
      </c>
      <c r="AJ42" s="105" t="str">
        <f ca="1">IF(ISERROR(_xll.ciqfunctions.udf.CIQ($A42, "IQ_NET_WORKING_CAP", IQ_LTM-8, $L$2, $L$4, $L$3, $L$5, $L$6)), "n/a", _xll.ciqfunctions.udf.CIQ($A42, "IQ_NET_WORKING_CAP", IQ_LTM-8, $L$2, $L$4, $L$3, $L$5, $L$6))</f>
        <v>n/a</v>
      </c>
      <c r="AK42" s="105" t="str">
        <f ca="1">IF(ISERROR(_xll.ciqfunctions.udf.CIQ($A42, "IQ_NET_WORKING_CAP", IQ_LTM-4, $L$2, $L$4, $L$3, $L$5, $L$6)), "n/a", _xll.ciqfunctions.udf.CIQ($A42, "IQ_NET_WORKING_CAP", IQ_LTM-4, $L$2, $L$4, $L$3, $L$5, $L$6))</f>
        <v>n/a</v>
      </c>
      <c r="AL42" s="105" t="str">
        <f ca="1">IF(ISERROR(_xll.ciqfunctions.udf.CIQ($A42, "IQ_NET_WORKING_CAP", IQ_LTM, $L$2,$L$4, $L$3, $L$5, $L$6)), "n/a", _xll.ciqfunctions.udf.CIQ($A42, "IQ_NET_WORKING_CAP", IQ_LTM, $L$2, $L$4, $L$3, $L$5, $L$6))</f>
        <v>n/a</v>
      </c>
      <c r="AM42" s="105" t="str">
        <f ca="1">IF(ISERROR(_xll.ciqfunctions.udf.CIQ($A42, "IQ_Capex", IQ_LTM-8, $L$2,$L$4, $L$3, $L$5, $L$6)), "n/a", _xll.ciqfunctions.udf.CIQ($A42, "IQ_Capex", IQ_LTM-8, $L$2, $L$4, $L$3, $L$5, $L$6))</f>
        <v>n/a</v>
      </c>
      <c r="AN42" s="105" t="str">
        <f ca="1">IF(ISERROR(_xll.ciqfunctions.udf.CIQ($A42, "IQ_Capex", IQ_LTM-4, $L$2,$L$4, $L$3, $L$5, $L$6)), "n/a", _xll.ciqfunctions.udf.CIQ($A42, "IQ_Capex", IQ_LTM-4, $L$2,$L$4, $L$3, $L$5, $L$6))</f>
        <v>n/a</v>
      </c>
      <c r="AO42" s="105" t="str">
        <f ca="1">IF(ISERROR(_xll.ciqfunctions.udf.CIQ($A42, "IQ_Capex", IQ_LTM, $L$2, $L$4, $L$3, $L$5, $L$6)), "n/a", _xll.ciqfunctions.udf.CIQ($A42, "IQ_Capex", IQ_LTM, $L$2, $L$4, $L$3, $L$5, $L$6))</f>
        <v>n/a</v>
      </c>
      <c r="AP42" s="107" t="e">
        <f ca="1">_xll.ciqfunctions.udf.CIQ(A42, "IQ_BUSINESS_DESCRIPTION")</f>
        <v>#NAME?</v>
      </c>
      <c r="AQ42" s="108" t="e">
        <f ca="1">_xll.ciqfunctions.udf.CIQ($A42, "IQ_BETA_1YR", $B$1)</f>
        <v>#NAME?</v>
      </c>
      <c r="AR42" s="108" t="e">
        <f ca="1">_xll.ciqfunctions.udf.CIQ($A42, "IQ_BETA_2YR", $B$1)</f>
        <v>#NAME?</v>
      </c>
      <c r="AS42" s="108" t="e">
        <f ca="1">_xll.ciqfunctions.udf.CIQ($A42, "IQ_BETA_5YR", $B$1)</f>
        <v>#NAME?</v>
      </c>
      <c r="AT42" s="106" t="e">
        <f ca="1">_xll.ciqfunctions.udf.CIQ($A42, "IQ_DIVIDEND_YIELD", $B$1)/100</f>
        <v>#NAME?</v>
      </c>
      <c r="AU42" s="105" t="e">
        <f ca="1">_xll.ciqfunctions.udf.CIQ($A42, "IQ_EARNING_CO", IQ_LTM-8, $L$2, $L$4, $L$3, $L$5, $L$6)</f>
        <v>#NAME?</v>
      </c>
      <c r="AV42" s="105" t="e">
        <f ca="1">_xll.ciqfunctions.udf.CIQ($A42, "IQ_EARNING_CO", IQ_LTM-4, $L$2, $L$4, $L$3, $L$5, $L$6)</f>
        <v>#NAME?</v>
      </c>
      <c r="AW42" s="105" t="e">
        <f ca="1">_xll.ciqfunctions.udf.CIQ($A42, "IQ_EARNING_CO", IQ_LTM, $L$2, $L$4, $L$3, $L$5, $L$6)</f>
        <v>#NAME?</v>
      </c>
      <c r="AX42" s="105" t="e">
        <f ca="1">_xll.ciqfunctions.udf.CIQ($A42, "IQ_EARNING_CO", $B$2, $L$2, $L$4, $L$3, $L$5, $L$6)</f>
        <v>#NAME?</v>
      </c>
      <c r="AY42" s="105" t="e">
        <f ca="1">IF(_xll.ciqfunctions.udf.CIQ($A42, "IQ_EARNING_CO", $B$3, $L$2,$L$4, $L$3, $L$5, $L$6)=0,AW42,_xll.ciqfunctions.udf.CIQ($A42, "IQ_EARNING_CO", $B$3, $L$2,$L$4, $L$3, $L$5, $L$6))</f>
        <v>#NAME?</v>
      </c>
      <c r="AZ42" s="105" t="e">
        <f ca="1">_xll.ciqfunctions.udf.CIQ($A42, "IQ_TOTAL_EQUITY", IQ_LTM-8, $L$2, $L$4, $L$3, $L$5, $L$6)</f>
        <v>#NAME?</v>
      </c>
      <c r="BA42" s="105" t="e">
        <f ca="1">_xll.ciqfunctions.udf.CIQ($A42, "IQ_TOTAL_EQUITY", IQ_LTM-4, $L$2, $L$4, $L$3, $L$5, $L$6)</f>
        <v>#NAME?</v>
      </c>
      <c r="BB42" s="105" t="e">
        <f ca="1">_xll.ciqfunctions.udf.CIQ($A42, "IQ_TOTAL_EQUITY", IQ_LTM, $L$2, $L$4, $L$3, $L$5, $L$6)</f>
        <v>#NAME?</v>
      </c>
      <c r="BC42" s="105" t="e">
        <f ca="1">_xll.ciqfunctions.udf.CIQ($A42, "IQ_TOTAL_EQUITY", $B$2, $L$2, $L$4, $L$3, $L$5, $L$6)</f>
        <v>#NAME?</v>
      </c>
      <c r="BD42" s="105" t="e">
        <f ca="1">IF(_xll.ciqfunctions.udf.CIQ($A42, "IQ_TOTAL_EQUITY", $B$3, $L$2,$L$4, $L$3, $L$5, $L$6)=0,BB42,_xll.ciqfunctions.udf.CIQ($A42, "IQ_TOTAL_EQUITY", $B$3, $L$2,$L$4, $L$3, $L$5, $L$6))</f>
        <v>#NAME?</v>
      </c>
      <c r="BE42" s="105" t="e">
        <f ca="1">_xll.ciqfunctions.udf.CIQ(A42, "IQ_LASTSALEPRICE", $B$8)</f>
        <v>#NAME?</v>
      </c>
      <c r="BF42" s="105" t="e">
        <f ca="1">_xll.ciqfunctions.udf.CIQ($A42, "IQ_MARKETCAP", $B$8, $L$5, $L$6)</f>
        <v>#NAME?</v>
      </c>
      <c r="BG42" s="105" t="e">
        <f ca="1">_xll.ciqfunctions.udf.CIQ($A42, "IQ_TOTAL_DEBT", IQ_LTM, $B$8,$L$4, $L$3, $L$5, $L$6)</f>
        <v>#NAME?</v>
      </c>
      <c r="BH42" s="74" t="e">
        <f ca="1">_xll.ciqfunctions.udf.CIQ($A42,"IQ_PREF_EQUITY",IQ_LTM,$B$8,$L$4,$L$3,$L$5,$L$6)</f>
        <v>#NAME?</v>
      </c>
      <c r="BI42" s="74" t="e">
        <f ca="1">_xll.ciqfunctions.udf.CIQ($A42, "IQ_MINORITY_INTEREST_TOTAL", IQ_LTM,$B$8,$L$4,$L$3,$L$5,$L$6)</f>
        <v>#NAME?</v>
      </c>
      <c r="BJ42" s="105" t="e">
        <f ca="1">_xll.ciqfunctions.udf.CIQ($A42, "IQ_CASH_ST_INVEST", IQ_LTM, $B$8, $L$4, $L$3, $L$5, $L$6)</f>
        <v>#NAME?</v>
      </c>
      <c r="BK42" s="74" t="e">
        <f ca="1">_xll.ciqfunctions.udf.CIQ($A42, "IQ_EFFECT_TAX_RATE")</f>
        <v>#NAME?</v>
      </c>
      <c r="BL42" s="74" t="e">
        <f ca="1">IF(_xll.ciqfunctions.udf.CIQ($A42, "IQ_TOTAL_REV_2YR_ANN_CAGR", IQ_LTM, $B$1,$L$4, $L$3, $L$5, $L$6)="NM","n/a",(_xll.ciqfunctions.udf.CIQ($A42, "IQ_TOTAL_REV_2YR_ANN_CAGR", IQ_LTM, $B$1,$L$4, $L$3, $L$5, $L$6)/100))</f>
        <v>#NAME?</v>
      </c>
      <c r="BM42" s="74" t="e">
        <f ca="1">IF(_xll.ciqfunctions.udf.CIQ($A42, "IQ_TOTAL_REV_3YR_ANN_CAGR", IQ_LTM, $B$1,$L$4, $L$3, $L$5, $L$6)="NM","n/a",(_xll.ciqfunctions.udf.CIQ($A42, "IQ_TOTAL_REV_3YR_ANN_CAGR", IQ_LTM, $B$1,$L$4, $L$3, $L$5, $L$6)/100))</f>
        <v>#NAME?</v>
      </c>
      <c r="BN42" s="74" t="e">
        <f ca="1">IF(_xll.ciqfunctions.udf.CIQ($A42, "IQ_TOTAL_REV_5YR_ANN_CAGR", IQ_LTM, $B$1,$L$4, $L$3, $L$5, $L$6)="NM","n/a",(_xll.ciqfunctions.udf.CIQ($A42, "IQ_TOTAL_REV_5YR_ANN_CAGR", IQ_LTM, $B$1,$L$4, $L$3, $L$5, $L$6)/100))</f>
        <v>#NAME?</v>
      </c>
      <c r="BO42" s="74" t="e">
        <f ca="1">IF(_xll.ciqfunctions.udf.CIQ($A42,"IQ_EBITDA_2YR_ANN_CAGR", IQ_LTM,$B$1,$L$4, $L$3, $L$5, $L$6)="NM","n/a",(_xll.ciqfunctions.udf.CIQ($A42,"IQ_EBITDA_2YR_ANN_CAGR", IQ_LTM,$B$1,$L$4, $L$3, $L$5, $L$6)/100))</f>
        <v>#NAME?</v>
      </c>
      <c r="BP42" s="74" t="e">
        <f ca="1">IF(_xll.ciqfunctions.udf.CIQ($A42,"IQ_EBITDA_3YR_ANN_CAGR", IQ_LTM,$B$1,$L$4, $L$3, $L$5, $L$6)="NM","n/a",(_xll.ciqfunctions.udf.CIQ($A42,"IQ_EBITDA_3YR_ANN_CAGR", IQ_LTM,$B$1,$L$4, $L$3, $L$5, $L$6)/100))</f>
        <v>#NAME?</v>
      </c>
      <c r="BQ42" s="74" t="e">
        <f ca="1">IF(_xll.ciqfunctions.udf.CIQ($A42,"IQ_EBITDA_5YR_ANN_CAGR", IQ_LTM,$B$1,$L$4, $L$3, $L$5, $L$6)="NM","n/a",(_xll.ciqfunctions.udf.CIQ($A42,"IQ_EBITDA_5YR_ANN_CAGR", IQ_LTM,$B$1,$L$4, $L$3, $L$5, $L$6)/100))</f>
        <v>#NAME?</v>
      </c>
      <c r="BR42" s="78" t="str">
        <f ca="1">IFERROR((_xll.ciqfunctions.udf.CIQ($A42, "IQ_DA_CF", IQ_LTM, $B$1, $L$4, $L$3, $L$5, $L$6)/Q42),"NM")</f>
        <v>NM</v>
      </c>
      <c r="BS42" s="109">
        <f>'Capital IQ Sheet-GPC'!BS42</f>
        <v>0.54921515354175443</v>
      </c>
      <c r="BT42" s="109">
        <f>'Capital IQ Sheet-GPC'!BT42</f>
        <v>0.6368240548266475</v>
      </c>
      <c r="BU42" s="109">
        <f>'Capital IQ Sheet-GPC'!BU42</f>
        <v>0.8118930978537976</v>
      </c>
      <c r="BV42" s="109">
        <f>'Capital IQ Sheet-GPC'!BV42</f>
        <v>0.74958228537678606</v>
      </c>
      <c r="BW42" s="109">
        <f>'Capital IQ Sheet-GPC'!BW42</f>
        <v>0.75033367742199064</v>
      </c>
      <c r="BX42" s="109">
        <f>'Capital IQ Sheet-GPC'!BX42</f>
        <v>0.73646736437477023</v>
      </c>
      <c r="BY42" s="109">
        <f>'Capital IQ Sheet-GPC'!BY42</f>
        <v>0.73833756066271383</v>
      </c>
      <c r="BZ42" s="109" t="str">
        <f>'Capital IQ Sheet-GPC'!BZ42</f>
        <v>n/a</v>
      </c>
      <c r="CB42" s="74">
        <v>2</v>
      </c>
      <c r="CC42" s="149" t="s">
        <v>315</v>
      </c>
      <c r="CD42" s="149" t="s">
        <v>314</v>
      </c>
      <c r="CE42" s="76">
        <f t="shared" si="0"/>
        <v>42005</v>
      </c>
    </row>
    <row r="43" spans="1:83">
      <c r="A43" s="102" t="str">
        <f>'Capital IQ Sheet-GPC'!A43</f>
        <v>Comparable Public Companies (Secondary)</v>
      </c>
      <c r="B43" s="104"/>
      <c r="E43" s="103"/>
      <c r="F43" s="103"/>
      <c r="G43" s="103"/>
      <c r="H43" s="105"/>
      <c r="I43" s="105"/>
      <c r="K43" s="105"/>
      <c r="M43" s="105"/>
      <c r="N43" s="105"/>
      <c r="O43" s="105"/>
      <c r="P43" s="105"/>
      <c r="Q43" s="105"/>
      <c r="R43" s="105"/>
      <c r="S43" s="105"/>
      <c r="U43" s="105"/>
      <c r="V43" s="105"/>
      <c r="W43" s="105"/>
      <c r="X43" s="105"/>
      <c r="Y43" s="105"/>
      <c r="Z43" s="105"/>
      <c r="AA43" s="105"/>
      <c r="AB43" s="105"/>
      <c r="AC43" s="105"/>
      <c r="AE43" s="105"/>
      <c r="AF43" s="106"/>
      <c r="AG43" s="106"/>
      <c r="AH43" s="106"/>
      <c r="AI43" s="106"/>
      <c r="AJ43" s="105"/>
      <c r="AK43" s="105"/>
      <c r="AL43" s="105"/>
      <c r="AM43" s="105"/>
      <c r="AN43" s="105"/>
      <c r="AO43" s="105"/>
      <c r="AP43" s="107"/>
      <c r="AQ43" s="108"/>
      <c r="AR43" s="108"/>
      <c r="AS43" s="108"/>
      <c r="AU43" s="105"/>
      <c r="AV43" s="105"/>
      <c r="AW43" s="105"/>
      <c r="AX43" s="105"/>
      <c r="AY43" s="105"/>
      <c r="AZ43" s="105"/>
      <c r="BA43" s="105"/>
      <c r="BB43" s="105"/>
      <c r="BC43" s="105"/>
      <c r="BD43" s="105"/>
      <c r="BE43" s="105"/>
      <c r="BF43" s="105"/>
      <c r="BG43" s="105"/>
      <c r="BH43" s="71"/>
      <c r="BI43" s="71"/>
      <c r="BJ43" s="105"/>
      <c r="BK43" s="71"/>
      <c r="BL43" s="71"/>
      <c r="BM43" s="71"/>
      <c r="BN43" s="71"/>
      <c r="BO43" s="71"/>
      <c r="BP43" s="71"/>
      <c r="BQ43" s="71"/>
      <c r="BR43" s="71"/>
      <c r="BS43" s="71"/>
      <c r="BT43" s="71"/>
      <c r="BU43" s="71"/>
      <c r="BV43" s="71"/>
      <c r="BW43" s="71"/>
      <c r="BX43" s="71"/>
      <c r="BY43" s="71"/>
      <c r="BZ43" s="71"/>
    </row>
    <row r="44" spans="1:83">
      <c r="A44" s="75" t="e">
        <f ca="1">_xll.ciqfunctions.udf.CIQ($B44,"IQ_COMPANY_TICKER")</f>
        <v>#NAME?</v>
      </c>
      <c r="B44" s="104" t="str">
        <f>'Capital IQ Sheet-GPC'!B44</f>
        <v>IQ249341857</v>
      </c>
      <c r="C44" s="75" t="e">
        <f ca="1">_xll.ciqfunctions.udf.CIQ($A44,"IQ_COMPANY_NAME")</f>
        <v>#NAME?</v>
      </c>
      <c r="D44" s="75" t="e">
        <f ca="1">_xll.ciqfunctions.udf.CIQ($A44, "IQ_EXCHANGE")</f>
        <v>#NAME?</v>
      </c>
      <c r="E44" s="103" t="e">
        <f ca="1">_xll.ciqfunctions.udf.CIQ($A44, "IQ_PERIODDATE_IS", IQ_FY)</f>
        <v>#NAME?</v>
      </c>
      <c r="F44" s="103" t="e">
        <f ca="1">_xll.ciqfunctions.udf.CIQ(A44, "IQ_PERIODDATE_IS", IQ_LTM, $B$1,$L$4,$L$3)</f>
        <v>#NAME?</v>
      </c>
      <c r="G44" s="103" t="e">
        <f ca="1">_xll.ciqfunctions.udf.CIQ($A44, "IQ_FIRSTPRICINGDATE")</f>
        <v>#NAME?</v>
      </c>
      <c r="H44" s="105" t="e">
        <f ca="1">_xll.ciqfunctions.udf.CIQ($A44, "IQ_TEV", $L$2, $L$5, $L$6)</f>
        <v>#NAME?</v>
      </c>
      <c r="I44" s="105" t="e">
        <f ca="1">_xll.ciqfunctions.udf.CIQ(A44, "IQ_LASTSALEPRICE", $B$1,$L$5)</f>
        <v>#NAME?</v>
      </c>
      <c r="J44" s="103" t="e">
        <f ca="1">_xll.ciqfunctions.udf.CIQ($B44, "IQ_FIRSTPRICINGDATE")</f>
        <v>#NAME?</v>
      </c>
      <c r="K44" s="105" t="e">
        <f ca="1">_xll.ciqfunctions.udf.CIQ($A44, "IQ_TOTAL_DEBT", IQ_LTM, $L$2,$L$4, $L$3, $L$5, $L$6)</f>
        <v>#NAME?</v>
      </c>
      <c r="L44" s="105" t="e">
        <f ca="1">_xll.ciqfunctions.udf.CIQ($A44, "IQ_PREF_EQUITY", IQ_LTM, $L$2, $L$4, $L$3, $L$5, $L$6)</f>
        <v>#NAME?</v>
      </c>
      <c r="M44" s="105" t="e">
        <f ca="1">_xll.ciqfunctions.udf.CIQ($A44, "IQ_MINORITY_INTEREST_TOTAL", IQ_LTM, $L$2, $L$4, $L$3, $L$5, $L$6)</f>
        <v>#NAME?</v>
      </c>
      <c r="N44" s="105" t="e">
        <f ca="1">_xll.ciqfunctions.udf.CIQ($A44, "IQ_CASH_ST_INVEST", IQ_LTM, $L$2, $L$4, $L$3, $L$5, $L$6)</f>
        <v>#NAME?</v>
      </c>
      <c r="O44" s="105" t="e">
        <f ca="1">_xll.ciqfunctions.udf.CIQ($A44, "IQ_TOTAL_REV", IQ_LTM-8, $L$2, $L$4, $L$3, $L$5, $L$6)</f>
        <v>#NAME?</v>
      </c>
      <c r="P44" s="105" t="e">
        <f ca="1">_xll.ciqfunctions.udf.CIQ($A44, "IQ_TOTAL_REV", IQ_LTM - 4, $L$2, $L$4, $L$3, $L$5,$L$6)</f>
        <v>#NAME?</v>
      </c>
      <c r="Q44" s="105" t="e">
        <f ca="1">_xll.ciqfunctions.udf.CIQ($A44, "IQ_TOTAL_REV", IQ_LTM, $L$2, $L$4, $L$3, $L$5, $L$6)</f>
        <v>#NAME?</v>
      </c>
      <c r="R44" s="105" t="e">
        <f ca="1">_xll.ciqfunctions.udf.CIQ($A44, "IQ_TOTAL_REV", $B$2, $L$2, $L$4, $L$3, $L$5, $L$6)</f>
        <v>#NAME?</v>
      </c>
      <c r="S44" s="105" t="e">
        <f ca="1">IF(_xll.ciqfunctions.udf.CIQ($A44, "IQ_TOTAL_REV", $B$3, $L$2,$L$4, $L$3, $L$5, $L$6)=0,Q44,_xll.ciqfunctions.udf.CIQ($A44, "IQ_TOTAL_REV", $B$3, $L$2,$L$4, $L$3, $L$5, $L$6))</f>
        <v>#NAME?</v>
      </c>
      <c r="T44" s="105" t="e">
        <f ca="1">IF(_xll.ciqfunctions.udf.CIQ($A44, "IQ_REVENUE_EST",$B$4, $L$2, "CON", $L$3, $L$5, $L$6)=0,"n/a",_xll.ciqfunctions.udf.CIQ($A44, "IQ_REVENUE_EST",$B$4, $L$2, "CON", $L$3, $L$5, $L$6))</f>
        <v>#NAME?</v>
      </c>
      <c r="U44" s="105" t="e">
        <f ca="1">IF(_xll.ciqfunctions.udf.CIQ($A44, "IQ_REVENUE_EST",$B$5, $L$2, "CON", $L$3, $L$5, $L$6)=0,"n/a",_xll.ciqfunctions.udf.CIQ($A44, "IQ_REVENUE_EST",$B$5, $L$2, "CON", $L$3, $L$5, $L$6))</f>
        <v>#NAME?</v>
      </c>
      <c r="V44" s="105" t="e">
        <f ca="1">IF(_xll.ciqfunctions.udf.CIQ($A44, "IQ_REVENUE_EST",$B$6, $L$2, "CON", $L$3, $L$5, $L$6)=0,"n/a",_xll.ciqfunctions.udf.CIQ($A44, "IQ_REVENUE_EST",$B$6, $L$2, "CON", $L$3, $L$5, $L$6))</f>
        <v>#NAME?</v>
      </c>
      <c r="W44" s="105" t="e">
        <f ca="1">IF(_xll.ciqfunctions.udf.CIQ($A44, "IQ_REVENUE_EST", $B$7, $L$2, "CON", $L$3, $L$5, $L$6)=0,"n/a",_xll.ciqfunctions.udf.CIQ($A44, "IQ_REVENUE_EST",$B$7, $L$2, "CON", $L$3, $L$5, $L$6))</f>
        <v>#NAME?</v>
      </c>
      <c r="X44" s="105" t="e">
        <f ca="1">_xll.ciqfunctions.udf.CIQ($A44, "IQ_EBITDA", IQ_LTM-8, $L$2, $L$4, $L$3, $L$5, $L$6)</f>
        <v>#NAME?</v>
      </c>
      <c r="Y44" s="105" t="e">
        <f ca="1">_xll.ciqfunctions.udf.CIQ($A44, "IQ_EBITDA", IQ_LTM-4, $L$2,$L$4, $L$3, $L$5, $L$6)</f>
        <v>#NAME?</v>
      </c>
      <c r="Z44" s="105" t="e">
        <f ca="1">_xll.ciqfunctions.udf.CIQ($A44, "IQ_EBITDA", IQ_LTM, $L$2, $L$4, $L$3, $L$5, $L$6)</f>
        <v>#NAME?</v>
      </c>
      <c r="AA44" s="105" t="e">
        <f ca="1">_xll.ciqfunctions.udf.CIQ($A44, "IQ_EBITDA", $B$2, $L$2, $L$4, $L$3, $L$5, $L$6)</f>
        <v>#NAME?</v>
      </c>
      <c r="AB44" s="105" t="e">
        <f ca="1">IF(_xll.ciqfunctions.udf.CIQ($A44, "IQ_EBITDA", $B$3, $L$2,$L$4, $L$3, $L$5, $L$6)=0,Z44,_xll.ciqfunctions.udf.CIQ($A44, "IQ_EBITDA", $B$3, $L$2,$L$4, $L$3, $L$5, $L$6))</f>
        <v>#NAME?</v>
      </c>
      <c r="AC44" s="105" t="e">
        <f ca="1">IF(_xll.ciqfunctions.udf.CIQ($A44, "IQ_EBITDA_EST",$B$4, $L$2, "CON", $L$3, $L$5, $L$6)=0,"n/a",_xll.ciqfunctions.udf.CIQ($A44, "IQ_EBITDA_EST",$B$4, $L$2, "CON", $L$3, $L$5, $L$6))</f>
        <v>#NAME?</v>
      </c>
      <c r="AD44" s="75" t="e">
        <f ca="1">IF(_xll.ciqfunctions.udf.CIQ($A44, "IQ_EBITDA_EST",$B$5, $L$2, "CON", $L$3, $L$5, $L$6)=0,"n/a",_xll.ciqfunctions.udf.CIQ($A44, "IQ_EBITDA_EST",$B$5, $L$2, "CON", $L$3, $L$5, $L$6))</f>
        <v>#NAME?</v>
      </c>
      <c r="AE44" s="105" t="e">
        <f ca="1">IF(_xll.ciqfunctions.udf.CIQ($A44, "IQ_EBITDA_EST",$B$6, $L$2, "CON", $L$3, $L$5, $L$6)=0,"n/a",_xll.ciqfunctions.udf.CIQ($A44, "IQ_EBITDA_EST",$B$6, $L$2, "CON", $L$3, $L$5, $L$6))</f>
        <v>#NAME?</v>
      </c>
      <c r="AF44" s="106" t="str">
        <f ca="1">IF(ISERROR(_xll.ciqfunctions.udf.CIQ($A44, "IQ_GROSS_MARGIN", IQ_LTM, $L$2,$L$4, $L$3, $L$5, $L$6)/100), "n/a", _xll.ciqfunctions.udf.CIQ($A44,  "IQ_GROSS_MARGIN", IQ_LTM, $L$2, $L$4, $L$3, $L$5, $L$6)/100)</f>
        <v>n/a</v>
      </c>
      <c r="AG44" s="106" t="str">
        <f ca="1">IF(ISERROR(_xll.ciqfunctions.udf.CIQ($A44,"IQ_EBITDA_MARGIN", IQ_LTM, $L$2, $L$4, $L$3, $L$5, $L$6)/100), "n/a", _xll.ciqfunctions.udf.CIQ($A44, "IQ_EBITDA_MARGIN", IQ_LTM, $L$2, $L$4, $L$3, $L$5, $L$6)/100)</f>
        <v>n/a</v>
      </c>
      <c r="AH44" s="106" t="str">
        <f ca="1">IF(ISERROR(_xll.ciqfunctions.udf.CIQ($A44,"IQ_EBIT_MARGIN", IQ_LTM, $L$2, $L$4, $L$3, $L$5, $L$6)/100), "n/a", _xll.ciqfunctions.udf.CIQ($A44, "IQ_EBIT_MARGIN", IQ_LTM, $L$2, $L$4, $L$3, $L$5, $L$6)/100)</f>
        <v>n/a</v>
      </c>
      <c r="AI44" s="106" t="str">
        <f ca="1">IF(ISERROR(_xll.ciqfunctions.udf.CIQ($A44,"IQ_NI_MARGIN", IQ_LTM, $L$2, $L$4, $L$3, $L$5, $L$6)/100), "n/a", _xll.ciqfunctions.udf.CIQ($A44, "IQ_NI_MARGIN", IQ_LTM, $L$2, $L$4, $L$3, $L$5, $L$6)/100)</f>
        <v>n/a</v>
      </c>
      <c r="AJ44" s="105" t="str">
        <f ca="1">IF(ISERROR(_xll.ciqfunctions.udf.CIQ($A44, "IQ_NET_WORKING_CAP", IQ_LTM-8, $L$2, $L$4, $L$3, $L$5, $L$6)), "n/a", _xll.ciqfunctions.udf.CIQ($A44, "IQ_NET_WORKING_CAP", IQ_LTM-8, $L$2, $L$4, $L$3, $L$5, $L$6))</f>
        <v>n/a</v>
      </c>
      <c r="AK44" s="105" t="str">
        <f ca="1">IF(ISERROR(_xll.ciqfunctions.udf.CIQ($A44, "IQ_NET_WORKING_CAP", IQ_LTM-4, $L$2, $L$4, $L$3, $L$5, $L$6)), "n/a", _xll.ciqfunctions.udf.CIQ($A44, "IQ_NET_WORKING_CAP", IQ_LTM-4, $L$2, $L$4, $L$3, $L$5, $L$6))</f>
        <v>n/a</v>
      </c>
      <c r="AL44" s="105" t="str">
        <f ca="1">IF(ISERROR(_xll.ciqfunctions.udf.CIQ($A44, "IQ_NET_WORKING_CAP", IQ_LTM, $L$2,$L$4, $L$3, $L$5, $L$6)), "n/a", _xll.ciqfunctions.udf.CIQ($A44, "IQ_NET_WORKING_CAP", IQ_LTM, $L$2, $L$4, $L$3, $L$5, $L$6))</f>
        <v>n/a</v>
      </c>
      <c r="AM44" s="105" t="str">
        <f ca="1">IF(ISERROR(_xll.ciqfunctions.udf.CIQ($A44, "IQ_Capex", IQ_LTM-8, $L$2,$L$4, $L$3, $L$5, $L$6)), "n/a", _xll.ciqfunctions.udf.CIQ($A44, "IQ_Capex", IQ_LTM-8, $L$2, $L$4, $L$3, $L$5, $L$6))</f>
        <v>n/a</v>
      </c>
      <c r="AN44" s="105" t="str">
        <f ca="1">IF(ISERROR(_xll.ciqfunctions.udf.CIQ($A44, "IQ_Capex", IQ_LTM-4, $L$2,$L$4, $L$3, $L$5, $L$6)), "n/a", _xll.ciqfunctions.udf.CIQ($A44, "IQ_Capex", IQ_LTM-4, $L$2,$L$4, $L$3, $L$5, $L$6))</f>
        <v>n/a</v>
      </c>
      <c r="AO44" s="105" t="str">
        <f ca="1">IF(ISERROR(_xll.ciqfunctions.udf.CIQ($A44, "IQ_Capex", IQ_LTM, $L$2, $L$4, $L$3, $L$5, $L$6)), "n/a", _xll.ciqfunctions.udf.CIQ($A44, "IQ_Capex", IQ_LTM, $L$2, $L$4, $L$3, $L$5, $L$6))</f>
        <v>n/a</v>
      </c>
      <c r="AP44" s="107" t="e">
        <f ca="1">_xll.ciqfunctions.udf.CIQ(A44, "IQ_BUSINESS_DESCRIPTION")</f>
        <v>#NAME?</v>
      </c>
      <c r="AQ44" s="108" t="e">
        <f ca="1">_xll.ciqfunctions.udf.CIQ($A44, "IQ_BETA_1YR", $B$1)</f>
        <v>#NAME?</v>
      </c>
      <c r="AR44" s="108" t="e">
        <f ca="1">_xll.ciqfunctions.udf.CIQ($A44, "IQ_BETA_2YR", $B$1)</f>
        <v>#NAME?</v>
      </c>
      <c r="AS44" s="108" t="e">
        <f ca="1">_xll.ciqfunctions.udf.CIQ($A44, "IQ_BETA_5YR", $B$1)</f>
        <v>#NAME?</v>
      </c>
      <c r="AT44" s="75" t="e">
        <f ca="1">_xll.ciqfunctions.udf.CIQ($B44, "IQ_GP", IQ_LTM,$B$1, ,,"USD")</f>
        <v>#NAME?</v>
      </c>
      <c r="AU44" s="105" t="e">
        <f ca="1">_xll.ciqfunctions.udf.CIQ($A44, "IQ_EARNING_CO", IQ_LTM-8, $L$2, $L$4, $L$3, $L$5, $L$6)</f>
        <v>#NAME?</v>
      </c>
      <c r="AV44" s="105" t="e">
        <f ca="1">_xll.ciqfunctions.udf.CIQ($A44, "IQ_EARNING_CO", IQ_LTM-4, $L$2, $L$4, $L$3, $L$5, $L$6)</f>
        <v>#NAME?</v>
      </c>
      <c r="AW44" s="105" t="e">
        <f ca="1">_xll.ciqfunctions.udf.CIQ($A44, "IQ_EARNING_CO", IQ_LTM, $L$2, $L$4, $L$3, $L$5, $L$6)</f>
        <v>#NAME?</v>
      </c>
      <c r="AX44" s="105" t="e">
        <f ca="1">_xll.ciqfunctions.udf.CIQ($A44, "IQ_EARNING_CO", $B$2, $L$2, $L$4, $L$3, $L$5, $L$6)</f>
        <v>#NAME?</v>
      </c>
      <c r="AY44" s="105" t="e">
        <f ca="1">IF(_xll.ciqfunctions.udf.CIQ($A44, "IQ_EARNING_CO", $B$3, $L$2,$L$4, $L$3, $L$5, $L$6)=0,AW44,_xll.ciqfunctions.udf.CIQ($A44, "IQ_EARNING_CO", $B$3, $L$2,$L$4, $L$3, $L$5, $L$6))</f>
        <v>#NAME?</v>
      </c>
      <c r="AZ44" s="105" t="e">
        <f ca="1">_xll.ciqfunctions.udf.CIQ($A44, "IQ_TOTAL_EQUITY", IQ_LTM-8, $L$2, $L$4, $L$3, $L$5, $L$6)</f>
        <v>#NAME?</v>
      </c>
      <c r="BA44" s="105" t="e">
        <f ca="1">_xll.ciqfunctions.udf.CIQ($A44, "IQ_TOTAL_EQUITY", IQ_LTM-4, $L$2, $L$4, $L$3, $L$5, $L$6)</f>
        <v>#NAME?</v>
      </c>
      <c r="BB44" s="105" t="e">
        <f ca="1">_xll.ciqfunctions.udf.CIQ($A44, "IQ_TOTAL_EQUITY", IQ_LTM, $L$2, $L$4, $L$3, $L$5, $L$6)</f>
        <v>#NAME?</v>
      </c>
      <c r="BC44" s="105" t="e">
        <f ca="1">_xll.ciqfunctions.udf.CIQ($A44, "IQ_TOTAL_EQUITY", $B$2, $L$2, $L$4, $L$3, $L$5, $L$6)</f>
        <v>#NAME?</v>
      </c>
      <c r="BD44" s="105" t="e">
        <f ca="1">IF(_xll.ciqfunctions.udf.CIQ($A44, "IQ_TOTAL_EQUITY", $B$3, $L$2,$L$4, $L$3, $L$5, $L$6)=0,BB44,_xll.ciqfunctions.udf.CIQ($A44, "IQ_TOTAL_EQUITY", $B$3, $L$2,$L$4, $L$3, $L$5, $L$6))</f>
        <v>#NAME?</v>
      </c>
      <c r="BE44" s="105" t="e">
        <f ca="1">_xll.ciqfunctions.udf.CIQ(A44, "IQ_LASTSALEPRICE", $B$8)</f>
        <v>#NAME?</v>
      </c>
      <c r="BF44" s="105" t="e">
        <f ca="1">_xll.ciqfunctions.udf.CIQ($A44, "IQ_MARKETCAP", $B$8, $L$5, $L$6)</f>
        <v>#NAME?</v>
      </c>
      <c r="BG44" s="105" t="e">
        <f ca="1">_xll.ciqfunctions.udf.CIQ($A44, "IQ_TOTAL_DEBT", IQ_LTM, $B$8,$L$4, $L$3, $L$5, $L$6)</f>
        <v>#NAME?</v>
      </c>
      <c r="BH44" s="74" t="e">
        <f ca="1">_xll.ciqfunctions.udf.CIQ($A44,"IQ_PREF_EQUITY",IQ_LTM,$B$8,$L$4,$L$3,$L$5,$L$6)</f>
        <v>#NAME?</v>
      </c>
      <c r="BI44" s="74" t="e">
        <f ca="1">_xll.ciqfunctions.udf.CIQ($A44, "IQ_MINORITY_INTEREST_TOTAL", IQ_LTM,$B$8,$L$4,$L$3,$L$5,$L$6)</f>
        <v>#NAME?</v>
      </c>
      <c r="BJ44" s="105" t="e">
        <f ca="1">_xll.ciqfunctions.udf.CIQ($A44, "IQ_CASH_ST_INVEST", IQ_LTM, $B$8, $L$4, $L$3, $L$5, $L$6)</f>
        <v>#NAME?</v>
      </c>
      <c r="BK44" s="74" t="e">
        <f ca="1">_xll.ciqfunctions.udf.CIQ($A44, "IQ_EFFECT_TAX_RATE")</f>
        <v>#NAME?</v>
      </c>
      <c r="BL44" s="74" t="e">
        <f ca="1">IF(_xll.ciqfunctions.udf.CIQ($A44, "IQ_TOTAL_REV_2YR_ANN_CAGR", IQ_LTM, $B$1,$L$4, $L$3, $L$5, $L$6)="NM","n/a",(_xll.ciqfunctions.udf.CIQ($A44, "IQ_TOTAL_REV_2YR_ANN_CAGR", IQ_LTM, $B$1,$L$4, $L$3, $L$5, $L$6)/100))</f>
        <v>#NAME?</v>
      </c>
      <c r="BM44" s="74" t="e">
        <f ca="1">IF(_xll.ciqfunctions.udf.CIQ($A44, "IQ_TOTAL_REV_3YR_ANN_CAGR", IQ_LTM, $B$1,$L$4, $L$3, $L$5, $L$6)="NM","n/a",(_xll.ciqfunctions.udf.CIQ($A44, "IQ_TOTAL_REV_3YR_ANN_CAGR", IQ_LTM, $B$1,$L$4, $L$3, $L$5, $L$6)/100))</f>
        <v>#NAME?</v>
      </c>
      <c r="BN44" s="74" t="e">
        <f ca="1">IF(_xll.ciqfunctions.udf.CIQ($A44, "IQ_TOTAL_REV_5YR_ANN_CAGR", IQ_LTM, $B$1,$L$4, $L$3, $L$5, $L$6)="NM","n/a",(_xll.ciqfunctions.udf.CIQ($A44, "IQ_TOTAL_REV_5YR_ANN_CAGR", IQ_LTM, $B$1,$L$4, $L$3, $L$5, $L$6)/100))</f>
        <v>#NAME?</v>
      </c>
      <c r="BO44" s="74" t="e">
        <f ca="1">IF(_xll.ciqfunctions.udf.CIQ($A44,"IQ_EBITDA_2YR_ANN_CAGR", IQ_LTM,$B$1,$L$4, $L$3, $L$5, $L$6)="NM","n/a",(_xll.ciqfunctions.udf.CIQ($A44,"IQ_EBITDA_2YR_ANN_CAGR", IQ_LTM,$B$1,$L$4, $L$3, $L$5, $L$6)/100))</f>
        <v>#NAME?</v>
      </c>
      <c r="BP44" s="74" t="e">
        <f ca="1">IF(_xll.ciqfunctions.udf.CIQ($A44,"IQ_EBITDA_3YR_ANN_CAGR", IQ_LTM,$B$1,$L$4, $L$3, $L$5, $L$6)="NM","n/a",(_xll.ciqfunctions.udf.CIQ($A44,"IQ_EBITDA_3YR_ANN_CAGR", IQ_LTM,$B$1,$L$4, $L$3, $L$5, $L$6)/100))</f>
        <v>#NAME?</v>
      </c>
      <c r="BQ44" s="74" t="e">
        <f ca="1">IF(_xll.ciqfunctions.udf.CIQ($A44,"IQ_EBITDA_5YR_ANN_CAGR", IQ_LTM,$B$1,$L$4, $L$3, $L$5, $L$6)="NM","n/a",(_xll.ciqfunctions.udf.CIQ($A44,"IQ_EBITDA_5YR_ANN_CAGR", IQ_LTM,$B$1,$L$4, $L$3, $L$5, $L$6)/100))</f>
        <v>#NAME?</v>
      </c>
      <c r="BR44" s="78" t="str">
        <f ca="1">IFERROR((_xll.ciqfunctions.udf.CIQ($A44, "IQ_DA_CF", IQ_LTM, $B$1, $L$4, $L$3, $L$5, $L$6)/Q44),"NM")</f>
        <v>NM</v>
      </c>
      <c r="BS44" s="106">
        <f>'Capital IQ Sheet-GPC'!BS44</f>
        <v>0.77767472070583177</v>
      </c>
      <c r="BT44" s="106">
        <f>'Capital IQ Sheet-GPC'!BT44</f>
        <v>0.7672442493850854</v>
      </c>
      <c r="BU44" s="106" t="str">
        <f>'Capital IQ Sheet-GPC'!BU44</f>
        <v>n/a</v>
      </c>
      <c r="BV44" s="106" t="str">
        <f>'Capital IQ Sheet-GPC'!BV44</f>
        <v>n/a</v>
      </c>
      <c r="BW44" s="106" t="str">
        <f>'Capital IQ Sheet-GPC'!BW44</f>
        <v>n/a</v>
      </c>
      <c r="BX44" s="106" t="str">
        <f>'Capital IQ Sheet-GPC'!BX44</f>
        <v>n/a</v>
      </c>
      <c r="BY44" s="106" t="str">
        <f>'Capital IQ Sheet-GPC'!BY44</f>
        <v>n/a</v>
      </c>
      <c r="BZ44" s="106" t="str">
        <f>'Capital IQ Sheet-GPC'!BZ44</f>
        <v>n/a</v>
      </c>
    </row>
    <row r="45" spans="1:83">
      <c r="A45" s="75" t="e">
        <f ca="1">_xll.ciqfunctions.udf.CIQ($B45,"IQ_COMPANY_TICKER")</f>
        <v>#NAME?</v>
      </c>
      <c r="B45" s="104" t="str">
        <f>'Capital IQ Sheet-GPC'!B45</f>
        <v>IQ262549448</v>
      </c>
      <c r="C45" s="75" t="e">
        <f ca="1">_xll.ciqfunctions.udf.CIQ($A45,"IQ_COMPANY_NAME")</f>
        <v>#NAME?</v>
      </c>
      <c r="D45" s="75" t="e">
        <f ca="1">_xll.ciqfunctions.udf.CIQ($A45, "IQ_EXCHANGE")</f>
        <v>#NAME?</v>
      </c>
      <c r="E45" s="103" t="e">
        <f ca="1">_xll.ciqfunctions.udf.CIQ($A45, "IQ_PERIODDATE_IS", IQ_FY)</f>
        <v>#NAME?</v>
      </c>
      <c r="F45" s="103" t="e">
        <f ca="1">_xll.ciqfunctions.udf.CIQ(A45, "IQ_PERIODDATE_IS", IQ_LTM, $B$1,$L$4,$L$3)</f>
        <v>#NAME?</v>
      </c>
      <c r="G45" s="103" t="e">
        <f ca="1">_xll.ciqfunctions.udf.CIQ($A45, "IQ_FIRSTPRICINGDATE")</f>
        <v>#NAME?</v>
      </c>
      <c r="H45" s="105" t="e">
        <f ca="1">_xll.ciqfunctions.udf.CIQ($A45, "IQ_TEV", $L$2, $L$5, $L$6)</f>
        <v>#NAME?</v>
      </c>
      <c r="I45" s="105" t="e">
        <f ca="1">_xll.ciqfunctions.udf.CIQ(A45, "IQ_LASTSALEPRICE", $B$1,$L$5)</f>
        <v>#NAME?</v>
      </c>
      <c r="J45" s="103" t="e">
        <f ca="1">_xll.ciqfunctions.udf.CIQ($B45, "IQ_FIRSTPRICINGDATE")</f>
        <v>#NAME?</v>
      </c>
      <c r="K45" s="105" t="e">
        <f ca="1">_xll.ciqfunctions.udf.CIQ($A45, "IQ_TOTAL_DEBT", IQ_LTM, $L$2,$L$4, $L$3, $L$5, $L$6)</f>
        <v>#NAME?</v>
      </c>
      <c r="L45" s="105" t="e">
        <f ca="1">_xll.ciqfunctions.udf.CIQ($A45, "IQ_PREF_EQUITY", IQ_LTM, $L$2, $L$4, $L$3, $L$5, $L$6)</f>
        <v>#NAME?</v>
      </c>
      <c r="M45" s="105" t="e">
        <f ca="1">_xll.ciqfunctions.udf.CIQ($A45, "IQ_MINORITY_INTEREST_TOTAL", IQ_LTM, $L$2, $L$4, $L$3, $L$5, $L$6)</f>
        <v>#NAME?</v>
      </c>
      <c r="N45" s="105" t="e">
        <f ca="1">_xll.ciqfunctions.udf.CIQ($A45, "IQ_CASH_ST_INVEST", IQ_LTM, $L$2, $L$4, $L$3, $L$5, $L$6)</f>
        <v>#NAME?</v>
      </c>
      <c r="O45" s="105" t="e">
        <f ca="1">_xll.ciqfunctions.udf.CIQ($A45, "IQ_TOTAL_REV", IQ_LTM-8, $L$2, $L$4, $L$3, $L$5, $L$6)</f>
        <v>#NAME?</v>
      </c>
      <c r="P45" s="105" t="e">
        <f ca="1">_xll.ciqfunctions.udf.CIQ($A45, "IQ_TOTAL_REV", IQ_LTM - 4, $L$2, $L$4, $L$3, $L$5,$L$6)</f>
        <v>#NAME?</v>
      </c>
      <c r="Q45" s="105" t="e">
        <f ca="1">_xll.ciqfunctions.udf.CIQ($A45, "IQ_TOTAL_REV", IQ_LTM, $L$2, $L$4, $L$3, $L$5, $L$6)</f>
        <v>#NAME?</v>
      </c>
      <c r="R45" s="105" t="e">
        <f ca="1">_xll.ciqfunctions.udf.CIQ($A45, "IQ_TOTAL_REV", $B$2, $L$2, $L$4, $L$3, $L$5, $L$6)</f>
        <v>#NAME?</v>
      </c>
      <c r="S45" s="105" t="e">
        <f ca="1">IF(_xll.ciqfunctions.udf.CIQ($A45, "IQ_TOTAL_REV", $B$3, $L$2,$L$4, $L$3, $L$5, $L$6)=0,Q45,_xll.ciqfunctions.udf.CIQ($A45, "IQ_TOTAL_REV", $B$3, $L$2,$L$4, $L$3, $L$5, $L$6))</f>
        <v>#NAME?</v>
      </c>
      <c r="T45" s="105" t="e">
        <f ca="1">IF(_xll.ciqfunctions.udf.CIQ($A45, "IQ_REVENUE_EST",$B$4, $L$2, "CON", $L$3, $L$5, $L$6)=0,"n/a",_xll.ciqfunctions.udf.CIQ($A45, "IQ_REVENUE_EST",$B$4, $L$2, "CON", $L$3, $L$5, $L$6))</f>
        <v>#NAME?</v>
      </c>
      <c r="U45" s="105" t="e">
        <f ca="1">IF(_xll.ciqfunctions.udf.CIQ($A45, "IQ_REVENUE_EST",$B$5, $L$2, "CON", $L$3, $L$5, $L$6)=0,"n/a",_xll.ciqfunctions.udf.CIQ($A45, "IQ_REVENUE_EST",$B$5, $L$2, "CON", $L$3, $L$5, $L$6))</f>
        <v>#NAME?</v>
      </c>
      <c r="V45" s="105" t="e">
        <f ca="1">IF(_xll.ciqfunctions.udf.CIQ($A45, "IQ_REVENUE_EST",$B$6, $L$2, "CON", $L$3, $L$5, $L$6)=0,"n/a",_xll.ciqfunctions.udf.CIQ($A45, "IQ_REVENUE_EST",$B$6, $L$2, "CON", $L$3, $L$5, $L$6))</f>
        <v>#NAME?</v>
      </c>
      <c r="W45" s="105" t="e">
        <f ca="1">IF(_xll.ciqfunctions.udf.CIQ($A45, "IQ_REVENUE_EST", $B$7, $L$2, "CON", $L$3, $L$5, $L$6)=0,"n/a",_xll.ciqfunctions.udf.CIQ($A45, "IQ_REVENUE_EST",$B$7, $L$2, "CON", $L$3, $L$5, $L$6))</f>
        <v>#NAME?</v>
      </c>
      <c r="X45" s="105" t="e">
        <f ca="1">_xll.ciqfunctions.udf.CIQ($A45, "IQ_EBITDA", IQ_LTM-8, $L$2, $L$4, $L$3, $L$5, $L$6)</f>
        <v>#NAME?</v>
      </c>
      <c r="Y45" s="105" t="e">
        <f ca="1">_xll.ciqfunctions.udf.CIQ($A45, "IQ_EBITDA", IQ_LTM-4, $L$2,$L$4, $L$3, $L$5, $L$6)</f>
        <v>#NAME?</v>
      </c>
      <c r="Z45" s="105" t="e">
        <f ca="1">_xll.ciqfunctions.udf.CIQ($A45, "IQ_EBITDA", IQ_LTM, $L$2, $L$4, $L$3, $L$5, $L$6)</f>
        <v>#NAME?</v>
      </c>
      <c r="AA45" s="105" t="e">
        <f ca="1">_xll.ciqfunctions.udf.CIQ($A45, "IQ_EBITDA", $B$2, $L$2, $L$4, $L$3, $L$5, $L$6)</f>
        <v>#NAME?</v>
      </c>
      <c r="AB45" s="105" t="e">
        <f ca="1">IF(_xll.ciqfunctions.udf.CIQ($A45, "IQ_EBITDA", $B$3, $L$2,$L$4, $L$3, $L$5, $L$6)=0,Z45,_xll.ciqfunctions.udf.CIQ($A45, "IQ_EBITDA", $B$3, $L$2,$L$4, $L$3, $L$5, $L$6))</f>
        <v>#NAME?</v>
      </c>
      <c r="AC45" s="105" t="e">
        <f ca="1">IF(_xll.ciqfunctions.udf.CIQ($A45, "IQ_EBITDA_EST",$B$4, $L$2, "CON", $L$3, $L$5, $L$6)=0,"n/a",_xll.ciqfunctions.udf.CIQ($A45, "IQ_EBITDA_EST",$B$4, $L$2, "CON", $L$3, $L$5, $L$6))</f>
        <v>#NAME?</v>
      </c>
      <c r="AD45" s="75" t="e">
        <f ca="1">IF(_xll.ciqfunctions.udf.CIQ($A45, "IQ_EBITDA_EST",$B$5, $L$2, "CON", $L$3, $L$5, $L$6)=0,"n/a",_xll.ciqfunctions.udf.CIQ($A45, "IQ_EBITDA_EST",$B$5, $L$2, "CON", $L$3, $L$5, $L$6))</f>
        <v>#NAME?</v>
      </c>
      <c r="AE45" s="105" t="e">
        <f ca="1">IF(_xll.ciqfunctions.udf.CIQ($A45, "IQ_EBITDA_EST",$B$6, $L$2, "CON", $L$3, $L$5, $L$6)=0,"n/a",_xll.ciqfunctions.udf.CIQ($A45, "IQ_EBITDA_EST",$B$6, $L$2, "CON", $L$3, $L$5, $L$6))</f>
        <v>#NAME?</v>
      </c>
      <c r="AF45" s="106" t="str">
        <f ca="1">IF(ISERROR(_xll.ciqfunctions.udf.CIQ($A45, "IQ_GROSS_MARGIN", IQ_LTM, $L$2,$L$4, $L$3, $L$5, $L$6)/100), "n/a", _xll.ciqfunctions.udf.CIQ($A45,  "IQ_GROSS_MARGIN", IQ_LTM, $L$2, $L$4, $L$3, $L$5, $L$6)/100)</f>
        <v>n/a</v>
      </c>
      <c r="AG45" s="106" t="str">
        <f ca="1">IF(ISERROR(_xll.ciqfunctions.udf.CIQ($A45,"IQ_EBITDA_MARGIN", IQ_LTM, $L$2, $L$4, $L$3, $L$5, $L$6)/100), "n/a", _xll.ciqfunctions.udf.CIQ($A45, "IQ_EBITDA_MARGIN", IQ_LTM, $L$2, $L$4, $L$3, $L$5, $L$6)/100)</f>
        <v>n/a</v>
      </c>
      <c r="AH45" s="106" t="str">
        <f ca="1">IF(ISERROR(_xll.ciqfunctions.udf.CIQ($A45,"IQ_EBIT_MARGIN", IQ_LTM, $L$2, $L$4, $L$3, $L$5, $L$6)/100), "n/a", _xll.ciqfunctions.udf.CIQ($A45, "IQ_EBIT_MARGIN", IQ_LTM, $L$2, $L$4, $L$3, $L$5, $L$6)/100)</f>
        <v>n/a</v>
      </c>
      <c r="AI45" s="106" t="str">
        <f ca="1">IF(ISERROR(_xll.ciqfunctions.udf.CIQ($A45,"IQ_NI_MARGIN", IQ_LTM, $L$2, $L$4, $L$3, $L$5, $L$6)/100), "n/a", _xll.ciqfunctions.udf.CIQ($A45, "IQ_NI_MARGIN", IQ_LTM, $L$2, $L$4, $L$3, $L$5, $L$6)/100)</f>
        <v>n/a</v>
      </c>
      <c r="AJ45" s="105" t="str">
        <f ca="1">IF(ISERROR(_xll.ciqfunctions.udf.CIQ($A45, "IQ_NET_WORKING_CAP", IQ_LTM-8, $L$2, $L$4, $L$3, $L$5, $L$6)), "n/a", _xll.ciqfunctions.udf.CIQ($A45, "IQ_NET_WORKING_CAP", IQ_LTM-8, $L$2, $L$4, $L$3, $L$5, $L$6))</f>
        <v>n/a</v>
      </c>
      <c r="AK45" s="105" t="str">
        <f ca="1">IF(ISERROR(_xll.ciqfunctions.udf.CIQ($A45, "IQ_NET_WORKING_CAP", IQ_LTM-4, $L$2, $L$4, $L$3, $L$5, $L$6)), "n/a", _xll.ciqfunctions.udf.CIQ($A45, "IQ_NET_WORKING_CAP", IQ_LTM-4, $L$2, $L$4, $L$3, $L$5, $L$6))</f>
        <v>n/a</v>
      </c>
      <c r="AL45" s="105" t="str">
        <f ca="1">IF(ISERROR(_xll.ciqfunctions.udf.CIQ($A45, "IQ_NET_WORKING_CAP", IQ_LTM, $L$2,$L$4, $L$3, $L$5, $L$6)), "n/a", _xll.ciqfunctions.udf.CIQ($A45, "IQ_NET_WORKING_CAP", IQ_LTM, $L$2, $L$4, $L$3, $L$5, $L$6))</f>
        <v>n/a</v>
      </c>
      <c r="AM45" s="105" t="str">
        <f ca="1">IF(ISERROR(_xll.ciqfunctions.udf.CIQ($A45, "IQ_Capex", IQ_LTM-8, $L$2,$L$4, $L$3, $L$5, $L$6)), "n/a", _xll.ciqfunctions.udf.CIQ($A45, "IQ_Capex", IQ_LTM-8, $L$2, $L$4, $L$3, $L$5, $L$6))</f>
        <v>n/a</v>
      </c>
      <c r="AN45" s="105" t="str">
        <f ca="1">IF(ISERROR(_xll.ciqfunctions.udf.CIQ($A45, "IQ_Capex", IQ_LTM-4, $L$2,$L$4, $L$3, $L$5, $L$6)), "n/a", _xll.ciqfunctions.udf.CIQ($A45, "IQ_Capex", IQ_LTM-4, $L$2,$L$4, $L$3, $L$5, $L$6))</f>
        <v>n/a</v>
      </c>
      <c r="AO45" s="105" t="str">
        <f ca="1">IF(ISERROR(_xll.ciqfunctions.udf.CIQ($A45, "IQ_Capex", IQ_LTM, $L$2, $L$4, $L$3, $L$5, $L$6)), "n/a", _xll.ciqfunctions.udf.CIQ($A45, "IQ_Capex", IQ_LTM, $L$2, $L$4, $L$3, $L$5, $L$6))</f>
        <v>n/a</v>
      </c>
      <c r="AP45" s="107" t="e">
        <f ca="1">_xll.ciqfunctions.udf.CIQ(A45, "IQ_BUSINESS_DESCRIPTION")</f>
        <v>#NAME?</v>
      </c>
      <c r="AQ45" s="108" t="e">
        <f ca="1">_xll.ciqfunctions.udf.CIQ($A45, "IQ_BETA_1YR", $B$1)</f>
        <v>#NAME?</v>
      </c>
      <c r="AR45" s="108" t="e">
        <f ca="1">_xll.ciqfunctions.udf.CIQ($A45, "IQ_BETA_2YR", $B$1)</f>
        <v>#NAME?</v>
      </c>
      <c r="AS45" s="108" t="e">
        <f ca="1">_xll.ciqfunctions.udf.CIQ($A45, "IQ_BETA_5YR", $B$1)</f>
        <v>#NAME?</v>
      </c>
      <c r="AT45" s="75" t="e">
        <f ca="1">_xll.ciqfunctions.udf.CIQ($B45, "IQ_GP", IQ_LTM,$B$1, ,,"USD")</f>
        <v>#NAME?</v>
      </c>
      <c r="AU45" s="105" t="e">
        <f ca="1">_xll.ciqfunctions.udf.CIQ($A45, "IQ_EARNING_CO", IQ_LTM-8, $L$2, $L$4, $L$3, $L$5, $L$6)</f>
        <v>#NAME?</v>
      </c>
      <c r="AV45" s="105" t="e">
        <f ca="1">_xll.ciqfunctions.udf.CIQ($A45, "IQ_EARNING_CO", IQ_LTM-4, $L$2, $L$4, $L$3, $L$5, $L$6)</f>
        <v>#NAME?</v>
      </c>
      <c r="AW45" s="105" t="e">
        <f ca="1">_xll.ciqfunctions.udf.CIQ($A45, "IQ_EARNING_CO", IQ_LTM, $L$2, $L$4, $L$3, $L$5, $L$6)</f>
        <v>#NAME?</v>
      </c>
      <c r="AX45" s="105" t="e">
        <f ca="1">_xll.ciqfunctions.udf.CIQ($A45, "IQ_EARNING_CO", $B$2, $L$2, $L$4, $L$3, $L$5, $L$6)</f>
        <v>#NAME?</v>
      </c>
      <c r="AY45" s="105" t="e">
        <f ca="1">IF(_xll.ciqfunctions.udf.CIQ($A45, "IQ_EARNING_CO", $B$3, $L$2,$L$4, $L$3, $L$5, $L$6)=0,AW45,_xll.ciqfunctions.udf.CIQ($A45, "IQ_EARNING_CO", $B$3, $L$2,$L$4, $L$3, $L$5, $L$6))</f>
        <v>#NAME?</v>
      </c>
      <c r="AZ45" s="105" t="e">
        <f ca="1">_xll.ciqfunctions.udf.CIQ($A45, "IQ_TOTAL_EQUITY", IQ_LTM-8, $L$2, $L$4, $L$3, $L$5, $L$6)</f>
        <v>#NAME?</v>
      </c>
      <c r="BA45" s="105" t="e">
        <f ca="1">_xll.ciqfunctions.udf.CIQ($A45, "IQ_TOTAL_EQUITY", IQ_LTM-4, $L$2, $L$4, $L$3, $L$5, $L$6)</f>
        <v>#NAME?</v>
      </c>
      <c r="BB45" s="105" t="e">
        <f ca="1">_xll.ciqfunctions.udf.CIQ($A45, "IQ_TOTAL_EQUITY", IQ_LTM, $L$2, $L$4, $L$3, $L$5, $L$6)</f>
        <v>#NAME?</v>
      </c>
      <c r="BC45" s="105" t="e">
        <f ca="1">_xll.ciqfunctions.udf.CIQ($A45, "IQ_TOTAL_EQUITY", $B$2, $L$2, $L$4, $L$3, $L$5, $L$6)</f>
        <v>#NAME?</v>
      </c>
      <c r="BD45" s="105" t="e">
        <f ca="1">IF(_xll.ciqfunctions.udf.CIQ($A45, "IQ_TOTAL_EQUITY", $B$3, $L$2,$L$4, $L$3, $L$5, $L$6)=0,BB45,_xll.ciqfunctions.udf.CIQ($A45, "IQ_TOTAL_EQUITY", $B$3, $L$2,$L$4, $L$3, $L$5, $L$6))</f>
        <v>#NAME?</v>
      </c>
      <c r="BE45" s="105" t="e">
        <f ca="1">_xll.ciqfunctions.udf.CIQ(A45, "IQ_LASTSALEPRICE", $B$8)</f>
        <v>#NAME?</v>
      </c>
      <c r="BF45" s="105" t="e">
        <f ca="1">_xll.ciqfunctions.udf.CIQ($A45, "IQ_MARKETCAP", $B$8, $L$5, $L$6)</f>
        <v>#NAME?</v>
      </c>
      <c r="BG45" s="105" t="e">
        <f ca="1">_xll.ciqfunctions.udf.CIQ($A45, "IQ_TOTAL_DEBT", IQ_LTM, $B$8,$L$4, $L$3, $L$5, $L$6)</f>
        <v>#NAME?</v>
      </c>
      <c r="BH45" s="74" t="e">
        <f ca="1">_xll.ciqfunctions.udf.CIQ($A45,"IQ_PREF_EQUITY",IQ_LTM,$B$8,$L$4,$L$3,$L$5,$L$6)</f>
        <v>#NAME?</v>
      </c>
      <c r="BI45" s="74" t="e">
        <f ca="1">_xll.ciqfunctions.udf.CIQ($A45, "IQ_MINORITY_INTEREST_TOTAL", IQ_LTM,$B$8,$L$4,$L$3,$L$5,$L$6)</f>
        <v>#NAME?</v>
      </c>
      <c r="BJ45" s="105" t="e">
        <f ca="1">_xll.ciqfunctions.udf.CIQ($A45, "IQ_CASH_ST_INVEST", IQ_LTM, $B$8, $L$4, $L$3, $L$5, $L$6)</f>
        <v>#NAME?</v>
      </c>
      <c r="BK45" s="74" t="e">
        <f ca="1">_xll.ciqfunctions.udf.CIQ($A45, "IQ_EFFECT_TAX_RATE")</f>
        <v>#NAME?</v>
      </c>
      <c r="BL45" s="74" t="e">
        <f ca="1">IF(_xll.ciqfunctions.udf.CIQ($A45, "IQ_TOTAL_REV_2YR_ANN_CAGR", IQ_LTM, $B$1,$L$4, $L$3, $L$5, $L$6)="NM","n/a",(_xll.ciqfunctions.udf.CIQ($A45, "IQ_TOTAL_REV_2YR_ANN_CAGR", IQ_LTM, $B$1,$L$4, $L$3, $L$5, $L$6)/100))</f>
        <v>#NAME?</v>
      </c>
      <c r="BM45" s="74" t="e">
        <f ca="1">IF(_xll.ciqfunctions.udf.CIQ($A45, "IQ_TOTAL_REV_3YR_ANN_CAGR", IQ_LTM, $B$1,$L$4, $L$3, $L$5, $L$6)="NM","n/a",(_xll.ciqfunctions.udf.CIQ($A45, "IQ_TOTAL_REV_3YR_ANN_CAGR", IQ_LTM, $B$1,$L$4, $L$3, $L$5, $L$6)/100))</f>
        <v>#NAME?</v>
      </c>
      <c r="BN45" s="74" t="e">
        <f ca="1">IF(_xll.ciqfunctions.udf.CIQ($A45, "IQ_TOTAL_REV_5YR_ANN_CAGR", IQ_LTM, $B$1,$L$4, $L$3, $L$5, $L$6)="NM","n/a",(_xll.ciqfunctions.udf.CIQ($A45, "IQ_TOTAL_REV_5YR_ANN_CAGR", IQ_LTM, $B$1,$L$4, $L$3, $L$5, $L$6)/100))</f>
        <v>#NAME?</v>
      </c>
      <c r="BO45" s="74" t="e">
        <f ca="1">IF(_xll.ciqfunctions.udf.CIQ($A45,"IQ_EBITDA_2YR_ANN_CAGR", IQ_LTM,$B$1,$L$4, $L$3, $L$5, $L$6)="NM","n/a",(_xll.ciqfunctions.udf.CIQ($A45,"IQ_EBITDA_2YR_ANN_CAGR", IQ_LTM,$B$1,$L$4, $L$3, $L$5, $L$6)/100))</f>
        <v>#NAME?</v>
      </c>
      <c r="BP45" s="74" t="e">
        <f ca="1">IF(_xll.ciqfunctions.udf.CIQ($A45,"IQ_EBITDA_3YR_ANN_CAGR", IQ_LTM,$B$1,$L$4, $L$3, $L$5, $L$6)="NM","n/a",(_xll.ciqfunctions.udf.CIQ($A45,"IQ_EBITDA_3YR_ANN_CAGR", IQ_LTM,$B$1,$L$4, $L$3, $L$5, $L$6)/100))</f>
        <v>#NAME?</v>
      </c>
      <c r="BQ45" s="74" t="e">
        <f ca="1">IF(_xll.ciqfunctions.udf.CIQ($A45,"IQ_EBITDA_5YR_ANN_CAGR", IQ_LTM,$B$1,$L$4, $L$3, $L$5, $L$6)="NM","n/a",(_xll.ciqfunctions.udf.CIQ($A45,"IQ_EBITDA_5YR_ANN_CAGR", IQ_LTM,$B$1,$L$4, $L$3, $L$5, $L$6)/100))</f>
        <v>#NAME?</v>
      </c>
      <c r="BR45" s="78" t="str">
        <f ca="1">IFERROR((_xll.ciqfunctions.udf.CIQ($A45, "IQ_DA_CF", IQ_LTM, $B$1, $L$4, $L$3, $L$5, $L$6)/Q45),"NM")</f>
        <v>NM</v>
      </c>
      <c r="BS45" s="106">
        <f>'Capital IQ Sheet-GPC'!BS45</f>
        <v>0.92672097514187046</v>
      </c>
      <c r="BT45" s="106" t="str">
        <f>'Capital IQ Sheet-GPC'!BT45</f>
        <v>n/a</v>
      </c>
      <c r="BU45" s="106" t="str">
        <f>'Capital IQ Sheet-GPC'!BU45</f>
        <v>n/a</v>
      </c>
      <c r="BV45" s="106" t="str">
        <f>'Capital IQ Sheet-GPC'!BV45</f>
        <v>n/a</v>
      </c>
      <c r="BW45" s="106" t="str">
        <f>'Capital IQ Sheet-GPC'!BW45</f>
        <v>n/a</v>
      </c>
      <c r="BX45" s="106" t="str">
        <f>'Capital IQ Sheet-GPC'!BX45</f>
        <v>n/a</v>
      </c>
      <c r="BY45" s="106" t="str">
        <f>'Capital IQ Sheet-GPC'!BY45</f>
        <v>n/a</v>
      </c>
      <c r="BZ45" s="106" t="str">
        <f>'Capital IQ Sheet-GPC'!BZ45</f>
        <v>n/a</v>
      </c>
    </row>
    <row r="46" spans="1:83">
      <c r="A46" s="75" t="e">
        <f ca="1">_xll.ciqfunctions.udf.CIQ($B46,"IQ_COMPANY_TICKER")</f>
        <v>#NAME?</v>
      </c>
      <c r="B46" s="104" t="str">
        <f>'Capital IQ Sheet-GPC'!B46</f>
        <v>IQ256557334</v>
      </c>
      <c r="C46" s="75" t="e">
        <f ca="1">_xll.ciqfunctions.udf.CIQ($A46,"IQ_COMPANY_NAME")</f>
        <v>#NAME?</v>
      </c>
      <c r="D46" s="75" t="e">
        <f ca="1">_xll.ciqfunctions.udf.CIQ($A46, "IQ_EXCHANGE")</f>
        <v>#NAME?</v>
      </c>
      <c r="E46" s="103" t="e">
        <f ca="1">_xll.ciqfunctions.udf.CIQ($A46, "IQ_PERIODDATE_IS", IQ_FY)</f>
        <v>#NAME?</v>
      </c>
      <c r="F46" s="103" t="e">
        <f ca="1">_xll.ciqfunctions.udf.CIQ(A46, "IQ_PERIODDATE_IS", IQ_LTM, $B$1,$L$4,$L$3)</f>
        <v>#NAME?</v>
      </c>
      <c r="G46" s="103" t="e">
        <f ca="1">_xll.ciqfunctions.udf.CIQ($A46, "IQ_FIRSTPRICINGDATE")</f>
        <v>#NAME?</v>
      </c>
      <c r="H46" s="105" t="e">
        <f ca="1">_xll.ciqfunctions.udf.CIQ($A46, "IQ_TEV", $L$2, $L$5, $L$6)</f>
        <v>#NAME?</v>
      </c>
      <c r="I46" s="105" t="e">
        <f ca="1">_xll.ciqfunctions.udf.CIQ(A46, "IQ_LASTSALEPRICE", $B$1,$L$5)</f>
        <v>#NAME?</v>
      </c>
      <c r="J46" s="103" t="e">
        <f ca="1">_xll.ciqfunctions.udf.CIQ($B46, "IQ_FIRSTPRICINGDATE")</f>
        <v>#NAME?</v>
      </c>
      <c r="K46" s="105" t="e">
        <f ca="1">_xll.ciqfunctions.udf.CIQ($A46, "IQ_TOTAL_DEBT", IQ_LTM, $L$2,$L$4, $L$3, $L$5, $L$6)</f>
        <v>#NAME?</v>
      </c>
      <c r="L46" s="105" t="e">
        <f ca="1">_xll.ciqfunctions.udf.CIQ($A46, "IQ_PREF_EQUITY", IQ_LTM, $L$2, $L$4, $L$3, $L$5, $L$6)</f>
        <v>#NAME?</v>
      </c>
      <c r="M46" s="105" t="e">
        <f ca="1">_xll.ciqfunctions.udf.CIQ($A46, "IQ_MINORITY_INTEREST_TOTAL", IQ_LTM, $L$2, $L$4, $L$3, $L$5, $L$6)</f>
        <v>#NAME?</v>
      </c>
      <c r="N46" s="105" t="e">
        <f ca="1">_xll.ciqfunctions.udf.CIQ($A46, "IQ_CASH_ST_INVEST", IQ_LTM, $L$2, $L$4, $L$3, $L$5, $L$6)</f>
        <v>#NAME?</v>
      </c>
      <c r="O46" s="105" t="e">
        <f ca="1">_xll.ciqfunctions.udf.CIQ($A46, "IQ_TOTAL_REV", IQ_LTM-8, $L$2, $L$4, $L$3, $L$5, $L$6)</f>
        <v>#NAME?</v>
      </c>
      <c r="P46" s="105" t="e">
        <f ca="1">_xll.ciqfunctions.udf.CIQ($A46, "IQ_TOTAL_REV", IQ_LTM - 4, $L$2, $L$4, $L$3, $L$5,$L$6)</f>
        <v>#NAME?</v>
      </c>
      <c r="Q46" s="105" t="e">
        <f ca="1">_xll.ciqfunctions.udf.CIQ($A46, "IQ_TOTAL_REV", IQ_LTM, $L$2, $L$4, $L$3, $L$5, $L$6)</f>
        <v>#NAME?</v>
      </c>
      <c r="R46" s="105" t="e">
        <f ca="1">_xll.ciqfunctions.udf.CIQ($A46, "IQ_TOTAL_REV", $B$2, $L$2, $L$4, $L$3, $L$5, $L$6)</f>
        <v>#NAME?</v>
      </c>
      <c r="S46" s="105" t="e">
        <f ca="1">IF(_xll.ciqfunctions.udf.CIQ($A46, "IQ_TOTAL_REV", $B$3, $L$2,$L$4, $L$3, $L$5, $L$6)=0,Q46,_xll.ciqfunctions.udf.CIQ($A46, "IQ_TOTAL_REV", $B$3, $L$2,$L$4, $L$3, $L$5, $L$6))</f>
        <v>#NAME?</v>
      </c>
      <c r="T46" s="105" t="e">
        <f ca="1">IF(_xll.ciqfunctions.udf.CIQ($A46, "IQ_REVENUE_EST",$B$4, $L$2, "CON", $L$3, $L$5, $L$6)=0,"n/a",_xll.ciqfunctions.udf.CIQ($A46, "IQ_REVENUE_EST",$B$4, $L$2, "CON", $L$3, $L$5, $L$6))</f>
        <v>#NAME?</v>
      </c>
      <c r="U46" s="105" t="e">
        <f ca="1">IF(_xll.ciqfunctions.udf.CIQ($A46, "IQ_REVENUE_EST",$B$5, $L$2, "CON", $L$3, $L$5, $L$6)=0,"n/a",_xll.ciqfunctions.udf.CIQ($A46, "IQ_REVENUE_EST",$B$5, $L$2, "CON", $L$3, $L$5, $L$6))</f>
        <v>#NAME?</v>
      </c>
      <c r="V46" s="105" t="e">
        <f ca="1">IF(_xll.ciqfunctions.udf.CIQ($A46, "IQ_REVENUE_EST",$B$6, $L$2, "CON", $L$3, $L$5, $L$6)=0,"n/a",_xll.ciqfunctions.udf.CIQ($A46, "IQ_REVENUE_EST",$B$6, $L$2, "CON", $L$3, $L$5, $L$6))</f>
        <v>#NAME?</v>
      </c>
      <c r="W46" s="105" t="e">
        <f ca="1">IF(_xll.ciqfunctions.udf.CIQ($A46, "IQ_REVENUE_EST", $B$7, $L$2, "CON", $L$3, $L$5, $L$6)=0,"n/a",_xll.ciqfunctions.udf.CIQ($A46, "IQ_REVENUE_EST",$B$7, $L$2, "CON", $L$3, $L$5, $L$6))</f>
        <v>#NAME?</v>
      </c>
      <c r="X46" s="105" t="e">
        <f ca="1">_xll.ciqfunctions.udf.CIQ($A46, "IQ_EBITDA", IQ_LTM-8, $L$2, $L$4, $L$3, $L$5, $L$6)</f>
        <v>#NAME?</v>
      </c>
      <c r="Y46" s="105" t="e">
        <f ca="1">_xll.ciqfunctions.udf.CIQ($A46, "IQ_EBITDA", IQ_LTM-4, $L$2,$L$4, $L$3, $L$5, $L$6)</f>
        <v>#NAME?</v>
      </c>
      <c r="Z46" s="105" t="e">
        <f ca="1">_xll.ciqfunctions.udf.CIQ($A46, "IQ_EBITDA", IQ_LTM, $L$2, $L$4, $L$3, $L$5, $L$6)</f>
        <v>#NAME?</v>
      </c>
      <c r="AA46" s="105" t="e">
        <f ca="1">_xll.ciqfunctions.udf.CIQ($A46, "IQ_EBITDA", $B$2, $L$2, $L$4, $L$3, $L$5, $L$6)</f>
        <v>#NAME?</v>
      </c>
      <c r="AB46" s="105" t="e">
        <f ca="1">IF(_xll.ciqfunctions.udf.CIQ($A46, "IQ_EBITDA", $B$3, $L$2,$L$4, $L$3, $L$5, $L$6)=0,Z46,_xll.ciqfunctions.udf.CIQ($A46, "IQ_EBITDA", $B$3, $L$2,$L$4, $L$3, $L$5, $L$6))</f>
        <v>#NAME?</v>
      </c>
      <c r="AC46" s="105" t="e">
        <f ca="1">IF(_xll.ciqfunctions.udf.CIQ($A46, "IQ_EBITDA_EST",$B$4, $L$2, "CON", $L$3, $L$5, $L$6)=0,"n/a",_xll.ciqfunctions.udf.CIQ($A46, "IQ_EBITDA_EST",$B$4, $L$2, "CON", $L$3, $L$5, $L$6))</f>
        <v>#NAME?</v>
      </c>
      <c r="AD46" s="75" t="e">
        <f ca="1">IF(_xll.ciqfunctions.udf.CIQ($A46, "IQ_EBITDA_EST",$B$5, $L$2, "CON", $L$3, $L$5, $L$6)=0,"n/a",_xll.ciqfunctions.udf.CIQ($A46, "IQ_EBITDA_EST",$B$5, $L$2, "CON", $L$3, $L$5, $L$6))</f>
        <v>#NAME?</v>
      </c>
      <c r="AE46" s="105" t="e">
        <f ca="1">IF(_xll.ciqfunctions.udf.CIQ($A46, "IQ_EBITDA_EST",$B$6, $L$2, "CON", $L$3, $L$5, $L$6)=0,"n/a",_xll.ciqfunctions.udf.CIQ($A46, "IQ_EBITDA_EST",$B$6, $L$2, "CON", $L$3, $L$5, $L$6))</f>
        <v>#NAME?</v>
      </c>
      <c r="AF46" s="106" t="str">
        <f ca="1">IF(ISERROR(_xll.ciqfunctions.udf.CIQ($A46, "IQ_GROSS_MARGIN", IQ_LTM, $L$2,$L$4, $L$3, $L$5, $L$6)/100), "n/a", _xll.ciqfunctions.udf.CIQ($A46,  "IQ_GROSS_MARGIN", IQ_LTM, $L$2, $L$4, $L$3, $L$5, $L$6)/100)</f>
        <v>n/a</v>
      </c>
      <c r="AG46" s="106" t="str">
        <f ca="1">IF(ISERROR(_xll.ciqfunctions.udf.CIQ($A46,"IQ_EBITDA_MARGIN", IQ_LTM, $L$2, $L$4, $L$3, $L$5, $L$6)/100), "n/a", _xll.ciqfunctions.udf.CIQ($A46, "IQ_EBITDA_MARGIN", IQ_LTM, $L$2, $L$4, $L$3, $L$5, $L$6)/100)</f>
        <v>n/a</v>
      </c>
      <c r="AH46" s="106" t="str">
        <f ca="1">IF(ISERROR(_xll.ciqfunctions.udf.CIQ($A46,"IQ_EBIT_MARGIN", IQ_LTM, $L$2, $L$4, $L$3, $L$5, $L$6)/100), "n/a", _xll.ciqfunctions.udf.CIQ($A46, "IQ_EBIT_MARGIN", IQ_LTM, $L$2, $L$4, $L$3, $L$5, $L$6)/100)</f>
        <v>n/a</v>
      </c>
      <c r="AI46" s="106" t="str">
        <f ca="1">IF(ISERROR(_xll.ciqfunctions.udf.CIQ($A46,"IQ_NI_MARGIN", IQ_LTM, $L$2, $L$4, $L$3, $L$5, $L$6)/100), "n/a", _xll.ciqfunctions.udf.CIQ($A46, "IQ_NI_MARGIN", IQ_LTM, $L$2, $L$4, $L$3, $L$5, $L$6)/100)</f>
        <v>n/a</v>
      </c>
      <c r="AJ46" s="105" t="str">
        <f ca="1">IF(ISERROR(_xll.ciqfunctions.udf.CIQ($A46, "IQ_NET_WORKING_CAP", IQ_LTM-8, $L$2, $L$4, $L$3, $L$5, $L$6)), "n/a", _xll.ciqfunctions.udf.CIQ($A46, "IQ_NET_WORKING_CAP", IQ_LTM-8, $L$2, $L$4, $L$3, $L$5, $L$6))</f>
        <v>n/a</v>
      </c>
      <c r="AK46" s="105" t="str">
        <f ca="1">IF(ISERROR(_xll.ciqfunctions.udf.CIQ($A46, "IQ_NET_WORKING_CAP", IQ_LTM-4, $L$2, $L$4, $L$3, $L$5, $L$6)), "n/a", _xll.ciqfunctions.udf.CIQ($A46, "IQ_NET_WORKING_CAP", IQ_LTM-4, $L$2, $L$4, $L$3, $L$5, $L$6))</f>
        <v>n/a</v>
      </c>
      <c r="AL46" s="105" t="str">
        <f ca="1">IF(ISERROR(_xll.ciqfunctions.udf.CIQ($A46, "IQ_NET_WORKING_CAP", IQ_LTM, $L$2,$L$4, $L$3, $L$5, $L$6)), "n/a", _xll.ciqfunctions.udf.CIQ($A46, "IQ_NET_WORKING_CAP", IQ_LTM, $L$2, $L$4, $L$3, $L$5, $L$6))</f>
        <v>n/a</v>
      </c>
      <c r="AM46" s="105" t="str">
        <f ca="1">IF(ISERROR(_xll.ciqfunctions.udf.CIQ($A46, "IQ_Capex", IQ_LTM-8, $L$2,$L$4, $L$3, $L$5, $L$6)), "n/a", _xll.ciqfunctions.udf.CIQ($A46, "IQ_Capex", IQ_LTM-8, $L$2, $L$4, $L$3, $L$5, $L$6))</f>
        <v>n/a</v>
      </c>
      <c r="AN46" s="105" t="str">
        <f ca="1">IF(ISERROR(_xll.ciqfunctions.udf.CIQ($A46, "IQ_Capex", IQ_LTM-4, $L$2,$L$4, $L$3, $L$5, $L$6)), "n/a", _xll.ciqfunctions.udf.CIQ($A46, "IQ_Capex", IQ_LTM-4, $L$2,$L$4, $L$3, $L$5, $L$6))</f>
        <v>n/a</v>
      </c>
      <c r="AO46" s="105" t="str">
        <f ca="1">IF(ISERROR(_xll.ciqfunctions.udf.CIQ($A46, "IQ_Capex", IQ_LTM, $L$2, $L$4, $L$3, $L$5, $L$6)), "n/a", _xll.ciqfunctions.udf.CIQ($A46, "IQ_Capex", IQ_LTM, $L$2, $L$4, $L$3, $L$5, $L$6))</f>
        <v>n/a</v>
      </c>
      <c r="AP46" s="107" t="e">
        <f ca="1">_xll.ciqfunctions.udf.CIQ(A46, "IQ_BUSINESS_DESCRIPTION")</f>
        <v>#NAME?</v>
      </c>
      <c r="AQ46" s="108" t="e">
        <f ca="1">_xll.ciqfunctions.udf.CIQ($A46, "IQ_BETA_1YR", $B$1)</f>
        <v>#NAME?</v>
      </c>
      <c r="AR46" s="108" t="e">
        <f ca="1">_xll.ciqfunctions.udf.CIQ($A46, "IQ_BETA_2YR", $B$1)</f>
        <v>#NAME?</v>
      </c>
      <c r="AS46" s="108" t="e">
        <f ca="1">_xll.ciqfunctions.udf.CIQ($A46, "IQ_BETA_5YR", $B$1)</f>
        <v>#NAME?</v>
      </c>
      <c r="AT46" s="75" t="e">
        <f ca="1">_xll.ciqfunctions.udf.CIQ($B46, "IQ_GP", IQ_LTM,$B$1, ,,"USD")</f>
        <v>#NAME?</v>
      </c>
      <c r="AU46" s="105" t="e">
        <f ca="1">_xll.ciqfunctions.udf.CIQ($A46, "IQ_EARNING_CO", IQ_LTM-8, $L$2, $L$4, $L$3, $L$5, $L$6)</f>
        <v>#NAME?</v>
      </c>
      <c r="AV46" s="105" t="e">
        <f ca="1">_xll.ciqfunctions.udf.CIQ($A46, "IQ_EARNING_CO", IQ_LTM-4, $L$2, $L$4, $L$3, $L$5, $L$6)</f>
        <v>#NAME?</v>
      </c>
      <c r="AW46" s="105" t="e">
        <f ca="1">_xll.ciqfunctions.udf.CIQ($A46, "IQ_EARNING_CO", IQ_LTM, $L$2, $L$4, $L$3, $L$5, $L$6)</f>
        <v>#NAME?</v>
      </c>
      <c r="AX46" s="105" t="e">
        <f ca="1">_xll.ciqfunctions.udf.CIQ($A46, "IQ_EARNING_CO", $B$2, $L$2, $L$4, $L$3, $L$5, $L$6)</f>
        <v>#NAME?</v>
      </c>
      <c r="AY46" s="105" t="e">
        <f ca="1">IF(_xll.ciqfunctions.udf.CIQ($A46, "IQ_EARNING_CO", $B$3, $L$2,$L$4, $L$3, $L$5, $L$6)=0,AW46,_xll.ciqfunctions.udf.CIQ($A46, "IQ_EARNING_CO", $B$3, $L$2,$L$4, $L$3, $L$5, $L$6))</f>
        <v>#NAME?</v>
      </c>
      <c r="AZ46" s="105" t="e">
        <f ca="1">_xll.ciqfunctions.udf.CIQ($A46, "IQ_TOTAL_EQUITY", IQ_LTM-8, $L$2, $L$4, $L$3, $L$5, $L$6)</f>
        <v>#NAME?</v>
      </c>
      <c r="BA46" s="105" t="e">
        <f ca="1">_xll.ciqfunctions.udf.CIQ($A46, "IQ_TOTAL_EQUITY", IQ_LTM-4, $L$2, $L$4, $L$3, $L$5, $L$6)</f>
        <v>#NAME?</v>
      </c>
      <c r="BB46" s="105" t="e">
        <f ca="1">_xll.ciqfunctions.udf.CIQ($A46, "IQ_TOTAL_EQUITY", IQ_LTM, $L$2, $L$4, $L$3, $L$5, $L$6)</f>
        <v>#NAME?</v>
      </c>
      <c r="BC46" s="105" t="e">
        <f ca="1">_xll.ciqfunctions.udf.CIQ($A46, "IQ_TOTAL_EQUITY", $B$2, $L$2, $L$4, $L$3, $L$5, $L$6)</f>
        <v>#NAME?</v>
      </c>
      <c r="BD46" s="105" t="e">
        <f ca="1">IF(_xll.ciqfunctions.udf.CIQ($A46, "IQ_TOTAL_EQUITY", $B$3, $L$2,$L$4, $L$3, $L$5, $L$6)=0,BB46,_xll.ciqfunctions.udf.CIQ($A46, "IQ_TOTAL_EQUITY", $B$3, $L$2,$L$4, $L$3, $L$5, $L$6))</f>
        <v>#NAME?</v>
      </c>
      <c r="BE46" s="105" t="e">
        <f ca="1">_xll.ciqfunctions.udf.CIQ(A46, "IQ_LASTSALEPRICE", $B$8)</f>
        <v>#NAME?</v>
      </c>
      <c r="BF46" s="105" t="e">
        <f ca="1">_xll.ciqfunctions.udf.CIQ($A46, "IQ_MARKETCAP", $B$8, $L$5, $L$6)</f>
        <v>#NAME?</v>
      </c>
      <c r="BG46" s="105" t="e">
        <f ca="1">_xll.ciqfunctions.udf.CIQ($A46, "IQ_TOTAL_DEBT", IQ_LTM, $B$8,$L$4, $L$3, $L$5, $L$6)</f>
        <v>#NAME?</v>
      </c>
      <c r="BH46" s="74" t="e">
        <f ca="1">_xll.ciqfunctions.udf.CIQ($A46,"IQ_PREF_EQUITY",IQ_LTM,$B$8,$L$4,$L$3,$L$5,$L$6)</f>
        <v>#NAME?</v>
      </c>
      <c r="BI46" s="74" t="e">
        <f ca="1">_xll.ciqfunctions.udf.CIQ($A46, "IQ_MINORITY_INTEREST_TOTAL", IQ_LTM,$B$8,$L$4,$L$3,$L$5,$L$6)</f>
        <v>#NAME?</v>
      </c>
      <c r="BJ46" s="105" t="e">
        <f ca="1">_xll.ciqfunctions.udf.CIQ($A46, "IQ_CASH_ST_INVEST", IQ_LTM, $B$8, $L$4, $L$3, $L$5, $L$6)</f>
        <v>#NAME?</v>
      </c>
      <c r="BK46" s="74" t="e">
        <f ca="1">_xll.ciqfunctions.udf.CIQ($A46, "IQ_EFFECT_TAX_RATE")</f>
        <v>#NAME?</v>
      </c>
      <c r="BL46" s="74" t="e">
        <f ca="1">IF(_xll.ciqfunctions.udf.CIQ($A46, "IQ_TOTAL_REV_2YR_ANN_CAGR", IQ_LTM, $B$1,$L$4, $L$3, $L$5, $L$6)="NM","n/a",(_xll.ciqfunctions.udf.CIQ($A46, "IQ_TOTAL_REV_2YR_ANN_CAGR", IQ_LTM, $B$1,$L$4, $L$3, $L$5, $L$6)/100))</f>
        <v>#NAME?</v>
      </c>
      <c r="BM46" s="74" t="e">
        <f ca="1">IF(_xll.ciqfunctions.udf.CIQ($A46, "IQ_TOTAL_REV_3YR_ANN_CAGR", IQ_LTM, $B$1,$L$4, $L$3, $L$5, $L$6)="NM","n/a",(_xll.ciqfunctions.udf.CIQ($A46, "IQ_TOTAL_REV_3YR_ANN_CAGR", IQ_LTM, $B$1,$L$4, $L$3, $L$5, $L$6)/100))</f>
        <v>#NAME?</v>
      </c>
      <c r="BN46" s="74" t="e">
        <f ca="1">IF(_xll.ciqfunctions.udf.CIQ($A46, "IQ_TOTAL_REV_5YR_ANN_CAGR", IQ_LTM, $B$1,$L$4, $L$3, $L$5, $L$6)="NM","n/a",(_xll.ciqfunctions.udf.CIQ($A46, "IQ_TOTAL_REV_5YR_ANN_CAGR", IQ_LTM, $B$1,$L$4, $L$3, $L$5, $L$6)/100))</f>
        <v>#NAME?</v>
      </c>
      <c r="BO46" s="74" t="e">
        <f ca="1">IF(_xll.ciqfunctions.udf.CIQ($A46,"IQ_EBITDA_2YR_ANN_CAGR", IQ_LTM,$B$1,$L$4, $L$3, $L$5, $L$6)="NM","n/a",(_xll.ciqfunctions.udf.CIQ($A46,"IQ_EBITDA_2YR_ANN_CAGR", IQ_LTM,$B$1,$L$4, $L$3, $L$5, $L$6)/100))</f>
        <v>#NAME?</v>
      </c>
      <c r="BP46" s="74" t="e">
        <f ca="1">IF(_xll.ciqfunctions.udf.CIQ($A46,"IQ_EBITDA_3YR_ANN_CAGR", IQ_LTM,$B$1,$L$4, $L$3, $L$5, $L$6)="NM","n/a",(_xll.ciqfunctions.udf.CIQ($A46,"IQ_EBITDA_3YR_ANN_CAGR", IQ_LTM,$B$1,$L$4, $L$3, $L$5, $L$6)/100))</f>
        <v>#NAME?</v>
      </c>
      <c r="BQ46" s="74" t="e">
        <f ca="1">IF(_xll.ciqfunctions.udf.CIQ($A46,"IQ_EBITDA_5YR_ANN_CAGR", IQ_LTM,$B$1,$L$4, $L$3, $L$5, $L$6)="NM","n/a",(_xll.ciqfunctions.udf.CIQ($A46,"IQ_EBITDA_5YR_ANN_CAGR", IQ_LTM,$B$1,$L$4, $L$3, $L$5, $L$6)/100))</f>
        <v>#NAME?</v>
      </c>
      <c r="BR46" s="78" t="str">
        <f ca="1">IFERROR((_xll.ciqfunctions.udf.CIQ($A46, "IQ_DA_CF", IQ_LTM, $B$1, $L$4, $L$3, $L$5, $L$6)/Q46),"NM")</f>
        <v>NM</v>
      </c>
      <c r="BS46" s="106">
        <f>'Capital IQ Sheet-GPC'!BS46</f>
        <v>0.81416033280155464</v>
      </c>
      <c r="BT46" s="106">
        <f>'Capital IQ Sheet-GPC'!BT46</f>
        <v>0.79703443847278144</v>
      </c>
      <c r="BU46" s="106" t="str">
        <f>'Capital IQ Sheet-GPC'!BU46</f>
        <v>n/a</v>
      </c>
      <c r="BV46" s="106" t="str">
        <f>'Capital IQ Sheet-GPC'!BV46</f>
        <v>n/a</v>
      </c>
      <c r="BW46" s="106" t="str">
        <f>'Capital IQ Sheet-GPC'!BW46</f>
        <v>n/a</v>
      </c>
      <c r="BX46" s="106" t="str">
        <f>'Capital IQ Sheet-GPC'!BX46</f>
        <v>n/a</v>
      </c>
      <c r="BY46" s="106" t="str">
        <f>'Capital IQ Sheet-GPC'!BY46</f>
        <v>n/a</v>
      </c>
      <c r="BZ46" s="106" t="str">
        <f>'Capital IQ Sheet-GPC'!BZ46</f>
        <v>n/a</v>
      </c>
    </row>
    <row r="47" spans="1:83">
      <c r="A47" s="75" t="e">
        <f ca="1">_xll.ciqfunctions.udf.CIQ($B47,"IQ_COMPANY_TICKER")</f>
        <v>#NAME?</v>
      </c>
      <c r="B47" s="104" t="str">
        <f>'Capital IQ Sheet-GPC'!B47</f>
        <v>IQ130641748</v>
      </c>
      <c r="C47" s="75" t="e">
        <f ca="1">_xll.ciqfunctions.udf.CIQ($A47,"IQ_COMPANY_NAME")</f>
        <v>#NAME?</v>
      </c>
      <c r="D47" s="75" t="e">
        <f ca="1">_xll.ciqfunctions.udf.CIQ($A47, "IQ_EXCHANGE")</f>
        <v>#NAME?</v>
      </c>
      <c r="E47" s="103" t="e">
        <f ca="1">_xll.ciqfunctions.udf.CIQ($A47, "IQ_PERIODDATE_IS", IQ_FY)</f>
        <v>#NAME?</v>
      </c>
      <c r="F47" s="103" t="e">
        <f ca="1">_xll.ciqfunctions.udf.CIQ(A47, "IQ_PERIODDATE_IS", IQ_LTM, $B$1,$L$4,$L$3)</f>
        <v>#NAME?</v>
      </c>
      <c r="G47" s="103" t="e">
        <f ca="1">_xll.ciqfunctions.udf.CIQ($A47, "IQ_FIRSTPRICINGDATE")</f>
        <v>#NAME?</v>
      </c>
      <c r="H47" s="105" t="e">
        <f ca="1">_xll.ciqfunctions.udf.CIQ($A47, "IQ_TEV", $L$2, $L$5, $L$6)</f>
        <v>#NAME?</v>
      </c>
      <c r="I47" s="105" t="e">
        <f ca="1">_xll.ciqfunctions.udf.CIQ(A47, "IQ_LASTSALEPRICE", $B$1,$L$5)</f>
        <v>#NAME?</v>
      </c>
      <c r="J47" s="103" t="e">
        <f ca="1">_xll.ciqfunctions.udf.CIQ($B47, "IQ_FIRSTPRICINGDATE")</f>
        <v>#NAME?</v>
      </c>
      <c r="K47" s="105" t="e">
        <f ca="1">_xll.ciqfunctions.udf.CIQ($A47, "IQ_TOTAL_DEBT", IQ_LTM, $L$2,$L$4, $L$3, $L$5, $L$6)</f>
        <v>#NAME?</v>
      </c>
      <c r="L47" s="105" t="e">
        <f ca="1">_xll.ciqfunctions.udf.CIQ($A47, "IQ_PREF_EQUITY", IQ_LTM, $L$2, $L$4, $L$3, $L$5, $L$6)</f>
        <v>#NAME?</v>
      </c>
      <c r="M47" s="105" t="e">
        <f ca="1">_xll.ciqfunctions.udf.CIQ($A47, "IQ_MINORITY_INTEREST_TOTAL", IQ_LTM, $L$2, $L$4, $L$3, $L$5, $L$6)</f>
        <v>#NAME?</v>
      </c>
      <c r="N47" s="105" t="e">
        <f ca="1">_xll.ciqfunctions.udf.CIQ($A47, "IQ_CASH_ST_INVEST", IQ_LTM, $L$2, $L$4, $L$3, $L$5, $L$6)</f>
        <v>#NAME?</v>
      </c>
      <c r="O47" s="105" t="e">
        <f ca="1">_xll.ciqfunctions.udf.CIQ($A47, "IQ_TOTAL_REV", IQ_LTM-8, $L$2, $L$4, $L$3, $L$5, $L$6)</f>
        <v>#NAME?</v>
      </c>
      <c r="P47" s="105" t="e">
        <f ca="1">_xll.ciqfunctions.udf.CIQ($A47, "IQ_TOTAL_REV", IQ_LTM - 4, $L$2, $L$4, $L$3, $L$5,$L$6)</f>
        <v>#NAME?</v>
      </c>
      <c r="Q47" s="105" t="e">
        <f ca="1">_xll.ciqfunctions.udf.CIQ($A47, "IQ_TOTAL_REV", IQ_LTM, $L$2, $L$4, $L$3, $L$5, $L$6)</f>
        <v>#NAME?</v>
      </c>
      <c r="R47" s="105" t="e">
        <f ca="1">_xll.ciqfunctions.udf.CIQ($A47, "IQ_TOTAL_REV", $B$2, $L$2, $L$4, $L$3, $L$5, $L$6)</f>
        <v>#NAME?</v>
      </c>
      <c r="S47" s="105" t="e">
        <f ca="1">IF(_xll.ciqfunctions.udf.CIQ($A47, "IQ_TOTAL_REV", $B$3, $L$2,$L$4, $L$3, $L$5, $L$6)=0,Q47,_xll.ciqfunctions.udf.CIQ($A47, "IQ_TOTAL_REV", $B$3, $L$2,$L$4, $L$3, $L$5, $L$6))</f>
        <v>#NAME?</v>
      </c>
      <c r="T47" s="105" t="e">
        <f ca="1">IF(_xll.ciqfunctions.udf.CIQ($A47, "IQ_REVENUE_EST",$B$4, $L$2, "CON", $L$3, $L$5, $L$6)=0,"n/a",_xll.ciqfunctions.udf.CIQ($A47, "IQ_REVENUE_EST",$B$4, $L$2, "CON", $L$3, $L$5, $L$6))</f>
        <v>#NAME?</v>
      </c>
      <c r="U47" s="105" t="e">
        <f ca="1">IF(_xll.ciqfunctions.udf.CIQ($A47, "IQ_REVENUE_EST",$B$5, $L$2, "CON", $L$3, $L$5, $L$6)=0,"n/a",_xll.ciqfunctions.udf.CIQ($A47, "IQ_REVENUE_EST",$B$5, $L$2, "CON", $L$3, $L$5, $L$6))</f>
        <v>#NAME?</v>
      </c>
      <c r="V47" s="105" t="e">
        <f ca="1">IF(_xll.ciqfunctions.udf.CIQ($A47, "IQ_REVENUE_EST",$B$6, $L$2, "CON", $L$3, $L$5, $L$6)=0,"n/a",_xll.ciqfunctions.udf.CIQ($A47, "IQ_REVENUE_EST",$B$6, $L$2, "CON", $L$3, $L$5, $L$6))</f>
        <v>#NAME?</v>
      </c>
      <c r="W47" s="105" t="e">
        <f ca="1">IF(_xll.ciqfunctions.udf.CIQ($A47, "IQ_REVENUE_EST", $B$7, $L$2, "CON", $L$3, $L$5, $L$6)=0,"n/a",_xll.ciqfunctions.udf.CIQ($A47, "IQ_REVENUE_EST",$B$7, $L$2, "CON", $L$3, $L$5, $L$6))</f>
        <v>#NAME?</v>
      </c>
      <c r="X47" s="105" t="e">
        <f ca="1">_xll.ciqfunctions.udf.CIQ($A47, "IQ_EBITDA", IQ_LTM-8, $L$2, $L$4, $L$3, $L$5, $L$6)</f>
        <v>#NAME?</v>
      </c>
      <c r="Y47" s="105" t="e">
        <f ca="1">_xll.ciqfunctions.udf.CIQ($A47, "IQ_EBITDA", IQ_LTM-4, $L$2,$L$4, $L$3, $L$5, $L$6)</f>
        <v>#NAME?</v>
      </c>
      <c r="Z47" s="105" t="e">
        <f ca="1">_xll.ciqfunctions.udf.CIQ($A47, "IQ_EBITDA", IQ_LTM, $L$2, $L$4, $L$3, $L$5, $L$6)</f>
        <v>#NAME?</v>
      </c>
      <c r="AA47" s="105" t="e">
        <f ca="1">_xll.ciqfunctions.udf.CIQ($A47, "IQ_EBITDA", $B$2, $L$2, $L$4, $L$3, $L$5, $L$6)</f>
        <v>#NAME?</v>
      </c>
      <c r="AB47" s="105" t="e">
        <f ca="1">IF(_xll.ciqfunctions.udf.CIQ($A47, "IQ_EBITDA", $B$3, $L$2,$L$4, $L$3, $L$5, $L$6)=0,Z47,_xll.ciqfunctions.udf.CIQ($A47, "IQ_EBITDA", $B$3, $L$2,$L$4, $L$3, $L$5, $L$6))</f>
        <v>#NAME?</v>
      </c>
      <c r="AC47" s="105" t="e">
        <f ca="1">IF(_xll.ciqfunctions.udf.CIQ($A47, "IQ_EBITDA_EST",$B$4, $L$2, "CON", $L$3, $L$5, $L$6)=0,"n/a",_xll.ciqfunctions.udf.CIQ($A47, "IQ_EBITDA_EST",$B$4, $L$2, "CON", $L$3, $L$5, $L$6))</f>
        <v>#NAME?</v>
      </c>
      <c r="AD47" s="75" t="e">
        <f ca="1">IF(_xll.ciqfunctions.udf.CIQ($A47, "IQ_EBITDA_EST",$B$5, $L$2, "CON", $L$3, $L$5, $L$6)=0,"n/a",_xll.ciqfunctions.udf.CIQ($A47, "IQ_EBITDA_EST",$B$5, $L$2, "CON", $L$3, $L$5, $L$6))</f>
        <v>#NAME?</v>
      </c>
      <c r="AE47" s="105" t="e">
        <f ca="1">IF(_xll.ciqfunctions.udf.CIQ($A47, "IQ_EBITDA_EST",$B$6, $L$2, "CON", $L$3, $L$5, $L$6)=0,"n/a",_xll.ciqfunctions.udf.CIQ($A47, "IQ_EBITDA_EST",$B$6, $L$2, "CON", $L$3, $L$5, $L$6))</f>
        <v>#NAME?</v>
      </c>
      <c r="AF47" s="106" t="str">
        <f ca="1">IF(ISERROR(_xll.ciqfunctions.udf.CIQ($A47, "IQ_GROSS_MARGIN", IQ_LTM, $L$2,$L$4, $L$3, $L$5, $L$6)/100), "n/a", _xll.ciqfunctions.udf.CIQ($A47,  "IQ_GROSS_MARGIN", IQ_LTM, $L$2, $L$4, $L$3, $L$5, $L$6)/100)</f>
        <v>n/a</v>
      </c>
      <c r="AG47" s="106" t="str">
        <f ca="1">IF(ISERROR(_xll.ciqfunctions.udf.CIQ($A47,"IQ_EBITDA_MARGIN", IQ_LTM, $L$2, $L$4, $L$3, $L$5, $L$6)/100), "n/a", _xll.ciqfunctions.udf.CIQ($A47, "IQ_EBITDA_MARGIN", IQ_LTM, $L$2, $L$4, $L$3, $L$5, $L$6)/100)</f>
        <v>n/a</v>
      </c>
      <c r="AH47" s="106" t="str">
        <f ca="1">IF(ISERROR(_xll.ciqfunctions.udf.CIQ($A47,"IQ_EBIT_MARGIN", IQ_LTM, $L$2, $L$4, $L$3, $L$5, $L$6)/100), "n/a", _xll.ciqfunctions.udf.CIQ($A47, "IQ_EBIT_MARGIN", IQ_LTM, $L$2, $L$4, $L$3, $L$5, $L$6)/100)</f>
        <v>n/a</v>
      </c>
      <c r="AI47" s="106" t="str">
        <f ca="1">IF(ISERROR(_xll.ciqfunctions.udf.CIQ($A47,"IQ_NI_MARGIN", IQ_LTM, $L$2, $L$4, $L$3, $L$5, $L$6)/100), "n/a", _xll.ciqfunctions.udf.CIQ($A47, "IQ_NI_MARGIN", IQ_LTM, $L$2, $L$4, $L$3, $L$5, $L$6)/100)</f>
        <v>n/a</v>
      </c>
      <c r="AJ47" s="105" t="str">
        <f ca="1">IF(ISERROR(_xll.ciqfunctions.udf.CIQ($A47, "IQ_NET_WORKING_CAP", IQ_LTM-8, $L$2, $L$4, $L$3, $L$5, $L$6)), "n/a", _xll.ciqfunctions.udf.CIQ($A47, "IQ_NET_WORKING_CAP", IQ_LTM-8, $L$2, $L$4, $L$3, $L$5, $L$6))</f>
        <v>n/a</v>
      </c>
      <c r="AK47" s="105" t="str">
        <f ca="1">IF(ISERROR(_xll.ciqfunctions.udf.CIQ($A47, "IQ_NET_WORKING_CAP", IQ_LTM-4, $L$2, $L$4, $L$3, $L$5, $L$6)), "n/a", _xll.ciqfunctions.udf.CIQ($A47, "IQ_NET_WORKING_CAP", IQ_LTM-4, $L$2, $L$4, $L$3, $L$5, $L$6))</f>
        <v>n/a</v>
      </c>
      <c r="AL47" s="105" t="str">
        <f ca="1">IF(ISERROR(_xll.ciqfunctions.udf.CIQ($A47, "IQ_NET_WORKING_CAP", IQ_LTM, $L$2,$L$4, $L$3, $L$5, $L$6)), "n/a", _xll.ciqfunctions.udf.CIQ($A47, "IQ_NET_WORKING_CAP", IQ_LTM, $L$2, $L$4, $L$3, $L$5, $L$6))</f>
        <v>n/a</v>
      </c>
      <c r="AM47" s="105" t="str">
        <f ca="1">IF(ISERROR(_xll.ciqfunctions.udf.CIQ($A47, "IQ_Capex", IQ_LTM-8, $L$2,$L$4, $L$3, $L$5, $L$6)), "n/a", _xll.ciqfunctions.udf.CIQ($A47, "IQ_Capex", IQ_LTM-8, $L$2, $L$4, $L$3, $L$5, $L$6))</f>
        <v>n/a</v>
      </c>
      <c r="AN47" s="105" t="str">
        <f ca="1">IF(ISERROR(_xll.ciqfunctions.udf.CIQ($A47, "IQ_Capex", IQ_LTM-4, $L$2,$L$4, $L$3, $L$5, $L$6)), "n/a", _xll.ciqfunctions.udf.CIQ($A47, "IQ_Capex", IQ_LTM-4, $L$2,$L$4, $L$3, $L$5, $L$6))</f>
        <v>n/a</v>
      </c>
      <c r="AO47" s="105" t="str">
        <f ca="1">IF(ISERROR(_xll.ciqfunctions.udf.CIQ($A47, "IQ_Capex", IQ_LTM, $L$2, $L$4, $L$3, $L$5, $L$6)), "n/a", _xll.ciqfunctions.udf.CIQ($A47, "IQ_Capex", IQ_LTM, $L$2, $L$4, $L$3, $L$5, $L$6))</f>
        <v>n/a</v>
      </c>
      <c r="AP47" s="107" t="e">
        <f ca="1">_xll.ciqfunctions.udf.CIQ(A47, "IQ_BUSINESS_DESCRIPTION")</f>
        <v>#NAME?</v>
      </c>
      <c r="AQ47" s="108" t="e">
        <f ca="1">_xll.ciqfunctions.udf.CIQ($A47, "IQ_BETA_1YR", $B$1)</f>
        <v>#NAME?</v>
      </c>
      <c r="AR47" s="108" t="e">
        <f ca="1">_xll.ciqfunctions.udf.CIQ($A47, "IQ_BETA_2YR", $B$1)</f>
        <v>#NAME?</v>
      </c>
      <c r="AS47" s="108" t="e">
        <f ca="1">_xll.ciqfunctions.udf.CIQ($A47, "IQ_BETA_5YR", $B$1)</f>
        <v>#NAME?</v>
      </c>
      <c r="AT47" s="75" t="e">
        <f ca="1">_xll.ciqfunctions.udf.CIQ($B47, "IQ_GP", IQ_LTM,$B$1, ,,"USD")</f>
        <v>#NAME?</v>
      </c>
      <c r="AU47" s="105" t="e">
        <f ca="1">_xll.ciqfunctions.udf.CIQ($A47, "IQ_EARNING_CO", IQ_LTM-8, $L$2, $L$4, $L$3, $L$5, $L$6)</f>
        <v>#NAME?</v>
      </c>
      <c r="AV47" s="105" t="e">
        <f ca="1">_xll.ciqfunctions.udf.CIQ($A47, "IQ_EARNING_CO", IQ_LTM-4, $L$2, $L$4, $L$3, $L$5, $L$6)</f>
        <v>#NAME?</v>
      </c>
      <c r="AW47" s="105" t="e">
        <f ca="1">_xll.ciqfunctions.udf.CIQ($A47, "IQ_EARNING_CO", IQ_LTM, $L$2, $L$4, $L$3, $L$5, $L$6)</f>
        <v>#NAME?</v>
      </c>
      <c r="AX47" s="105" t="e">
        <f ca="1">_xll.ciqfunctions.udf.CIQ($A47, "IQ_EARNING_CO", $B$2, $L$2, $L$4, $L$3, $L$5, $L$6)</f>
        <v>#NAME?</v>
      </c>
      <c r="AY47" s="105" t="e">
        <f ca="1">IF(_xll.ciqfunctions.udf.CIQ($A47, "IQ_EARNING_CO", $B$3, $L$2,$L$4, $L$3, $L$5, $L$6)=0,AW47,_xll.ciqfunctions.udf.CIQ($A47, "IQ_EARNING_CO", $B$3, $L$2,$L$4, $L$3, $L$5, $L$6))</f>
        <v>#NAME?</v>
      </c>
      <c r="AZ47" s="105" t="e">
        <f ca="1">_xll.ciqfunctions.udf.CIQ($A47, "IQ_TOTAL_EQUITY", IQ_LTM-8, $L$2, $L$4, $L$3, $L$5, $L$6)</f>
        <v>#NAME?</v>
      </c>
      <c r="BA47" s="105" t="e">
        <f ca="1">_xll.ciqfunctions.udf.CIQ($A47, "IQ_TOTAL_EQUITY", IQ_LTM-4, $L$2, $L$4, $L$3, $L$5, $L$6)</f>
        <v>#NAME?</v>
      </c>
      <c r="BB47" s="105" t="e">
        <f ca="1">_xll.ciqfunctions.udf.CIQ($A47, "IQ_TOTAL_EQUITY", IQ_LTM, $L$2, $L$4, $L$3, $L$5, $L$6)</f>
        <v>#NAME?</v>
      </c>
      <c r="BC47" s="105" t="e">
        <f ca="1">_xll.ciqfunctions.udf.CIQ($A47, "IQ_TOTAL_EQUITY", $B$2, $L$2, $L$4, $L$3, $L$5, $L$6)</f>
        <v>#NAME?</v>
      </c>
      <c r="BD47" s="105" t="e">
        <f ca="1">IF(_xll.ciqfunctions.udf.CIQ($A47, "IQ_TOTAL_EQUITY", $B$3, $L$2,$L$4, $L$3, $L$5, $L$6)=0,BB47,_xll.ciqfunctions.udf.CIQ($A47, "IQ_TOTAL_EQUITY", $B$3, $L$2,$L$4, $L$3, $L$5, $L$6))</f>
        <v>#NAME?</v>
      </c>
      <c r="BE47" s="105" t="e">
        <f ca="1">_xll.ciqfunctions.udf.CIQ(A47, "IQ_LASTSALEPRICE", $B$8)</f>
        <v>#NAME?</v>
      </c>
      <c r="BF47" s="105" t="e">
        <f ca="1">_xll.ciqfunctions.udf.CIQ($A47, "IQ_MARKETCAP", $B$8, $L$5, $L$6)</f>
        <v>#NAME?</v>
      </c>
      <c r="BG47" s="105" t="e">
        <f ca="1">_xll.ciqfunctions.udf.CIQ($A47, "IQ_TOTAL_DEBT", IQ_LTM, $B$8,$L$4, $L$3, $L$5, $L$6)</f>
        <v>#NAME?</v>
      </c>
      <c r="BH47" s="74" t="e">
        <f ca="1">_xll.ciqfunctions.udf.CIQ($A47,"IQ_PREF_EQUITY",IQ_LTM,$B$8,$L$4,$L$3,$L$5,$L$6)</f>
        <v>#NAME?</v>
      </c>
      <c r="BI47" s="74" t="e">
        <f ca="1">_xll.ciqfunctions.udf.CIQ($A47, "IQ_MINORITY_INTEREST_TOTAL", IQ_LTM,$B$8,$L$4,$L$3,$L$5,$L$6)</f>
        <v>#NAME?</v>
      </c>
      <c r="BJ47" s="105" t="e">
        <f ca="1">_xll.ciqfunctions.udf.CIQ($A47, "IQ_CASH_ST_INVEST", IQ_LTM, $B$8, $L$4, $L$3, $L$5, $L$6)</f>
        <v>#NAME?</v>
      </c>
      <c r="BK47" s="74" t="e">
        <f ca="1">_xll.ciqfunctions.udf.CIQ($A47, "IQ_EFFECT_TAX_RATE")</f>
        <v>#NAME?</v>
      </c>
      <c r="BL47" s="74" t="e">
        <f ca="1">IF(_xll.ciqfunctions.udf.CIQ($A47, "IQ_TOTAL_REV_2YR_ANN_CAGR", IQ_LTM, $B$1,$L$4, $L$3, $L$5, $L$6)="NM","n/a",(_xll.ciqfunctions.udf.CIQ($A47, "IQ_TOTAL_REV_2YR_ANN_CAGR", IQ_LTM, $B$1,$L$4, $L$3, $L$5, $L$6)/100))</f>
        <v>#NAME?</v>
      </c>
      <c r="BM47" s="74" t="e">
        <f ca="1">IF(_xll.ciqfunctions.udf.CIQ($A47, "IQ_TOTAL_REV_3YR_ANN_CAGR", IQ_LTM, $B$1,$L$4, $L$3, $L$5, $L$6)="NM","n/a",(_xll.ciqfunctions.udf.CIQ($A47, "IQ_TOTAL_REV_3YR_ANN_CAGR", IQ_LTM, $B$1,$L$4, $L$3, $L$5, $L$6)/100))</f>
        <v>#NAME?</v>
      </c>
      <c r="BN47" s="74" t="e">
        <f ca="1">IF(_xll.ciqfunctions.udf.CIQ($A47, "IQ_TOTAL_REV_5YR_ANN_CAGR", IQ_LTM, $B$1,$L$4, $L$3, $L$5, $L$6)="NM","n/a",(_xll.ciqfunctions.udf.CIQ($A47, "IQ_TOTAL_REV_5YR_ANN_CAGR", IQ_LTM, $B$1,$L$4, $L$3, $L$5, $L$6)/100))</f>
        <v>#NAME?</v>
      </c>
      <c r="BO47" s="74" t="e">
        <f ca="1">IF(_xll.ciqfunctions.udf.CIQ($A47,"IQ_EBITDA_2YR_ANN_CAGR", IQ_LTM,$B$1,$L$4, $L$3, $L$5, $L$6)="NM","n/a",(_xll.ciqfunctions.udf.CIQ($A47,"IQ_EBITDA_2YR_ANN_CAGR", IQ_LTM,$B$1,$L$4, $L$3, $L$5, $L$6)/100))</f>
        <v>#NAME?</v>
      </c>
      <c r="BP47" s="74" t="e">
        <f ca="1">IF(_xll.ciqfunctions.udf.CIQ($A47,"IQ_EBITDA_3YR_ANN_CAGR", IQ_LTM,$B$1,$L$4, $L$3, $L$5, $L$6)="NM","n/a",(_xll.ciqfunctions.udf.CIQ($A47,"IQ_EBITDA_3YR_ANN_CAGR", IQ_LTM,$B$1,$L$4, $L$3, $L$5, $L$6)/100))</f>
        <v>#NAME?</v>
      </c>
      <c r="BQ47" s="74" t="e">
        <f ca="1">IF(_xll.ciqfunctions.udf.CIQ($A47,"IQ_EBITDA_5YR_ANN_CAGR", IQ_LTM,$B$1,$L$4, $L$3, $L$5, $L$6)="NM","n/a",(_xll.ciqfunctions.udf.CIQ($A47,"IQ_EBITDA_5YR_ANN_CAGR", IQ_LTM,$B$1,$L$4, $L$3, $L$5, $L$6)/100))</f>
        <v>#NAME?</v>
      </c>
      <c r="BR47" s="78" t="str">
        <f ca="1">IFERROR((_xll.ciqfunctions.udf.CIQ($A47, "IQ_DA_CF", IQ_LTM, $B$1, $L$4, $L$3, $L$5, $L$6)/Q47),"NM")</f>
        <v>NM</v>
      </c>
      <c r="BS47" s="106">
        <f>'Capital IQ Sheet-GPC'!BS47</f>
        <v>0.66008168675338585</v>
      </c>
      <c r="BT47" s="106">
        <f>'Capital IQ Sheet-GPC'!BT47</f>
        <v>0.74596470213292698</v>
      </c>
      <c r="BU47" s="106" t="str">
        <f>'Capital IQ Sheet-GPC'!BU47</f>
        <v>n/a</v>
      </c>
      <c r="BV47" s="106" t="str">
        <f>'Capital IQ Sheet-GPC'!BV47</f>
        <v>n/a</v>
      </c>
      <c r="BW47" s="106" t="str">
        <f>'Capital IQ Sheet-GPC'!BW47</f>
        <v>n/a</v>
      </c>
      <c r="BX47" s="106" t="str">
        <f>'Capital IQ Sheet-GPC'!BX47</f>
        <v>n/a</v>
      </c>
      <c r="BY47" s="106" t="str">
        <f>'Capital IQ Sheet-GPC'!BY47</f>
        <v>n/a</v>
      </c>
      <c r="BZ47" s="106" t="str">
        <f>'Capital IQ Sheet-GPC'!BZ47</f>
        <v>n/a</v>
      </c>
    </row>
    <row r="48" spans="1:83">
      <c r="A48" s="75" t="e">
        <f ca="1">_xll.ciqfunctions.udf.CIQ($B48,"IQ_COMPANY_TICKER")</f>
        <v>#NAME?</v>
      </c>
      <c r="B48" s="104" t="str">
        <f>'Capital IQ Sheet-GPC'!B48</f>
        <v>IQ28922</v>
      </c>
      <c r="C48" s="75" t="e">
        <f ca="1">_xll.ciqfunctions.udf.CIQ($A48,"IQ_COMPANY_NAME")</f>
        <v>#NAME?</v>
      </c>
      <c r="D48" s="75" t="e">
        <f ca="1">_xll.ciqfunctions.udf.CIQ($A48, "IQ_EXCHANGE")</f>
        <v>#NAME?</v>
      </c>
      <c r="E48" s="103" t="e">
        <f ca="1">_xll.ciqfunctions.udf.CIQ($A48, "IQ_PERIODDATE_IS", IQ_FY)</f>
        <v>#NAME?</v>
      </c>
      <c r="F48" s="103" t="e">
        <f ca="1">_xll.ciqfunctions.udf.CIQ(A48, "IQ_PERIODDATE_IS", IQ_LTM, $B$1,$L$4,$L$3)</f>
        <v>#NAME?</v>
      </c>
      <c r="G48" s="103" t="e">
        <f ca="1">_xll.ciqfunctions.udf.CIQ($A48, "IQ_FIRSTPRICINGDATE")</f>
        <v>#NAME?</v>
      </c>
      <c r="H48" s="105" t="e">
        <f ca="1">_xll.ciqfunctions.udf.CIQ($A48, "IQ_TEV", $L$2, $L$5, $L$6)</f>
        <v>#NAME?</v>
      </c>
      <c r="I48" s="105" t="e">
        <f ca="1">_xll.ciqfunctions.udf.CIQ(A48, "IQ_LASTSALEPRICE", $B$1,$L$5)</f>
        <v>#NAME?</v>
      </c>
      <c r="J48" s="103" t="e">
        <f ca="1">_xll.ciqfunctions.udf.CIQ($B48, "IQ_FIRSTPRICINGDATE")</f>
        <v>#NAME?</v>
      </c>
      <c r="K48" s="105" t="e">
        <f ca="1">_xll.ciqfunctions.udf.CIQ($A48, "IQ_TOTAL_DEBT", IQ_LTM, $L$2,$L$4, $L$3, $L$5, $L$6)</f>
        <v>#NAME?</v>
      </c>
      <c r="L48" s="105" t="e">
        <f ca="1">_xll.ciqfunctions.udf.CIQ($A48, "IQ_PREF_EQUITY", IQ_LTM, $L$2, $L$4, $L$3, $L$5, $L$6)</f>
        <v>#NAME?</v>
      </c>
      <c r="M48" s="105" t="e">
        <f ca="1">_xll.ciqfunctions.udf.CIQ($A48, "IQ_MINORITY_INTEREST_TOTAL", IQ_LTM, $L$2, $L$4, $L$3, $L$5, $L$6)</f>
        <v>#NAME?</v>
      </c>
      <c r="N48" s="105" t="e">
        <f ca="1">_xll.ciqfunctions.udf.CIQ($A48, "IQ_CASH_ST_INVEST", IQ_LTM, $L$2, $L$4, $L$3, $L$5, $L$6)</f>
        <v>#NAME?</v>
      </c>
      <c r="O48" s="105" t="e">
        <f ca="1">_xll.ciqfunctions.udf.CIQ($A48, "IQ_TOTAL_REV", IQ_LTM-8, $L$2, $L$4, $L$3, $L$5, $L$6)</f>
        <v>#NAME?</v>
      </c>
      <c r="P48" s="105" t="e">
        <f ca="1">_xll.ciqfunctions.udf.CIQ($A48, "IQ_TOTAL_REV", IQ_LTM - 4, $L$2, $L$4, $L$3, $L$5,$L$6)</f>
        <v>#NAME?</v>
      </c>
      <c r="Q48" s="105" t="e">
        <f ca="1">_xll.ciqfunctions.udf.CIQ($A48, "IQ_TOTAL_REV", IQ_LTM, $L$2, $L$4, $L$3, $L$5, $L$6)</f>
        <v>#NAME?</v>
      </c>
      <c r="R48" s="105" t="e">
        <f ca="1">_xll.ciqfunctions.udf.CIQ($A48, "IQ_TOTAL_REV", $B$2, $L$2, $L$4, $L$3, $L$5, $L$6)</f>
        <v>#NAME?</v>
      </c>
      <c r="S48" s="105" t="e">
        <f ca="1">IF(_xll.ciqfunctions.udf.CIQ($A48, "IQ_TOTAL_REV", $B$3, $L$2,$L$4, $L$3, $L$5, $L$6)=0,Q48,_xll.ciqfunctions.udf.CIQ($A48, "IQ_TOTAL_REV", $B$3, $L$2,$L$4, $L$3, $L$5, $L$6))</f>
        <v>#NAME?</v>
      </c>
      <c r="T48" s="105" t="e">
        <f ca="1">IF(_xll.ciqfunctions.udf.CIQ($A48, "IQ_REVENUE_EST",$B$4, $L$2, "CON", $L$3, $L$5, $L$6)=0,"n/a",_xll.ciqfunctions.udf.CIQ($A48, "IQ_REVENUE_EST",$B$4, $L$2, "CON", $L$3, $L$5, $L$6))</f>
        <v>#NAME?</v>
      </c>
      <c r="U48" s="105" t="e">
        <f ca="1">IF(_xll.ciqfunctions.udf.CIQ($A48, "IQ_REVENUE_EST",$B$5, $L$2, "CON", $L$3, $L$5, $L$6)=0,"n/a",_xll.ciqfunctions.udf.CIQ($A48, "IQ_REVENUE_EST",$B$5, $L$2, "CON", $L$3, $L$5, $L$6))</f>
        <v>#NAME?</v>
      </c>
      <c r="V48" s="105" t="e">
        <f ca="1">IF(_xll.ciqfunctions.udf.CIQ($A48, "IQ_REVENUE_EST",$B$6, $L$2, "CON", $L$3, $L$5, $L$6)=0,"n/a",_xll.ciqfunctions.udf.CIQ($A48, "IQ_REVENUE_EST",$B$6, $L$2, "CON", $L$3, $L$5, $L$6))</f>
        <v>#NAME?</v>
      </c>
      <c r="W48" s="105" t="e">
        <f ca="1">IF(_xll.ciqfunctions.udf.CIQ($A48, "IQ_REVENUE_EST", $B$7, $L$2, "CON", $L$3, $L$5, $L$6)=0,"n/a",_xll.ciqfunctions.udf.CIQ($A48, "IQ_REVENUE_EST",$B$7, $L$2, "CON", $L$3, $L$5, $L$6))</f>
        <v>#NAME?</v>
      </c>
      <c r="X48" s="105" t="e">
        <f ca="1">_xll.ciqfunctions.udf.CIQ($A48, "IQ_EBITDA", IQ_LTM-8, $L$2, $L$4, $L$3, $L$5, $L$6)</f>
        <v>#NAME?</v>
      </c>
      <c r="Y48" s="105" t="e">
        <f ca="1">_xll.ciqfunctions.udf.CIQ($A48, "IQ_EBITDA", IQ_LTM-4, $L$2,$L$4, $L$3, $L$5, $L$6)</f>
        <v>#NAME?</v>
      </c>
      <c r="Z48" s="105" t="e">
        <f ca="1">_xll.ciqfunctions.udf.CIQ($A48, "IQ_EBITDA", IQ_LTM, $L$2, $L$4, $L$3, $L$5, $L$6)</f>
        <v>#NAME?</v>
      </c>
      <c r="AA48" s="105" t="e">
        <f ca="1">_xll.ciqfunctions.udf.CIQ($A48, "IQ_EBITDA", $B$2, $L$2, $L$4, $L$3, $L$5, $L$6)</f>
        <v>#NAME?</v>
      </c>
      <c r="AB48" s="105" t="e">
        <f ca="1">IF(_xll.ciqfunctions.udf.CIQ($A48, "IQ_EBITDA", $B$3, $L$2,$L$4, $L$3, $L$5, $L$6)=0,Z48,_xll.ciqfunctions.udf.CIQ($A48, "IQ_EBITDA", $B$3, $L$2,$L$4, $L$3, $L$5, $L$6))</f>
        <v>#NAME?</v>
      </c>
      <c r="AC48" s="105" t="e">
        <f ca="1">IF(_xll.ciqfunctions.udf.CIQ($A48, "IQ_EBITDA_EST",$B$4, $L$2, "CON", $L$3, $L$5, $L$6)=0,"n/a",_xll.ciqfunctions.udf.CIQ($A48, "IQ_EBITDA_EST",$B$4, $L$2, "CON", $L$3, $L$5, $L$6))</f>
        <v>#NAME?</v>
      </c>
      <c r="AD48" s="75" t="e">
        <f ca="1">IF(_xll.ciqfunctions.udf.CIQ($A48, "IQ_EBITDA_EST",$B$5, $L$2, "CON", $L$3, $L$5, $L$6)=0,"n/a",_xll.ciqfunctions.udf.CIQ($A48, "IQ_EBITDA_EST",$B$5, $L$2, "CON", $L$3, $L$5, $L$6))</f>
        <v>#NAME?</v>
      </c>
      <c r="AE48" s="105" t="e">
        <f ca="1">IF(_xll.ciqfunctions.udf.CIQ($A48, "IQ_EBITDA_EST",$B$6, $L$2, "CON", $L$3, $L$5, $L$6)=0,"n/a",_xll.ciqfunctions.udf.CIQ($A48, "IQ_EBITDA_EST",$B$6, $L$2, "CON", $L$3, $L$5, $L$6))</f>
        <v>#NAME?</v>
      </c>
      <c r="AF48" s="106" t="str">
        <f ca="1">IF(ISERROR(_xll.ciqfunctions.udf.CIQ($A48, "IQ_GROSS_MARGIN", IQ_LTM, $L$2,$L$4, $L$3, $L$5, $L$6)/100), "n/a", _xll.ciqfunctions.udf.CIQ($A48,  "IQ_GROSS_MARGIN", IQ_LTM, $L$2, $L$4, $L$3, $L$5, $L$6)/100)</f>
        <v>n/a</v>
      </c>
      <c r="AG48" s="106" t="str">
        <f ca="1">IF(ISERROR(_xll.ciqfunctions.udf.CIQ($A48,"IQ_EBITDA_MARGIN", IQ_LTM, $L$2, $L$4, $L$3, $L$5, $L$6)/100), "n/a", _xll.ciqfunctions.udf.CIQ($A48, "IQ_EBITDA_MARGIN", IQ_LTM, $L$2, $L$4, $L$3, $L$5, $L$6)/100)</f>
        <v>n/a</v>
      </c>
      <c r="AH48" s="106" t="str">
        <f ca="1">IF(ISERROR(_xll.ciqfunctions.udf.CIQ($A48,"IQ_EBIT_MARGIN", IQ_LTM, $L$2, $L$4, $L$3, $L$5, $L$6)/100), "n/a", _xll.ciqfunctions.udf.CIQ($A48, "IQ_EBIT_MARGIN", IQ_LTM, $L$2, $L$4, $L$3, $L$5, $L$6)/100)</f>
        <v>n/a</v>
      </c>
      <c r="AI48" s="106" t="str">
        <f ca="1">IF(ISERROR(_xll.ciqfunctions.udf.CIQ($A48,"IQ_NI_MARGIN", IQ_LTM, $L$2, $L$4, $L$3, $L$5, $L$6)/100), "n/a", _xll.ciqfunctions.udf.CIQ($A48, "IQ_NI_MARGIN", IQ_LTM, $L$2, $L$4, $L$3, $L$5, $L$6)/100)</f>
        <v>n/a</v>
      </c>
      <c r="AJ48" s="105" t="str">
        <f ca="1">IF(ISERROR(_xll.ciqfunctions.udf.CIQ($A48, "IQ_NET_WORKING_CAP", IQ_LTM-8, $L$2, $L$4, $L$3, $L$5, $L$6)), "n/a", _xll.ciqfunctions.udf.CIQ($A48, "IQ_NET_WORKING_CAP", IQ_LTM-8, $L$2, $L$4, $L$3, $L$5, $L$6))</f>
        <v>n/a</v>
      </c>
      <c r="AK48" s="105" t="str">
        <f ca="1">IF(ISERROR(_xll.ciqfunctions.udf.CIQ($A48, "IQ_NET_WORKING_CAP", IQ_LTM-4, $L$2, $L$4, $L$3, $L$5, $L$6)), "n/a", _xll.ciqfunctions.udf.CIQ($A48, "IQ_NET_WORKING_CAP", IQ_LTM-4, $L$2, $L$4, $L$3, $L$5, $L$6))</f>
        <v>n/a</v>
      </c>
      <c r="AL48" s="105" t="str">
        <f ca="1">IF(ISERROR(_xll.ciqfunctions.udf.CIQ($A48, "IQ_NET_WORKING_CAP", IQ_LTM, $L$2,$L$4, $L$3, $L$5, $L$6)), "n/a", _xll.ciqfunctions.udf.CIQ($A48, "IQ_NET_WORKING_CAP", IQ_LTM, $L$2, $L$4, $L$3, $L$5, $L$6))</f>
        <v>n/a</v>
      </c>
      <c r="AM48" s="105" t="str">
        <f ca="1">IF(ISERROR(_xll.ciqfunctions.udf.CIQ($A48, "IQ_Capex", IQ_LTM-8, $L$2,$L$4, $L$3, $L$5, $L$6)), "n/a", _xll.ciqfunctions.udf.CIQ($A48, "IQ_Capex", IQ_LTM-8, $L$2, $L$4, $L$3, $L$5, $L$6))</f>
        <v>n/a</v>
      </c>
      <c r="AN48" s="105" t="str">
        <f ca="1">IF(ISERROR(_xll.ciqfunctions.udf.CIQ($A48, "IQ_Capex", IQ_LTM-4, $L$2,$L$4, $L$3, $L$5, $L$6)), "n/a", _xll.ciqfunctions.udf.CIQ($A48, "IQ_Capex", IQ_LTM-4, $L$2,$L$4, $L$3, $L$5, $L$6))</f>
        <v>n/a</v>
      </c>
      <c r="AO48" s="105" t="str">
        <f ca="1">IF(ISERROR(_xll.ciqfunctions.udf.CIQ($A48, "IQ_Capex", IQ_LTM, $L$2, $L$4, $L$3, $L$5, $L$6)), "n/a", _xll.ciqfunctions.udf.CIQ($A48, "IQ_Capex", IQ_LTM, $L$2, $L$4, $L$3, $L$5, $L$6))</f>
        <v>n/a</v>
      </c>
      <c r="AP48" s="107" t="e">
        <f ca="1">_xll.ciqfunctions.udf.CIQ(A48, "IQ_BUSINESS_DESCRIPTION")</f>
        <v>#NAME?</v>
      </c>
      <c r="AQ48" s="108" t="e">
        <f ca="1">_xll.ciqfunctions.udf.CIQ($A48, "IQ_BETA_1YR", $B$1)</f>
        <v>#NAME?</v>
      </c>
      <c r="AR48" s="108" t="e">
        <f ca="1">_xll.ciqfunctions.udf.CIQ($A48, "IQ_BETA_2YR", $B$1)</f>
        <v>#NAME?</v>
      </c>
      <c r="AS48" s="108" t="e">
        <f ca="1">_xll.ciqfunctions.udf.CIQ($A48, "IQ_BETA_5YR", $B$1)</f>
        <v>#NAME?</v>
      </c>
      <c r="AT48" s="75" t="e">
        <f ca="1">_xll.ciqfunctions.udf.CIQ($B48, "IQ_GP", IQ_LTM,$B$1, ,,"USD")</f>
        <v>#NAME?</v>
      </c>
      <c r="AU48" s="105" t="e">
        <f ca="1">_xll.ciqfunctions.udf.CIQ($A48, "IQ_EARNING_CO", IQ_LTM-8, $L$2, $L$4, $L$3, $L$5, $L$6)</f>
        <v>#NAME?</v>
      </c>
      <c r="AV48" s="105" t="e">
        <f ca="1">_xll.ciqfunctions.udf.CIQ($A48, "IQ_EARNING_CO", IQ_LTM-4, $L$2, $L$4, $L$3, $L$5, $L$6)</f>
        <v>#NAME?</v>
      </c>
      <c r="AW48" s="105" t="e">
        <f ca="1">_xll.ciqfunctions.udf.CIQ($A48, "IQ_EARNING_CO", IQ_LTM, $L$2, $L$4, $L$3, $L$5, $L$6)</f>
        <v>#NAME?</v>
      </c>
      <c r="AX48" s="105" t="e">
        <f ca="1">_xll.ciqfunctions.udf.CIQ($A48, "IQ_EARNING_CO", $B$2, $L$2, $L$4, $L$3, $L$5, $L$6)</f>
        <v>#NAME?</v>
      </c>
      <c r="AY48" s="105" t="e">
        <f ca="1">IF(_xll.ciqfunctions.udf.CIQ($A48, "IQ_EARNING_CO", $B$3, $L$2,$L$4, $L$3, $L$5, $L$6)=0,AW48,_xll.ciqfunctions.udf.CIQ($A48, "IQ_EARNING_CO", $B$3, $L$2,$L$4, $L$3, $L$5, $L$6))</f>
        <v>#NAME?</v>
      </c>
      <c r="AZ48" s="105" t="e">
        <f ca="1">_xll.ciqfunctions.udf.CIQ($A48, "IQ_TOTAL_EQUITY", IQ_LTM-8, $L$2, $L$4, $L$3, $L$5, $L$6)</f>
        <v>#NAME?</v>
      </c>
      <c r="BA48" s="105" t="e">
        <f ca="1">_xll.ciqfunctions.udf.CIQ($A48, "IQ_TOTAL_EQUITY", IQ_LTM-4, $L$2, $L$4, $L$3, $L$5, $L$6)</f>
        <v>#NAME?</v>
      </c>
      <c r="BB48" s="105" t="e">
        <f ca="1">_xll.ciqfunctions.udf.CIQ($A48, "IQ_TOTAL_EQUITY", IQ_LTM, $L$2, $L$4, $L$3, $L$5, $L$6)</f>
        <v>#NAME?</v>
      </c>
      <c r="BC48" s="105" t="e">
        <f ca="1">_xll.ciqfunctions.udf.CIQ($A48, "IQ_TOTAL_EQUITY", $B$2, $L$2, $L$4, $L$3, $L$5, $L$6)</f>
        <v>#NAME?</v>
      </c>
      <c r="BD48" s="105" t="e">
        <f ca="1">IF(_xll.ciqfunctions.udf.CIQ($A48, "IQ_TOTAL_EQUITY", $B$3, $L$2,$L$4, $L$3, $L$5, $L$6)=0,BB48,_xll.ciqfunctions.udf.CIQ($A48, "IQ_TOTAL_EQUITY", $B$3, $L$2,$L$4, $L$3, $L$5, $L$6))</f>
        <v>#NAME?</v>
      </c>
      <c r="BE48" s="105" t="e">
        <f ca="1">_xll.ciqfunctions.udf.CIQ(A48, "IQ_LASTSALEPRICE", $B$8)</f>
        <v>#NAME?</v>
      </c>
      <c r="BF48" s="105" t="e">
        <f ca="1">_xll.ciqfunctions.udf.CIQ($A48, "IQ_MARKETCAP", $B$8, $L$5, $L$6)</f>
        <v>#NAME?</v>
      </c>
      <c r="BG48" s="105" t="e">
        <f ca="1">_xll.ciqfunctions.udf.CIQ($A48, "IQ_TOTAL_DEBT", IQ_LTM, $B$8,$L$4, $L$3, $L$5, $L$6)</f>
        <v>#NAME?</v>
      </c>
      <c r="BH48" s="74" t="e">
        <f ca="1">_xll.ciqfunctions.udf.CIQ($A48,"IQ_PREF_EQUITY",IQ_LTM,$B$8,$L$4,$L$3,$L$5,$L$6)</f>
        <v>#NAME?</v>
      </c>
      <c r="BI48" s="74" t="e">
        <f ca="1">_xll.ciqfunctions.udf.CIQ($A48, "IQ_MINORITY_INTEREST_TOTAL", IQ_LTM,$B$8,$L$4,$L$3,$L$5,$L$6)</f>
        <v>#NAME?</v>
      </c>
      <c r="BJ48" s="105" t="e">
        <f ca="1">_xll.ciqfunctions.udf.CIQ($A48, "IQ_CASH_ST_INVEST", IQ_LTM, $B$8, $L$4, $L$3, $L$5, $L$6)</f>
        <v>#NAME?</v>
      </c>
      <c r="BK48" s="74" t="e">
        <f ca="1">_xll.ciqfunctions.udf.CIQ($A48, "IQ_EFFECT_TAX_RATE")</f>
        <v>#NAME?</v>
      </c>
      <c r="BL48" s="74" t="e">
        <f ca="1">IF(_xll.ciqfunctions.udf.CIQ($A48, "IQ_TOTAL_REV_2YR_ANN_CAGR", IQ_LTM, $B$1,$L$4, $L$3, $L$5, $L$6)="NM","n/a",(_xll.ciqfunctions.udf.CIQ($A48, "IQ_TOTAL_REV_2YR_ANN_CAGR", IQ_LTM, $B$1,$L$4, $L$3, $L$5, $L$6)/100))</f>
        <v>#NAME?</v>
      </c>
      <c r="BM48" s="74" t="e">
        <f ca="1">IF(_xll.ciqfunctions.udf.CIQ($A48, "IQ_TOTAL_REV_3YR_ANN_CAGR", IQ_LTM, $B$1,$L$4, $L$3, $L$5, $L$6)="NM","n/a",(_xll.ciqfunctions.udf.CIQ($A48, "IQ_TOTAL_REV_3YR_ANN_CAGR", IQ_LTM, $B$1,$L$4, $L$3, $L$5, $L$6)/100))</f>
        <v>#NAME?</v>
      </c>
      <c r="BN48" s="74" t="e">
        <f ca="1">IF(_xll.ciqfunctions.udf.CIQ($A48, "IQ_TOTAL_REV_5YR_ANN_CAGR", IQ_LTM, $B$1,$L$4, $L$3, $L$5, $L$6)="NM","n/a",(_xll.ciqfunctions.udf.CIQ($A48, "IQ_TOTAL_REV_5YR_ANN_CAGR", IQ_LTM, $B$1,$L$4, $L$3, $L$5, $L$6)/100))</f>
        <v>#NAME?</v>
      </c>
      <c r="BO48" s="74" t="e">
        <f ca="1">IF(_xll.ciqfunctions.udf.CIQ($A48,"IQ_EBITDA_2YR_ANN_CAGR", IQ_LTM,$B$1,$L$4, $L$3, $L$5, $L$6)="NM","n/a",(_xll.ciqfunctions.udf.CIQ($A48,"IQ_EBITDA_2YR_ANN_CAGR", IQ_LTM,$B$1,$L$4, $L$3, $L$5, $L$6)/100))</f>
        <v>#NAME?</v>
      </c>
      <c r="BP48" s="74" t="e">
        <f ca="1">IF(_xll.ciqfunctions.udf.CIQ($A48,"IQ_EBITDA_3YR_ANN_CAGR", IQ_LTM,$B$1,$L$4, $L$3, $L$5, $L$6)="NM","n/a",(_xll.ciqfunctions.udf.CIQ($A48,"IQ_EBITDA_3YR_ANN_CAGR", IQ_LTM,$B$1,$L$4, $L$3, $L$5, $L$6)/100))</f>
        <v>#NAME?</v>
      </c>
      <c r="BQ48" s="74" t="e">
        <f ca="1">IF(_xll.ciqfunctions.udf.CIQ($A48,"IQ_EBITDA_5YR_ANN_CAGR", IQ_LTM,$B$1,$L$4, $L$3, $L$5, $L$6)="NM","n/a",(_xll.ciqfunctions.udf.CIQ($A48,"IQ_EBITDA_5YR_ANN_CAGR", IQ_LTM,$B$1,$L$4, $L$3, $L$5, $L$6)/100))</f>
        <v>#NAME?</v>
      </c>
      <c r="BR48" s="78" t="str">
        <f ca="1">IFERROR((_xll.ciqfunctions.udf.CIQ($A48, "IQ_DA_CF", IQ_LTM, $B$1, $L$4, $L$3, $L$5, $L$6)/Q48),"NM")</f>
        <v>NM</v>
      </c>
      <c r="BS48" s="106">
        <f>'Capital IQ Sheet-GPC'!BS48</f>
        <v>0.62500700103077034</v>
      </c>
      <c r="BT48" s="106">
        <f>'Capital IQ Sheet-GPC'!BT48</f>
        <v>0.6189501235098539</v>
      </c>
      <c r="BU48" s="106">
        <f>'Capital IQ Sheet-GPC'!BU48</f>
        <v>0.65354069738568776</v>
      </c>
      <c r="BV48" s="106">
        <f>'Capital IQ Sheet-GPC'!BV48</f>
        <v>0.77214933500830729</v>
      </c>
      <c r="BW48" s="106">
        <f>'Capital IQ Sheet-GPC'!BW48</f>
        <v>0.75967062904787386</v>
      </c>
      <c r="BX48" s="106">
        <f>'Capital IQ Sheet-GPC'!BX48</f>
        <v>0.7315267347243225</v>
      </c>
      <c r="BY48" s="106">
        <f>'Capital IQ Sheet-GPC'!BY48</f>
        <v>0.70943612296271397</v>
      </c>
      <c r="BZ48" s="106">
        <f>'Capital IQ Sheet-GPC'!BZ48</f>
        <v>1.0083075894994566</v>
      </c>
    </row>
    <row r="49" spans="1:83">
      <c r="A49" s="75" t="e">
        <f ca="1">_xll.ciqfunctions.udf.CIQ($B49,"IQ_COMPANY_TICKER")</f>
        <v>#NAME?</v>
      </c>
      <c r="B49" s="104" t="str">
        <f>'Capital IQ Sheet-GPC'!B49</f>
        <v>IQ345286</v>
      </c>
      <c r="C49" s="75" t="e">
        <f ca="1">_xll.ciqfunctions.udf.CIQ($A49,"IQ_COMPANY_NAME")</f>
        <v>#NAME?</v>
      </c>
      <c r="D49" s="75" t="e">
        <f ca="1">_xll.ciqfunctions.udf.CIQ($A49, "IQ_EXCHANGE")</f>
        <v>#NAME?</v>
      </c>
      <c r="E49" s="103" t="e">
        <f ca="1">_xll.ciqfunctions.udf.CIQ($A49, "IQ_PERIODDATE_IS", IQ_FY)</f>
        <v>#NAME?</v>
      </c>
      <c r="F49" s="103" t="e">
        <f ca="1">_xll.ciqfunctions.udf.CIQ(A49, "IQ_PERIODDATE_IS", IQ_LTM, $B$1,$L$4,$L$3)</f>
        <v>#NAME?</v>
      </c>
      <c r="G49" s="103" t="e">
        <f ca="1">_xll.ciqfunctions.udf.CIQ($A49, "IQ_FIRSTPRICINGDATE")</f>
        <v>#NAME?</v>
      </c>
      <c r="H49" s="105" t="e">
        <f ca="1">_xll.ciqfunctions.udf.CIQ($A49, "IQ_TEV", $L$2, $L$5, $L$6)</f>
        <v>#NAME?</v>
      </c>
      <c r="I49" s="105" t="e">
        <f ca="1">_xll.ciqfunctions.udf.CIQ(A49, "IQ_LASTSALEPRICE", $B$1,$L$5)</f>
        <v>#NAME?</v>
      </c>
      <c r="J49" s="103" t="e">
        <f ca="1">_xll.ciqfunctions.udf.CIQ($B49, "IQ_FIRSTPRICINGDATE")</f>
        <v>#NAME?</v>
      </c>
      <c r="K49" s="105" t="e">
        <f ca="1">_xll.ciqfunctions.udf.CIQ($A49, "IQ_TOTAL_DEBT", IQ_LTM, $L$2,$L$4, $L$3, $L$5, $L$6)</f>
        <v>#NAME?</v>
      </c>
      <c r="L49" s="105" t="e">
        <f ca="1">_xll.ciqfunctions.udf.CIQ($A49, "IQ_PREF_EQUITY", IQ_LTM, $L$2, $L$4, $L$3, $L$5, $L$6)</f>
        <v>#NAME?</v>
      </c>
      <c r="M49" s="105" t="e">
        <f ca="1">_xll.ciqfunctions.udf.CIQ($A49, "IQ_MINORITY_INTEREST_TOTAL", IQ_LTM, $L$2, $L$4, $L$3, $L$5, $L$6)</f>
        <v>#NAME?</v>
      </c>
      <c r="N49" s="105" t="e">
        <f ca="1">_xll.ciqfunctions.udf.CIQ($A49, "IQ_CASH_ST_INVEST", IQ_LTM, $L$2, $L$4, $L$3, $L$5, $L$6)</f>
        <v>#NAME?</v>
      </c>
      <c r="O49" s="105" t="e">
        <f ca="1">_xll.ciqfunctions.udf.CIQ($A49, "IQ_TOTAL_REV", IQ_LTM-8, $L$2, $L$4, $L$3, $L$5, $L$6)</f>
        <v>#NAME?</v>
      </c>
      <c r="P49" s="105" t="e">
        <f ca="1">_xll.ciqfunctions.udf.CIQ($A49, "IQ_TOTAL_REV", IQ_LTM - 4, $L$2, $L$4, $L$3, $L$5,$L$6)</f>
        <v>#NAME?</v>
      </c>
      <c r="Q49" s="105" t="e">
        <f ca="1">_xll.ciqfunctions.udf.CIQ($A49, "IQ_TOTAL_REV", IQ_LTM, $L$2, $L$4, $L$3, $L$5, $L$6)</f>
        <v>#NAME?</v>
      </c>
      <c r="R49" s="105" t="e">
        <f ca="1">_xll.ciqfunctions.udf.CIQ($A49, "IQ_TOTAL_REV", $B$2, $L$2, $L$4, $L$3, $L$5, $L$6)</f>
        <v>#NAME?</v>
      </c>
      <c r="S49" s="105" t="e">
        <f ca="1">IF(_xll.ciqfunctions.udf.CIQ($A49, "IQ_TOTAL_REV", $B$3, $L$2,$L$4, $L$3, $L$5, $L$6)=0,Q49,_xll.ciqfunctions.udf.CIQ($A49, "IQ_TOTAL_REV", $B$3, $L$2,$L$4, $L$3, $L$5, $L$6))</f>
        <v>#NAME?</v>
      </c>
      <c r="T49" s="105" t="e">
        <f ca="1">IF(_xll.ciqfunctions.udf.CIQ($A49, "IQ_REVENUE_EST",$B$4, $L$2, "CON", $L$3, $L$5, $L$6)=0,"n/a",_xll.ciqfunctions.udf.CIQ($A49, "IQ_REVENUE_EST",$B$4, $L$2, "CON", $L$3, $L$5, $L$6))</f>
        <v>#NAME?</v>
      </c>
      <c r="U49" s="105" t="e">
        <f ca="1">IF(_xll.ciqfunctions.udf.CIQ($A49, "IQ_REVENUE_EST",$B$5, $L$2, "CON", $L$3, $L$5, $L$6)=0,"n/a",_xll.ciqfunctions.udf.CIQ($A49, "IQ_REVENUE_EST",$B$5, $L$2, "CON", $L$3, $L$5, $L$6))</f>
        <v>#NAME?</v>
      </c>
      <c r="V49" s="105" t="e">
        <f ca="1">IF(_xll.ciqfunctions.udf.CIQ($A49, "IQ_REVENUE_EST",$B$6, $L$2, "CON", $L$3, $L$5, $L$6)=0,"n/a",_xll.ciqfunctions.udf.CIQ($A49, "IQ_REVENUE_EST",$B$6, $L$2, "CON", $L$3, $L$5, $L$6))</f>
        <v>#NAME?</v>
      </c>
      <c r="W49" s="105" t="e">
        <f ca="1">IF(_xll.ciqfunctions.udf.CIQ($A49, "IQ_REVENUE_EST", $B$7, $L$2, "CON", $L$3, $L$5, $L$6)=0,"n/a",_xll.ciqfunctions.udf.CIQ($A49, "IQ_REVENUE_EST",$B$7, $L$2, "CON", $L$3, $L$5, $L$6))</f>
        <v>#NAME?</v>
      </c>
      <c r="X49" s="105" t="e">
        <f ca="1">_xll.ciqfunctions.udf.CIQ($A49, "IQ_EBITDA", IQ_LTM-8, $L$2, $L$4, $L$3, $L$5, $L$6)</f>
        <v>#NAME?</v>
      </c>
      <c r="Y49" s="105" t="e">
        <f ca="1">_xll.ciqfunctions.udf.CIQ($A49, "IQ_EBITDA", IQ_LTM-4, $L$2,$L$4, $L$3, $L$5, $L$6)</f>
        <v>#NAME?</v>
      </c>
      <c r="Z49" s="105" t="e">
        <f ca="1">_xll.ciqfunctions.udf.CIQ($A49, "IQ_EBITDA", IQ_LTM, $L$2, $L$4, $L$3, $L$5, $L$6)</f>
        <v>#NAME?</v>
      </c>
      <c r="AA49" s="105" t="e">
        <f ca="1">_xll.ciqfunctions.udf.CIQ($A49, "IQ_EBITDA", $B$2, $L$2, $L$4, $L$3, $L$5, $L$6)</f>
        <v>#NAME?</v>
      </c>
      <c r="AB49" s="105" t="e">
        <f ca="1">IF(_xll.ciqfunctions.udf.CIQ($A49, "IQ_EBITDA", $B$3, $L$2,$L$4, $L$3, $L$5, $L$6)=0,Z49,_xll.ciqfunctions.udf.CIQ($A49, "IQ_EBITDA", $B$3, $L$2,$L$4, $L$3, $L$5, $L$6))</f>
        <v>#NAME?</v>
      </c>
      <c r="AC49" s="105" t="e">
        <f ca="1">IF(_xll.ciqfunctions.udf.CIQ($A49, "IQ_EBITDA_EST",$B$4, $L$2, "CON", $L$3, $L$5, $L$6)=0,"n/a",_xll.ciqfunctions.udf.CIQ($A49, "IQ_EBITDA_EST",$B$4, $L$2, "CON", $L$3, $L$5, $L$6))</f>
        <v>#NAME?</v>
      </c>
      <c r="AD49" s="75" t="e">
        <f ca="1">IF(_xll.ciqfunctions.udf.CIQ($A49, "IQ_EBITDA_EST",$B$5, $L$2, "CON", $L$3, $L$5, $L$6)=0,"n/a",_xll.ciqfunctions.udf.CIQ($A49, "IQ_EBITDA_EST",$B$5, $L$2, "CON", $L$3, $L$5, $L$6))</f>
        <v>#NAME?</v>
      </c>
      <c r="AE49" s="105" t="e">
        <f ca="1">IF(_xll.ciqfunctions.udf.CIQ($A49, "IQ_EBITDA_EST",$B$6, $L$2, "CON", $L$3, $L$5, $L$6)=0,"n/a",_xll.ciqfunctions.udf.CIQ($A49, "IQ_EBITDA_EST",$B$6, $L$2, "CON", $L$3, $L$5, $L$6))</f>
        <v>#NAME?</v>
      </c>
      <c r="AF49" s="106" t="str">
        <f ca="1">IF(ISERROR(_xll.ciqfunctions.udf.CIQ($A49, "IQ_GROSS_MARGIN", IQ_LTM, $L$2,$L$4, $L$3, $L$5, $L$6)/100), "n/a", _xll.ciqfunctions.udf.CIQ($A49,  "IQ_GROSS_MARGIN", IQ_LTM, $L$2, $L$4, $L$3, $L$5, $L$6)/100)</f>
        <v>n/a</v>
      </c>
      <c r="AG49" s="106" t="str">
        <f ca="1">IF(ISERROR(_xll.ciqfunctions.udf.CIQ($A49,"IQ_EBITDA_MARGIN", IQ_LTM, $L$2, $L$4, $L$3, $L$5, $L$6)/100), "n/a", _xll.ciqfunctions.udf.CIQ($A49, "IQ_EBITDA_MARGIN", IQ_LTM, $L$2, $L$4, $L$3, $L$5, $L$6)/100)</f>
        <v>n/a</v>
      </c>
      <c r="AH49" s="106" t="str">
        <f ca="1">IF(ISERROR(_xll.ciqfunctions.udf.CIQ($A49,"IQ_EBIT_MARGIN", IQ_LTM, $L$2, $L$4, $L$3, $L$5, $L$6)/100), "n/a", _xll.ciqfunctions.udf.CIQ($A49, "IQ_EBIT_MARGIN", IQ_LTM, $L$2, $L$4, $L$3, $L$5, $L$6)/100)</f>
        <v>n/a</v>
      </c>
      <c r="AI49" s="106" t="str">
        <f ca="1">IF(ISERROR(_xll.ciqfunctions.udf.CIQ($A49,"IQ_NI_MARGIN", IQ_LTM, $L$2, $L$4, $L$3, $L$5, $L$6)/100), "n/a", _xll.ciqfunctions.udf.CIQ($A49, "IQ_NI_MARGIN", IQ_LTM, $L$2, $L$4, $L$3, $L$5, $L$6)/100)</f>
        <v>n/a</v>
      </c>
      <c r="AJ49" s="105" t="str">
        <f ca="1">IF(ISERROR(_xll.ciqfunctions.udf.CIQ($A49, "IQ_NET_WORKING_CAP", IQ_LTM-8, $L$2, $L$4, $L$3, $L$5, $L$6)), "n/a", _xll.ciqfunctions.udf.CIQ($A49, "IQ_NET_WORKING_CAP", IQ_LTM-8, $L$2, $L$4, $L$3, $L$5, $L$6))</f>
        <v>n/a</v>
      </c>
      <c r="AK49" s="105" t="str">
        <f ca="1">IF(ISERROR(_xll.ciqfunctions.udf.CIQ($A49, "IQ_NET_WORKING_CAP", IQ_LTM-4, $L$2, $L$4, $L$3, $L$5, $L$6)), "n/a", _xll.ciqfunctions.udf.CIQ($A49, "IQ_NET_WORKING_CAP", IQ_LTM-4, $L$2, $L$4, $L$3, $L$5, $L$6))</f>
        <v>n/a</v>
      </c>
      <c r="AL49" s="105" t="str">
        <f ca="1">IF(ISERROR(_xll.ciqfunctions.udf.CIQ($A49, "IQ_NET_WORKING_CAP", IQ_LTM, $L$2,$L$4, $L$3, $L$5, $L$6)), "n/a", _xll.ciqfunctions.udf.CIQ($A49, "IQ_NET_WORKING_CAP", IQ_LTM, $L$2, $L$4, $L$3, $L$5, $L$6))</f>
        <v>n/a</v>
      </c>
      <c r="AM49" s="105" t="str">
        <f ca="1">IF(ISERROR(_xll.ciqfunctions.udf.CIQ($A49, "IQ_Capex", IQ_LTM-8, $L$2,$L$4, $L$3, $L$5, $L$6)), "n/a", _xll.ciqfunctions.udf.CIQ($A49, "IQ_Capex", IQ_LTM-8, $L$2, $L$4, $L$3, $L$5, $L$6))</f>
        <v>n/a</v>
      </c>
      <c r="AN49" s="105" t="str">
        <f ca="1">IF(ISERROR(_xll.ciqfunctions.udf.CIQ($A49, "IQ_Capex", IQ_LTM-4, $L$2,$L$4, $L$3, $L$5, $L$6)), "n/a", _xll.ciqfunctions.udf.CIQ($A49, "IQ_Capex", IQ_LTM-4, $L$2,$L$4, $L$3, $L$5, $L$6))</f>
        <v>n/a</v>
      </c>
      <c r="AO49" s="105" t="str">
        <f ca="1">IF(ISERROR(_xll.ciqfunctions.udf.CIQ($A49, "IQ_Capex", IQ_LTM, $L$2, $L$4, $L$3, $L$5, $L$6)), "n/a", _xll.ciqfunctions.udf.CIQ($A49, "IQ_Capex", IQ_LTM, $L$2, $L$4, $L$3, $L$5, $L$6))</f>
        <v>n/a</v>
      </c>
      <c r="AP49" s="107" t="e">
        <f ca="1">_xll.ciqfunctions.udf.CIQ(A49, "IQ_BUSINESS_DESCRIPTION")</f>
        <v>#NAME?</v>
      </c>
      <c r="AQ49" s="108" t="e">
        <f ca="1">_xll.ciqfunctions.udf.CIQ($A49, "IQ_BETA_1YR", $B$1)</f>
        <v>#NAME?</v>
      </c>
      <c r="AR49" s="108" t="e">
        <f ca="1">_xll.ciqfunctions.udf.CIQ($A49, "IQ_BETA_2YR", $B$1)</f>
        <v>#NAME?</v>
      </c>
      <c r="AS49" s="108" t="e">
        <f ca="1">_xll.ciqfunctions.udf.CIQ($A49, "IQ_BETA_5YR", $B$1)</f>
        <v>#NAME?</v>
      </c>
      <c r="AT49" s="75" t="e">
        <f ca="1">_xll.ciqfunctions.udf.CIQ($B49, "IQ_GP", IQ_LTM,$B$1, ,,"USD")</f>
        <v>#NAME?</v>
      </c>
      <c r="AU49" s="105" t="e">
        <f ca="1">_xll.ciqfunctions.udf.CIQ($A49, "IQ_EARNING_CO", IQ_LTM-8, $L$2, $L$4, $L$3, $L$5, $L$6)</f>
        <v>#NAME?</v>
      </c>
      <c r="AV49" s="105" t="e">
        <f ca="1">_xll.ciqfunctions.udf.CIQ($A49, "IQ_EARNING_CO", IQ_LTM-4, $L$2, $L$4, $L$3, $L$5, $L$6)</f>
        <v>#NAME?</v>
      </c>
      <c r="AW49" s="105" t="e">
        <f ca="1">_xll.ciqfunctions.udf.CIQ($A49, "IQ_EARNING_CO", IQ_LTM, $L$2, $L$4, $L$3, $L$5, $L$6)</f>
        <v>#NAME?</v>
      </c>
      <c r="AX49" s="105" t="e">
        <f ca="1">_xll.ciqfunctions.udf.CIQ($A49, "IQ_EARNING_CO", $B$2, $L$2, $L$4, $L$3, $L$5, $L$6)</f>
        <v>#NAME?</v>
      </c>
      <c r="AY49" s="105" t="e">
        <f ca="1">IF(_xll.ciqfunctions.udf.CIQ($A49, "IQ_EARNING_CO", $B$3, $L$2,$L$4, $L$3, $L$5, $L$6)=0,AW49,_xll.ciqfunctions.udf.CIQ($A49, "IQ_EARNING_CO", $B$3, $L$2,$L$4, $L$3, $L$5, $L$6))</f>
        <v>#NAME?</v>
      </c>
      <c r="AZ49" s="105" t="e">
        <f ca="1">_xll.ciqfunctions.udf.CIQ($A49, "IQ_TOTAL_EQUITY", IQ_LTM-8, $L$2, $L$4, $L$3, $L$5, $L$6)</f>
        <v>#NAME?</v>
      </c>
      <c r="BA49" s="105" t="e">
        <f ca="1">_xll.ciqfunctions.udf.CIQ($A49, "IQ_TOTAL_EQUITY", IQ_LTM-4, $L$2, $L$4, $L$3, $L$5, $L$6)</f>
        <v>#NAME?</v>
      </c>
      <c r="BB49" s="105" t="e">
        <f ca="1">_xll.ciqfunctions.udf.CIQ($A49, "IQ_TOTAL_EQUITY", IQ_LTM, $L$2, $L$4, $L$3, $L$5, $L$6)</f>
        <v>#NAME?</v>
      </c>
      <c r="BC49" s="105" t="e">
        <f ca="1">_xll.ciqfunctions.udf.CIQ($A49, "IQ_TOTAL_EQUITY", $B$2, $L$2, $L$4, $L$3, $L$5, $L$6)</f>
        <v>#NAME?</v>
      </c>
      <c r="BD49" s="105" t="e">
        <f ca="1">IF(_xll.ciqfunctions.udf.CIQ($A49, "IQ_TOTAL_EQUITY", $B$3, $L$2,$L$4, $L$3, $L$5, $L$6)=0,BB49,_xll.ciqfunctions.udf.CIQ($A49, "IQ_TOTAL_EQUITY", $B$3, $L$2,$L$4, $L$3, $L$5, $L$6))</f>
        <v>#NAME?</v>
      </c>
      <c r="BE49" s="105" t="e">
        <f ca="1">_xll.ciqfunctions.udf.CIQ(A49, "IQ_LASTSALEPRICE", $B$8)</f>
        <v>#NAME?</v>
      </c>
      <c r="BF49" s="105" t="e">
        <f ca="1">_xll.ciqfunctions.udf.CIQ($A49, "IQ_MARKETCAP", $B$8, $L$5, $L$6)</f>
        <v>#NAME?</v>
      </c>
      <c r="BG49" s="105" t="e">
        <f ca="1">_xll.ciqfunctions.udf.CIQ($A49, "IQ_TOTAL_DEBT", IQ_LTM, $B$8,$L$4, $L$3, $L$5, $L$6)</f>
        <v>#NAME?</v>
      </c>
      <c r="BH49" s="74" t="e">
        <f ca="1">_xll.ciqfunctions.udf.CIQ($A49,"IQ_PREF_EQUITY",IQ_LTM,$B$8,$L$4,$L$3,$L$5,$L$6)</f>
        <v>#NAME?</v>
      </c>
      <c r="BI49" s="74" t="e">
        <f ca="1">_xll.ciqfunctions.udf.CIQ($A49, "IQ_MINORITY_INTEREST_TOTAL", IQ_LTM,$B$8,$L$4,$L$3,$L$5,$L$6)</f>
        <v>#NAME?</v>
      </c>
      <c r="BJ49" s="105" t="e">
        <f ca="1">_xll.ciqfunctions.udf.CIQ($A49, "IQ_CASH_ST_INVEST", IQ_LTM, $B$8, $L$4, $L$3, $L$5, $L$6)</f>
        <v>#NAME?</v>
      </c>
      <c r="BK49" s="74" t="e">
        <f ca="1">_xll.ciqfunctions.udf.CIQ($A49, "IQ_EFFECT_TAX_RATE")</f>
        <v>#NAME?</v>
      </c>
      <c r="BL49" s="74" t="e">
        <f ca="1">IF(_xll.ciqfunctions.udf.CIQ($A49, "IQ_TOTAL_REV_2YR_ANN_CAGR", IQ_LTM, $B$1,$L$4, $L$3, $L$5, $L$6)="NM","n/a",(_xll.ciqfunctions.udf.CIQ($A49, "IQ_TOTAL_REV_2YR_ANN_CAGR", IQ_LTM, $B$1,$L$4, $L$3, $L$5, $L$6)/100))</f>
        <v>#NAME?</v>
      </c>
      <c r="BM49" s="74" t="e">
        <f ca="1">IF(_xll.ciqfunctions.udf.CIQ($A49, "IQ_TOTAL_REV_3YR_ANN_CAGR", IQ_LTM, $B$1,$L$4, $L$3, $L$5, $L$6)="NM","n/a",(_xll.ciqfunctions.udf.CIQ($A49, "IQ_TOTAL_REV_3YR_ANN_CAGR", IQ_LTM, $B$1,$L$4, $L$3, $L$5, $L$6)/100))</f>
        <v>#NAME?</v>
      </c>
      <c r="BN49" s="74" t="e">
        <f ca="1">IF(_xll.ciqfunctions.udf.CIQ($A49, "IQ_TOTAL_REV_5YR_ANN_CAGR", IQ_LTM, $B$1,$L$4, $L$3, $L$5, $L$6)="NM","n/a",(_xll.ciqfunctions.udf.CIQ($A49, "IQ_TOTAL_REV_5YR_ANN_CAGR", IQ_LTM, $B$1,$L$4, $L$3, $L$5, $L$6)/100))</f>
        <v>#NAME?</v>
      </c>
      <c r="BO49" s="74" t="e">
        <f ca="1">IF(_xll.ciqfunctions.udf.CIQ($A49,"IQ_EBITDA_2YR_ANN_CAGR", IQ_LTM,$B$1,$L$4, $L$3, $L$5, $L$6)="NM","n/a",(_xll.ciqfunctions.udf.CIQ($A49,"IQ_EBITDA_2YR_ANN_CAGR", IQ_LTM,$B$1,$L$4, $L$3, $L$5, $L$6)/100))</f>
        <v>#NAME?</v>
      </c>
      <c r="BP49" s="74" t="e">
        <f ca="1">IF(_xll.ciqfunctions.udf.CIQ($A49,"IQ_EBITDA_3YR_ANN_CAGR", IQ_LTM,$B$1,$L$4, $L$3, $L$5, $L$6)="NM","n/a",(_xll.ciqfunctions.udf.CIQ($A49,"IQ_EBITDA_3YR_ANN_CAGR", IQ_LTM,$B$1,$L$4, $L$3, $L$5, $L$6)/100))</f>
        <v>#NAME?</v>
      </c>
      <c r="BQ49" s="74" t="e">
        <f ca="1">IF(_xll.ciqfunctions.udf.CIQ($A49,"IQ_EBITDA_5YR_ANN_CAGR", IQ_LTM,$B$1,$L$4, $L$3, $L$5, $L$6)="NM","n/a",(_xll.ciqfunctions.udf.CIQ($A49,"IQ_EBITDA_5YR_ANN_CAGR", IQ_LTM,$B$1,$L$4, $L$3, $L$5, $L$6)/100))</f>
        <v>#NAME?</v>
      </c>
      <c r="BR49" s="78" t="str">
        <f ca="1">IFERROR((_xll.ciqfunctions.udf.CIQ($A49, "IQ_DA_CF", IQ_LTM, $B$1, $L$4, $L$3, $L$5, $L$6)/Q49),"NM")</f>
        <v>NM</v>
      </c>
      <c r="BS49" s="106">
        <f>'Capital IQ Sheet-GPC'!BS49</f>
        <v>0.50325979341735505</v>
      </c>
      <c r="BT49" s="106">
        <f>'Capital IQ Sheet-GPC'!BT49</f>
        <v>0.62241218308329371</v>
      </c>
      <c r="BU49" s="106">
        <f>'Capital IQ Sheet-GPC'!BU49</f>
        <v>0.61508994844412945</v>
      </c>
      <c r="BV49" s="106">
        <f>'Capital IQ Sheet-GPC'!BV49</f>
        <v>0.59320343181979973</v>
      </c>
      <c r="BW49" s="106" t="str">
        <f>'Capital IQ Sheet-GPC'!BW49</f>
        <v>n/a</v>
      </c>
      <c r="BX49" s="106" t="str">
        <f>'Capital IQ Sheet-GPC'!BX49</f>
        <v>n/a</v>
      </c>
      <c r="BY49" s="106" t="str">
        <f>'Capital IQ Sheet-GPC'!BY49</f>
        <v>n/a</v>
      </c>
      <c r="BZ49" s="106" t="str">
        <f>'Capital IQ Sheet-GPC'!BZ49</f>
        <v>n/a</v>
      </c>
    </row>
    <row r="50" spans="1:83">
      <c r="A50" s="75" t="e">
        <f ca="1">_xll.ciqfunctions.udf.CIQ($B50,"IQ_COMPANY_TICKER")</f>
        <v>#NAME?</v>
      </c>
      <c r="B50" s="104" t="str">
        <f>'Capital IQ Sheet-GPC'!B50</f>
        <v>IQ252050056</v>
      </c>
      <c r="C50" s="75" t="e">
        <f ca="1">_xll.ciqfunctions.udf.CIQ($A50,"IQ_COMPANY_NAME")</f>
        <v>#NAME?</v>
      </c>
      <c r="D50" s="75" t="e">
        <f ca="1">_xll.ciqfunctions.udf.CIQ($A50, "IQ_EXCHANGE")</f>
        <v>#NAME?</v>
      </c>
      <c r="E50" s="103" t="e">
        <f ca="1">_xll.ciqfunctions.udf.CIQ($A50, "IQ_PERIODDATE_IS", IQ_FY)</f>
        <v>#NAME?</v>
      </c>
      <c r="F50" s="103" t="e">
        <f ca="1">_xll.ciqfunctions.udf.CIQ(A50, "IQ_PERIODDATE_IS", IQ_LTM, $B$1,$L$4,$L$3)</f>
        <v>#NAME?</v>
      </c>
      <c r="G50" s="103" t="e">
        <f ca="1">_xll.ciqfunctions.udf.CIQ($A50, "IQ_FIRSTPRICINGDATE")</f>
        <v>#NAME?</v>
      </c>
      <c r="H50" s="105" t="e">
        <f ca="1">_xll.ciqfunctions.udf.CIQ($A50, "IQ_TEV", $L$2, $L$5, $L$6)</f>
        <v>#NAME?</v>
      </c>
      <c r="I50" s="105" t="e">
        <f ca="1">_xll.ciqfunctions.udf.CIQ(A50, "IQ_LASTSALEPRICE", $B$1,$L$5)</f>
        <v>#NAME?</v>
      </c>
      <c r="J50" s="103" t="e">
        <f ca="1">_xll.ciqfunctions.udf.CIQ($B50, "IQ_FIRSTPRICINGDATE")</f>
        <v>#NAME?</v>
      </c>
      <c r="K50" s="105" t="e">
        <f ca="1">_xll.ciqfunctions.udf.CIQ($A50, "IQ_TOTAL_DEBT", IQ_LTM, $L$2,$L$4, $L$3, $L$5, $L$6)</f>
        <v>#NAME?</v>
      </c>
      <c r="L50" s="105" t="e">
        <f ca="1">_xll.ciqfunctions.udf.CIQ($A50, "IQ_PREF_EQUITY", IQ_LTM, $L$2, $L$4, $L$3, $L$5, $L$6)</f>
        <v>#NAME?</v>
      </c>
      <c r="M50" s="105" t="e">
        <f ca="1">_xll.ciqfunctions.udf.CIQ($A50, "IQ_MINORITY_INTEREST_TOTAL", IQ_LTM, $L$2, $L$4, $L$3, $L$5, $L$6)</f>
        <v>#NAME?</v>
      </c>
      <c r="N50" s="105" t="e">
        <f ca="1">_xll.ciqfunctions.udf.CIQ($A50, "IQ_CASH_ST_INVEST", IQ_LTM, $L$2, $L$4, $L$3, $L$5, $L$6)</f>
        <v>#NAME?</v>
      </c>
      <c r="O50" s="105" t="e">
        <f ca="1">_xll.ciqfunctions.udf.CIQ($A50, "IQ_TOTAL_REV", IQ_LTM-8, $L$2, $L$4, $L$3, $L$5, $L$6)</f>
        <v>#NAME?</v>
      </c>
      <c r="P50" s="105" t="e">
        <f ca="1">_xll.ciqfunctions.udf.CIQ($A50, "IQ_TOTAL_REV", IQ_LTM - 4, $L$2, $L$4, $L$3, $L$5,$L$6)</f>
        <v>#NAME?</v>
      </c>
      <c r="Q50" s="105" t="e">
        <f ca="1">_xll.ciqfunctions.udf.CIQ($A50, "IQ_TOTAL_REV", IQ_LTM, $L$2, $L$4, $L$3, $L$5, $L$6)</f>
        <v>#NAME?</v>
      </c>
      <c r="R50" s="105" t="e">
        <f ca="1">_xll.ciqfunctions.udf.CIQ($A50, "IQ_TOTAL_REV", $B$2, $L$2, $L$4, $L$3, $L$5, $L$6)</f>
        <v>#NAME?</v>
      </c>
      <c r="S50" s="105" t="e">
        <f ca="1">IF(_xll.ciqfunctions.udf.CIQ($A50, "IQ_TOTAL_REV", $B$3, $L$2,$L$4, $L$3, $L$5, $L$6)=0,Q50,_xll.ciqfunctions.udf.CIQ($A50, "IQ_TOTAL_REV", $B$3, $L$2,$L$4, $L$3, $L$5, $L$6))</f>
        <v>#NAME?</v>
      </c>
      <c r="T50" s="105" t="e">
        <f ca="1">IF(_xll.ciqfunctions.udf.CIQ($A50, "IQ_REVENUE_EST",$B$4, $L$2, "CON", $L$3, $L$5, $L$6)=0,"n/a",_xll.ciqfunctions.udf.CIQ($A50, "IQ_REVENUE_EST",$B$4, $L$2, "CON", $L$3, $L$5, $L$6))</f>
        <v>#NAME?</v>
      </c>
      <c r="U50" s="105" t="e">
        <f ca="1">IF(_xll.ciqfunctions.udf.CIQ($A50, "IQ_REVENUE_EST",$B$5, $L$2, "CON", $L$3, $L$5, $L$6)=0,"n/a",_xll.ciqfunctions.udf.CIQ($A50, "IQ_REVENUE_EST",$B$5, $L$2, "CON", $L$3, $L$5, $L$6))</f>
        <v>#NAME?</v>
      </c>
      <c r="V50" s="105" t="e">
        <f ca="1">IF(_xll.ciqfunctions.udf.CIQ($A50, "IQ_REVENUE_EST",$B$6, $L$2, "CON", $L$3, $L$5, $L$6)=0,"n/a",_xll.ciqfunctions.udf.CIQ($A50, "IQ_REVENUE_EST",$B$6, $L$2, "CON", $L$3, $L$5, $L$6))</f>
        <v>#NAME?</v>
      </c>
      <c r="W50" s="105" t="e">
        <f ca="1">IF(_xll.ciqfunctions.udf.CIQ($A50, "IQ_REVENUE_EST", $B$7, $L$2, "CON", $L$3, $L$5, $L$6)=0,"n/a",_xll.ciqfunctions.udf.CIQ($A50, "IQ_REVENUE_EST",$B$7, $L$2, "CON", $L$3, $L$5, $L$6))</f>
        <v>#NAME?</v>
      </c>
      <c r="X50" s="105" t="e">
        <f ca="1">_xll.ciqfunctions.udf.CIQ($A50, "IQ_EBITDA", IQ_LTM-8, $L$2, $L$4, $L$3, $L$5, $L$6)</f>
        <v>#NAME?</v>
      </c>
      <c r="Y50" s="105" t="e">
        <f ca="1">_xll.ciqfunctions.udf.CIQ($A50, "IQ_EBITDA", IQ_LTM-4, $L$2,$L$4, $L$3, $L$5, $L$6)</f>
        <v>#NAME?</v>
      </c>
      <c r="Z50" s="105" t="e">
        <f ca="1">_xll.ciqfunctions.udf.CIQ($A50, "IQ_EBITDA", IQ_LTM, $L$2, $L$4, $L$3, $L$5, $L$6)</f>
        <v>#NAME?</v>
      </c>
      <c r="AA50" s="105" t="e">
        <f ca="1">_xll.ciqfunctions.udf.CIQ($A50, "IQ_EBITDA", $B$2, $L$2, $L$4, $L$3, $L$5, $L$6)</f>
        <v>#NAME?</v>
      </c>
      <c r="AB50" s="105" t="e">
        <f ca="1">IF(_xll.ciqfunctions.udf.CIQ($A50, "IQ_EBITDA", $B$3, $L$2,$L$4, $L$3, $L$5, $L$6)=0,Z50,_xll.ciqfunctions.udf.CIQ($A50, "IQ_EBITDA", $B$3, $L$2,$L$4, $L$3, $L$5, $L$6))</f>
        <v>#NAME?</v>
      </c>
      <c r="AC50" s="105" t="e">
        <f ca="1">IF(_xll.ciqfunctions.udf.CIQ($A50, "IQ_EBITDA_EST",$B$4, $L$2, "CON", $L$3, $L$5, $L$6)=0,"n/a",_xll.ciqfunctions.udf.CIQ($A50, "IQ_EBITDA_EST",$B$4, $L$2, "CON", $L$3, $L$5, $L$6))</f>
        <v>#NAME?</v>
      </c>
      <c r="AD50" s="75" t="e">
        <f ca="1">IF(_xll.ciqfunctions.udf.CIQ($A50, "IQ_EBITDA_EST",$B$5, $L$2, "CON", $L$3, $L$5, $L$6)=0,"n/a",_xll.ciqfunctions.udf.CIQ($A50, "IQ_EBITDA_EST",$B$5, $L$2, "CON", $L$3, $L$5, $L$6))</f>
        <v>#NAME?</v>
      </c>
      <c r="AE50" s="105" t="e">
        <f ca="1">IF(_xll.ciqfunctions.udf.CIQ($A50, "IQ_EBITDA_EST",$B$6, $L$2, "CON", $L$3, $L$5, $L$6)=0,"n/a",_xll.ciqfunctions.udf.CIQ($A50, "IQ_EBITDA_EST",$B$6, $L$2, "CON", $L$3, $L$5, $L$6))</f>
        <v>#NAME?</v>
      </c>
      <c r="AF50" s="106" t="str">
        <f ca="1">IF(ISERROR(_xll.ciqfunctions.udf.CIQ($A50, "IQ_GROSS_MARGIN", IQ_LTM, $L$2,$L$4, $L$3, $L$5, $L$6)/100), "n/a", _xll.ciqfunctions.udf.CIQ($A50,  "IQ_GROSS_MARGIN", IQ_LTM, $L$2, $L$4, $L$3, $L$5, $L$6)/100)</f>
        <v>n/a</v>
      </c>
      <c r="AG50" s="106" t="str">
        <f ca="1">IF(ISERROR(_xll.ciqfunctions.udf.CIQ($A50,"IQ_EBITDA_MARGIN", IQ_LTM, $L$2, $L$4, $L$3, $L$5, $L$6)/100), "n/a", _xll.ciqfunctions.udf.CIQ($A50, "IQ_EBITDA_MARGIN", IQ_LTM, $L$2, $L$4, $L$3, $L$5, $L$6)/100)</f>
        <v>n/a</v>
      </c>
      <c r="AH50" s="106" t="str">
        <f ca="1">IF(ISERROR(_xll.ciqfunctions.udf.CIQ($A50,"IQ_EBIT_MARGIN", IQ_LTM, $L$2, $L$4, $L$3, $L$5, $L$6)/100), "n/a", _xll.ciqfunctions.udf.CIQ($A50, "IQ_EBIT_MARGIN", IQ_LTM, $L$2, $L$4, $L$3, $L$5, $L$6)/100)</f>
        <v>n/a</v>
      </c>
      <c r="AI50" s="106" t="str">
        <f ca="1">IF(ISERROR(_xll.ciqfunctions.udf.CIQ($A50,"IQ_NI_MARGIN", IQ_LTM, $L$2, $L$4, $L$3, $L$5, $L$6)/100), "n/a", _xll.ciqfunctions.udf.CIQ($A50, "IQ_NI_MARGIN", IQ_LTM, $L$2, $L$4, $L$3, $L$5, $L$6)/100)</f>
        <v>n/a</v>
      </c>
      <c r="AJ50" s="105" t="str">
        <f ca="1">IF(ISERROR(_xll.ciqfunctions.udf.CIQ($A50, "IQ_NET_WORKING_CAP", IQ_LTM-8, $L$2, $L$4, $L$3, $L$5, $L$6)), "n/a", _xll.ciqfunctions.udf.CIQ($A50, "IQ_NET_WORKING_CAP", IQ_LTM-8, $L$2, $L$4, $L$3, $L$5, $L$6))</f>
        <v>n/a</v>
      </c>
      <c r="AK50" s="105" t="str">
        <f ca="1">IF(ISERROR(_xll.ciqfunctions.udf.CIQ($A50, "IQ_NET_WORKING_CAP", IQ_LTM-4, $L$2, $L$4, $L$3, $L$5, $L$6)), "n/a", _xll.ciqfunctions.udf.CIQ($A50, "IQ_NET_WORKING_CAP", IQ_LTM-4, $L$2, $L$4, $L$3, $L$5, $L$6))</f>
        <v>n/a</v>
      </c>
      <c r="AL50" s="105" t="str">
        <f ca="1">IF(ISERROR(_xll.ciqfunctions.udf.CIQ($A50, "IQ_NET_WORKING_CAP", IQ_LTM, $L$2,$L$4, $L$3, $L$5, $L$6)), "n/a", _xll.ciqfunctions.udf.CIQ($A50, "IQ_NET_WORKING_CAP", IQ_LTM, $L$2, $L$4, $L$3, $L$5, $L$6))</f>
        <v>n/a</v>
      </c>
      <c r="AM50" s="105" t="str">
        <f ca="1">IF(ISERROR(_xll.ciqfunctions.udf.CIQ($A50, "IQ_Capex", IQ_LTM-8, $L$2,$L$4, $L$3, $L$5, $L$6)), "n/a", _xll.ciqfunctions.udf.CIQ($A50, "IQ_Capex", IQ_LTM-8, $L$2, $L$4, $L$3, $L$5, $L$6))</f>
        <v>n/a</v>
      </c>
      <c r="AN50" s="105" t="str">
        <f ca="1">IF(ISERROR(_xll.ciqfunctions.udf.CIQ($A50, "IQ_Capex", IQ_LTM-4, $L$2,$L$4, $L$3, $L$5, $L$6)), "n/a", _xll.ciqfunctions.udf.CIQ($A50, "IQ_Capex", IQ_LTM-4, $L$2,$L$4, $L$3, $L$5, $L$6))</f>
        <v>n/a</v>
      </c>
      <c r="AO50" s="105" t="str">
        <f ca="1">IF(ISERROR(_xll.ciqfunctions.udf.CIQ($A50, "IQ_Capex", IQ_LTM, $L$2, $L$4, $L$3, $L$5, $L$6)), "n/a", _xll.ciqfunctions.udf.CIQ($A50, "IQ_Capex", IQ_LTM, $L$2, $L$4, $L$3, $L$5, $L$6))</f>
        <v>n/a</v>
      </c>
      <c r="AP50" s="107" t="e">
        <f ca="1">_xll.ciqfunctions.udf.CIQ(A50, "IQ_BUSINESS_DESCRIPTION")</f>
        <v>#NAME?</v>
      </c>
      <c r="AQ50" s="108" t="e">
        <f ca="1">_xll.ciqfunctions.udf.CIQ($A50, "IQ_BETA_1YR", $B$1)</f>
        <v>#NAME?</v>
      </c>
      <c r="AR50" s="108" t="e">
        <f ca="1">_xll.ciqfunctions.udf.CIQ($A50, "IQ_BETA_2YR", $B$1)</f>
        <v>#NAME?</v>
      </c>
      <c r="AS50" s="108" t="e">
        <f ca="1">_xll.ciqfunctions.udf.CIQ($A50, "IQ_BETA_5YR", $B$1)</f>
        <v>#NAME?</v>
      </c>
      <c r="AT50" s="75" t="e">
        <f ca="1">_xll.ciqfunctions.udf.CIQ($B50, "IQ_GP", IQ_LTM,$B$1, ,,"USD")</f>
        <v>#NAME?</v>
      </c>
      <c r="AU50" s="105" t="e">
        <f ca="1">_xll.ciqfunctions.udf.CIQ($A50, "IQ_EARNING_CO", IQ_LTM-8, $L$2, $L$4, $L$3, $L$5, $L$6)</f>
        <v>#NAME?</v>
      </c>
      <c r="AV50" s="105" t="e">
        <f ca="1">_xll.ciqfunctions.udf.CIQ($A50, "IQ_EARNING_CO", IQ_LTM-4, $L$2, $L$4, $L$3, $L$5, $L$6)</f>
        <v>#NAME?</v>
      </c>
      <c r="AW50" s="105" t="e">
        <f ca="1">_xll.ciqfunctions.udf.CIQ($A50, "IQ_EARNING_CO", IQ_LTM, $L$2, $L$4, $L$3, $L$5, $L$6)</f>
        <v>#NAME?</v>
      </c>
      <c r="AX50" s="105" t="e">
        <f ca="1">_xll.ciqfunctions.udf.CIQ($A50, "IQ_EARNING_CO", $B$2, $L$2, $L$4, $L$3, $L$5, $L$6)</f>
        <v>#NAME?</v>
      </c>
      <c r="AY50" s="105" t="e">
        <f ca="1">IF(_xll.ciqfunctions.udf.CIQ($A50, "IQ_EARNING_CO", $B$3, $L$2,$L$4, $L$3, $L$5, $L$6)=0,AW50,_xll.ciqfunctions.udf.CIQ($A50, "IQ_EARNING_CO", $B$3, $L$2,$L$4, $L$3, $L$5, $L$6))</f>
        <v>#NAME?</v>
      </c>
      <c r="AZ50" s="105" t="e">
        <f ca="1">_xll.ciqfunctions.udf.CIQ($A50, "IQ_TOTAL_EQUITY", IQ_LTM-8, $L$2, $L$4, $L$3, $L$5, $L$6)</f>
        <v>#NAME?</v>
      </c>
      <c r="BA50" s="105" t="e">
        <f ca="1">_xll.ciqfunctions.udf.CIQ($A50, "IQ_TOTAL_EQUITY", IQ_LTM-4, $L$2, $L$4, $L$3, $L$5, $L$6)</f>
        <v>#NAME?</v>
      </c>
      <c r="BB50" s="105" t="e">
        <f ca="1">_xll.ciqfunctions.udf.CIQ($A50, "IQ_TOTAL_EQUITY", IQ_LTM, $L$2, $L$4, $L$3, $L$5, $L$6)</f>
        <v>#NAME?</v>
      </c>
      <c r="BC50" s="105" t="e">
        <f ca="1">_xll.ciqfunctions.udf.CIQ($A50, "IQ_TOTAL_EQUITY", $B$2, $L$2, $L$4, $L$3, $L$5, $L$6)</f>
        <v>#NAME?</v>
      </c>
      <c r="BD50" s="105" t="e">
        <f ca="1">IF(_xll.ciqfunctions.udf.CIQ($A50, "IQ_TOTAL_EQUITY", $B$3, $L$2,$L$4, $L$3, $L$5, $L$6)=0,BB50,_xll.ciqfunctions.udf.CIQ($A50, "IQ_TOTAL_EQUITY", $B$3, $L$2,$L$4, $L$3, $L$5, $L$6))</f>
        <v>#NAME?</v>
      </c>
      <c r="BE50" s="105" t="e">
        <f ca="1">_xll.ciqfunctions.udf.CIQ(A50, "IQ_LASTSALEPRICE", $B$8)</f>
        <v>#NAME?</v>
      </c>
      <c r="BF50" s="105" t="e">
        <f ca="1">_xll.ciqfunctions.udf.CIQ($A50, "IQ_MARKETCAP", $B$8, $L$5, $L$6)</f>
        <v>#NAME?</v>
      </c>
      <c r="BG50" s="105" t="e">
        <f ca="1">_xll.ciqfunctions.udf.CIQ($A50, "IQ_TOTAL_DEBT", IQ_LTM, $B$8,$L$4, $L$3, $L$5, $L$6)</f>
        <v>#NAME?</v>
      </c>
      <c r="BH50" s="74" t="e">
        <f ca="1">_xll.ciqfunctions.udf.CIQ($A50,"IQ_PREF_EQUITY",IQ_LTM,$B$8,$L$4,$L$3,$L$5,$L$6)</f>
        <v>#NAME?</v>
      </c>
      <c r="BI50" s="74" t="e">
        <f ca="1">_xll.ciqfunctions.udf.CIQ($A50, "IQ_MINORITY_INTEREST_TOTAL", IQ_LTM,$B$8,$L$4,$L$3,$L$5,$L$6)</f>
        <v>#NAME?</v>
      </c>
      <c r="BJ50" s="105" t="e">
        <f ca="1">_xll.ciqfunctions.udf.CIQ($A50, "IQ_CASH_ST_INVEST", IQ_LTM, $B$8, $L$4, $L$3, $L$5, $L$6)</f>
        <v>#NAME?</v>
      </c>
      <c r="BK50" s="74" t="e">
        <f ca="1">_xll.ciqfunctions.udf.CIQ($A50, "IQ_EFFECT_TAX_RATE")</f>
        <v>#NAME?</v>
      </c>
      <c r="BL50" s="74" t="e">
        <f ca="1">IF(_xll.ciqfunctions.udf.CIQ($A50, "IQ_TOTAL_REV_2YR_ANN_CAGR", IQ_LTM, $B$1,$L$4, $L$3, $L$5, $L$6)="NM","n/a",(_xll.ciqfunctions.udf.CIQ($A50, "IQ_TOTAL_REV_2YR_ANN_CAGR", IQ_LTM, $B$1,$L$4, $L$3, $L$5, $L$6)/100))</f>
        <v>#NAME?</v>
      </c>
      <c r="BM50" s="74" t="e">
        <f ca="1">IF(_xll.ciqfunctions.udf.CIQ($A50, "IQ_TOTAL_REV_3YR_ANN_CAGR", IQ_LTM, $B$1,$L$4, $L$3, $L$5, $L$6)="NM","n/a",(_xll.ciqfunctions.udf.CIQ($A50, "IQ_TOTAL_REV_3YR_ANN_CAGR", IQ_LTM, $B$1,$L$4, $L$3, $L$5, $L$6)/100))</f>
        <v>#NAME?</v>
      </c>
      <c r="BN50" s="74" t="e">
        <f ca="1">IF(_xll.ciqfunctions.udf.CIQ($A50, "IQ_TOTAL_REV_5YR_ANN_CAGR", IQ_LTM, $B$1,$L$4, $L$3, $L$5, $L$6)="NM","n/a",(_xll.ciqfunctions.udf.CIQ($A50, "IQ_TOTAL_REV_5YR_ANN_CAGR", IQ_LTM, $B$1,$L$4, $L$3, $L$5, $L$6)/100))</f>
        <v>#NAME?</v>
      </c>
      <c r="BO50" s="74" t="e">
        <f ca="1">IF(_xll.ciqfunctions.udf.CIQ($A50,"IQ_EBITDA_2YR_ANN_CAGR", IQ_LTM,$B$1,$L$4, $L$3, $L$5, $L$6)="NM","n/a",(_xll.ciqfunctions.udf.CIQ($A50,"IQ_EBITDA_2YR_ANN_CAGR", IQ_LTM,$B$1,$L$4, $L$3, $L$5, $L$6)/100))</f>
        <v>#NAME?</v>
      </c>
      <c r="BP50" s="74" t="e">
        <f ca="1">IF(_xll.ciqfunctions.udf.CIQ($A50,"IQ_EBITDA_3YR_ANN_CAGR", IQ_LTM,$B$1,$L$4, $L$3, $L$5, $L$6)="NM","n/a",(_xll.ciqfunctions.udf.CIQ($A50,"IQ_EBITDA_3YR_ANN_CAGR", IQ_LTM,$B$1,$L$4, $L$3, $L$5, $L$6)/100))</f>
        <v>#NAME?</v>
      </c>
      <c r="BQ50" s="74" t="e">
        <f ca="1">IF(_xll.ciqfunctions.udf.CIQ($A50,"IQ_EBITDA_5YR_ANN_CAGR", IQ_LTM,$B$1,$L$4, $L$3, $L$5, $L$6)="NM","n/a",(_xll.ciqfunctions.udf.CIQ($A50,"IQ_EBITDA_5YR_ANN_CAGR", IQ_LTM,$B$1,$L$4, $L$3, $L$5, $L$6)/100))</f>
        <v>#NAME?</v>
      </c>
      <c r="BR50" s="78" t="str">
        <f ca="1">IFERROR((_xll.ciqfunctions.udf.CIQ($A50, "IQ_DA_CF", IQ_LTM, $B$1, $L$4, $L$3, $L$5, $L$6)/Q50),"NM")</f>
        <v>NM</v>
      </c>
      <c r="BS50" s="106">
        <f>'Capital IQ Sheet-GPC'!BS50</f>
        <v>0.89665359846864712</v>
      </c>
      <c r="BT50" s="106" t="str">
        <f>'Capital IQ Sheet-GPC'!BT50</f>
        <v>n/a</v>
      </c>
      <c r="BU50" s="106" t="str">
        <f>'Capital IQ Sheet-GPC'!BU50</f>
        <v>n/a</v>
      </c>
      <c r="BV50" s="106" t="str">
        <f>'Capital IQ Sheet-GPC'!BV50</f>
        <v>n/a</v>
      </c>
      <c r="BW50" s="106" t="str">
        <f>'Capital IQ Sheet-GPC'!BW50</f>
        <v>n/a</v>
      </c>
      <c r="BX50" s="106" t="str">
        <f>'Capital IQ Sheet-GPC'!BX50</f>
        <v>n/a</v>
      </c>
      <c r="BY50" s="106" t="str">
        <f>'Capital IQ Sheet-GPC'!BY50</f>
        <v>n/a</v>
      </c>
      <c r="BZ50" s="106" t="str">
        <f>'Capital IQ Sheet-GPC'!BZ50</f>
        <v>n/a</v>
      </c>
    </row>
    <row r="51" spans="1:83">
      <c r="A51" s="75" t="e">
        <f ca="1">_xll.ciqfunctions.udf.CIQ($B51,"IQ_COMPANY_TICKER")</f>
        <v>#NAME?</v>
      </c>
      <c r="B51" s="104" t="str">
        <f>'Capital IQ Sheet-GPC'!B51</f>
        <v>IQ262241549</v>
      </c>
      <c r="C51" s="75" t="e">
        <f ca="1">_xll.ciqfunctions.udf.CIQ($A51,"IQ_COMPANY_NAME")</f>
        <v>#NAME?</v>
      </c>
      <c r="D51" s="75" t="e">
        <f ca="1">_xll.ciqfunctions.udf.CIQ($A51, "IQ_EXCHANGE")</f>
        <v>#NAME?</v>
      </c>
      <c r="E51" s="103" t="e">
        <f ca="1">_xll.ciqfunctions.udf.CIQ($A51, "IQ_PERIODDATE_IS", IQ_FY)</f>
        <v>#NAME?</v>
      </c>
      <c r="F51" s="103" t="e">
        <f ca="1">_xll.ciqfunctions.udf.CIQ(A51, "IQ_PERIODDATE_IS", IQ_LTM, $B$1,$L$4,$L$3)</f>
        <v>#NAME?</v>
      </c>
      <c r="G51" s="103" t="e">
        <f ca="1">_xll.ciqfunctions.udf.CIQ($A51, "IQ_FIRSTPRICINGDATE")</f>
        <v>#NAME?</v>
      </c>
      <c r="H51" s="105" t="e">
        <f ca="1">_xll.ciqfunctions.udf.CIQ($A51, "IQ_TEV", $L$2, $L$5, $L$6)</f>
        <v>#NAME?</v>
      </c>
      <c r="I51" s="105" t="e">
        <f ca="1">_xll.ciqfunctions.udf.CIQ(A51, "IQ_LASTSALEPRICE", $B$1,$L$5)</f>
        <v>#NAME?</v>
      </c>
      <c r="J51" s="103" t="e">
        <f ca="1">_xll.ciqfunctions.udf.CIQ($B51, "IQ_FIRSTPRICINGDATE")</f>
        <v>#NAME?</v>
      </c>
      <c r="K51" s="105" t="e">
        <f ca="1">_xll.ciqfunctions.udf.CIQ($A51, "IQ_TOTAL_DEBT", IQ_LTM, $L$2,$L$4, $L$3, $L$5, $L$6)</f>
        <v>#NAME?</v>
      </c>
      <c r="L51" s="105" t="e">
        <f ca="1">_xll.ciqfunctions.udf.CIQ($A51, "IQ_PREF_EQUITY", IQ_LTM, $L$2, $L$4, $L$3, $L$5, $L$6)</f>
        <v>#NAME?</v>
      </c>
      <c r="M51" s="105" t="e">
        <f ca="1">_xll.ciqfunctions.udf.CIQ($A51, "IQ_MINORITY_INTEREST_TOTAL", IQ_LTM, $L$2, $L$4, $L$3, $L$5, $L$6)</f>
        <v>#NAME?</v>
      </c>
      <c r="N51" s="105" t="e">
        <f ca="1">_xll.ciqfunctions.udf.CIQ($A51, "IQ_CASH_ST_INVEST", IQ_LTM, $L$2, $L$4, $L$3, $L$5, $L$6)</f>
        <v>#NAME?</v>
      </c>
      <c r="O51" s="105" t="e">
        <f ca="1">_xll.ciqfunctions.udf.CIQ($A51, "IQ_TOTAL_REV", IQ_LTM-8, $L$2, $L$4, $L$3, $L$5, $L$6)</f>
        <v>#NAME?</v>
      </c>
      <c r="P51" s="105" t="e">
        <f ca="1">_xll.ciqfunctions.udf.CIQ($A51, "IQ_TOTAL_REV", IQ_LTM - 4, $L$2, $L$4, $L$3, $L$5,$L$6)</f>
        <v>#NAME?</v>
      </c>
      <c r="Q51" s="105" t="e">
        <f ca="1">_xll.ciqfunctions.udf.CIQ($A51, "IQ_TOTAL_REV", IQ_LTM, $L$2, $L$4, $L$3, $L$5, $L$6)</f>
        <v>#NAME?</v>
      </c>
      <c r="R51" s="105" t="e">
        <f ca="1">_xll.ciqfunctions.udf.CIQ($A51, "IQ_TOTAL_REV", $B$2, $L$2, $L$4, $L$3, $L$5, $L$6)</f>
        <v>#NAME?</v>
      </c>
      <c r="S51" s="105" t="e">
        <f ca="1">IF(_xll.ciqfunctions.udf.CIQ($A51, "IQ_TOTAL_REV", $B$3, $L$2,$L$4, $L$3, $L$5, $L$6)=0,Q51,_xll.ciqfunctions.udf.CIQ($A51, "IQ_TOTAL_REV", $B$3, $L$2,$L$4, $L$3, $L$5, $L$6))</f>
        <v>#NAME?</v>
      </c>
      <c r="T51" s="105" t="e">
        <f ca="1">IF(_xll.ciqfunctions.udf.CIQ($A51, "IQ_REVENUE_EST",$B$4, $L$2, "CON", $L$3, $L$5, $L$6)=0,"n/a",_xll.ciqfunctions.udf.CIQ($A51, "IQ_REVENUE_EST",$B$4, $L$2, "CON", $L$3, $L$5, $L$6))</f>
        <v>#NAME?</v>
      </c>
      <c r="U51" s="105" t="e">
        <f ca="1">IF(_xll.ciqfunctions.udf.CIQ($A51, "IQ_REVENUE_EST",$B$5, $L$2, "CON", $L$3, $L$5, $L$6)=0,"n/a",_xll.ciqfunctions.udf.CIQ($A51, "IQ_REVENUE_EST",$B$5, $L$2, "CON", $L$3, $L$5, $L$6))</f>
        <v>#NAME?</v>
      </c>
      <c r="V51" s="105" t="e">
        <f ca="1">IF(_xll.ciqfunctions.udf.CIQ($A51, "IQ_REVENUE_EST",$B$6, $L$2, "CON", $L$3, $L$5, $L$6)=0,"n/a",_xll.ciqfunctions.udf.CIQ($A51, "IQ_REVENUE_EST",$B$6, $L$2, "CON", $L$3, $L$5, $L$6))</f>
        <v>#NAME?</v>
      </c>
      <c r="W51" s="105" t="e">
        <f ca="1">IF(_xll.ciqfunctions.udf.CIQ($A51, "IQ_REVENUE_EST", $B$7, $L$2, "CON", $L$3, $L$5, $L$6)=0,"n/a",_xll.ciqfunctions.udf.CIQ($A51, "IQ_REVENUE_EST",$B$7, $L$2, "CON", $L$3, $L$5, $L$6))</f>
        <v>#NAME?</v>
      </c>
      <c r="X51" s="105" t="e">
        <f ca="1">_xll.ciqfunctions.udf.CIQ($A51, "IQ_EBITDA", IQ_LTM-8, $L$2, $L$4, $L$3, $L$5, $L$6)</f>
        <v>#NAME?</v>
      </c>
      <c r="Y51" s="105" t="e">
        <f ca="1">_xll.ciqfunctions.udf.CIQ($A51, "IQ_EBITDA", IQ_LTM-4, $L$2,$L$4, $L$3, $L$5, $L$6)</f>
        <v>#NAME?</v>
      </c>
      <c r="Z51" s="105" t="e">
        <f ca="1">_xll.ciqfunctions.udf.CIQ($A51, "IQ_EBITDA", IQ_LTM, $L$2, $L$4, $L$3, $L$5, $L$6)</f>
        <v>#NAME?</v>
      </c>
      <c r="AA51" s="105" t="e">
        <f ca="1">_xll.ciqfunctions.udf.CIQ($A51, "IQ_EBITDA", $B$2, $L$2, $L$4, $L$3, $L$5, $L$6)</f>
        <v>#NAME?</v>
      </c>
      <c r="AB51" s="105" t="e">
        <f ca="1">IF(_xll.ciqfunctions.udf.CIQ($A51, "IQ_EBITDA", $B$3, $L$2,$L$4, $L$3, $L$5, $L$6)=0,Z51,_xll.ciqfunctions.udf.CIQ($A51, "IQ_EBITDA", $B$3, $L$2,$L$4, $L$3, $L$5, $L$6))</f>
        <v>#NAME?</v>
      </c>
      <c r="AC51" s="105" t="e">
        <f ca="1">IF(_xll.ciqfunctions.udf.CIQ($A51, "IQ_EBITDA_EST",$B$4, $L$2, "CON", $L$3, $L$5, $L$6)=0,"n/a",_xll.ciqfunctions.udf.CIQ($A51, "IQ_EBITDA_EST",$B$4, $L$2, "CON", $L$3, $L$5, $L$6))</f>
        <v>#NAME?</v>
      </c>
      <c r="AD51" s="75" t="e">
        <f ca="1">IF(_xll.ciqfunctions.udf.CIQ($A51, "IQ_EBITDA_EST",$B$5, $L$2, "CON", $L$3, $L$5, $L$6)=0,"n/a",_xll.ciqfunctions.udf.CIQ($A51, "IQ_EBITDA_EST",$B$5, $L$2, "CON", $L$3, $L$5, $L$6))</f>
        <v>#NAME?</v>
      </c>
      <c r="AE51" s="105" t="e">
        <f ca="1">IF(_xll.ciqfunctions.udf.CIQ($A51, "IQ_EBITDA_EST",$B$6, $L$2, "CON", $L$3, $L$5, $L$6)=0,"n/a",_xll.ciqfunctions.udf.CIQ($A51, "IQ_EBITDA_EST",$B$6, $L$2, "CON", $L$3, $L$5, $L$6))</f>
        <v>#NAME?</v>
      </c>
      <c r="AF51" s="106" t="str">
        <f ca="1">IF(ISERROR(_xll.ciqfunctions.udf.CIQ($A51, "IQ_GROSS_MARGIN", IQ_LTM, $L$2,$L$4, $L$3, $L$5, $L$6)/100), "n/a", _xll.ciqfunctions.udf.CIQ($A51,  "IQ_GROSS_MARGIN", IQ_LTM, $L$2, $L$4, $L$3, $L$5, $L$6)/100)</f>
        <v>n/a</v>
      </c>
      <c r="AG51" s="106" t="str">
        <f ca="1">IF(ISERROR(_xll.ciqfunctions.udf.CIQ($A51,"IQ_EBITDA_MARGIN", IQ_LTM, $L$2, $L$4, $L$3, $L$5, $L$6)/100), "n/a", _xll.ciqfunctions.udf.CIQ($A51, "IQ_EBITDA_MARGIN", IQ_LTM, $L$2, $L$4, $L$3, $L$5, $L$6)/100)</f>
        <v>n/a</v>
      </c>
      <c r="AH51" s="106" t="str">
        <f ca="1">IF(ISERROR(_xll.ciqfunctions.udf.CIQ($A51,"IQ_EBIT_MARGIN", IQ_LTM, $L$2, $L$4, $L$3, $L$5, $L$6)/100), "n/a", _xll.ciqfunctions.udf.CIQ($A51, "IQ_EBIT_MARGIN", IQ_LTM, $L$2, $L$4, $L$3, $L$5, $L$6)/100)</f>
        <v>n/a</v>
      </c>
      <c r="AI51" s="106" t="str">
        <f ca="1">IF(ISERROR(_xll.ciqfunctions.udf.CIQ($A51,"IQ_NI_MARGIN", IQ_LTM, $L$2, $L$4, $L$3, $L$5, $L$6)/100), "n/a", _xll.ciqfunctions.udf.CIQ($A51, "IQ_NI_MARGIN", IQ_LTM, $L$2, $L$4, $L$3, $L$5, $L$6)/100)</f>
        <v>n/a</v>
      </c>
      <c r="AJ51" s="105" t="str">
        <f ca="1">IF(ISERROR(_xll.ciqfunctions.udf.CIQ($A51, "IQ_NET_WORKING_CAP", IQ_LTM-8, $L$2, $L$4, $L$3, $L$5, $L$6)), "n/a", _xll.ciqfunctions.udf.CIQ($A51, "IQ_NET_WORKING_CAP", IQ_LTM-8, $L$2, $L$4, $L$3, $L$5, $L$6))</f>
        <v>n/a</v>
      </c>
      <c r="AK51" s="105" t="str">
        <f ca="1">IF(ISERROR(_xll.ciqfunctions.udf.CIQ($A51, "IQ_NET_WORKING_CAP", IQ_LTM-4, $L$2, $L$4, $L$3, $L$5, $L$6)), "n/a", _xll.ciqfunctions.udf.CIQ($A51, "IQ_NET_WORKING_CAP", IQ_LTM-4, $L$2, $L$4, $L$3, $L$5, $L$6))</f>
        <v>n/a</v>
      </c>
      <c r="AL51" s="105" t="str">
        <f ca="1">IF(ISERROR(_xll.ciqfunctions.udf.CIQ($A51, "IQ_NET_WORKING_CAP", IQ_LTM, $L$2,$L$4, $L$3, $L$5, $L$6)), "n/a", _xll.ciqfunctions.udf.CIQ($A51, "IQ_NET_WORKING_CAP", IQ_LTM, $L$2, $L$4, $L$3, $L$5, $L$6))</f>
        <v>n/a</v>
      </c>
      <c r="AM51" s="105" t="str">
        <f ca="1">IF(ISERROR(_xll.ciqfunctions.udf.CIQ($A51, "IQ_Capex", IQ_LTM-8, $L$2,$L$4, $L$3, $L$5, $L$6)), "n/a", _xll.ciqfunctions.udf.CIQ($A51, "IQ_Capex", IQ_LTM-8, $L$2, $L$4, $L$3, $L$5, $L$6))</f>
        <v>n/a</v>
      </c>
      <c r="AN51" s="105" t="str">
        <f ca="1">IF(ISERROR(_xll.ciqfunctions.udf.CIQ($A51, "IQ_Capex", IQ_LTM-4, $L$2,$L$4, $L$3, $L$5, $L$6)), "n/a", _xll.ciqfunctions.udf.CIQ($A51, "IQ_Capex", IQ_LTM-4, $L$2,$L$4, $L$3, $L$5, $L$6))</f>
        <v>n/a</v>
      </c>
      <c r="AO51" s="105" t="str">
        <f ca="1">IF(ISERROR(_xll.ciqfunctions.udf.CIQ($A51, "IQ_Capex", IQ_LTM, $L$2, $L$4, $L$3, $L$5, $L$6)), "n/a", _xll.ciqfunctions.udf.CIQ($A51, "IQ_Capex", IQ_LTM, $L$2, $L$4, $L$3, $L$5, $L$6))</f>
        <v>n/a</v>
      </c>
      <c r="AP51" s="107" t="e">
        <f ca="1">_xll.ciqfunctions.udf.CIQ(A51, "IQ_BUSINESS_DESCRIPTION")</f>
        <v>#NAME?</v>
      </c>
      <c r="AQ51" s="108" t="e">
        <f ca="1">_xll.ciqfunctions.udf.CIQ($A51, "IQ_BETA_1YR", $B$1)</f>
        <v>#NAME?</v>
      </c>
      <c r="AR51" s="108" t="e">
        <f ca="1">_xll.ciqfunctions.udf.CIQ($A51, "IQ_BETA_2YR", $B$1)</f>
        <v>#NAME?</v>
      </c>
      <c r="AS51" s="108" t="e">
        <f ca="1">_xll.ciqfunctions.udf.CIQ($A51, "IQ_BETA_5YR", $B$1)</f>
        <v>#NAME?</v>
      </c>
      <c r="AT51" s="75" t="e">
        <f ca="1">_xll.ciqfunctions.udf.CIQ($B51, "IQ_GP", IQ_LTM,$B$1, ,,"USD")</f>
        <v>#NAME?</v>
      </c>
      <c r="AU51" s="105" t="e">
        <f ca="1">_xll.ciqfunctions.udf.CIQ($A51, "IQ_EARNING_CO", IQ_LTM-8, $L$2, $L$4, $L$3, $L$5, $L$6)</f>
        <v>#NAME?</v>
      </c>
      <c r="AV51" s="105" t="e">
        <f ca="1">_xll.ciqfunctions.udf.CIQ($A51, "IQ_EARNING_CO", IQ_LTM-4, $L$2, $L$4, $L$3, $L$5, $L$6)</f>
        <v>#NAME?</v>
      </c>
      <c r="AW51" s="105" t="e">
        <f ca="1">_xll.ciqfunctions.udf.CIQ($A51, "IQ_EARNING_CO", IQ_LTM, $L$2, $L$4, $L$3, $L$5, $L$6)</f>
        <v>#NAME?</v>
      </c>
      <c r="AX51" s="105" t="e">
        <f ca="1">_xll.ciqfunctions.udf.CIQ($A51, "IQ_EARNING_CO", $B$2, $L$2, $L$4, $L$3, $L$5, $L$6)</f>
        <v>#NAME?</v>
      </c>
      <c r="AY51" s="105" t="e">
        <f ca="1">IF(_xll.ciqfunctions.udf.CIQ($A51, "IQ_EARNING_CO", $B$3, $L$2,$L$4, $L$3, $L$5, $L$6)=0,AW51,_xll.ciqfunctions.udf.CIQ($A51, "IQ_EARNING_CO", $B$3, $L$2,$L$4, $L$3, $L$5, $L$6))</f>
        <v>#NAME?</v>
      </c>
      <c r="AZ51" s="105" t="e">
        <f ca="1">_xll.ciqfunctions.udf.CIQ($A51, "IQ_TOTAL_EQUITY", IQ_LTM-8, $L$2, $L$4, $L$3, $L$5, $L$6)</f>
        <v>#NAME?</v>
      </c>
      <c r="BA51" s="105" t="e">
        <f ca="1">_xll.ciqfunctions.udf.CIQ($A51, "IQ_TOTAL_EQUITY", IQ_LTM-4, $L$2, $L$4, $L$3, $L$5, $L$6)</f>
        <v>#NAME?</v>
      </c>
      <c r="BB51" s="105" t="e">
        <f ca="1">_xll.ciqfunctions.udf.CIQ($A51, "IQ_TOTAL_EQUITY", IQ_LTM, $L$2, $L$4, $L$3, $L$5, $L$6)</f>
        <v>#NAME?</v>
      </c>
      <c r="BC51" s="105" t="e">
        <f ca="1">_xll.ciqfunctions.udf.CIQ($A51, "IQ_TOTAL_EQUITY", $B$2, $L$2, $L$4, $L$3, $L$5, $L$6)</f>
        <v>#NAME?</v>
      </c>
      <c r="BD51" s="105" t="e">
        <f ca="1">IF(_xll.ciqfunctions.udf.CIQ($A51, "IQ_TOTAL_EQUITY", $B$3, $L$2,$L$4, $L$3, $L$5, $L$6)=0,BB51,_xll.ciqfunctions.udf.CIQ($A51, "IQ_TOTAL_EQUITY", $B$3, $L$2,$L$4, $L$3, $L$5, $L$6))</f>
        <v>#NAME?</v>
      </c>
      <c r="BE51" s="105" t="e">
        <f ca="1">_xll.ciqfunctions.udf.CIQ(A51, "IQ_LASTSALEPRICE", $B$8)</f>
        <v>#NAME?</v>
      </c>
      <c r="BF51" s="105" t="e">
        <f ca="1">_xll.ciqfunctions.udf.CIQ($A51, "IQ_MARKETCAP", $B$8, $L$5, $L$6)</f>
        <v>#NAME?</v>
      </c>
      <c r="BG51" s="105" t="e">
        <f ca="1">_xll.ciqfunctions.udf.CIQ($A51, "IQ_TOTAL_DEBT", IQ_LTM, $B$8,$L$4, $L$3, $L$5, $L$6)</f>
        <v>#NAME?</v>
      </c>
      <c r="BH51" s="74" t="e">
        <f ca="1">_xll.ciqfunctions.udf.CIQ($A51,"IQ_PREF_EQUITY",IQ_LTM,$B$8,$L$4,$L$3,$L$5,$L$6)</f>
        <v>#NAME?</v>
      </c>
      <c r="BI51" s="74" t="e">
        <f ca="1">_xll.ciqfunctions.udf.CIQ($A51, "IQ_MINORITY_INTEREST_TOTAL", IQ_LTM,$B$8,$L$4,$L$3,$L$5,$L$6)</f>
        <v>#NAME?</v>
      </c>
      <c r="BJ51" s="105" t="e">
        <f ca="1">_xll.ciqfunctions.udf.CIQ($A51, "IQ_CASH_ST_INVEST", IQ_LTM, $B$8, $L$4, $L$3, $L$5, $L$6)</f>
        <v>#NAME?</v>
      </c>
      <c r="BK51" s="74" t="e">
        <f ca="1">_xll.ciqfunctions.udf.CIQ($A51, "IQ_EFFECT_TAX_RATE")</f>
        <v>#NAME?</v>
      </c>
      <c r="BL51" s="74" t="e">
        <f ca="1">IF(_xll.ciqfunctions.udf.CIQ($A51, "IQ_TOTAL_REV_2YR_ANN_CAGR", IQ_LTM, $B$1,$L$4, $L$3, $L$5, $L$6)="NM","n/a",(_xll.ciqfunctions.udf.CIQ($A51, "IQ_TOTAL_REV_2YR_ANN_CAGR", IQ_LTM, $B$1,$L$4, $L$3, $L$5, $L$6)/100))</f>
        <v>#NAME?</v>
      </c>
      <c r="BM51" s="74" t="e">
        <f ca="1">IF(_xll.ciqfunctions.udf.CIQ($A51, "IQ_TOTAL_REV_3YR_ANN_CAGR", IQ_LTM, $B$1,$L$4, $L$3, $L$5, $L$6)="NM","n/a",(_xll.ciqfunctions.udf.CIQ($A51, "IQ_TOTAL_REV_3YR_ANN_CAGR", IQ_LTM, $B$1,$L$4, $L$3, $L$5, $L$6)/100))</f>
        <v>#NAME?</v>
      </c>
      <c r="BN51" s="74" t="e">
        <f ca="1">IF(_xll.ciqfunctions.udf.CIQ($A51, "IQ_TOTAL_REV_5YR_ANN_CAGR", IQ_LTM, $B$1,$L$4, $L$3, $L$5, $L$6)="NM","n/a",(_xll.ciqfunctions.udf.CIQ($A51, "IQ_TOTAL_REV_5YR_ANN_CAGR", IQ_LTM, $B$1,$L$4, $L$3, $L$5, $L$6)/100))</f>
        <v>#NAME?</v>
      </c>
      <c r="BO51" s="74" t="e">
        <f ca="1">IF(_xll.ciqfunctions.udf.CIQ($A51,"IQ_EBITDA_2YR_ANN_CAGR", IQ_LTM,$B$1,$L$4, $L$3, $L$5, $L$6)="NM","n/a",(_xll.ciqfunctions.udf.CIQ($A51,"IQ_EBITDA_2YR_ANN_CAGR", IQ_LTM,$B$1,$L$4, $L$3, $L$5, $L$6)/100))</f>
        <v>#NAME?</v>
      </c>
      <c r="BP51" s="74" t="e">
        <f ca="1">IF(_xll.ciqfunctions.udf.CIQ($A51,"IQ_EBITDA_3YR_ANN_CAGR", IQ_LTM,$B$1,$L$4, $L$3, $L$5, $L$6)="NM","n/a",(_xll.ciqfunctions.udf.CIQ($A51,"IQ_EBITDA_3YR_ANN_CAGR", IQ_LTM,$B$1,$L$4, $L$3, $L$5, $L$6)/100))</f>
        <v>#NAME?</v>
      </c>
      <c r="BQ51" s="74" t="e">
        <f ca="1">IF(_xll.ciqfunctions.udf.CIQ($A51,"IQ_EBITDA_5YR_ANN_CAGR", IQ_LTM,$B$1,$L$4, $L$3, $L$5, $L$6)="NM","n/a",(_xll.ciqfunctions.udf.CIQ($A51,"IQ_EBITDA_5YR_ANN_CAGR", IQ_LTM,$B$1,$L$4, $L$3, $L$5, $L$6)/100))</f>
        <v>#NAME?</v>
      </c>
      <c r="BR51" s="78" t="str">
        <f ca="1">IFERROR((_xll.ciqfunctions.udf.CIQ($A51, "IQ_DA_CF", IQ_LTM, $B$1, $L$4, $L$3, $L$5, $L$6)/Q51),"NM")</f>
        <v>NM</v>
      </c>
      <c r="BS51" s="106">
        <f>'Capital IQ Sheet-GPC'!BS51</f>
        <v>0.82806905565295919</v>
      </c>
      <c r="BT51" s="106">
        <f>'Capital IQ Sheet-GPC'!BT51</f>
        <v>0.87724623477379815</v>
      </c>
      <c r="BU51" s="106" t="str">
        <f>'Capital IQ Sheet-GPC'!BU51</f>
        <v>n/a</v>
      </c>
      <c r="BV51" s="106" t="str">
        <f>'Capital IQ Sheet-GPC'!BV51</f>
        <v>n/a</v>
      </c>
      <c r="BW51" s="106" t="str">
        <f>'Capital IQ Sheet-GPC'!BW51</f>
        <v>n/a</v>
      </c>
      <c r="BX51" s="106" t="str">
        <f>'Capital IQ Sheet-GPC'!BX51</f>
        <v>n/a</v>
      </c>
      <c r="BY51" s="106" t="str">
        <f>'Capital IQ Sheet-GPC'!BY51</f>
        <v>n/a</v>
      </c>
      <c r="BZ51" s="106" t="str">
        <f>'Capital IQ Sheet-GPC'!BZ51</f>
        <v>n/a</v>
      </c>
    </row>
    <row r="52" spans="1:83">
      <c r="A52" s="75" t="e">
        <f ca="1">_xll.ciqfunctions.udf.CIQ($B52,"IQ_COMPANY_TICKER")</f>
        <v>#NAME?</v>
      </c>
      <c r="B52" s="104" t="str">
        <f>'Capital IQ Sheet-GPC'!B52</f>
        <v>IQ49062639</v>
      </c>
      <c r="C52" s="75" t="e">
        <f ca="1">_xll.ciqfunctions.udf.CIQ($A52,"IQ_COMPANY_NAME")</f>
        <v>#NAME?</v>
      </c>
      <c r="D52" s="75" t="e">
        <f ca="1">_xll.ciqfunctions.udf.CIQ($A52, "IQ_EXCHANGE")</f>
        <v>#NAME?</v>
      </c>
      <c r="E52" s="103" t="e">
        <f ca="1">_xll.ciqfunctions.udf.CIQ($A52, "IQ_PERIODDATE_IS", IQ_FY)</f>
        <v>#NAME?</v>
      </c>
      <c r="F52" s="103" t="e">
        <f ca="1">_xll.ciqfunctions.udf.CIQ(A52, "IQ_PERIODDATE_IS", IQ_LTM, $B$1,$L$4,$L$3)</f>
        <v>#NAME?</v>
      </c>
      <c r="G52" s="103" t="e">
        <f ca="1">_xll.ciqfunctions.udf.CIQ($A52, "IQ_FIRSTPRICINGDATE")</f>
        <v>#NAME?</v>
      </c>
      <c r="H52" s="105" t="e">
        <f ca="1">_xll.ciqfunctions.udf.CIQ($A52, "IQ_TEV", $L$2, $L$5, $L$6)</f>
        <v>#NAME?</v>
      </c>
      <c r="I52" s="105" t="e">
        <f ca="1">_xll.ciqfunctions.udf.CIQ(A52, "IQ_LASTSALEPRICE", $B$1,$L$5)</f>
        <v>#NAME?</v>
      </c>
      <c r="J52" s="103" t="e">
        <f ca="1">_xll.ciqfunctions.udf.CIQ($B52, "IQ_FIRSTPRICINGDATE")</f>
        <v>#NAME?</v>
      </c>
      <c r="K52" s="105" t="e">
        <f ca="1">_xll.ciqfunctions.udf.CIQ($A52, "IQ_TOTAL_DEBT", IQ_LTM, $L$2,$L$4, $L$3, $L$5, $L$6)</f>
        <v>#NAME?</v>
      </c>
      <c r="L52" s="105" t="e">
        <f ca="1">_xll.ciqfunctions.udf.CIQ($A52, "IQ_PREF_EQUITY", IQ_LTM, $L$2, $L$4, $L$3, $L$5, $L$6)</f>
        <v>#NAME?</v>
      </c>
      <c r="M52" s="105" t="e">
        <f ca="1">_xll.ciqfunctions.udf.CIQ($A52, "IQ_MINORITY_INTEREST_TOTAL", IQ_LTM, $L$2, $L$4, $L$3, $L$5, $L$6)</f>
        <v>#NAME?</v>
      </c>
      <c r="N52" s="105" t="e">
        <f ca="1">_xll.ciqfunctions.udf.CIQ($A52, "IQ_CASH_ST_INVEST", IQ_LTM, $L$2, $L$4, $L$3, $L$5, $L$6)</f>
        <v>#NAME?</v>
      </c>
      <c r="O52" s="105" t="e">
        <f ca="1">_xll.ciqfunctions.udf.CIQ($A52, "IQ_TOTAL_REV", IQ_LTM-8, $L$2, $L$4, $L$3, $L$5, $L$6)</f>
        <v>#NAME?</v>
      </c>
      <c r="P52" s="105" t="e">
        <f ca="1">_xll.ciqfunctions.udf.CIQ($A52, "IQ_TOTAL_REV", IQ_LTM - 4, $L$2, $L$4, $L$3, $L$5,$L$6)</f>
        <v>#NAME?</v>
      </c>
      <c r="Q52" s="105" t="e">
        <f ca="1">_xll.ciqfunctions.udf.CIQ($A52, "IQ_TOTAL_REV", IQ_LTM, $L$2, $L$4, $L$3, $L$5, $L$6)</f>
        <v>#NAME?</v>
      </c>
      <c r="R52" s="105" t="e">
        <f ca="1">_xll.ciqfunctions.udf.CIQ($A52, "IQ_TOTAL_REV", $B$2, $L$2, $L$4, $L$3, $L$5, $L$6)</f>
        <v>#NAME?</v>
      </c>
      <c r="S52" s="105" t="e">
        <f ca="1">IF(_xll.ciqfunctions.udf.CIQ($A52, "IQ_TOTAL_REV", $B$3, $L$2,$L$4, $L$3, $L$5, $L$6)=0,Q52,_xll.ciqfunctions.udf.CIQ($A52, "IQ_TOTAL_REV", $B$3, $L$2,$L$4, $L$3, $L$5, $L$6))</f>
        <v>#NAME?</v>
      </c>
      <c r="T52" s="105" t="e">
        <f ca="1">IF(_xll.ciqfunctions.udf.CIQ($A52, "IQ_REVENUE_EST",$B$4, $L$2, "CON", $L$3, $L$5, $L$6)=0,"n/a",_xll.ciqfunctions.udf.CIQ($A52, "IQ_REVENUE_EST",$B$4, $L$2, "CON", $L$3, $L$5, $L$6))</f>
        <v>#NAME?</v>
      </c>
      <c r="U52" s="105" t="e">
        <f ca="1">IF(_xll.ciqfunctions.udf.CIQ($A52, "IQ_REVENUE_EST",$B$5, $L$2, "CON", $L$3, $L$5, $L$6)=0,"n/a",_xll.ciqfunctions.udf.CIQ($A52, "IQ_REVENUE_EST",$B$5, $L$2, "CON", $L$3, $L$5, $L$6))</f>
        <v>#NAME?</v>
      </c>
      <c r="V52" s="105" t="e">
        <f ca="1">IF(_xll.ciqfunctions.udf.CIQ($A52, "IQ_REVENUE_EST",$B$6, $L$2, "CON", $L$3, $L$5, $L$6)=0,"n/a",_xll.ciqfunctions.udf.CIQ($A52, "IQ_REVENUE_EST",$B$6, $L$2, "CON", $L$3, $L$5, $L$6))</f>
        <v>#NAME?</v>
      </c>
      <c r="W52" s="105" t="e">
        <f ca="1">IF(_xll.ciqfunctions.udf.CIQ($A52, "IQ_REVENUE_EST", $B$7, $L$2, "CON", $L$3, $L$5, $L$6)=0,"n/a",_xll.ciqfunctions.udf.CIQ($A52, "IQ_REVENUE_EST",$B$7, $L$2, "CON", $L$3, $L$5, $L$6))</f>
        <v>#NAME?</v>
      </c>
      <c r="X52" s="105" t="e">
        <f ca="1">_xll.ciqfunctions.udf.CIQ($A52, "IQ_EBITDA", IQ_LTM-8, $L$2, $L$4, $L$3, $L$5, $L$6)</f>
        <v>#NAME?</v>
      </c>
      <c r="Y52" s="105" t="e">
        <f ca="1">_xll.ciqfunctions.udf.CIQ($A52, "IQ_EBITDA", IQ_LTM-4, $L$2,$L$4, $L$3, $L$5, $L$6)</f>
        <v>#NAME?</v>
      </c>
      <c r="Z52" s="105" t="e">
        <f ca="1">_xll.ciqfunctions.udf.CIQ($A52, "IQ_EBITDA", IQ_LTM, $L$2, $L$4, $L$3, $L$5, $L$6)</f>
        <v>#NAME?</v>
      </c>
      <c r="AA52" s="105" t="e">
        <f ca="1">_xll.ciqfunctions.udf.CIQ($A52, "IQ_EBITDA", $B$2, $L$2, $L$4, $L$3, $L$5, $L$6)</f>
        <v>#NAME?</v>
      </c>
      <c r="AB52" s="105" t="e">
        <f ca="1">IF(_xll.ciqfunctions.udf.CIQ($A52, "IQ_EBITDA", $B$3, $L$2,$L$4, $L$3, $L$5, $L$6)=0,Z52,_xll.ciqfunctions.udf.CIQ($A52, "IQ_EBITDA", $B$3, $L$2,$L$4, $L$3, $L$5, $L$6))</f>
        <v>#NAME?</v>
      </c>
      <c r="AC52" s="105" t="e">
        <f ca="1">IF(_xll.ciqfunctions.udf.CIQ($A52, "IQ_EBITDA_EST",$B$4, $L$2, "CON", $L$3, $L$5, $L$6)=0,"n/a",_xll.ciqfunctions.udf.CIQ($A52, "IQ_EBITDA_EST",$B$4, $L$2, "CON", $L$3, $L$5, $L$6))</f>
        <v>#NAME?</v>
      </c>
      <c r="AD52" s="75" t="e">
        <f ca="1">IF(_xll.ciqfunctions.udf.CIQ($A52, "IQ_EBITDA_EST",$B$5, $L$2, "CON", $L$3, $L$5, $L$6)=0,"n/a",_xll.ciqfunctions.udf.CIQ($A52, "IQ_EBITDA_EST",$B$5, $L$2, "CON", $L$3, $L$5, $L$6))</f>
        <v>#NAME?</v>
      </c>
      <c r="AE52" s="105" t="e">
        <f ca="1">IF(_xll.ciqfunctions.udf.CIQ($A52, "IQ_EBITDA_EST",$B$6, $L$2, "CON", $L$3, $L$5, $L$6)=0,"n/a",_xll.ciqfunctions.udf.CIQ($A52, "IQ_EBITDA_EST",$B$6, $L$2, "CON", $L$3, $L$5, $L$6))</f>
        <v>#NAME?</v>
      </c>
      <c r="AF52" s="106" t="str">
        <f ca="1">IF(ISERROR(_xll.ciqfunctions.udf.CIQ($A52, "IQ_GROSS_MARGIN", IQ_LTM, $L$2,$L$4, $L$3, $L$5, $L$6)/100), "n/a", _xll.ciqfunctions.udf.CIQ($A52,  "IQ_GROSS_MARGIN", IQ_LTM, $L$2, $L$4, $L$3, $L$5, $L$6)/100)</f>
        <v>n/a</v>
      </c>
      <c r="AG52" s="106" t="str">
        <f ca="1">IF(ISERROR(_xll.ciqfunctions.udf.CIQ($A52,"IQ_EBITDA_MARGIN", IQ_LTM, $L$2, $L$4, $L$3, $L$5, $L$6)/100), "n/a", _xll.ciqfunctions.udf.CIQ($A52, "IQ_EBITDA_MARGIN", IQ_LTM, $L$2, $L$4, $L$3, $L$5, $L$6)/100)</f>
        <v>n/a</v>
      </c>
      <c r="AH52" s="106" t="str">
        <f ca="1">IF(ISERROR(_xll.ciqfunctions.udf.CIQ($A52,"IQ_EBIT_MARGIN", IQ_LTM, $L$2, $L$4, $L$3, $L$5, $L$6)/100), "n/a", _xll.ciqfunctions.udf.CIQ($A52, "IQ_EBIT_MARGIN", IQ_LTM, $L$2, $L$4, $L$3, $L$5, $L$6)/100)</f>
        <v>n/a</v>
      </c>
      <c r="AI52" s="106" t="str">
        <f ca="1">IF(ISERROR(_xll.ciqfunctions.udf.CIQ($A52,"IQ_NI_MARGIN", IQ_LTM, $L$2, $L$4, $L$3, $L$5, $L$6)/100), "n/a", _xll.ciqfunctions.udf.CIQ($A52, "IQ_NI_MARGIN", IQ_LTM, $L$2, $L$4, $L$3, $L$5, $L$6)/100)</f>
        <v>n/a</v>
      </c>
      <c r="AJ52" s="105" t="str">
        <f ca="1">IF(ISERROR(_xll.ciqfunctions.udf.CIQ($A52, "IQ_NET_WORKING_CAP", IQ_LTM-8, $L$2, $L$4, $L$3, $L$5, $L$6)), "n/a", _xll.ciqfunctions.udf.CIQ($A52, "IQ_NET_WORKING_CAP", IQ_LTM-8, $L$2, $L$4, $L$3, $L$5, $L$6))</f>
        <v>n/a</v>
      </c>
      <c r="AK52" s="105" t="str">
        <f ca="1">IF(ISERROR(_xll.ciqfunctions.udf.CIQ($A52, "IQ_NET_WORKING_CAP", IQ_LTM-4, $L$2, $L$4, $L$3, $L$5, $L$6)), "n/a", _xll.ciqfunctions.udf.CIQ($A52, "IQ_NET_WORKING_CAP", IQ_LTM-4, $L$2, $L$4, $L$3, $L$5, $L$6))</f>
        <v>n/a</v>
      </c>
      <c r="AL52" s="105" t="str">
        <f ca="1">IF(ISERROR(_xll.ciqfunctions.udf.CIQ($A52, "IQ_NET_WORKING_CAP", IQ_LTM, $L$2,$L$4, $L$3, $L$5, $L$6)), "n/a", _xll.ciqfunctions.udf.CIQ($A52, "IQ_NET_WORKING_CAP", IQ_LTM, $L$2, $L$4, $L$3, $L$5, $L$6))</f>
        <v>n/a</v>
      </c>
      <c r="AM52" s="105" t="str">
        <f ca="1">IF(ISERROR(_xll.ciqfunctions.udf.CIQ($A52, "IQ_Capex", IQ_LTM-8, $L$2,$L$4, $L$3, $L$5, $L$6)), "n/a", _xll.ciqfunctions.udf.CIQ($A52, "IQ_Capex", IQ_LTM-8, $L$2, $L$4, $L$3, $L$5, $L$6))</f>
        <v>n/a</v>
      </c>
      <c r="AN52" s="105" t="str">
        <f ca="1">IF(ISERROR(_xll.ciqfunctions.udf.CIQ($A52, "IQ_Capex", IQ_LTM-4, $L$2,$L$4, $L$3, $L$5, $L$6)), "n/a", _xll.ciqfunctions.udf.CIQ($A52, "IQ_Capex", IQ_LTM-4, $L$2,$L$4, $L$3, $L$5, $L$6))</f>
        <v>n/a</v>
      </c>
      <c r="AO52" s="105" t="str">
        <f ca="1">IF(ISERROR(_xll.ciqfunctions.udf.CIQ($A52, "IQ_Capex", IQ_LTM, $L$2, $L$4, $L$3, $L$5, $L$6)), "n/a", _xll.ciqfunctions.udf.CIQ($A52, "IQ_Capex", IQ_LTM, $L$2, $L$4, $L$3, $L$5, $L$6))</f>
        <v>n/a</v>
      </c>
      <c r="AP52" s="107" t="e">
        <f ca="1">_xll.ciqfunctions.udf.CIQ(A52, "IQ_BUSINESS_DESCRIPTION")</f>
        <v>#NAME?</v>
      </c>
      <c r="AQ52" s="108" t="e">
        <f ca="1">_xll.ciqfunctions.udf.CIQ($A52, "IQ_BETA_1YR", $B$1)</f>
        <v>#NAME?</v>
      </c>
      <c r="AR52" s="108" t="e">
        <f ca="1">_xll.ciqfunctions.udf.CIQ($A52, "IQ_BETA_2YR", $B$1)</f>
        <v>#NAME?</v>
      </c>
      <c r="AS52" s="108" t="e">
        <f ca="1">_xll.ciqfunctions.udf.CIQ($A52, "IQ_BETA_5YR", $B$1)</f>
        <v>#NAME?</v>
      </c>
      <c r="AT52" s="75" t="e">
        <f ca="1">_xll.ciqfunctions.udf.CIQ($B52, "IQ_GP", IQ_LTM,$B$1, ,,"USD")</f>
        <v>#NAME?</v>
      </c>
      <c r="AU52" s="105" t="e">
        <f ca="1">_xll.ciqfunctions.udf.CIQ($A52, "IQ_EARNING_CO", IQ_LTM-8, $L$2, $L$4, $L$3, $L$5, $L$6)</f>
        <v>#NAME?</v>
      </c>
      <c r="AV52" s="105" t="e">
        <f ca="1">_xll.ciqfunctions.udf.CIQ($A52, "IQ_EARNING_CO", IQ_LTM-4, $L$2, $L$4, $L$3, $L$5, $L$6)</f>
        <v>#NAME?</v>
      </c>
      <c r="AW52" s="105" t="e">
        <f ca="1">_xll.ciqfunctions.udf.CIQ($A52, "IQ_EARNING_CO", IQ_LTM, $L$2, $L$4, $L$3, $L$5, $L$6)</f>
        <v>#NAME?</v>
      </c>
      <c r="AX52" s="105" t="e">
        <f ca="1">_xll.ciqfunctions.udf.CIQ($A52, "IQ_EARNING_CO", $B$2, $L$2, $L$4, $L$3, $L$5, $L$6)</f>
        <v>#NAME?</v>
      </c>
      <c r="AY52" s="105" t="e">
        <f ca="1">IF(_xll.ciqfunctions.udf.CIQ($A52, "IQ_EARNING_CO", $B$3, $L$2,$L$4, $L$3, $L$5, $L$6)=0,AW52,_xll.ciqfunctions.udf.CIQ($A52, "IQ_EARNING_CO", $B$3, $L$2,$L$4, $L$3, $L$5, $L$6))</f>
        <v>#NAME?</v>
      </c>
      <c r="AZ52" s="105" t="e">
        <f ca="1">_xll.ciqfunctions.udf.CIQ($A52, "IQ_TOTAL_EQUITY", IQ_LTM-8, $L$2, $L$4, $L$3, $L$5, $L$6)</f>
        <v>#NAME?</v>
      </c>
      <c r="BA52" s="105" t="e">
        <f ca="1">_xll.ciqfunctions.udf.CIQ($A52, "IQ_TOTAL_EQUITY", IQ_LTM-4, $L$2, $L$4, $L$3, $L$5, $L$6)</f>
        <v>#NAME?</v>
      </c>
      <c r="BB52" s="105" t="e">
        <f ca="1">_xll.ciqfunctions.udf.CIQ($A52, "IQ_TOTAL_EQUITY", IQ_LTM, $L$2, $L$4, $L$3, $L$5, $L$6)</f>
        <v>#NAME?</v>
      </c>
      <c r="BC52" s="105" t="e">
        <f ca="1">_xll.ciqfunctions.udf.CIQ($A52, "IQ_TOTAL_EQUITY", $B$2, $L$2, $L$4, $L$3, $L$5, $L$6)</f>
        <v>#NAME?</v>
      </c>
      <c r="BD52" s="105" t="e">
        <f ca="1">IF(_xll.ciqfunctions.udf.CIQ($A52, "IQ_TOTAL_EQUITY", $B$3, $L$2,$L$4, $L$3, $L$5, $L$6)=0,BB52,_xll.ciqfunctions.udf.CIQ($A52, "IQ_TOTAL_EQUITY", $B$3, $L$2,$L$4, $L$3, $L$5, $L$6))</f>
        <v>#NAME?</v>
      </c>
      <c r="BE52" s="105" t="e">
        <f ca="1">_xll.ciqfunctions.udf.CIQ(A52, "IQ_LASTSALEPRICE", $B$8)</f>
        <v>#NAME?</v>
      </c>
      <c r="BF52" s="105" t="e">
        <f ca="1">_xll.ciqfunctions.udf.CIQ($A52, "IQ_MARKETCAP", $B$8, $L$5, $L$6)</f>
        <v>#NAME?</v>
      </c>
      <c r="BG52" s="105" t="e">
        <f ca="1">_xll.ciqfunctions.udf.CIQ($A52, "IQ_TOTAL_DEBT", IQ_LTM, $B$8,$L$4, $L$3, $L$5, $L$6)</f>
        <v>#NAME?</v>
      </c>
      <c r="BH52" s="74" t="e">
        <f ca="1">_xll.ciqfunctions.udf.CIQ($A52,"IQ_PREF_EQUITY",IQ_LTM,$B$8,$L$4,$L$3,$L$5,$L$6)</f>
        <v>#NAME?</v>
      </c>
      <c r="BI52" s="74" t="e">
        <f ca="1">_xll.ciqfunctions.udf.CIQ($A52, "IQ_MINORITY_INTEREST_TOTAL", IQ_LTM,$B$8,$L$4,$L$3,$L$5,$L$6)</f>
        <v>#NAME?</v>
      </c>
      <c r="BJ52" s="105" t="e">
        <f ca="1">_xll.ciqfunctions.udf.CIQ($A52, "IQ_CASH_ST_INVEST", IQ_LTM, $B$8, $L$4, $L$3, $L$5, $L$6)</f>
        <v>#NAME?</v>
      </c>
      <c r="BK52" s="74" t="e">
        <f ca="1">_xll.ciqfunctions.udf.CIQ($A52, "IQ_EFFECT_TAX_RATE")</f>
        <v>#NAME?</v>
      </c>
      <c r="BL52" s="74" t="e">
        <f ca="1">IF(_xll.ciqfunctions.udf.CIQ($A52, "IQ_TOTAL_REV_2YR_ANN_CAGR", IQ_LTM, $B$1,$L$4, $L$3, $L$5, $L$6)="NM","n/a",(_xll.ciqfunctions.udf.CIQ($A52, "IQ_TOTAL_REV_2YR_ANN_CAGR", IQ_LTM, $B$1,$L$4, $L$3, $L$5, $L$6)/100))</f>
        <v>#NAME?</v>
      </c>
      <c r="BM52" s="74" t="e">
        <f ca="1">IF(_xll.ciqfunctions.udf.CIQ($A52, "IQ_TOTAL_REV_3YR_ANN_CAGR", IQ_LTM, $B$1,$L$4, $L$3, $L$5, $L$6)="NM","n/a",(_xll.ciqfunctions.udf.CIQ($A52, "IQ_TOTAL_REV_3YR_ANN_CAGR", IQ_LTM, $B$1,$L$4, $L$3, $L$5, $L$6)/100))</f>
        <v>#NAME?</v>
      </c>
      <c r="BN52" s="74" t="e">
        <f ca="1">IF(_xll.ciqfunctions.udf.CIQ($A52, "IQ_TOTAL_REV_5YR_ANN_CAGR", IQ_LTM, $B$1,$L$4, $L$3, $L$5, $L$6)="NM","n/a",(_xll.ciqfunctions.udf.CIQ($A52, "IQ_TOTAL_REV_5YR_ANN_CAGR", IQ_LTM, $B$1,$L$4, $L$3, $L$5, $L$6)/100))</f>
        <v>#NAME?</v>
      </c>
      <c r="BO52" s="74" t="e">
        <f ca="1">IF(_xll.ciqfunctions.udf.CIQ($A52,"IQ_EBITDA_2YR_ANN_CAGR", IQ_LTM,$B$1,$L$4, $L$3, $L$5, $L$6)="NM","n/a",(_xll.ciqfunctions.udf.CIQ($A52,"IQ_EBITDA_2YR_ANN_CAGR", IQ_LTM,$B$1,$L$4, $L$3, $L$5, $L$6)/100))</f>
        <v>#NAME?</v>
      </c>
      <c r="BP52" s="74" t="e">
        <f ca="1">IF(_xll.ciqfunctions.udf.CIQ($A52,"IQ_EBITDA_3YR_ANN_CAGR", IQ_LTM,$B$1,$L$4, $L$3, $L$5, $L$6)="NM","n/a",(_xll.ciqfunctions.udf.CIQ($A52,"IQ_EBITDA_3YR_ANN_CAGR", IQ_LTM,$B$1,$L$4, $L$3, $L$5, $L$6)/100))</f>
        <v>#NAME?</v>
      </c>
      <c r="BQ52" s="74" t="e">
        <f ca="1">IF(_xll.ciqfunctions.udf.CIQ($A52,"IQ_EBITDA_5YR_ANN_CAGR", IQ_LTM,$B$1,$L$4, $L$3, $L$5, $L$6)="NM","n/a",(_xll.ciqfunctions.udf.CIQ($A52,"IQ_EBITDA_5YR_ANN_CAGR", IQ_LTM,$B$1,$L$4, $L$3, $L$5, $L$6)/100))</f>
        <v>#NAME?</v>
      </c>
      <c r="BR52" s="78" t="str">
        <f ca="1">IFERROR((_xll.ciqfunctions.udf.CIQ($A52, "IQ_DA_CF", IQ_LTM, $B$1, $L$4, $L$3, $L$5, $L$6)/Q52),"NM")</f>
        <v>NM</v>
      </c>
      <c r="BS52" s="106">
        <f>'Capital IQ Sheet-GPC'!BS52</f>
        <v>0.78212139552972182</v>
      </c>
      <c r="BT52" s="106">
        <f>'Capital IQ Sheet-GPC'!BT52</f>
        <v>0.82210152397422587</v>
      </c>
      <c r="BU52" s="106">
        <f>'Capital IQ Sheet-GPC'!BU52</f>
        <v>0.8052399960875728</v>
      </c>
      <c r="BV52" s="106" t="str">
        <f>'Capital IQ Sheet-GPC'!BV52</f>
        <v>n/a</v>
      </c>
      <c r="BW52" s="106" t="str">
        <f>'Capital IQ Sheet-GPC'!BW52</f>
        <v>n/a</v>
      </c>
      <c r="BX52" s="106" t="str">
        <f>'Capital IQ Sheet-GPC'!BX52</f>
        <v>n/a</v>
      </c>
      <c r="BY52" s="106" t="str">
        <f>'Capital IQ Sheet-GPC'!BY52</f>
        <v>n/a</v>
      </c>
      <c r="BZ52" s="106" t="str">
        <f>'Capital IQ Sheet-GPC'!BZ52</f>
        <v>n/a</v>
      </c>
    </row>
    <row r="53" spans="1:83">
      <c r="A53" s="75" t="e">
        <f ca="1">_xll.ciqfunctions.udf.CIQ($B53,"IQ_COMPANY_TICKER")</f>
        <v>#NAME?</v>
      </c>
      <c r="B53" s="104" t="str">
        <f>'Capital IQ Sheet-GPC'!B53</f>
        <v>IQ277799796</v>
      </c>
      <c r="C53" s="75" t="e">
        <f ca="1">_xll.ciqfunctions.udf.CIQ($A53,"IQ_COMPANY_NAME")</f>
        <v>#NAME?</v>
      </c>
      <c r="D53" s="75" t="e">
        <f ca="1">_xll.ciqfunctions.udf.CIQ($A53, "IQ_EXCHANGE")</f>
        <v>#NAME?</v>
      </c>
      <c r="E53" s="103" t="e">
        <f ca="1">_xll.ciqfunctions.udf.CIQ($A53, "IQ_PERIODDATE_IS", IQ_FY)</f>
        <v>#NAME?</v>
      </c>
      <c r="F53" s="103" t="e">
        <f ca="1">_xll.ciqfunctions.udf.CIQ(A53, "IQ_PERIODDATE_IS", IQ_LTM, $B$1,$L$4,$L$3)</f>
        <v>#NAME?</v>
      </c>
      <c r="G53" s="103" t="e">
        <f ca="1">_xll.ciqfunctions.udf.CIQ($A53, "IQ_FIRSTPRICINGDATE")</f>
        <v>#NAME?</v>
      </c>
      <c r="H53" s="105" t="e">
        <f ca="1">_xll.ciqfunctions.udf.CIQ($A53, "IQ_TEV", $L$2, $L$5, $L$6)</f>
        <v>#NAME?</v>
      </c>
      <c r="I53" s="105" t="e">
        <f ca="1">_xll.ciqfunctions.udf.CIQ(A53, "IQ_LASTSALEPRICE", $B$1,$L$5)</f>
        <v>#NAME?</v>
      </c>
      <c r="J53" s="103" t="e">
        <f ca="1">_xll.ciqfunctions.udf.CIQ($B53, "IQ_FIRSTPRICINGDATE")</f>
        <v>#NAME?</v>
      </c>
      <c r="K53" s="105" t="e">
        <f ca="1">_xll.ciqfunctions.udf.CIQ($A53, "IQ_TOTAL_DEBT", IQ_LTM, $L$2,$L$4, $L$3, $L$5, $L$6)</f>
        <v>#NAME?</v>
      </c>
      <c r="L53" s="105" t="e">
        <f ca="1">_xll.ciqfunctions.udf.CIQ($A53, "IQ_PREF_EQUITY", IQ_LTM, $L$2, $L$4, $L$3, $L$5, $L$6)</f>
        <v>#NAME?</v>
      </c>
      <c r="M53" s="105" t="e">
        <f ca="1">_xll.ciqfunctions.udf.CIQ($A53, "IQ_MINORITY_INTEREST_TOTAL", IQ_LTM, $L$2, $L$4, $L$3, $L$5, $L$6)</f>
        <v>#NAME?</v>
      </c>
      <c r="N53" s="105" t="e">
        <f ca="1">_xll.ciqfunctions.udf.CIQ($A53, "IQ_CASH_ST_INVEST", IQ_LTM, $L$2, $L$4, $L$3, $L$5, $L$6)</f>
        <v>#NAME?</v>
      </c>
      <c r="O53" s="105" t="e">
        <f ca="1">_xll.ciqfunctions.udf.CIQ($A53, "IQ_TOTAL_REV", IQ_LTM-8, $L$2, $L$4, $L$3, $L$5, $L$6)</f>
        <v>#NAME?</v>
      </c>
      <c r="P53" s="105" t="e">
        <f ca="1">_xll.ciqfunctions.udf.CIQ($A53, "IQ_TOTAL_REV", IQ_LTM - 4, $L$2, $L$4, $L$3, $L$5,$L$6)</f>
        <v>#NAME?</v>
      </c>
      <c r="Q53" s="105" t="e">
        <f ca="1">_xll.ciqfunctions.udf.CIQ($A53, "IQ_TOTAL_REV", IQ_LTM, $L$2, $L$4, $L$3, $L$5, $L$6)</f>
        <v>#NAME?</v>
      </c>
      <c r="R53" s="105" t="e">
        <f ca="1">_xll.ciqfunctions.udf.CIQ($A53, "IQ_TOTAL_REV", $B$2, $L$2, $L$4, $L$3, $L$5, $L$6)</f>
        <v>#NAME?</v>
      </c>
      <c r="S53" s="105" t="e">
        <f ca="1">IF(_xll.ciqfunctions.udf.CIQ($A53, "IQ_TOTAL_REV", $B$3, $L$2,$L$4, $L$3, $L$5, $L$6)=0,Q53,_xll.ciqfunctions.udf.CIQ($A53, "IQ_TOTAL_REV", $B$3, $L$2,$L$4, $L$3, $L$5, $L$6))</f>
        <v>#NAME?</v>
      </c>
      <c r="T53" s="105" t="e">
        <f ca="1">IF(_xll.ciqfunctions.udf.CIQ($A53, "IQ_REVENUE_EST",$B$4, $L$2, "CON", $L$3, $L$5, $L$6)=0,"n/a",_xll.ciqfunctions.udf.CIQ($A53, "IQ_REVENUE_EST",$B$4, $L$2, "CON", $L$3, $L$5, $L$6))</f>
        <v>#NAME?</v>
      </c>
      <c r="U53" s="105" t="e">
        <f ca="1">IF(_xll.ciqfunctions.udf.CIQ($A53, "IQ_REVENUE_EST",$B$5, $L$2, "CON", $L$3, $L$5, $L$6)=0,"n/a",_xll.ciqfunctions.udf.CIQ($A53, "IQ_REVENUE_EST",$B$5, $L$2, "CON", $L$3, $L$5, $L$6))</f>
        <v>#NAME?</v>
      </c>
      <c r="V53" s="105" t="e">
        <f ca="1">IF(_xll.ciqfunctions.udf.CIQ($A53, "IQ_REVENUE_EST",$B$6, $L$2, "CON", $L$3, $L$5, $L$6)=0,"n/a",_xll.ciqfunctions.udf.CIQ($A53, "IQ_REVENUE_EST",$B$6, $L$2, "CON", $L$3, $L$5, $L$6))</f>
        <v>#NAME?</v>
      </c>
      <c r="W53" s="105" t="e">
        <f ca="1">IF(_xll.ciqfunctions.udf.CIQ($A53, "IQ_REVENUE_EST", $B$7, $L$2, "CON", $L$3, $L$5, $L$6)=0,"n/a",_xll.ciqfunctions.udf.CIQ($A53, "IQ_REVENUE_EST",$B$7, $L$2, "CON", $L$3, $L$5, $L$6))</f>
        <v>#NAME?</v>
      </c>
      <c r="X53" s="105" t="e">
        <f ca="1">_xll.ciqfunctions.udf.CIQ($A53, "IQ_EBITDA", IQ_LTM-8, $L$2, $L$4, $L$3, $L$5, $L$6)</f>
        <v>#NAME?</v>
      </c>
      <c r="Y53" s="105" t="e">
        <f ca="1">_xll.ciqfunctions.udf.CIQ($A53, "IQ_EBITDA", IQ_LTM-4, $L$2,$L$4, $L$3, $L$5, $L$6)</f>
        <v>#NAME?</v>
      </c>
      <c r="Z53" s="105" t="e">
        <f ca="1">_xll.ciqfunctions.udf.CIQ($A53, "IQ_EBITDA", IQ_LTM, $L$2, $L$4, $L$3, $L$5, $L$6)</f>
        <v>#NAME?</v>
      </c>
      <c r="AA53" s="105" t="e">
        <f ca="1">_xll.ciqfunctions.udf.CIQ($A53, "IQ_EBITDA", $B$2, $L$2, $L$4, $L$3, $L$5, $L$6)</f>
        <v>#NAME?</v>
      </c>
      <c r="AB53" s="105" t="e">
        <f ca="1">IF(_xll.ciqfunctions.udf.CIQ($A53, "IQ_EBITDA", $B$3, $L$2,$L$4, $L$3, $L$5, $L$6)=0,Z53,_xll.ciqfunctions.udf.CIQ($A53, "IQ_EBITDA", $B$3, $L$2,$L$4, $L$3, $L$5, $L$6))</f>
        <v>#NAME?</v>
      </c>
      <c r="AC53" s="105" t="e">
        <f ca="1">IF(_xll.ciqfunctions.udf.CIQ($A53, "IQ_EBITDA_EST",$B$4, $L$2, "CON", $L$3, $L$5, $L$6)=0,"n/a",_xll.ciqfunctions.udf.CIQ($A53, "IQ_EBITDA_EST",$B$4, $L$2, "CON", $L$3, $L$5, $L$6))</f>
        <v>#NAME?</v>
      </c>
      <c r="AD53" s="75" t="e">
        <f ca="1">IF(_xll.ciqfunctions.udf.CIQ($A53, "IQ_EBITDA_EST",$B$5, $L$2, "CON", $L$3, $L$5, $L$6)=0,"n/a",_xll.ciqfunctions.udf.CIQ($A53, "IQ_EBITDA_EST",$B$5, $L$2, "CON", $L$3, $L$5, $L$6))</f>
        <v>#NAME?</v>
      </c>
      <c r="AE53" s="105" t="e">
        <f ca="1">IF(_xll.ciqfunctions.udf.CIQ($A53, "IQ_EBITDA_EST",$B$6, $L$2, "CON", $L$3, $L$5, $L$6)=0,"n/a",_xll.ciqfunctions.udf.CIQ($A53, "IQ_EBITDA_EST",$B$6, $L$2, "CON", $L$3, $L$5, $L$6))</f>
        <v>#NAME?</v>
      </c>
      <c r="AF53" s="106" t="str">
        <f ca="1">IF(ISERROR(_xll.ciqfunctions.udf.CIQ($A53, "IQ_GROSS_MARGIN", IQ_LTM, $L$2,$L$4, $L$3, $L$5, $L$6)/100), "n/a", _xll.ciqfunctions.udf.CIQ($A53,  "IQ_GROSS_MARGIN", IQ_LTM, $L$2, $L$4, $L$3, $L$5, $L$6)/100)</f>
        <v>n/a</v>
      </c>
      <c r="AG53" s="106" t="str">
        <f ca="1">IF(ISERROR(_xll.ciqfunctions.udf.CIQ($A53,"IQ_EBITDA_MARGIN", IQ_LTM, $L$2, $L$4, $L$3, $L$5, $L$6)/100), "n/a", _xll.ciqfunctions.udf.CIQ($A53, "IQ_EBITDA_MARGIN", IQ_LTM, $L$2, $L$4, $L$3, $L$5, $L$6)/100)</f>
        <v>n/a</v>
      </c>
      <c r="AH53" s="106" t="str">
        <f ca="1">IF(ISERROR(_xll.ciqfunctions.udf.CIQ($A53,"IQ_EBIT_MARGIN", IQ_LTM, $L$2, $L$4, $L$3, $L$5, $L$6)/100), "n/a", _xll.ciqfunctions.udf.CIQ($A53, "IQ_EBIT_MARGIN", IQ_LTM, $L$2, $L$4, $L$3, $L$5, $L$6)/100)</f>
        <v>n/a</v>
      </c>
      <c r="AI53" s="106" t="str">
        <f ca="1">IF(ISERROR(_xll.ciqfunctions.udf.CIQ($A53,"IQ_NI_MARGIN", IQ_LTM, $L$2, $L$4, $L$3, $L$5, $L$6)/100), "n/a", _xll.ciqfunctions.udf.CIQ($A53, "IQ_NI_MARGIN", IQ_LTM, $L$2, $L$4, $L$3, $L$5, $L$6)/100)</f>
        <v>n/a</v>
      </c>
      <c r="AJ53" s="105" t="str">
        <f ca="1">IF(ISERROR(_xll.ciqfunctions.udf.CIQ($A53, "IQ_NET_WORKING_CAP", IQ_LTM-8, $L$2, $L$4, $L$3, $L$5, $L$6)), "n/a", _xll.ciqfunctions.udf.CIQ($A53, "IQ_NET_WORKING_CAP", IQ_LTM-8, $L$2, $L$4, $L$3, $L$5, $L$6))</f>
        <v>n/a</v>
      </c>
      <c r="AK53" s="105" t="str">
        <f ca="1">IF(ISERROR(_xll.ciqfunctions.udf.CIQ($A53, "IQ_NET_WORKING_CAP", IQ_LTM-4, $L$2, $L$4, $L$3, $L$5, $L$6)), "n/a", _xll.ciqfunctions.udf.CIQ($A53, "IQ_NET_WORKING_CAP", IQ_LTM-4, $L$2, $L$4, $L$3, $L$5, $L$6))</f>
        <v>n/a</v>
      </c>
      <c r="AL53" s="105" t="str">
        <f ca="1">IF(ISERROR(_xll.ciqfunctions.udf.CIQ($A53, "IQ_NET_WORKING_CAP", IQ_LTM, $L$2,$L$4, $L$3, $L$5, $L$6)), "n/a", _xll.ciqfunctions.udf.CIQ($A53, "IQ_NET_WORKING_CAP", IQ_LTM, $L$2, $L$4, $L$3, $L$5, $L$6))</f>
        <v>n/a</v>
      </c>
      <c r="AM53" s="105" t="str">
        <f ca="1">IF(ISERROR(_xll.ciqfunctions.udf.CIQ($A53, "IQ_Capex", IQ_LTM-8, $L$2,$L$4, $L$3, $L$5, $L$6)), "n/a", _xll.ciqfunctions.udf.CIQ($A53, "IQ_Capex", IQ_LTM-8, $L$2, $L$4, $L$3, $L$5, $L$6))</f>
        <v>n/a</v>
      </c>
      <c r="AN53" s="105" t="str">
        <f ca="1">IF(ISERROR(_xll.ciqfunctions.udf.CIQ($A53, "IQ_Capex", IQ_LTM-4, $L$2,$L$4, $L$3, $L$5, $L$6)), "n/a", _xll.ciqfunctions.udf.CIQ($A53, "IQ_Capex", IQ_LTM-4, $L$2,$L$4, $L$3, $L$5, $L$6))</f>
        <v>n/a</v>
      </c>
      <c r="AO53" s="105" t="str">
        <f ca="1">IF(ISERROR(_xll.ciqfunctions.udf.CIQ($A53, "IQ_Capex", IQ_LTM, $L$2, $L$4, $L$3, $L$5, $L$6)), "n/a", _xll.ciqfunctions.udf.CIQ($A53, "IQ_Capex", IQ_LTM, $L$2, $L$4, $L$3, $L$5, $L$6))</f>
        <v>n/a</v>
      </c>
      <c r="AP53" s="107" t="e">
        <f ca="1">_xll.ciqfunctions.udf.CIQ(A53, "IQ_BUSINESS_DESCRIPTION")</f>
        <v>#NAME?</v>
      </c>
      <c r="AQ53" s="108" t="e">
        <f ca="1">_xll.ciqfunctions.udf.CIQ($A53, "IQ_BETA_1YR", $B$1)</f>
        <v>#NAME?</v>
      </c>
      <c r="AR53" s="108" t="e">
        <f ca="1">_xll.ciqfunctions.udf.CIQ($A53, "IQ_BETA_2YR", $B$1)</f>
        <v>#NAME?</v>
      </c>
      <c r="AS53" s="108" t="e">
        <f ca="1">_xll.ciqfunctions.udf.CIQ($A53, "IQ_BETA_5YR", $B$1)</f>
        <v>#NAME?</v>
      </c>
      <c r="AT53" s="75" t="e">
        <f ca="1">_xll.ciqfunctions.udf.CIQ($B53, "IQ_GP", IQ_LTM,$B$1, ,,"USD")</f>
        <v>#NAME?</v>
      </c>
      <c r="AU53" s="105" t="e">
        <f ca="1">_xll.ciqfunctions.udf.CIQ($A53, "IQ_EARNING_CO", IQ_LTM-8, $L$2, $L$4, $L$3, $L$5, $L$6)</f>
        <v>#NAME?</v>
      </c>
      <c r="AV53" s="105" t="e">
        <f ca="1">_xll.ciqfunctions.udf.CIQ($A53, "IQ_EARNING_CO", IQ_LTM-4, $L$2, $L$4, $L$3, $L$5, $L$6)</f>
        <v>#NAME?</v>
      </c>
      <c r="AW53" s="105" t="e">
        <f ca="1">_xll.ciqfunctions.udf.CIQ($A53, "IQ_EARNING_CO", IQ_LTM, $L$2, $L$4, $L$3, $L$5, $L$6)</f>
        <v>#NAME?</v>
      </c>
      <c r="AX53" s="105" t="e">
        <f ca="1">_xll.ciqfunctions.udf.CIQ($A53, "IQ_EARNING_CO", $B$2, $L$2, $L$4, $L$3, $L$5, $L$6)</f>
        <v>#NAME?</v>
      </c>
      <c r="AY53" s="105" t="e">
        <f ca="1">IF(_xll.ciqfunctions.udf.CIQ($A53, "IQ_EARNING_CO", $B$3, $L$2,$L$4, $L$3, $L$5, $L$6)=0,AW53,_xll.ciqfunctions.udf.CIQ($A53, "IQ_EARNING_CO", $B$3, $L$2,$L$4, $L$3, $L$5, $L$6))</f>
        <v>#NAME?</v>
      </c>
      <c r="AZ53" s="105" t="e">
        <f ca="1">_xll.ciqfunctions.udf.CIQ($A53, "IQ_TOTAL_EQUITY", IQ_LTM-8, $L$2, $L$4, $L$3, $L$5, $L$6)</f>
        <v>#NAME?</v>
      </c>
      <c r="BA53" s="105" t="e">
        <f ca="1">_xll.ciqfunctions.udf.CIQ($A53, "IQ_TOTAL_EQUITY", IQ_LTM-4, $L$2, $L$4, $L$3, $L$5, $L$6)</f>
        <v>#NAME?</v>
      </c>
      <c r="BB53" s="105" t="e">
        <f ca="1">_xll.ciqfunctions.udf.CIQ($A53, "IQ_TOTAL_EQUITY", IQ_LTM, $L$2, $L$4, $L$3, $L$5, $L$6)</f>
        <v>#NAME?</v>
      </c>
      <c r="BC53" s="105" t="e">
        <f ca="1">_xll.ciqfunctions.udf.CIQ($A53, "IQ_TOTAL_EQUITY", $B$2, $L$2, $L$4, $L$3, $L$5, $L$6)</f>
        <v>#NAME?</v>
      </c>
      <c r="BD53" s="105" t="e">
        <f ca="1">IF(_xll.ciqfunctions.udf.CIQ($A53, "IQ_TOTAL_EQUITY", $B$3, $L$2,$L$4, $L$3, $L$5, $L$6)=0,BB53,_xll.ciqfunctions.udf.CIQ($A53, "IQ_TOTAL_EQUITY", $B$3, $L$2,$L$4, $L$3, $L$5, $L$6))</f>
        <v>#NAME?</v>
      </c>
      <c r="BE53" s="105" t="e">
        <f ca="1">_xll.ciqfunctions.udf.CIQ(A53, "IQ_LASTSALEPRICE", $B$8)</f>
        <v>#NAME?</v>
      </c>
      <c r="BF53" s="105" t="e">
        <f ca="1">_xll.ciqfunctions.udf.CIQ($A53, "IQ_MARKETCAP", $B$8, $L$5, $L$6)</f>
        <v>#NAME?</v>
      </c>
      <c r="BG53" s="105" t="e">
        <f ca="1">_xll.ciqfunctions.udf.CIQ($A53, "IQ_TOTAL_DEBT", IQ_LTM, $B$8,$L$4, $L$3, $L$5, $L$6)</f>
        <v>#NAME?</v>
      </c>
      <c r="BH53" s="74" t="e">
        <f ca="1">_xll.ciqfunctions.udf.CIQ($A53,"IQ_PREF_EQUITY",IQ_LTM,$B$8,$L$4,$L$3,$L$5,$L$6)</f>
        <v>#NAME?</v>
      </c>
      <c r="BI53" s="74" t="e">
        <f ca="1">_xll.ciqfunctions.udf.CIQ($A53, "IQ_MINORITY_INTEREST_TOTAL", IQ_LTM,$B$8,$L$4,$L$3,$L$5,$L$6)</f>
        <v>#NAME?</v>
      </c>
      <c r="BJ53" s="105" t="e">
        <f ca="1">_xll.ciqfunctions.udf.CIQ($A53, "IQ_CASH_ST_INVEST", IQ_LTM, $B$8, $L$4, $L$3, $L$5, $L$6)</f>
        <v>#NAME?</v>
      </c>
      <c r="BK53" s="74" t="e">
        <f ca="1">_xll.ciqfunctions.udf.CIQ($A53, "IQ_EFFECT_TAX_RATE")</f>
        <v>#NAME?</v>
      </c>
      <c r="BL53" s="74" t="e">
        <f ca="1">IF(_xll.ciqfunctions.udf.CIQ($A53, "IQ_TOTAL_REV_2YR_ANN_CAGR", IQ_LTM, $B$1,$L$4, $L$3, $L$5, $L$6)="NM","n/a",(_xll.ciqfunctions.udf.CIQ($A53, "IQ_TOTAL_REV_2YR_ANN_CAGR", IQ_LTM, $B$1,$L$4, $L$3, $L$5, $L$6)/100))</f>
        <v>#NAME?</v>
      </c>
      <c r="BM53" s="74" t="e">
        <f ca="1">IF(_xll.ciqfunctions.udf.CIQ($A53, "IQ_TOTAL_REV_3YR_ANN_CAGR", IQ_LTM, $B$1,$L$4, $L$3, $L$5, $L$6)="NM","n/a",(_xll.ciqfunctions.udf.CIQ($A53, "IQ_TOTAL_REV_3YR_ANN_CAGR", IQ_LTM, $B$1,$L$4, $L$3, $L$5, $L$6)/100))</f>
        <v>#NAME?</v>
      </c>
      <c r="BN53" s="74" t="e">
        <f ca="1">IF(_xll.ciqfunctions.udf.CIQ($A53, "IQ_TOTAL_REV_5YR_ANN_CAGR", IQ_LTM, $B$1,$L$4, $L$3, $L$5, $L$6)="NM","n/a",(_xll.ciqfunctions.udf.CIQ($A53, "IQ_TOTAL_REV_5YR_ANN_CAGR", IQ_LTM, $B$1,$L$4, $L$3, $L$5, $L$6)/100))</f>
        <v>#NAME?</v>
      </c>
      <c r="BO53" s="74" t="e">
        <f ca="1">IF(_xll.ciqfunctions.udf.CIQ($A53,"IQ_EBITDA_2YR_ANN_CAGR", IQ_LTM,$B$1,$L$4, $L$3, $L$5, $L$6)="NM","n/a",(_xll.ciqfunctions.udf.CIQ($A53,"IQ_EBITDA_2YR_ANN_CAGR", IQ_LTM,$B$1,$L$4, $L$3, $L$5, $L$6)/100))</f>
        <v>#NAME?</v>
      </c>
      <c r="BP53" s="74" t="e">
        <f ca="1">IF(_xll.ciqfunctions.udf.CIQ($A53,"IQ_EBITDA_3YR_ANN_CAGR", IQ_LTM,$B$1,$L$4, $L$3, $L$5, $L$6)="NM","n/a",(_xll.ciqfunctions.udf.CIQ($A53,"IQ_EBITDA_3YR_ANN_CAGR", IQ_LTM,$B$1,$L$4, $L$3, $L$5, $L$6)/100))</f>
        <v>#NAME?</v>
      </c>
      <c r="BQ53" s="74" t="e">
        <f ca="1">IF(_xll.ciqfunctions.udf.CIQ($A53,"IQ_EBITDA_5YR_ANN_CAGR", IQ_LTM,$B$1,$L$4, $L$3, $L$5, $L$6)="NM","n/a",(_xll.ciqfunctions.udf.CIQ($A53,"IQ_EBITDA_5YR_ANN_CAGR", IQ_LTM,$B$1,$L$4, $L$3, $L$5, $L$6)/100))</f>
        <v>#NAME?</v>
      </c>
      <c r="BR53" s="78" t="str">
        <f ca="1">IFERROR((_xll.ciqfunctions.udf.CIQ($A53, "IQ_DA_CF", IQ_LTM, $B$1, $L$4, $L$3, $L$5, $L$6)/Q53),"NM")</f>
        <v>NM</v>
      </c>
      <c r="BS53" s="106">
        <f>'Capital IQ Sheet-GPC'!BS53</f>
        <v>0.73849289680398411</v>
      </c>
      <c r="BT53" s="106" t="str">
        <f>'Capital IQ Sheet-GPC'!BT53</f>
        <v>n/a</v>
      </c>
      <c r="BU53" s="106" t="str">
        <f>'Capital IQ Sheet-GPC'!BU53</f>
        <v>n/a</v>
      </c>
      <c r="BV53" s="106" t="str">
        <f>'Capital IQ Sheet-GPC'!BV53</f>
        <v>n/a</v>
      </c>
      <c r="BW53" s="106" t="str">
        <f>'Capital IQ Sheet-GPC'!BW53</f>
        <v>n/a</v>
      </c>
      <c r="BX53" s="106" t="str">
        <f>'Capital IQ Sheet-GPC'!BX53</f>
        <v>n/a</v>
      </c>
      <c r="BY53" s="106" t="str">
        <f>'Capital IQ Sheet-GPC'!BY53</f>
        <v>n/a</v>
      </c>
      <c r="BZ53" s="106" t="str">
        <f>'Capital IQ Sheet-GPC'!BZ53</f>
        <v>n/a</v>
      </c>
    </row>
    <row r="54" spans="1:83">
      <c r="A54" s="73"/>
      <c r="J54" s="103"/>
      <c r="M54" s="77"/>
      <c r="N54" s="77"/>
      <c r="O54" s="77"/>
      <c r="P54" s="77"/>
      <c r="Q54" s="77"/>
      <c r="R54" s="77"/>
      <c r="S54" s="77"/>
      <c r="T54" s="77"/>
      <c r="U54" s="77"/>
      <c r="V54" s="77"/>
      <c r="W54" s="77"/>
      <c r="X54" s="77"/>
      <c r="Y54" s="77"/>
      <c r="Z54" s="77"/>
      <c r="AA54" s="77"/>
      <c r="AB54" s="77"/>
      <c r="AC54" s="77"/>
      <c r="AD54" s="77"/>
      <c r="AE54" s="77"/>
      <c r="AF54" s="77"/>
      <c r="AG54" s="77"/>
      <c r="AH54" s="77"/>
      <c r="AI54" s="77"/>
      <c r="AJ54" s="77"/>
      <c r="AK54" s="77"/>
      <c r="AL54" s="77"/>
      <c r="AM54" s="77"/>
      <c r="AN54" s="77"/>
      <c r="AO54" s="77"/>
      <c r="AP54" s="77"/>
      <c r="AQ54" s="73"/>
      <c r="AR54" s="77"/>
      <c r="AS54" s="73"/>
      <c r="AT54" s="77"/>
      <c r="AU54" s="73"/>
      <c r="AV54" s="73"/>
      <c r="AW54" s="73"/>
      <c r="AX54" s="73"/>
      <c r="AY54" s="73"/>
      <c r="AZ54" s="73"/>
      <c r="BA54" s="73"/>
      <c r="BB54" s="73"/>
      <c r="BC54" s="77"/>
      <c r="BD54" s="73"/>
      <c r="BE54" s="73"/>
      <c r="BF54" s="73"/>
      <c r="BG54" s="73"/>
      <c r="BH54" s="73"/>
      <c r="BI54" s="73"/>
      <c r="BJ54" s="73"/>
      <c r="BK54" s="73"/>
      <c r="BL54" s="73"/>
      <c r="BM54" s="73"/>
      <c r="BN54" s="73"/>
      <c r="BO54" s="73"/>
      <c r="BP54" s="73"/>
      <c r="BQ54" s="73"/>
      <c r="BR54" s="73"/>
      <c r="BS54" s="73"/>
      <c r="BT54" s="73"/>
      <c r="BU54" s="73"/>
      <c r="BV54" s="73"/>
      <c r="BW54" s="73"/>
      <c r="BX54" s="73"/>
      <c r="BY54" s="73"/>
      <c r="BZ54" s="73"/>
      <c r="CE54" s="73"/>
    </row>
    <row r="55" spans="1:83">
      <c r="A55" s="73"/>
      <c r="J55" s="103"/>
      <c r="L55" s="100"/>
      <c r="M55" s="77"/>
      <c r="N55" s="77"/>
      <c r="O55" s="77"/>
      <c r="P55" s="77"/>
      <c r="Q55" s="77"/>
      <c r="R55" s="77"/>
      <c r="S55" s="77"/>
      <c r="T55" s="77"/>
      <c r="U55" s="77"/>
      <c r="V55" s="77"/>
      <c r="W55" s="77"/>
      <c r="X55" s="77"/>
      <c r="Y55" s="77"/>
      <c r="Z55" s="77"/>
      <c r="AA55" s="77"/>
      <c r="AB55" s="77"/>
      <c r="AC55" s="77"/>
      <c r="AD55" s="77"/>
      <c r="AE55" s="77"/>
      <c r="AF55" s="77"/>
      <c r="AG55" s="77"/>
      <c r="AH55" s="77"/>
      <c r="AI55" s="77"/>
      <c r="AJ55" s="77"/>
      <c r="AK55" s="77"/>
      <c r="AL55" s="77"/>
      <c r="AM55" s="77"/>
      <c r="AN55" s="77"/>
      <c r="AO55" s="77"/>
      <c r="AP55" s="77"/>
      <c r="AQ55" s="73"/>
      <c r="AR55" s="77"/>
      <c r="AS55" s="73"/>
      <c r="AT55" s="77"/>
      <c r="AU55" s="73"/>
      <c r="AV55" s="73"/>
      <c r="AW55" s="73"/>
      <c r="AX55" s="73"/>
      <c r="AY55" s="73"/>
      <c r="AZ55" s="73"/>
      <c r="BA55" s="73"/>
      <c r="BB55" s="73"/>
      <c r="BC55" s="77"/>
      <c r="BD55" s="73"/>
      <c r="BE55" s="73"/>
      <c r="BF55" s="73"/>
      <c r="BG55" s="73"/>
      <c r="BH55" s="73"/>
      <c r="BI55" s="73"/>
      <c r="BJ55" s="73"/>
      <c r="BK55" s="73"/>
      <c r="BL55" s="73"/>
      <c r="BM55" s="73"/>
      <c r="BN55" s="73"/>
      <c r="BO55" s="73"/>
      <c r="BP55" s="73"/>
      <c r="BQ55" s="73"/>
      <c r="BR55" s="73"/>
      <c r="BS55" s="73"/>
      <c r="BT55" s="73"/>
      <c r="BU55" s="73"/>
      <c r="BV55" s="73"/>
      <c r="BW55" s="73"/>
      <c r="BX55" s="73"/>
      <c r="BY55" s="73"/>
      <c r="BZ55" s="73"/>
      <c r="CE55" s="73"/>
    </row>
    <row r="56" spans="1:83" ht="12.75">
      <c r="A56" s="73"/>
      <c r="B56" s="150" t="s">
        <v>128</v>
      </c>
      <c r="C56" s="151" t="s">
        <v>856</v>
      </c>
      <c r="D56" s="152" t="s">
        <v>857</v>
      </c>
      <c r="E56" s="153" t="s">
        <v>127</v>
      </c>
      <c r="F56" s="154"/>
      <c r="G56" s="154"/>
      <c r="H56" s="154"/>
      <c r="I56" s="154"/>
      <c r="J56" s="147"/>
      <c r="K56" s="148"/>
      <c r="L56" s="100"/>
      <c r="M56" s="77"/>
      <c r="N56" s="77"/>
      <c r="O56" s="77"/>
      <c r="P56" s="77"/>
      <c r="Q56" s="77"/>
      <c r="R56" s="77"/>
      <c r="S56" s="77"/>
      <c r="T56" s="77"/>
      <c r="U56" s="77"/>
      <c r="V56" s="77"/>
      <c r="W56" s="77"/>
      <c r="X56" s="77"/>
      <c r="Y56" s="77"/>
      <c r="Z56" s="77"/>
      <c r="AA56" s="77"/>
      <c r="AB56" s="77"/>
      <c r="AC56" s="77"/>
      <c r="AD56" s="77"/>
      <c r="AE56" s="77"/>
      <c r="AF56" s="77"/>
      <c r="AG56" s="77"/>
      <c r="AH56" s="77"/>
      <c r="AI56" s="77"/>
      <c r="AJ56" s="77"/>
      <c r="AK56" s="77"/>
      <c r="AL56" s="77"/>
      <c r="AM56" s="77"/>
      <c r="AN56" s="77"/>
      <c r="AO56" s="77"/>
      <c r="AP56" s="77"/>
      <c r="AQ56" s="73"/>
      <c r="AR56" s="77"/>
      <c r="AS56" s="73"/>
      <c r="AT56" s="77"/>
      <c r="AU56" s="73"/>
      <c r="AV56" s="73"/>
      <c r="AW56" s="73"/>
      <c r="AX56" s="73"/>
      <c r="AY56" s="73"/>
      <c r="AZ56" s="73"/>
      <c r="BA56" s="73"/>
      <c r="BB56" s="73"/>
      <c r="BC56" s="77"/>
      <c r="BD56" s="73"/>
      <c r="BE56" s="73"/>
      <c r="BF56" s="73"/>
      <c r="BG56" s="73"/>
      <c r="BH56" s="73"/>
      <c r="BI56" s="73"/>
      <c r="BJ56" s="73"/>
      <c r="BK56" s="73"/>
      <c r="BL56" s="73"/>
      <c r="BM56" s="73"/>
      <c r="BN56" s="73"/>
      <c r="BO56" s="73"/>
      <c r="BP56" s="73"/>
      <c r="BQ56" s="73"/>
      <c r="BR56" s="73"/>
      <c r="BS56" s="73"/>
      <c r="BT56" s="73"/>
      <c r="BU56" s="73"/>
      <c r="BV56" s="73"/>
      <c r="BW56" s="73"/>
      <c r="BX56" s="73"/>
      <c r="BY56" s="73"/>
      <c r="BZ56" s="73"/>
      <c r="CE56" s="73"/>
    </row>
    <row r="57" spans="1:83" ht="12.75">
      <c r="A57" s="73"/>
      <c r="B57" s="118" t="s">
        <v>131</v>
      </c>
      <c r="C57" s="155">
        <f>1/12</f>
        <v>8.3333333333333329E-2</v>
      </c>
      <c r="D57" s="156" t="e">
        <f ca="1">_xll.ciqfunctions.udf.CIQSP(B57, "IQ_LASTSALEPRICE",$B$1)/100</f>
        <v>#NAME?</v>
      </c>
      <c r="E57" s="157" t="e">
        <f ca="1">IF((_xll.ciqfunctions.udf.CIQ(B57, "IQ_COMPANY_NAME"))="(Invalid Identifier)","",(_xll.ciqfunctions.udf.CIQ(B57, "IQ_COMPANY_NAME")))</f>
        <v>#NAME?</v>
      </c>
      <c r="F57" s="158"/>
      <c r="G57" s="158"/>
      <c r="H57" s="158"/>
      <c r="I57" s="158"/>
      <c r="J57" s="123"/>
      <c r="K57" s="124"/>
      <c r="M57" s="77"/>
      <c r="N57" s="77"/>
      <c r="O57" s="77"/>
      <c r="P57" s="77"/>
      <c r="Q57" s="77"/>
      <c r="R57" s="77"/>
      <c r="S57" s="77"/>
      <c r="T57" s="77"/>
      <c r="U57" s="77"/>
      <c r="V57" s="77"/>
      <c r="W57" s="77"/>
      <c r="X57" s="77"/>
      <c r="Y57" s="77"/>
      <c r="Z57" s="77"/>
      <c r="AA57" s="77"/>
      <c r="AB57" s="77"/>
      <c r="AC57" s="77"/>
      <c r="AD57" s="77"/>
      <c r="AE57" s="77"/>
      <c r="AF57" s="77"/>
      <c r="AG57" s="77"/>
      <c r="AH57" s="77"/>
      <c r="AI57" s="77"/>
      <c r="AJ57" s="77"/>
      <c r="AK57" s="77"/>
      <c r="AL57" s="77"/>
      <c r="AM57" s="77"/>
      <c r="AN57" s="77"/>
      <c r="AO57" s="77"/>
      <c r="AP57" s="77"/>
      <c r="AQ57" s="73"/>
      <c r="AR57" s="77"/>
      <c r="AS57" s="73"/>
      <c r="AT57" s="77"/>
      <c r="AU57" s="73"/>
      <c r="AV57" s="73"/>
      <c r="AW57" s="73"/>
      <c r="AX57" s="73"/>
      <c r="AY57" s="73"/>
      <c r="AZ57" s="73"/>
      <c r="BA57" s="73"/>
      <c r="BB57" s="73"/>
      <c r="BC57" s="77"/>
      <c r="BD57" s="73"/>
      <c r="BE57" s="73"/>
      <c r="BF57" s="73"/>
      <c r="BG57" s="73"/>
      <c r="BH57" s="73"/>
      <c r="BI57" s="73"/>
      <c r="BJ57" s="73"/>
      <c r="BK57" s="73"/>
      <c r="BL57" s="73"/>
      <c r="BM57" s="73"/>
      <c r="BN57" s="73"/>
      <c r="BO57" s="73"/>
      <c r="BP57" s="73"/>
      <c r="BQ57" s="73"/>
      <c r="BR57" s="73"/>
      <c r="BS57" s="73"/>
      <c r="BT57" s="73"/>
      <c r="BU57" s="73"/>
      <c r="BV57" s="73"/>
      <c r="BW57" s="73"/>
      <c r="BX57" s="73"/>
      <c r="BY57" s="73"/>
      <c r="BZ57" s="73"/>
      <c r="CE57" s="73"/>
    </row>
    <row r="58" spans="1:83" ht="12.75">
      <c r="A58" s="73"/>
      <c r="B58" s="159" t="s">
        <v>132</v>
      </c>
      <c r="C58" s="160">
        <f>3/12</f>
        <v>0.25</v>
      </c>
      <c r="D58" s="90" t="e">
        <f ca="1">_xll.ciqfunctions.udf.CIQSP(B58, "IQ_LASTSALEPRICE",$B$1)/100</f>
        <v>#NAME?</v>
      </c>
      <c r="E58" s="157" t="e">
        <f ca="1">IF((_xll.ciqfunctions.udf.CIQ(B58, "IQ_COMPANY_NAME"))="(Invalid Identifier)","",(_xll.ciqfunctions.udf.CIQ(B58, "IQ_COMPANY_NAME")))</f>
        <v>#NAME?</v>
      </c>
      <c r="F58" s="158"/>
      <c r="G58" s="158"/>
      <c r="H58" s="158"/>
      <c r="I58" s="158"/>
      <c r="J58" s="123"/>
      <c r="K58" s="124"/>
      <c r="M58" s="77"/>
      <c r="N58" s="77"/>
      <c r="O58" s="77"/>
      <c r="P58" s="77"/>
      <c r="Q58" s="77"/>
      <c r="R58" s="77"/>
      <c r="S58" s="77"/>
      <c r="T58" s="77"/>
      <c r="U58" s="77"/>
      <c r="V58" s="77"/>
      <c r="W58" s="77"/>
      <c r="X58" s="77"/>
      <c r="Y58" s="77"/>
      <c r="Z58" s="77"/>
      <c r="AA58" s="77"/>
      <c r="AB58" s="77"/>
      <c r="AC58" s="77"/>
      <c r="AD58" s="77"/>
      <c r="AE58" s="77"/>
      <c r="AF58" s="77"/>
      <c r="AG58" s="77"/>
      <c r="AH58" s="77"/>
      <c r="AI58" s="77"/>
      <c r="AJ58" s="77"/>
      <c r="AK58" s="77"/>
      <c r="AL58" s="77"/>
      <c r="AM58" s="77"/>
      <c r="AN58" s="77"/>
      <c r="AO58" s="77"/>
      <c r="AP58" s="77"/>
      <c r="AQ58" s="73"/>
      <c r="AR58" s="77"/>
      <c r="AS58" s="73"/>
      <c r="AT58" s="77"/>
      <c r="AU58" s="73"/>
      <c r="AV58" s="73"/>
      <c r="AW58" s="73"/>
      <c r="AX58" s="73"/>
      <c r="AY58" s="73"/>
      <c r="AZ58" s="73"/>
      <c r="BA58" s="73"/>
      <c r="BB58" s="73"/>
      <c r="BC58" s="77"/>
      <c r="BD58" s="73"/>
      <c r="BE58" s="73"/>
      <c r="BF58" s="73"/>
      <c r="BG58" s="73"/>
      <c r="BH58" s="73"/>
      <c r="BI58" s="73"/>
      <c r="BJ58" s="73"/>
      <c r="BK58" s="73"/>
      <c r="BL58" s="73"/>
      <c r="BM58" s="73"/>
      <c r="BN58" s="73"/>
      <c r="BO58" s="73"/>
      <c r="BP58" s="73"/>
      <c r="BQ58" s="73"/>
      <c r="BR58" s="73"/>
      <c r="BS58" s="73"/>
      <c r="BT58" s="73"/>
      <c r="BU58" s="73"/>
      <c r="BV58" s="73"/>
      <c r="BW58" s="73"/>
      <c r="BX58" s="73"/>
      <c r="BY58" s="73"/>
      <c r="BZ58" s="73"/>
      <c r="CE58" s="73"/>
    </row>
    <row r="59" spans="1:83" ht="12.75">
      <c r="A59" s="73"/>
      <c r="B59" s="159" t="s">
        <v>133</v>
      </c>
      <c r="C59" s="160">
        <f>6/12</f>
        <v>0.5</v>
      </c>
      <c r="D59" s="90" t="e">
        <f ca="1">_xll.ciqfunctions.udf.CIQSP(B59, "IQ_LASTSALEPRICE",$B$1)/100</f>
        <v>#NAME?</v>
      </c>
      <c r="E59" s="157" t="e">
        <f ca="1">IF((_xll.ciqfunctions.udf.CIQ(B59, "IQ_COMPANY_NAME"))="(Invalid Identifier)","",(_xll.ciqfunctions.udf.CIQ(B59, "IQ_COMPANY_NAME")))</f>
        <v>#NAME?</v>
      </c>
      <c r="F59" s="158"/>
      <c r="G59" s="158"/>
      <c r="H59" s="158"/>
      <c r="I59" s="158"/>
      <c r="J59" s="123"/>
      <c r="K59" s="124"/>
      <c r="M59" s="77"/>
      <c r="N59" s="77"/>
      <c r="O59" s="77"/>
      <c r="P59" s="77"/>
      <c r="Q59" s="77"/>
      <c r="R59" s="77"/>
      <c r="S59" s="77"/>
      <c r="T59" s="77"/>
      <c r="U59" s="77"/>
      <c r="V59" s="77"/>
      <c r="W59" s="77"/>
      <c r="X59" s="77"/>
      <c r="Y59" s="77"/>
      <c r="Z59" s="77"/>
      <c r="AA59" s="77"/>
      <c r="AB59" s="77"/>
      <c r="AC59" s="77"/>
      <c r="AD59" s="77"/>
      <c r="AE59" s="77"/>
      <c r="AF59" s="77"/>
      <c r="AG59" s="77"/>
      <c r="AH59" s="77"/>
      <c r="AI59" s="77"/>
      <c r="AJ59" s="77"/>
      <c r="AK59" s="77"/>
      <c r="AL59" s="77"/>
      <c r="AM59" s="77"/>
      <c r="AN59" s="77"/>
      <c r="AO59" s="77"/>
      <c r="AP59" s="77"/>
      <c r="AQ59" s="73"/>
      <c r="AR59" s="77"/>
      <c r="AS59" s="73"/>
      <c r="AT59" s="77"/>
      <c r="AU59" s="73"/>
      <c r="AV59" s="73"/>
      <c r="AW59" s="73"/>
      <c r="AX59" s="73"/>
      <c r="AY59" s="73"/>
      <c r="AZ59" s="73"/>
      <c r="BA59" s="73"/>
      <c r="BB59" s="73"/>
      <c r="BC59" s="77"/>
      <c r="BD59" s="73"/>
      <c r="BE59" s="73"/>
      <c r="BF59" s="73"/>
      <c r="BG59" s="73"/>
      <c r="BH59" s="73"/>
      <c r="BI59" s="73"/>
      <c r="BJ59" s="73"/>
      <c r="BK59" s="73"/>
      <c r="BL59" s="73"/>
      <c r="BM59" s="73"/>
      <c r="BN59" s="73"/>
      <c r="BO59" s="73"/>
      <c r="BP59" s="73"/>
      <c r="BQ59" s="73"/>
      <c r="BR59" s="73"/>
      <c r="BS59" s="73"/>
      <c r="BT59" s="73"/>
      <c r="BU59" s="73"/>
      <c r="BV59" s="73"/>
      <c r="BW59" s="73"/>
      <c r="BX59" s="73"/>
      <c r="BY59" s="73"/>
      <c r="BZ59" s="73"/>
      <c r="CE59" s="73"/>
    </row>
    <row r="60" spans="1:83" ht="12.75">
      <c r="A60" s="73"/>
      <c r="B60" s="159" t="s">
        <v>134</v>
      </c>
      <c r="C60" s="160">
        <v>1</v>
      </c>
      <c r="D60" s="90" t="e">
        <f ca="1">_xll.ciqfunctions.udf.CIQSP(B60, "IQ_LASTSALEPRICE",$B$1)/100</f>
        <v>#NAME?</v>
      </c>
      <c r="E60" s="157" t="e">
        <f ca="1">IF((_xll.ciqfunctions.udf.CIQ(B60, "IQ_COMPANY_NAME"))="(Invalid Identifier)","",(_xll.ciqfunctions.udf.CIQ(B60, "IQ_COMPANY_NAME")))</f>
        <v>#NAME?</v>
      </c>
      <c r="F60" s="158"/>
      <c r="G60" s="158"/>
      <c r="H60" s="158"/>
      <c r="I60" s="158"/>
      <c r="J60" s="123"/>
      <c r="K60" s="124"/>
      <c r="M60" s="77"/>
      <c r="N60" s="77"/>
      <c r="O60" s="77"/>
      <c r="P60" s="77"/>
      <c r="Q60" s="77"/>
      <c r="R60" s="77"/>
      <c r="S60" s="77"/>
      <c r="T60" s="77"/>
      <c r="U60" s="77"/>
      <c r="V60" s="77"/>
      <c r="W60" s="77"/>
      <c r="X60" s="77"/>
      <c r="Y60" s="77"/>
      <c r="Z60" s="77"/>
      <c r="AA60" s="77"/>
      <c r="AB60" s="77"/>
      <c r="AC60" s="77"/>
      <c r="AD60" s="77"/>
      <c r="AE60" s="77"/>
      <c r="AF60" s="77"/>
      <c r="AG60" s="77"/>
      <c r="AH60" s="77"/>
      <c r="AI60" s="77"/>
      <c r="AJ60" s="77"/>
      <c r="AK60" s="77"/>
      <c r="AL60" s="77"/>
      <c r="AM60" s="77"/>
      <c r="AN60" s="77"/>
      <c r="AO60" s="77"/>
      <c r="AP60" s="77"/>
      <c r="AQ60" s="73"/>
      <c r="AR60" s="77"/>
      <c r="AS60" s="73"/>
      <c r="AT60" s="77"/>
      <c r="AU60" s="73"/>
      <c r="AV60" s="73"/>
      <c r="AW60" s="73"/>
      <c r="AX60" s="73"/>
      <c r="AY60" s="73"/>
      <c r="AZ60" s="73"/>
      <c r="BA60" s="73"/>
      <c r="BB60" s="73"/>
      <c r="BC60" s="77"/>
      <c r="BD60" s="73"/>
      <c r="BE60" s="73"/>
      <c r="BF60" s="73"/>
      <c r="BG60" s="73"/>
      <c r="BH60" s="73"/>
      <c r="BI60" s="73"/>
      <c r="BJ60" s="73"/>
      <c r="BK60" s="73"/>
      <c r="BL60" s="73"/>
      <c r="BM60" s="73"/>
      <c r="BN60" s="73"/>
      <c r="BO60" s="73"/>
      <c r="BP60" s="73"/>
      <c r="BQ60" s="73"/>
      <c r="BR60" s="73"/>
      <c r="BS60" s="73"/>
      <c r="BT60" s="73"/>
      <c r="BU60" s="73"/>
      <c r="BV60" s="73"/>
      <c r="BW60" s="73"/>
      <c r="BX60" s="73"/>
      <c r="BY60" s="73"/>
      <c r="BZ60" s="73"/>
      <c r="CE60" s="73"/>
    </row>
    <row r="61" spans="1:83" ht="12.75">
      <c r="A61" s="73"/>
      <c r="B61" s="159" t="s">
        <v>135</v>
      </c>
      <c r="C61" s="160">
        <v>2</v>
      </c>
      <c r="D61" s="90" t="e">
        <f ca="1">_xll.ciqfunctions.udf.CIQSP(B61, "IQ_LASTSALEPRICE",$B$1)/100</f>
        <v>#NAME?</v>
      </c>
      <c r="E61" s="157" t="e">
        <f ca="1">IF((_xll.ciqfunctions.udf.CIQ(B61, "IQ_COMPANY_NAME"))="(Invalid Identifier)","",(_xll.ciqfunctions.udf.CIQ(B61, "IQ_COMPANY_NAME")))</f>
        <v>#NAME?</v>
      </c>
      <c r="F61" s="158"/>
      <c r="G61" s="158"/>
      <c r="H61" s="158"/>
      <c r="I61" s="158"/>
      <c r="J61" s="123"/>
      <c r="K61" s="124"/>
      <c r="M61" s="77"/>
      <c r="N61" s="77"/>
      <c r="O61" s="77"/>
      <c r="P61" s="77"/>
      <c r="Q61" s="77"/>
      <c r="R61" s="77"/>
      <c r="S61" s="77"/>
      <c r="T61" s="77"/>
      <c r="U61" s="77"/>
      <c r="V61" s="77"/>
      <c r="W61" s="77"/>
      <c r="X61" s="77"/>
      <c r="Y61" s="77"/>
      <c r="Z61" s="77"/>
      <c r="AA61" s="77"/>
      <c r="AB61" s="77"/>
      <c r="AC61" s="77"/>
      <c r="AD61" s="77"/>
      <c r="AE61" s="77"/>
      <c r="AF61" s="77"/>
      <c r="AG61" s="77"/>
      <c r="AH61" s="77"/>
      <c r="AI61" s="77"/>
      <c r="AJ61" s="77"/>
      <c r="AK61" s="77"/>
      <c r="AL61" s="77"/>
      <c r="AM61" s="77"/>
      <c r="AN61" s="77"/>
      <c r="AO61" s="77"/>
      <c r="AP61" s="77"/>
      <c r="AQ61" s="73"/>
      <c r="AR61" s="77"/>
      <c r="AS61" s="73"/>
      <c r="AT61" s="77"/>
      <c r="AU61" s="73"/>
      <c r="AV61" s="73"/>
      <c r="AW61" s="73"/>
      <c r="AX61" s="73"/>
      <c r="AY61" s="73"/>
      <c r="AZ61" s="73"/>
      <c r="BA61" s="73"/>
      <c r="BB61" s="73"/>
      <c r="BC61" s="77"/>
      <c r="BD61" s="73"/>
      <c r="BE61" s="73"/>
      <c r="BF61" s="73"/>
      <c r="BG61" s="73"/>
      <c r="BH61" s="73"/>
      <c r="BI61" s="73"/>
      <c r="BJ61" s="73"/>
      <c r="BK61" s="73"/>
      <c r="BL61" s="73"/>
      <c r="BM61" s="73"/>
      <c r="BN61" s="73"/>
      <c r="BO61" s="73"/>
      <c r="BP61" s="73"/>
      <c r="BQ61" s="73"/>
      <c r="BR61" s="73"/>
      <c r="BS61" s="73"/>
      <c r="BT61" s="73"/>
      <c r="BU61" s="73"/>
      <c r="BV61" s="73"/>
      <c r="BW61" s="73"/>
      <c r="BX61" s="73"/>
      <c r="BY61" s="73"/>
      <c r="BZ61" s="73"/>
      <c r="CE61" s="73"/>
    </row>
    <row r="62" spans="1:83" ht="12.75">
      <c r="A62" s="73"/>
      <c r="B62" s="159" t="s">
        <v>136</v>
      </c>
      <c r="C62" s="160">
        <v>3</v>
      </c>
      <c r="D62" s="90" t="e">
        <f ca="1">_xll.ciqfunctions.udf.CIQSP(B62, "IQ_LASTSALEPRICE",$B$1)/100</f>
        <v>#NAME?</v>
      </c>
      <c r="E62" s="157" t="e">
        <f ca="1">IF((_xll.ciqfunctions.udf.CIQ(B62, "IQ_COMPANY_NAME"))="(Invalid Identifier)","",(_xll.ciqfunctions.udf.CIQ(B62, "IQ_COMPANY_NAME")))</f>
        <v>#NAME?</v>
      </c>
      <c r="F62" s="158"/>
      <c r="G62" s="158"/>
      <c r="H62" s="158"/>
      <c r="I62" s="158"/>
      <c r="J62" s="123"/>
      <c r="K62" s="124"/>
      <c r="M62" s="77"/>
      <c r="N62" s="77"/>
      <c r="O62" s="77"/>
      <c r="P62" s="77"/>
      <c r="Q62" s="77"/>
      <c r="R62" s="77"/>
      <c r="S62" s="77"/>
      <c r="T62" s="77"/>
      <c r="U62" s="77"/>
      <c r="V62" s="77"/>
      <c r="W62" s="77"/>
      <c r="X62" s="77"/>
      <c r="Y62" s="77"/>
      <c r="Z62" s="77"/>
      <c r="AA62" s="77"/>
      <c r="AB62" s="77"/>
      <c r="AC62" s="77"/>
      <c r="AD62" s="77"/>
      <c r="AE62" s="77"/>
      <c r="AF62" s="77"/>
      <c r="AG62" s="77"/>
      <c r="AH62" s="77"/>
      <c r="AI62" s="77"/>
      <c r="AJ62" s="77"/>
      <c r="AK62" s="77"/>
      <c r="AL62" s="77"/>
      <c r="AM62" s="77"/>
      <c r="AN62" s="77"/>
      <c r="AO62" s="77"/>
      <c r="AP62" s="77"/>
      <c r="AQ62" s="73"/>
      <c r="AR62" s="77"/>
      <c r="AS62" s="73"/>
      <c r="AT62" s="77"/>
      <c r="AU62" s="73"/>
      <c r="AV62" s="73"/>
      <c r="AW62" s="73"/>
      <c r="AX62" s="73"/>
      <c r="AY62" s="73"/>
      <c r="AZ62" s="73"/>
      <c r="BA62" s="73"/>
      <c r="BB62" s="73"/>
      <c r="BC62" s="77"/>
      <c r="BD62" s="73"/>
      <c r="BE62" s="73"/>
      <c r="BF62" s="73"/>
      <c r="BG62" s="73"/>
      <c r="BH62" s="73"/>
      <c r="BI62" s="73"/>
      <c r="BJ62" s="73"/>
      <c r="BK62" s="73"/>
      <c r="BL62" s="73"/>
      <c r="BM62" s="73"/>
      <c r="BN62" s="73"/>
      <c r="BO62" s="73"/>
      <c r="BP62" s="73"/>
      <c r="BQ62" s="73"/>
      <c r="BR62" s="73"/>
      <c r="BS62" s="73"/>
      <c r="BT62" s="73"/>
      <c r="BU62" s="73"/>
      <c r="BV62" s="73"/>
      <c r="BW62" s="73"/>
      <c r="BX62" s="73"/>
      <c r="BY62" s="73"/>
      <c r="BZ62" s="73"/>
      <c r="CE62" s="73"/>
    </row>
    <row r="63" spans="1:83" ht="12.75">
      <c r="A63" s="73"/>
      <c r="B63" s="159" t="s">
        <v>137</v>
      </c>
      <c r="C63" s="160">
        <v>5</v>
      </c>
      <c r="D63" s="90" t="e">
        <f ca="1">_xll.ciqfunctions.udf.CIQSP(B63, "IQ_LASTSALEPRICE",$B$1)/100</f>
        <v>#NAME?</v>
      </c>
      <c r="E63" s="157" t="e">
        <f ca="1">IF((_xll.ciqfunctions.udf.CIQ(B63, "IQ_COMPANY_NAME"))="(Invalid Identifier)","",(_xll.ciqfunctions.udf.CIQ(B63, "IQ_COMPANY_NAME")))</f>
        <v>#NAME?</v>
      </c>
      <c r="F63" s="158"/>
      <c r="G63" s="158"/>
      <c r="H63" s="158"/>
      <c r="I63" s="158"/>
      <c r="J63" s="123"/>
      <c r="K63" s="124"/>
      <c r="M63" s="77"/>
      <c r="N63" s="77"/>
      <c r="O63" s="77"/>
      <c r="P63" s="77"/>
      <c r="Q63" s="77"/>
      <c r="R63" s="77"/>
      <c r="S63" s="77"/>
      <c r="T63" s="77"/>
      <c r="U63" s="77"/>
      <c r="V63" s="77"/>
      <c r="W63" s="77"/>
      <c r="X63" s="77"/>
      <c r="Y63" s="77"/>
      <c r="Z63" s="77"/>
      <c r="AA63" s="77"/>
      <c r="AB63" s="77"/>
      <c r="AC63" s="77"/>
      <c r="AD63" s="77"/>
      <c r="AE63" s="77"/>
      <c r="AF63" s="77"/>
      <c r="AG63" s="77"/>
      <c r="AH63" s="77"/>
      <c r="AI63" s="77"/>
      <c r="AJ63" s="77"/>
      <c r="AK63" s="77"/>
      <c r="AL63" s="77"/>
      <c r="AM63" s="77"/>
      <c r="AN63" s="77"/>
      <c r="AO63" s="77"/>
      <c r="AP63" s="77"/>
      <c r="AQ63" s="73"/>
      <c r="AR63" s="77"/>
      <c r="AS63" s="73"/>
      <c r="AT63" s="77"/>
      <c r="AU63" s="73"/>
      <c r="AV63" s="73"/>
      <c r="AW63" s="73"/>
      <c r="AX63" s="73"/>
      <c r="AY63" s="73"/>
      <c r="AZ63" s="73"/>
      <c r="BA63" s="73"/>
      <c r="BB63" s="73"/>
      <c r="BC63" s="77"/>
      <c r="BD63" s="73"/>
      <c r="BE63" s="73"/>
      <c r="BF63" s="73"/>
      <c r="BG63" s="73"/>
      <c r="BH63" s="73"/>
      <c r="BI63" s="73"/>
      <c r="BJ63" s="73"/>
      <c r="BK63" s="73"/>
      <c r="BL63" s="73"/>
      <c r="BM63" s="73"/>
      <c r="BN63" s="73"/>
      <c r="BO63" s="73"/>
      <c r="BP63" s="73"/>
      <c r="BQ63" s="73"/>
      <c r="BR63" s="73"/>
      <c r="BS63" s="73"/>
      <c r="BT63" s="73"/>
      <c r="BU63" s="73"/>
      <c r="BV63" s="73"/>
      <c r="BW63" s="73"/>
      <c r="BX63" s="73"/>
      <c r="BY63" s="73"/>
      <c r="BZ63" s="73"/>
      <c r="CE63" s="73"/>
    </row>
    <row r="64" spans="1:83" ht="12.75">
      <c r="A64" s="73"/>
      <c r="B64" s="159" t="s">
        <v>138</v>
      </c>
      <c r="C64" s="160">
        <v>7</v>
      </c>
      <c r="D64" s="90" t="e">
        <f ca="1">_xll.ciqfunctions.udf.CIQSP(B64, "IQ_LASTSALEPRICE",$B$1)/100</f>
        <v>#NAME?</v>
      </c>
      <c r="E64" s="157" t="e">
        <f ca="1">IF((_xll.ciqfunctions.udf.CIQ(B64, "IQ_COMPANY_NAME"))="(Invalid Identifier)","",(_xll.ciqfunctions.udf.CIQ(B64, "IQ_COMPANY_NAME")))</f>
        <v>#NAME?</v>
      </c>
      <c r="F64" s="158"/>
      <c r="G64" s="158"/>
      <c r="H64" s="158"/>
      <c r="I64" s="158"/>
      <c r="J64" s="123"/>
      <c r="K64" s="124"/>
      <c r="M64" s="77"/>
      <c r="N64" s="77"/>
      <c r="O64" s="77"/>
      <c r="P64" s="77"/>
      <c r="Q64" s="77"/>
      <c r="R64" s="77"/>
      <c r="S64" s="77"/>
      <c r="T64" s="77"/>
      <c r="U64" s="77"/>
      <c r="V64" s="77"/>
      <c r="W64" s="77"/>
      <c r="X64" s="77"/>
      <c r="Y64" s="77"/>
      <c r="Z64" s="77"/>
      <c r="AA64" s="77"/>
      <c r="AB64" s="77"/>
      <c r="AC64" s="77"/>
      <c r="AD64" s="77"/>
      <c r="AE64" s="77"/>
      <c r="AF64" s="77"/>
      <c r="AG64" s="77"/>
      <c r="AH64" s="77"/>
      <c r="AI64" s="77"/>
      <c r="AJ64" s="77"/>
      <c r="AK64" s="77"/>
      <c r="AL64" s="77"/>
      <c r="AM64" s="77"/>
      <c r="AN64" s="77"/>
      <c r="AO64" s="77"/>
      <c r="AP64" s="77"/>
      <c r="AQ64" s="73"/>
      <c r="AR64" s="77"/>
      <c r="AS64" s="73"/>
      <c r="AT64" s="77"/>
      <c r="AU64" s="73"/>
      <c r="AV64" s="73"/>
      <c r="AW64" s="73"/>
      <c r="AX64" s="73"/>
      <c r="AY64" s="73"/>
      <c r="AZ64" s="73"/>
      <c r="BA64" s="73"/>
      <c r="BB64" s="73"/>
      <c r="BC64" s="77"/>
      <c r="BD64" s="73"/>
      <c r="BE64" s="73"/>
      <c r="BF64" s="73"/>
      <c r="BG64" s="73"/>
      <c r="BH64" s="73"/>
      <c r="BI64" s="73"/>
      <c r="BJ64" s="73"/>
      <c r="BK64" s="73"/>
      <c r="BL64" s="73"/>
      <c r="BM64" s="73"/>
      <c r="BN64" s="73"/>
      <c r="BO64" s="73"/>
      <c r="BP64" s="73"/>
      <c r="BQ64" s="73"/>
      <c r="BR64" s="73"/>
      <c r="BS64" s="73"/>
      <c r="BT64" s="73"/>
      <c r="BU64" s="73"/>
      <c r="BV64" s="73"/>
      <c r="BW64" s="73"/>
      <c r="BX64" s="73"/>
      <c r="BY64" s="73"/>
      <c r="BZ64" s="73"/>
      <c r="CE64" s="73"/>
    </row>
    <row r="65" spans="1:83" ht="12.75">
      <c r="A65" s="73"/>
      <c r="B65" s="159" t="s">
        <v>139</v>
      </c>
      <c r="C65" s="160">
        <v>10</v>
      </c>
      <c r="D65" s="90" t="e">
        <f ca="1">_xll.ciqfunctions.udf.CIQSP(B65, "IQ_LASTSALEPRICE",$B$1)/100</f>
        <v>#NAME?</v>
      </c>
      <c r="E65" s="157" t="e">
        <f ca="1">IF((_xll.ciqfunctions.udf.CIQ(B65, "IQ_COMPANY_NAME"))="(Invalid Identifier)","",(_xll.ciqfunctions.udf.CIQ(B65, "IQ_COMPANY_NAME")))</f>
        <v>#NAME?</v>
      </c>
      <c r="F65" s="158"/>
      <c r="G65" s="158"/>
      <c r="H65" s="158"/>
      <c r="I65" s="158"/>
      <c r="J65" s="123"/>
      <c r="K65" s="124"/>
      <c r="M65" s="77"/>
      <c r="N65" s="77"/>
      <c r="O65" s="77"/>
      <c r="P65" s="77"/>
      <c r="Q65" s="77"/>
      <c r="R65" s="77"/>
      <c r="S65" s="77"/>
      <c r="T65" s="77"/>
      <c r="U65" s="77"/>
      <c r="V65" s="77"/>
      <c r="W65" s="77"/>
      <c r="X65" s="77"/>
      <c r="Y65" s="77"/>
      <c r="Z65" s="77"/>
      <c r="AA65" s="77"/>
      <c r="AB65" s="77"/>
      <c r="AC65" s="77"/>
      <c r="AD65" s="77"/>
      <c r="AE65" s="77"/>
      <c r="AF65" s="77"/>
      <c r="AG65" s="77"/>
      <c r="AH65" s="77"/>
      <c r="AI65" s="77"/>
      <c r="AJ65" s="77"/>
      <c r="AK65" s="77"/>
      <c r="AL65" s="77"/>
      <c r="AM65" s="77"/>
      <c r="AN65" s="77"/>
      <c r="AO65" s="77"/>
      <c r="AP65" s="77"/>
      <c r="AQ65" s="73"/>
      <c r="AR65" s="77"/>
      <c r="AS65" s="73"/>
      <c r="AT65" s="77"/>
      <c r="AU65" s="73"/>
      <c r="AV65" s="73"/>
      <c r="AW65" s="73"/>
      <c r="AX65" s="73"/>
      <c r="AY65" s="73"/>
      <c r="AZ65" s="73"/>
      <c r="BA65" s="73"/>
      <c r="BB65" s="73"/>
      <c r="BC65" s="77"/>
      <c r="BD65" s="73"/>
      <c r="BE65" s="73"/>
      <c r="BF65" s="73"/>
      <c r="BG65" s="73"/>
      <c r="BH65" s="73"/>
      <c r="BI65" s="73"/>
      <c r="BJ65" s="73"/>
      <c r="BK65" s="73"/>
      <c r="BL65" s="73"/>
      <c r="BM65" s="73"/>
      <c r="BN65" s="73"/>
      <c r="BO65" s="73"/>
      <c r="BP65" s="73"/>
      <c r="BQ65" s="73"/>
      <c r="BR65" s="73"/>
      <c r="BS65" s="73"/>
      <c r="BT65" s="73"/>
      <c r="BU65" s="73"/>
      <c r="BV65" s="73"/>
      <c r="BW65" s="73"/>
      <c r="BX65" s="73"/>
      <c r="BY65" s="73"/>
      <c r="BZ65" s="73"/>
      <c r="CE65" s="73"/>
    </row>
    <row r="66" spans="1:83" ht="12.75">
      <c r="A66" s="73"/>
      <c r="B66" s="159" t="s">
        <v>140</v>
      </c>
      <c r="C66" s="160">
        <v>20</v>
      </c>
      <c r="D66" s="90" t="e">
        <f ca="1">_xll.ciqfunctions.udf.CIQSP(B66, "IQ_LASTSALEPRICE",$B$1)/100</f>
        <v>#NAME?</v>
      </c>
      <c r="E66" s="157" t="e">
        <f ca="1">IF((_xll.ciqfunctions.udf.CIQ(B66, "IQ_COMPANY_NAME"))="(Invalid Identifier)","",(_xll.ciqfunctions.udf.CIQ(B66, "IQ_COMPANY_NAME")))</f>
        <v>#NAME?</v>
      </c>
      <c r="F66" s="158"/>
      <c r="G66" s="158"/>
      <c r="H66" s="158"/>
      <c r="I66" s="158"/>
      <c r="J66" s="123"/>
      <c r="K66" s="124"/>
      <c r="M66" s="77"/>
      <c r="N66" s="77"/>
      <c r="O66" s="77"/>
      <c r="P66" s="77"/>
      <c r="Q66" s="77"/>
      <c r="R66" s="77"/>
      <c r="S66" s="77"/>
      <c r="T66" s="77"/>
      <c r="U66" s="77"/>
      <c r="V66" s="77"/>
      <c r="W66" s="77"/>
      <c r="X66" s="77"/>
      <c r="Y66" s="77"/>
      <c r="Z66" s="77"/>
      <c r="AA66" s="77"/>
      <c r="AB66" s="77"/>
      <c r="AC66" s="77"/>
      <c r="AD66" s="77"/>
      <c r="AE66" s="77"/>
      <c r="AF66" s="77"/>
      <c r="AG66" s="77"/>
      <c r="AH66" s="77"/>
      <c r="AI66" s="77"/>
      <c r="AJ66" s="77"/>
      <c r="AK66" s="77"/>
      <c r="AL66" s="77"/>
      <c r="AM66" s="77"/>
      <c r="AN66" s="77"/>
      <c r="AO66" s="77"/>
      <c r="AP66" s="77"/>
      <c r="AQ66" s="73"/>
      <c r="AR66" s="77"/>
      <c r="AS66" s="73"/>
      <c r="AT66" s="77"/>
      <c r="AU66" s="73"/>
      <c r="AV66" s="73"/>
      <c r="AW66" s="73"/>
      <c r="AX66" s="73"/>
      <c r="AY66" s="73"/>
      <c r="AZ66" s="73"/>
      <c r="BA66" s="73"/>
      <c r="BB66" s="73"/>
      <c r="BC66" s="77"/>
      <c r="BD66" s="73"/>
      <c r="BE66" s="73"/>
      <c r="BF66" s="73"/>
      <c r="BG66" s="73"/>
      <c r="BH66" s="73"/>
      <c r="BI66" s="73"/>
      <c r="BJ66" s="73"/>
      <c r="BK66" s="73"/>
      <c r="BL66" s="73"/>
      <c r="BM66" s="73"/>
      <c r="BN66" s="73"/>
      <c r="BO66" s="73"/>
      <c r="BP66" s="73"/>
      <c r="BQ66" s="73"/>
      <c r="BR66" s="73"/>
      <c r="BS66" s="73"/>
      <c r="BT66" s="73"/>
      <c r="BU66" s="73"/>
      <c r="BV66" s="73"/>
      <c r="BW66" s="73"/>
      <c r="BX66" s="73"/>
      <c r="BY66" s="73"/>
      <c r="BZ66" s="73"/>
      <c r="CE66" s="73"/>
    </row>
    <row r="67" spans="1:83" ht="12.75">
      <c r="A67" s="73"/>
      <c r="B67" s="161" t="s">
        <v>141</v>
      </c>
      <c r="C67" s="162">
        <v>30</v>
      </c>
      <c r="D67" s="80" t="e">
        <f ca="1">_xll.ciqfunctions.udf.CIQSP(B67, "IQ_LASTSALEPRICE",$B$1)/100</f>
        <v>#NAME?</v>
      </c>
      <c r="E67" s="163" t="e">
        <f ca="1">IF((_xll.ciqfunctions.udf.CIQ(B67, "IQ_COMPANY_NAME"))="(Invalid Identifier)","",(_xll.ciqfunctions.udf.CIQ(B67, "IQ_COMPANY_NAME")))</f>
        <v>#NAME?</v>
      </c>
      <c r="F67" s="164"/>
      <c r="G67" s="164"/>
      <c r="H67" s="164"/>
      <c r="I67" s="164"/>
      <c r="J67" s="131"/>
      <c r="K67" s="132"/>
      <c r="M67" s="77"/>
      <c r="N67" s="77"/>
      <c r="O67" s="77"/>
      <c r="P67" s="77"/>
      <c r="Q67" s="77"/>
      <c r="R67" s="77"/>
      <c r="S67" s="77"/>
      <c r="T67" s="77"/>
      <c r="U67" s="77"/>
      <c r="V67" s="77"/>
      <c r="W67" s="77"/>
      <c r="X67" s="77"/>
      <c r="Y67" s="77"/>
      <c r="Z67" s="77"/>
      <c r="AA67" s="77"/>
      <c r="AB67" s="77"/>
      <c r="AC67" s="77"/>
      <c r="AD67" s="77"/>
      <c r="AE67" s="77"/>
      <c r="AF67" s="77"/>
      <c r="AG67" s="77"/>
      <c r="AH67" s="77"/>
      <c r="AI67" s="77"/>
      <c r="AJ67" s="77"/>
      <c r="AK67" s="77"/>
      <c r="AL67" s="77"/>
      <c r="AM67" s="77"/>
      <c r="AN67" s="77"/>
      <c r="AO67" s="77"/>
      <c r="AP67" s="77"/>
      <c r="AQ67" s="73"/>
      <c r="AR67" s="77"/>
      <c r="AS67" s="73"/>
      <c r="AT67" s="77"/>
      <c r="AU67" s="73"/>
      <c r="AV67" s="73"/>
      <c r="AW67" s="73"/>
      <c r="AX67" s="73"/>
      <c r="AY67" s="73"/>
      <c r="AZ67" s="73"/>
      <c r="BA67" s="73"/>
      <c r="BB67" s="73"/>
      <c r="BC67" s="77"/>
      <c r="BD67" s="73"/>
      <c r="BE67" s="73"/>
      <c r="BF67" s="73"/>
      <c r="BG67" s="73"/>
      <c r="BH67" s="73"/>
      <c r="BI67" s="73"/>
      <c r="BJ67" s="73"/>
      <c r="BK67" s="73"/>
      <c r="BL67" s="73"/>
      <c r="BM67" s="73"/>
      <c r="BN67" s="73"/>
      <c r="BO67" s="73"/>
      <c r="BP67" s="73"/>
      <c r="BQ67" s="73"/>
      <c r="BR67" s="73"/>
      <c r="BS67" s="73"/>
      <c r="BT67" s="73"/>
      <c r="BU67" s="73"/>
      <c r="BV67" s="73"/>
      <c r="BW67" s="73"/>
      <c r="BX67" s="73"/>
      <c r="BY67" s="73"/>
      <c r="BZ67" s="73"/>
      <c r="CE67" s="73"/>
    </row>
    <row r="70" spans="1:83">
      <c r="A70" s="73"/>
      <c r="B70" s="133" t="s">
        <v>858</v>
      </c>
      <c r="K70" s="77"/>
      <c r="L70" s="77"/>
      <c r="M70" s="77"/>
      <c r="N70" s="77"/>
      <c r="O70" s="77"/>
      <c r="P70" s="77"/>
      <c r="Q70" s="77"/>
      <c r="R70" s="77"/>
      <c r="S70" s="77"/>
      <c r="T70" s="77"/>
      <c r="U70" s="77"/>
      <c r="V70" s="77"/>
      <c r="W70" s="77"/>
      <c r="X70" s="77"/>
      <c r="Y70" s="77"/>
      <c r="Z70" s="77"/>
      <c r="AA70" s="77"/>
      <c r="AB70" s="77"/>
      <c r="AC70" s="77"/>
      <c r="AD70" s="77"/>
      <c r="AE70" s="77"/>
      <c r="AF70" s="77"/>
      <c r="AG70" s="77"/>
      <c r="AH70" s="77"/>
      <c r="AI70" s="77"/>
      <c r="AJ70" s="77"/>
      <c r="AK70" s="77"/>
      <c r="AL70" s="77"/>
      <c r="AM70" s="77"/>
      <c r="AN70" s="77"/>
      <c r="AO70" s="77"/>
      <c r="AP70" s="77"/>
      <c r="AQ70" s="73"/>
      <c r="AR70" s="77"/>
      <c r="AS70" s="73"/>
      <c r="AT70" s="77"/>
      <c r="AU70" s="73"/>
      <c r="AV70" s="73"/>
      <c r="AW70" s="73"/>
      <c r="AX70" s="73"/>
      <c r="AY70" s="73"/>
      <c r="AZ70" s="73"/>
      <c r="BA70" s="73"/>
      <c r="BB70" s="73"/>
      <c r="BC70" s="77"/>
      <c r="BD70" s="73"/>
      <c r="BE70" s="73"/>
      <c r="BF70" s="73"/>
      <c r="BG70" s="73"/>
      <c r="BH70" s="73"/>
      <c r="BI70" s="73"/>
      <c r="BJ70" s="73"/>
      <c r="BK70" s="73"/>
      <c r="BL70" s="73"/>
      <c r="BM70" s="73"/>
      <c r="BN70" s="73"/>
      <c r="BO70" s="73"/>
      <c r="BP70" s="73"/>
      <c r="BQ70" s="73"/>
      <c r="BR70" s="73"/>
      <c r="BS70" s="73"/>
      <c r="BT70" s="73"/>
      <c r="BU70" s="73"/>
      <c r="BV70" s="73"/>
      <c r="BW70" s="73"/>
      <c r="BX70" s="73"/>
      <c r="BY70" s="73"/>
      <c r="BZ70" s="73"/>
      <c r="CE70" s="73"/>
    </row>
    <row r="71" spans="1:83" ht="12.75">
      <c r="A71" s="73"/>
      <c r="B71" s="165" t="s">
        <v>859</v>
      </c>
      <c r="C71" s="135" t="e">
        <f ca="1">_xll.ciqfunctions.udf.CIQSP(B71, "IQ_LASTSALEPRICE",$B$1)/100</f>
        <v>#NAME?</v>
      </c>
      <c r="D71" s="166" t="s">
        <v>983</v>
      </c>
      <c r="E71" s="167"/>
      <c r="F71" s="167"/>
      <c r="G71" s="167"/>
      <c r="H71" s="167"/>
      <c r="I71" s="167"/>
      <c r="J71" s="168"/>
      <c r="K71" s="77"/>
      <c r="L71" s="77"/>
      <c r="M71" s="77"/>
      <c r="N71" s="77"/>
      <c r="O71" s="77"/>
      <c r="P71" s="77"/>
      <c r="Q71" s="77"/>
      <c r="R71" s="77"/>
      <c r="S71" s="77"/>
      <c r="T71" s="77"/>
      <c r="U71" s="77"/>
      <c r="V71" s="77"/>
      <c r="W71" s="77"/>
      <c r="X71" s="77"/>
      <c r="Y71" s="77"/>
      <c r="Z71" s="77"/>
      <c r="AA71" s="77"/>
      <c r="AB71" s="77"/>
      <c r="AC71" s="77"/>
      <c r="AD71" s="77"/>
      <c r="AE71" s="77"/>
      <c r="AF71" s="77"/>
      <c r="AG71" s="77"/>
      <c r="AH71" s="77"/>
      <c r="AI71" s="77"/>
      <c r="AJ71" s="77"/>
      <c r="AK71" s="77"/>
      <c r="AL71" s="77"/>
      <c r="AM71" s="77"/>
      <c r="AN71" s="77"/>
      <c r="AO71" s="77"/>
      <c r="AP71" s="77"/>
      <c r="AQ71" s="73"/>
      <c r="AR71" s="77"/>
      <c r="AS71" s="73"/>
      <c r="AT71" s="77"/>
      <c r="AU71" s="73"/>
      <c r="AV71" s="73"/>
      <c r="AW71" s="73"/>
      <c r="AX71" s="73"/>
      <c r="AY71" s="73"/>
      <c r="AZ71" s="73"/>
      <c r="BA71" s="73"/>
      <c r="BB71" s="73"/>
      <c r="BC71" s="77"/>
      <c r="BD71" s="73"/>
      <c r="BE71" s="73"/>
      <c r="BF71" s="73"/>
      <c r="BG71" s="73"/>
      <c r="BH71" s="73"/>
      <c r="BI71" s="73"/>
      <c r="BJ71" s="73"/>
      <c r="BK71" s="73"/>
      <c r="BL71" s="73"/>
      <c r="BM71" s="73"/>
      <c r="BN71" s="73"/>
      <c r="BO71" s="73"/>
      <c r="BP71" s="73"/>
      <c r="BQ71" s="73"/>
      <c r="BR71" s="73"/>
      <c r="BS71" s="73"/>
      <c r="BT71" s="73"/>
      <c r="BU71" s="73"/>
      <c r="BV71" s="73"/>
      <c r="BW71" s="73"/>
      <c r="BX71" s="73"/>
      <c r="BY71" s="73"/>
      <c r="BZ71" s="73"/>
      <c r="CE71" s="73"/>
    </row>
    <row r="73" spans="1:83">
      <c r="A73" s="73"/>
      <c r="B73" s="133" t="s">
        <v>860</v>
      </c>
      <c r="K73" s="77"/>
      <c r="L73" s="77"/>
      <c r="M73" s="77"/>
      <c r="N73" s="77"/>
      <c r="O73" s="77"/>
      <c r="P73" s="77"/>
      <c r="Q73" s="77"/>
      <c r="R73" s="77"/>
      <c r="S73" s="77"/>
      <c r="T73" s="77"/>
      <c r="U73" s="77"/>
      <c r="V73" s="77"/>
      <c r="W73" s="77"/>
      <c r="X73" s="77"/>
      <c r="Y73" s="77"/>
      <c r="Z73" s="77"/>
      <c r="AA73" s="77"/>
      <c r="AB73" s="77"/>
      <c r="AC73" s="77"/>
      <c r="AD73" s="77"/>
      <c r="AE73" s="77"/>
      <c r="AF73" s="77"/>
      <c r="AG73" s="77"/>
      <c r="AH73" s="77"/>
      <c r="AI73" s="77"/>
      <c r="AJ73" s="77"/>
      <c r="AK73" s="77"/>
      <c r="AL73" s="77"/>
      <c r="AM73" s="77"/>
      <c r="AN73" s="77"/>
      <c r="AO73" s="77"/>
      <c r="AP73" s="77"/>
      <c r="AQ73" s="73"/>
      <c r="AR73" s="77"/>
      <c r="AS73" s="73"/>
      <c r="AT73" s="77"/>
      <c r="AU73" s="73"/>
      <c r="AV73" s="73"/>
      <c r="AW73" s="73"/>
      <c r="AX73" s="73"/>
      <c r="AY73" s="73"/>
      <c r="AZ73" s="73"/>
      <c r="BA73" s="73"/>
      <c r="BB73" s="73"/>
      <c r="BC73" s="77"/>
      <c r="BD73" s="73"/>
      <c r="BE73" s="73"/>
      <c r="BF73" s="73"/>
      <c r="BG73" s="73"/>
      <c r="BH73" s="73"/>
      <c r="BI73" s="73"/>
      <c r="BJ73" s="73"/>
      <c r="BK73" s="73"/>
      <c r="BL73" s="73"/>
      <c r="BM73" s="73"/>
      <c r="BN73" s="73"/>
      <c r="BO73" s="73"/>
      <c r="BP73" s="73"/>
      <c r="BQ73" s="73"/>
      <c r="BR73" s="73"/>
      <c r="BS73" s="73"/>
      <c r="BT73" s="73"/>
      <c r="BU73" s="73"/>
      <c r="BV73" s="73"/>
      <c r="BW73" s="73"/>
      <c r="BX73" s="73"/>
      <c r="BY73" s="73"/>
      <c r="BZ73" s="73"/>
      <c r="CE73" s="73"/>
    </row>
    <row r="74" spans="1:83" ht="12.75">
      <c r="A74" s="73"/>
      <c r="B74" s="165" t="s">
        <v>861</v>
      </c>
      <c r="C74" s="135" t="str">
        <f ca="1">IF(ISERROR(_xll.ciqfunctions.udf.CIQ("%USPMRT","IQ_LASTSALEPRICE",B1)/100),"NM",_xll.ciqfunctions.udf.CIQ("%USPMRT","IQ_LASTSALEPRICE",B1)/100)</f>
        <v>NM</v>
      </c>
      <c r="D74" s="166"/>
      <c r="E74" s="167"/>
      <c r="F74" s="167"/>
      <c r="G74" s="167"/>
      <c r="H74" s="167"/>
      <c r="I74" s="167"/>
      <c r="J74" s="168"/>
      <c r="K74" s="77"/>
      <c r="L74" s="77"/>
      <c r="M74" s="77"/>
      <c r="N74" s="77"/>
      <c r="O74" s="77"/>
      <c r="P74" s="77"/>
      <c r="Q74" s="77"/>
      <c r="R74" s="77"/>
      <c r="S74" s="77"/>
      <c r="T74" s="77"/>
      <c r="U74" s="77"/>
      <c r="V74" s="77"/>
      <c r="W74" s="77"/>
      <c r="X74" s="77"/>
      <c r="Y74" s="77"/>
      <c r="Z74" s="77"/>
      <c r="AA74" s="77"/>
      <c r="AB74" s="77"/>
      <c r="AC74" s="77"/>
      <c r="AD74" s="77"/>
      <c r="AE74" s="77"/>
      <c r="AF74" s="77"/>
      <c r="AG74" s="77"/>
      <c r="AH74" s="77"/>
      <c r="AI74" s="77"/>
      <c r="AJ74" s="77"/>
      <c r="AK74" s="77"/>
      <c r="AL74" s="77"/>
      <c r="AM74" s="77"/>
      <c r="AN74" s="77"/>
      <c r="AO74" s="77"/>
      <c r="AP74" s="77"/>
      <c r="AQ74" s="73"/>
      <c r="AR74" s="77"/>
      <c r="AS74" s="73"/>
      <c r="AT74" s="77"/>
      <c r="AU74" s="73"/>
      <c r="AV74" s="73"/>
      <c r="AW74" s="73"/>
      <c r="AX74" s="73"/>
      <c r="AY74" s="73"/>
      <c r="AZ74" s="73"/>
      <c r="BA74" s="73"/>
      <c r="BB74" s="73"/>
      <c r="BC74" s="77"/>
      <c r="BD74" s="73"/>
      <c r="BE74" s="73"/>
      <c r="BF74" s="73"/>
      <c r="BG74" s="73"/>
      <c r="BH74" s="73"/>
      <c r="BI74" s="73"/>
      <c r="BJ74" s="73"/>
      <c r="BK74" s="73"/>
      <c r="BL74" s="73"/>
      <c r="BM74" s="73"/>
      <c r="BN74" s="73"/>
      <c r="BO74" s="73"/>
      <c r="BP74" s="73"/>
      <c r="BQ74" s="73"/>
      <c r="BR74" s="73"/>
      <c r="BS74" s="73"/>
      <c r="BT74" s="73"/>
      <c r="BU74" s="73"/>
      <c r="BV74" s="73"/>
      <c r="BW74" s="73"/>
      <c r="BX74" s="73"/>
      <c r="BY74" s="73"/>
      <c r="BZ74" s="73"/>
      <c r="CE74" s="73"/>
    </row>
  </sheetData>
  <dataValidations count="1">
    <dataValidation type="list" allowBlank="1" showInputMessage="1" showErrorMessage="1" sqref="CC13:CD42" xr:uid="{00000000-0002-0000-4700-000000000000}">
      <formula1>#REF!</formula1>
    </dataValidation>
  </dataValidations>
  <pageMargins left="0.7" right="0.7" top="0.75" bottom="0.75" header="0.3" footer="0.3"/>
  <pageSetup scale="81" orientation="portrait" r:id="rId1"/>
  <colBreaks count="2" manualBreakCount="2">
    <brk id="58" max="73" man="1"/>
    <brk id="67" max="73" man="1"/>
  </colBreaks>
  <legacy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55"/>
  <dimension ref="B1:AJ57"/>
  <sheetViews>
    <sheetView showGridLines="0" view="pageBreakPreview" zoomScale="90" zoomScaleNormal="100" zoomScaleSheetLayoutView="90" workbookViewId="0">
      <selection activeCell="C15" sqref="C15"/>
    </sheetView>
  </sheetViews>
  <sheetFormatPr defaultRowHeight="12.75" outlineLevelCol="1"/>
  <cols>
    <col min="1" max="1" width="2.83203125" style="145" customWidth="1"/>
    <col min="2" max="2" width="11.83203125" style="145" customWidth="1"/>
    <col min="3" max="3" width="28.83203125" style="145" customWidth="1"/>
    <col min="4" max="4" width="26.33203125" style="145" customWidth="1"/>
    <col min="5" max="5" width="26.33203125" style="145" hidden="1" customWidth="1" outlineLevel="1"/>
    <col min="6" max="6" width="10.1640625" style="145" bestFit="1" customWidth="1" collapsed="1"/>
    <col min="7" max="7" width="10" style="145" hidden="1" customWidth="1" outlineLevel="1"/>
    <col min="8" max="8" width="2.83203125" style="145" customWidth="1" collapsed="1"/>
    <col min="9" max="11" width="16.33203125" style="145" customWidth="1"/>
    <col min="12" max="12" width="15.6640625" style="145" customWidth="1"/>
    <col min="13" max="13" width="2.83203125" style="145" customWidth="1"/>
    <col min="14" max="16" width="19.1640625" style="145" customWidth="1"/>
    <col min="17" max="17" width="2.83203125" style="145" customWidth="1"/>
    <col min="18" max="20" width="11.33203125" style="145" customWidth="1"/>
    <col min="21" max="22" width="11.33203125" style="145" hidden="1" customWidth="1" outlineLevel="1"/>
    <col min="23" max="23" width="2.83203125" style="145" customWidth="1" collapsed="1"/>
    <col min="24" max="26" width="11.33203125" style="145" hidden="1" customWidth="1" outlineLevel="1"/>
    <col min="27" max="27" width="2.83203125" style="145" hidden="1" customWidth="1" outlineLevel="1"/>
    <col min="28" max="30" width="11.33203125" style="145" hidden="1" customWidth="1" outlineLevel="1"/>
    <col min="31" max="31" width="2.83203125" style="145" hidden="1" customWidth="1" outlineLevel="1"/>
    <col min="32" max="32" width="12.1640625" style="145" customWidth="1" collapsed="1"/>
    <col min="33" max="33" width="11.6640625" style="145" customWidth="1"/>
    <col min="34" max="34" width="2.83203125" style="145" customWidth="1"/>
    <col min="35" max="35" width="24.6640625" style="145" customWidth="1"/>
    <col min="36" max="36" width="51.1640625" style="145" customWidth="1"/>
    <col min="37" max="16384" width="9.33203125" style="145"/>
  </cols>
  <sheetData>
    <row r="1" spans="2:36" s="62" customFormat="1" ht="10.7" customHeight="1" thickBot="1"/>
    <row r="2" spans="2:36" s="62" customFormat="1" ht="16.5" customHeight="1" thickTop="1">
      <c r="B2" s="4" t="s">
        <v>734</v>
      </c>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I2" s="139" t="s">
        <v>87</v>
      </c>
      <c r="AJ2" s="169">
        <f>+'Capital IQ Sheet-STM'!AL2</f>
        <v>42704</v>
      </c>
    </row>
    <row r="3" spans="2:36" s="62" customFormat="1" ht="15.75" customHeight="1">
      <c r="B3" s="5" t="s">
        <v>900</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I3" s="59" t="s">
        <v>489</v>
      </c>
      <c r="AJ3" s="55" t="s">
        <v>491</v>
      </c>
    </row>
    <row r="4" spans="2:36" s="62" customFormat="1" ht="16.5" customHeight="1" thickBot="1">
      <c r="B4" s="6" t="s">
        <v>825</v>
      </c>
      <c r="C4" s="6"/>
      <c r="D4" s="6"/>
      <c r="E4" s="6"/>
      <c r="F4" s="6"/>
      <c r="G4" s="6"/>
      <c r="H4" s="6"/>
      <c r="I4" s="6"/>
      <c r="J4" s="6"/>
      <c r="K4" s="6"/>
      <c r="L4" s="6"/>
      <c r="M4" s="6"/>
      <c r="N4" s="7"/>
      <c r="O4" s="7"/>
      <c r="P4" s="7"/>
      <c r="Q4" s="7" t="s">
        <v>88</v>
      </c>
      <c r="R4" s="7"/>
      <c r="S4" s="7"/>
      <c r="T4" s="7"/>
      <c r="U4" s="7"/>
      <c r="V4" s="7"/>
      <c r="W4" s="7"/>
      <c r="X4" s="7"/>
      <c r="Y4" s="7"/>
      <c r="Z4" s="7"/>
      <c r="AA4" s="7"/>
      <c r="AB4" s="7"/>
      <c r="AC4" s="7"/>
      <c r="AD4" s="7"/>
      <c r="AE4" s="7"/>
      <c r="AF4" s="7"/>
      <c r="AG4" s="7"/>
      <c r="AI4" s="59" t="s">
        <v>490</v>
      </c>
      <c r="AJ4" s="55" t="s">
        <v>492</v>
      </c>
    </row>
    <row r="5" spans="2:36" s="8" customFormat="1" ht="12.75" customHeight="1" thickTop="1">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19" t="s">
        <v>89</v>
      </c>
      <c r="AJ5" s="170" t="s">
        <v>90</v>
      </c>
    </row>
    <row r="6" spans="2:36" s="171" customFormat="1" ht="12.75" customHeight="1">
      <c r="C6" s="145"/>
      <c r="D6" s="172"/>
    </row>
    <row r="7" spans="2:36" s="171" customFormat="1" ht="12.75" customHeight="1">
      <c r="I7" s="173" t="s">
        <v>505</v>
      </c>
      <c r="J7" s="222"/>
      <c r="K7" s="222"/>
      <c r="L7" s="174"/>
      <c r="N7" s="173" t="s">
        <v>374</v>
      </c>
      <c r="O7" s="175"/>
      <c r="P7" s="174"/>
      <c r="R7" s="173" t="s">
        <v>373</v>
      </c>
      <c r="S7" s="175"/>
      <c r="T7" s="174"/>
      <c r="U7" s="175"/>
      <c r="V7" s="174"/>
      <c r="X7" s="173" t="s">
        <v>375</v>
      </c>
      <c r="Y7" s="175"/>
      <c r="Z7" s="174"/>
      <c r="AB7" s="173" t="s">
        <v>376</v>
      </c>
      <c r="AC7" s="175"/>
      <c r="AD7" s="174"/>
      <c r="AF7" s="173" t="s">
        <v>379</v>
      </c>
      <c r="AG7" s="176"/>
    </row>
    <row r="8" spans="2:36" s="180" customFormat="1" ht="30.75" customHeight="1">
      <c r="B8" s="177" t="s">
        <v>368</v>
      </c>
      <c r="C8" s="178" t="s">
        <v>975</v>
      </c>
      <c r="D8" s="178" t="s">
        <v>369</v>
      </c>
      <c r="E8" s="178" t="s">
        <v>509</v>
      </c>
      <c r="F8" s="179" t="s">
        <v>370</v>
      </c>
      <c r="G8" s="179" t="s">
        <v>372</v>
      </c>
      <c r="I8" s="177" t="s">
        <v>153</v>
      </c>
      <c r="J8" s="223" t="s">
        <v>2374</v>
      </c>
      <c r="K8" s="223" t="s">
        <v>2375</v>
      </c>
      <c r="L8" s="179" t="s">
        <v>506</v>
      </c>
      <c r="M8" s="181"/>
      <c r="N8" s="177" t="s">
        <v>168</v>
      </c>
      <c r="O8" s="178" t="s">
        <v>181</v>
      </c>
      <c r="P8" s="179" t="s">
        <v>182</v>
      </c>
      <c r="R8" s="177" t="s">
        <v>168</v>
      </c>
      <c r="S8" s="178" t="s">
        <v>181</v>
      </c>
      <c r="T8" s="179" t="s">
        <v>182</v>
      </c>
      <c r="U8" s="178" t="s">
        <v>507</v>
      </c>
      <c r="V8" s="179" t="s">
        <v>508</v>
      </c>
      <c r="X8" s="177" t="s">
        <v>168</v>
      </c>
      <c r="Y8" s="178" t="s">
        <v>181</v>
      </c>
      <c r="Z8" s="179" t="s">
        <v>182</v>
      </c>
      <c r="AB8" s="177" t="s">
        <v>168</v>
      </c>
      <c r="AC8" s="178" t="s">
        <v>181</v>
      </c>
      <c r="AD8" s="179" t="s">
        <v>182</v>
      </c>
      <c r="AF8" s="182" t="s">
        <v>377</v>
      </c>
      <c r="AG8" s="183" t="s">
        <v>378</v>
      </c>
      <c r="AI8" s="184" t="s">
        <v>371</v>
      </c>
    </row>
    <row r="9" spans="2:36" s="171" customFormat="1" ht="12.75" customHeight="1"/>
    <row r="10" spans="2:36" s="186" customFormat="1" ht="12.75" customHeight="1">
      <c r="B10" s="185" t="e">
        <f ca="1">_xll.ciqfunctions.udf.CIQ($AI10,"IQ_TR_CLOSED_DATE")</f>
        <v>#NAME?</v>
      </c>
      <c r="C10" s="186" t="e">
        <f ca="1">_xll.ciqfunctions.udf.CIQ($AI10,"IQ_TR_BUYERNAME")</f>
        <v>#NAME?</v>
      </c>
      <c r="D10" s="186" t="e">
        <f ca="1">_xll.ciqfunctions.udf.CIQ($AI10,"IQ_TR_TARGETNAME")</f>
        <v>#NAME?</v>
      </c>
      <c r="E10" s="186" t="e">
        <f ca="1">_xll.ciqfunctions.udf.CIQ($AI10, "IQ_PRIMARY_INDUSTRY")</f>
        <v>#NAME?</v>
      </c>
      <c r="F10" s="187" t="e">
        <f ca="1">_xll.ciqfunctions.udf.CIQ($AI10, "IQ_TR_PCT_SOUGHT")/100</f>
        <v>#NAME?</v>
      </c>
      <c r="G10" s="188" t="e">
        <f ca="1">_xll.ciqfunctions.udf.CIQ(AI10, "IQ_TR_MAJ_MIN_STAKE")</f>
        <v>#NAME?</v>
      </c>
      <c r="I10" s="189" t="e">
        <f ca="1">_xll.ciqfunctions.udf.CIQ($AI10, "IQ_TR_IMPLIED_EV_FINAL", , $AJ$4,$AJ$5)</f>
        <v>#NAME?</v>
      </c>
      <c r="J10" s="189" t="e">
        <f ca="1">IF(_xll.ciqfunctions.udf.CIQ(AI10, "IQ_TR_TOTAL_CASH")="n/a",0,_xll.ciqfunctions.udf.CIQ(AI10, "IQ_TR_TOTAL_CASH"))+IF(_xll.ciqfunctions.udf.CIQ(AI10, "IQ_TR_TOTAL_STOCK")="n/a",0,_xll.ciqfunctions.udf.CIQ(AI10, "IQ_TR_TOTAL_STOCK"))</f>
        <v>#NAME?</v>
      </c>
      <c r="K10" s="43" t="e">
        <f ca="1">_xll.ciqfunctions.udf.CIQ(AI10, "IQ_TR_EARNOUTS")</f>
        <v>#NAME?</v>
      </c>
      <c r="L10" s="189" t="e">
        <f ca="1">IF(_xll.ciqfunctions.udf.CIQ($AI10, "IQ_TR_TOTAL_GROSS_TV",$AJ$4,$AJ$5)=0,"NA",_xll.ciqfunctions.udf.CIQ($AI10, "IQ_TR_TOTAL_GROSS_TV",,"USD"))</f>
        <v>#NAME?</v>
      </c>
      <c r="M10" s="190"/>
      <c r="N10" s="189" t="e">
        <f ca="1">_xll.ciqfunctions.udf.CIQ($AI10, "IQ_TR_TARGET_TOTAL_REV",,$AJ$4,$AJ$5)</f>
        <v>#NAME?</v>
      </c>
      <c r="O10" s="189" t="e">
        <f ca="1">_xll.ciqfunctions.udf.CIQ($AI10, "IQ_TR_TARGET_EBITDA", , $AJ$4,$AJ$5)</f>
        <v>#NAME?</v>
      </c>
      <c r="P10" s="189" t="e">
        <f ca="1">_xll.ciqfunctions.udf.CIQ($AI10, "IQ_TR_TARGET_EBIT", , $AJ$4,$AJ$5)</f>
        <v>#NAME?</v>
      </c>
      <c r="Q10" s="190"/>
      <c r="R10" s="191" t="str">
        <f ca="1">IF(ISERROR($I10/N10), "n/a", $I10/N10)</f>
        <v>n/a</v>
      </c>
      <c r="S10" s="191" t="str">
        <f ca="1">IF(ISERROR($I10/O10), "n/a", $I10/O10)</f>
        <v>n/a</v>
      </c>
      <c r="T10" s="191" t="str">
        <f ca="1">IF(ISERROR($I10/P10), "n/a", $I10/P10)</f>
        <v>n/a</v>
      </c>
      <c r="U10" s="191" t="e">
        <f ca="1">IF(_xll.ciqfunctions.udf.CIQ($AI10, "IQ_TR_IMPLIED_EQ_BV")=0,"NA",_xll.ciqfunctions.udf.CIQ($AI10, "IQ_TR_IMPLIED_EQ_BV"))</f>
        <v>#NAME?</v>
      </c>
      <c r="V10" s="191" t="e">
        <f ca="1">IF(_xll.ciqfunctions.udf.CIQ($AI10, "IQ_TR_IMPLIED_EQ_NI_LTM")=0,"NA",_xll.ciqfunctions.udf.CIQ($AI10, "IQ_TR_IMPLIED_EQ_NI_LTM"))</f>
        <v>#NAME?</v>
      </c>
      <c r="W10" s="190"/>
      <c r="X10" s="189" t="e">
        <f ca="1">_xll.ciqfunctions.udf.CIQ($AI10, "IQ_TR_TARGET_REVENUE_EST",, $AJ$4,$AJ$5)</f>
        <v>#NAME?</v>
      </c>
      <c r="Y10" s="189" t="e">
        <f ca="1">_xll.ciqfunctions.udf.CIQ($AI10, "IQ_TR_TARGET_EBITDA_EST",, $AJ$4,$AJ$5)</f>
        <v>#NAME?</v>
      </c>
      <c r="Z10" s="189" t="e">
        <f ca="1">_xll.ciqfunctions.udf.CIQ(AI10, "IQ_TR_IMPLIED_EV_EBIT_FWD")</f>
        <v>#NAME?</v>
      </c>
      <c r="AA10" s="190"/>
      <c r="AB10" s="191" t="str">
        <f ca="1">IF(ISERROR($I10/X10), "n/a", $I10/X10)</f>
        <v>n/a</v>
      </c>
      <c r="AC10" s="191" t="str">
        <f ca="1">IF(ISERROR($I10/Y10), "n/a", $I10/Y10)</f>
        <v>n/a</v>
      </c>
      <c r="AD10" s="191" t="str">
        <f ca="1">IF(ISERROR($I10/Z10), "n/a", $I10/Z10)</f>
        <v>n/a</v>
      </c>
      <c r="AF10" s="192" t="e">
        <f ca="1">IF((_xll.ciqfunctions.udf.CIQ($AI10, "IQ_TR_TARGET_STOCKPREMIUM_1W")/100)&lt;=0,"NM",_xll.ciqfunctions.udf.CIQ($AI10, "IQ_TR_TARGET_STOCKPREMIUM_1W")/100)</f>
        <v>#NAME?</v>
      </c>
      <c r="AG10" s="192" t="e">
        <f ca="1">IF((_xll.ciqfunctions.udf.CIQ($AI10, "IQ_TR_TARGET_STOCKPREMIUM_1M")/100)&lt;=0,"NM",_xll.ciqfunctions.udf.CIQ($AI10, "IQ_TR_TARGET_STOCKPREMIUM_1M")/100)</f>
        <v>#NAME?</v>
      </c>
      <c r="AI10" s="193" t="str">
        <f>+'Capital IQ Sheet-STM'!AK10</f>
        <v>IQTR296642841</v>
      </c>
      <c r="AJ10" s="186" t="e">
        <f ca="1">_xll.ciqfunctions.udf.CIQ(AI10, "IQ_BUSINESS_DESCRIPTION")</f>
        <v>#NAME?</v>
      </c>
    </row>
    <row r="11" spans="2:36" s="186" customFormat="1" ht="12.75" customHeight="1">
      <c r="B11" s="185" t="e">
        <f ca="1">_xll.ciqfunctions.udf.CIQ($AI11,"IQ_TR_CLOSED_DATE")</f>
        <v>#NAME?</v>
      </c>
      <c r="C11" s="186" t="e">
        <f ca="1">_xll.ciqfunctions.udf.CIQ($AI11,"IQ_TR_BUYERNAME")</f>
        <v>#NAME?</v>
      </c>
      <c r="D11" s="186" t="e">
        <f ca="1">_xll.ciqfunctions.udf.CIQ($AI11,"IQ_TR_TARGETNAME")</f>
        <v>#NAME?</v>
      </c>
      <c r="E11" s="186" t="e">
        <f ca="1">_xll.ciqfunctions.udf.CIQ($AI11, "IQ_PRIMARY_INDUSTRY")</f>
        <v>#NAME?</v>
      </c>
      <c r="F11" s="187" t="e">
        <f ca="1">_xll.ciqfunctions.udf.CIQ($AI11, "IQ_TR_PCT_SOUGHT")/100</f>
        <v>#NAME?</v>
      </c>
      <c r="G11" s="188" t="e">
        <f ca="1">_xll.ciqfunctions.udf.CIQ(AI11, "IQ_TR_MAJ_MIN_STAKE")</f>
        <v>#NAME?</v>
      </c>
      <c r="I11" s="189" t="e">
        <f ca="1">_xll.ciqfunctions.udf.CIQ($AI11, "IQ_TR_IMPLIED_EV_FINAL", , $AJ$4,$AJ$5)</f>
        <v>#NAME?</v>
      </c>
      <c r="J11" s="189" t="e">
        <f ca="1">IF(_xll.ciqfunctions.udf.CIQ(AI11, "IQ_TR_TOTAL_CASH")="n/a",0,_xll.ciqfunctions.udf.CIQ(AI11, "IQ_TR_TOTAL_CASH"))+IF(_xll.ciqfunctions.udf.CIQ(AI11, "IQ_TR_TOTAL_STOCK")="n/a",0,_xll.ciqfunctions.udf.CIQ(AI11, "IQ_TR_TOTAL_STOCK"))</f>
        <v>#NAME?</v>
      </c>
      <c r="K11" s="43" t="e">
        <f ca="1">_xll.ciqfunctions.udf.CIQ(AI11, "IQ_TR_EARNOUTS")</f>
        <v>#NAME?</v>
      </c>
      <c r="L11" s="189" t="e">
        <f ca="1">IF(_xll.ciqfunctions.udf.CIQ($AI11, "IQ_TR_TOTAL_GROSS_TV",$AJ$4,$AJ$5)=0,"NA",_xll.ciqfunctions.udf.CIQ($AI11, "IQ_TR_TOTAL_GROSS_TV",,"USD"))</f>
        <v>#NAME?</v>
      </c>
      <c r="M11" s="190"/>
      <c r="N11" s="189" t="e">
        <f ca="1">_xll.ciqfunctions.udf.CIQ($AI11, "IQ_TR_TARGET_TOTAL_REV",,$AJ$4,$AJ$5)</f>
        <v>#NAME?</v>
      </c>
      <c r="O11" s="189" t="e">
        <f ca="1">_xll.ciqfunctions.udf.CIQ($AI11, "IQ_TR_TARGET_EBITDA", , $AJ$4,$AJ$5)</f>
        <v>#NAME?</v>
      </c>
      <c r="P11" s="189" t="e">
        <f ca="1">_xll.ciqfunctions.udf.CIQ($AI11, "IQ_TR_TARGET_EBIT", , $AJ$4,$AJ$5)</f>
        <v>#NAME?</v>
      </c>
      <c r="Q11" s="190"/>
      <c r="R11" s="191" t="str">
        <f t="shared" ref="R11:T29" ca="1" si="0">IF(ISERROR($I11/N11), "n/a", $I11/N11)</f>
        <v>n/a</v>
      </c>
      <c r="S11" s="191" t="str">
        <f t="shared" ca="1" si="0"/>
        <v>n/a</v>
      </c>
      <c r="T11" s="191" t="str">
        <f t="shared" ca="1" si="0"/>
        <v>n/a</v>
      </c>
      <c r="U11" s="191" t="e">
        <f ca="1">IF(_xll.ciqfunctions.udf.CIQ($AI11, "IQ_TR_IMPLIED_EQ_BV")=0,"NA",_xll.ciqfunctions.udf.CIQ($AI11, "IQ_TR_IMPLIED_EQ_BV"))</f>
        <v>#NAME?</v>
      </c>
      <c r="V11" s="191" t="e">
        <f ca="1">IF(_xll.ciqfunctions.udf.CIQ($AI11, "IQ_TR_IMPLIED_EQ_NI_LTM")=0,"NA",_xll.ciqfunctions.udf.CIQ($AI11, "IQ_TR_IMPLIED_EQ_NI_LTM"))</f>
        <v>#NAME?</v>
      </c>
      <c r="W11" s="190"/>
      <c r="X11" s="189" t="e">
        <f ca="1">_xll.ciqfunctions.udf.CIQ($AI11, "IQ_TR_TARGET_REVENUE_EST",, $AJ$4,$AJ$5)</f>
        <v>#NAME?</v>
      </c>
      <c r="Y11" s="189" t="e">
        <f ca="1">_xll.ciqfunctions.udf.CIQ($AI11, "IQ_TR_TARGET_EBITDA_EST",, $AJ$4,$AJ$5)</f>
        <v>#NAME?</v>
      </c>
      <c r="Z11" s="189" t="e">
        <f ca="1">_xll.ciqfunctions.udf.CIQ(AI11, "IQ_TR_IMPLIED_EV_EBIT_FWD")</f>
        <v>#NAME?</v>
      </c>
      <c r="AA11" s="190"/>
      <c r="AB11" s="191" t="str">
        <f t="shared" ref="AB11:AD29" ca="1" si="1">IF(ISERROR($I11/X11), "n/a", $I11/X11)</f>
        <v>n/a</v>
      </c>
      <c r="AC11" s="191" t="str">
        <f t="shared" ca="1" si="1"/>
        <v>n/a</v>
      </c>
      <c r="AD11" s="191" t="str">
        <f t="shared" ca="1" si="1"/>
        <v>n/a</v>
      </c>
      <c r="AF11" s="192" t="e">
        <f ca="1">IF((_xll.ciqfunctions.udf.CIQ($AI11, "IQ_TR_TARGET_STOCKPREMIUM_1W")/100)&lt;=0,"NM",_xll.ciqfunctions.udf.CIQ($AI11, "IQ_TR_TARGET_STOCKPREMIUM_1W")/100)</f>
        <v>#NAME?</v>
      </c>
      <c r="AG11" s="192" t="e">
        <f ca="1">IF((_xll.ciqfunctions.udf.CIQ($AI11, "IQ_TR_TARGET_STOCKPREMIUM_1M")/100)&lt;=0,"NM",_xll.ciqfunctions.udf.CIQ($AI11, "IQ_TR_TARGET_STOCKPREMIUM_1M")/100)</f>
        <v>#NAME?</v>
      </c>
      <c r="AI11" s="193" t="str">
        <f>+'Capital IQ Sheet-STM'!AK11</f>
        <v>IQTR296628817</v>
      </c>
      <c r="AJ11" s="186" t="e">
        <f ca="1">_xll.ciqfunctions.udf.CIQ(AI11, "IQ_BUSINESS_DESCRIPTION")</f>
        <v>#NAME?</v>
      </c>
    </row>
    <row r="12" spans="2:36" s="186" customFormat="1" ht="12.75" customHeight="1">
      <c r="B12" s="185" t="e">
        <f ca="1">_xll.ciqfunctions.udf.CIQ($AI12,"IQ_TR_CLOSED_DATE")</f>
        <v>#NAME?</v>
      </c>
      <c r="C12" s="186" t="e">
        <f ca="1">_xll.ciqfunctions.udf.CIQ($AI12,"IQ_TR_BUYERNAME")</f>
        <v>#NAME?</v>
      </c>
      <c r="D12" s="186" t="e">
        <f ca="1">_xll.ciqfunctions.udf.CIQ($AI12,"IQ_TR_TARGETNAME")</f>
        <v>#NAME?</v>
      </c>
      <c r="E12" s="186" t="e">
        <f ca="1">_xll.ciqfunctions.udf.CIQ($AI12, "IQ_PRIMARY_INDUSTRY")</f>
        <v>#NAME?</v>
      </c>
      <c r="F12" s="187" t="e">
        <f ca="1">_xll.ciqfunctions.udf.CIQ($AI12, "IQ_TR_PCT_SOUGHT")/100</f>
        <v>#NAME?</v>
      </c>
      <c r="G12" s="188" t="e">
        <f ca="1">_xll.ciqfunctions.udf.CIQ(AI12, "IQ_TR_MAJ_MIN_STAKE")</f>
        <v>#NAME?</v>
      </c>
      <c r="I12" s="189" t="e">
        <f ca="1">_xll.ciqfunctions.udf.CIQ($AI12, "IQ_TR_IMPLIED_EV_FINAL", , $AJ$4,$AJ$5)</f>
        <v>#NAME?</v>
      </c>
      <c r="J12" s="189" t="e">
        <f ca="1">IF(_xll.ciqfunctions.udf.CIQ(AI12, "IQ_TR_TOTAL_CASH")="n/a",0,_xll.ciqfunctions.udf.CIQ(AI12, "IQ_TR_TOTAL_CASH"))+IF(_xll.ciqfunctions.udf.CIQ(AI12, "IQ_TR_TOTAL_STOCK")="n/a",0,_xll.ciqfunctions.udf.CIQ(AI12, "IQ_TR_TOTAL_STOCK"))</f>
        <v>#NAME?</v>
      </c>
      <c r="K12" s="43" t="e">
        <f ca="1">_xll.ciqfunctions.udf.CIQ(AI12, "IQ_TR_EARNOUTS")</f>
        <v>#NAME?</v>
      </c>
      <c r="L12" s="189" t="e">
        <f ca="1">IF(_xll.ciqfunctions.udf.CIQ($AI12, "IQ_TR_TOTAL_GROSS_TV",$AJ$4,$AJ$5)=0,"NA",_xll.ciqfunctions.udf.CIQ($AI12, "IQ_TR_TOTAL_GROSS_TV",,"USD"))</f>
        <v>#NAME?</v>
      </c>
      <c r="M12" s="190"/>
      <c r="N12" s="189" t="e">
        <f ca="1">_xll.ciqfunctions.udf.CIQ($AI12, "IQ_TR_TARGET_TOTAL_REV",,$AJ$4,$AJ$5)</f>
        <v>#NAME?</v>
      </c>
      <c r="O12" s="189" t="e">
        <f ca="1">_xll.ciqfunctions.udf.CIQ($AI12, "IQ_TR_TARGET_EBITDA", , $AJ$4,$AJ$5)</f>
        <v>#NAME?</v>
      </c>
      <c r="P12" s="189" t="e">
        <f ca="1">_xll.ciqfunctions.udf.CIQ($AI12, "IQ_TR_TARGET_EBIT", , $AJ$4,$AJ$5)</f>
        <v>#NAME?</v>
      </c>
      <c r="Q12" s="190"/>
      <c r="R12" s="191" t="str">
        <f t="shared" ca="1" si="0"/>
        <v>n/a</v>
      </c>
      <c r="S12" s="216" t="str">
        <f t="shared" ca="1" si="0"/>
        <v>n/a</v>
      </c>
      <c r="T12" s="216" t="str">
        <f t="shared" ca="1" si="0"/>
        <v>n/a</v>
      </c>
      <c r="U12" s="191" t="e">
        <f ca="1">IF(_xll.ciqfunctions.udf.CIQ($AI12, "IQ_TR_IMPLIED_EQ_BV")=0,"NA",_xll.ciqfunctions.udf.CIQ($AI12, "IQ_TR_IMPLIED_EQ_BV"))</f>
        <v>#NAME?</v>
      </c>
      <c r="V12" s="191" t="e">
        <f ca="1">IF(_xll.ciqfunctions.udf.CIQ($AI12, "IQ_TR_IMPLIED_EQ_NI_LTM")=0,"NA",_xll.ciqfunctions.udf.CIQ($AI12, "IQ_TR_IMPLIED_EQ_NI_LTM"))</f>
        <v>#NAME?</v>
      </c>
      <c r="W12" s="190"/>
      <c r="X12" s="189" t="e">
        <f ca="1">_xll.ciqfunctions.udf.CIQ($AI12, "IQ_TR_TARGET_REVENUE_EST",, $AJ$4,$AJ$5)</f>
        <v>#NAME?</v>
      </c>
      <c r="Y12" s="189" t="e">
        <f ca="1">_xll.ciqfunctions.udf.CIQ($AI12, "IQ_TR_TARGET_EBITDA_EST",, $AJ$4,$AJ$5)</f>
        <v>#NAME?</v>
      </c>
      <c r="Z12" s="189" t="e">
        <f ca="1">_xll.ciqfunctions.udf.CIQ(AI12, "IQ_TR_IMPLIED_EV_EBIT_FWD")</f>
        <v>#NAME?</v>
      </c>
      <c r="AA12" s="190"/>
      <c r="AB12" s="191" t="str">
        <f t="shared" ca="1" si="1"/>
        <v>n/a</v>
      </c>
      <c r="AC12" s="191" t="str">
        <f t="shared" ca="1" si="1"/>
        <v>n/a</v>
      </c>
      <c r="AD12" s="191" t="str">
        <f t="shared" ca="1" si="1"/>
        <v>n/a</v>
      </c>
      <c r="AF12" s="192" t="e">
        <f ca="1">IF((_xll.ciqfunctions.udf.CIQ($AI12, "IQ_TR_TARGET_STOCKPREMIUM_1W")/100)&lt;=0,"NM",_xll.ciqfunctions.udf.CIQ($AI12, "IQ_TR_TARGET_STOCKPREMIUM_1W")/100)</f>
        <v>#NAME?</v>
      </c>
      <c r="AG12" s="192" t="e">
        <f ca="1">IF((_xll.ciqfunctions.udf.CIQ($AI12, "IQ_TR_TARGET_STOCKPREMIUM_1M")/100)&lt;=0,"NM",_xll.ciqfunctions.udf.CIQ($AI12, "IQ_TR_TARGET_STOCKPREMIUM_1M")/100)</f>
        <v>#NAME?</v>
      </c>
      <c r="AI12" s="193" t="str">
        <f>+'Capital IQ Sheet-STM'!AK12</f>
        <v>IQTR278301818</v>
      </c>
      <c r="AJ12" s="186" t="e">
        <f ca="1">_xll.ciqfunctions.udf.CIQ(AI12, "IQ_BUSINESS_DESCRIPTION")</f>
        <v>#NAME?</v>
      </c>
    </row>
    <row r="13" spans="2:36" s="186" customFormat="1" ht="12.75" customHeight="1">
      <c r="B13" s="185" t="e">
        <f ca="1">_xll.ciqfunctions.udf.CIQ($AI13,"IQ_TR_CLOSED_DATE")</f>
        <v>#NAME?</v>
      </c>
      <c r="C13" s="186" t="e">
        <f ca="1">_xll.ciqfunctions.udf.CIQ($AI13,"IQ_TR_BUYERNAME")</f>
        <v>#NAME?</v>
      </c>
      <c r="D13" s="186" t="e">
        <f ca="1">_xll.ciqfunctions.udf.CIQ($AI13,"IQ_TR_TARGETNAME")</f>
        <v>#NAME?</v>
      </c>
      <c r="E13" s="186" t="e">
        <f ca="1">_xll.ciqfunctions.udf.CIQ($AI13, "IQ_PRIMARY_INDUSTRY")</f>
        <v>#NAME?</v>
      </c>
      <c r="F13" s="187" t="e">
        <f ca="1">_xll.ciqfunctions.udf.CIQ($AI13, "IQ_TR_PCT_SOUGHT")/100</f>
        <v>#NAME?</v>
      </c>
      <c r="G13" s="188" t="e">
        <f ca="1">_xll.ciqfunctions.udf.CIQ(AI13, "IQ_TR_MAJ_MIN_STAKE")</f>
        <v>#NAME?</v>
      </c>
      <c r="I13" s="189" t="e">
        <f ca="1">_xll.ciqfunctions.udf.CIQ($AI13, "IQ_TR_IMPLIED_EV_FINAL", , $AJ$4,$AJ$5)</f>
        <v>#NAME?</v>
      </c>
      <c r="J13" s="189" t="e">
        <f ca="1">IF(_xll.ciqfunctions.udf.CIQ(AI13, "IQ_TR_TOTAL_CASH")="n/a",0,_xll.ciqfunctions.udf.CIQ(AI13, "IQ_TR_TOTAL_CASH"))+IF(_xll.ciqfunctions.udf.CIQ(AI13, "IQ_TR_TOTAL_STOCK")="n/a",0,_xll.ciqfunctions.udf.CIQ(AI13, "IQ_TR_TOTAL_STOCK"))</f>
        <v>#NAME?</v>
      </c>
      <c r="K13" s="43" t="e">
        <f ca="1">_xll.ciqfunctions.udf.CIQ(AI13, "IQ_TR_EARNOUTS")</f>
        <v>#NAME?</v>
      </c>
      <c r="L13" s="189" t="e">
        <f ca="1">IF(_xll.ciqfunctions.udf.CIQ($AI13, "IQ_TR_TOTAL_GROSS_TV",$AJ$4,$AJ$5)=0,"NA",_xll.ciqfunctions.udf.CIQ($AI13, "IQ_TR_TOTAL_GROSS_TV",,"USD"))</f>
        <v>#NAME?</v>
      </c>
      <c r="M13" s="190"/>
      <c r="N13" s="189" t="e">
        <f ca="1">_xll.ciqfunctions.udf.CIQ($AI13, "IQ_TR_TARGET_TOTAL_REV",,$AJ$4,$AJ$5)</f>
        <v>#NAME?</v>
      </c>
      <c r="O13" s="189" t="e">
        <f ca="1">_xll.ciqfunctions.udf.CIQ($AI13, "IQ_TR_TARGET_EBITDA", , $AJ$4,$AJ$5)</f>
        <v>#NAME?</v>
      </c>
      <c r="P13" s="189" t="e">
        <f ca="1">_xll.ciqfunctions.udf.CIQ($AI13, "IQ_TR_TARGET_EBIT", , $AJ$4,$AJ$5)</f>
        <v>#NAME?</v>
      </c>
      <c r="Q13" s="190"/>
      <c r="R13" s="191" t="str">
        <f t="shared" ca="1" si="0"/>
        <v>n/a</v>
      </c>
      <c r="S13" s="191" t="str">
        <f t="shared" ca="1" si="0"/>
        <v>n/a</v>
      </c>
      <c r="T13" s="191" t="str">
        <f t="shared" ca="1" si="0"/>
        <v>n/a</v>
      </c>
      <c r="U13" s="191" t="e">
        <f ca="1">IF(_xll.ciqfunctions.udf.CIQ($AI13, "IQ_TR_IMPLIED_EQ_BV")=0,"NA",_xll.ciqfunctions.udf.CIQ($AI13, "IQ_TR_IMPLIED_EQ_BV"))</f>
        <v>#NAME?</v>
      </c>
      <c r="V13" s="191" t="e">
        <f ca="1">IF(_xll.ciqfunctions.udf.CIQ($AI13, "IQ_TR_IMPLIED_EQ_NI_LTM")=0,"NA",_xll.ciqfunctions.udf.CIQ($AI13, "IQ_TR_IMPLIED_EQ_NI_LTM"))</f>
        <v>#NAME?</v>
      </c>
      <c r="W13" s="190"/>
      <c r="X13" s="189" t="e">
        <f ca="1">_xll.ciqfunctions.udf.CIQ($AI13, "IQ_TR_TARGET_REVENUE_EST",, $AJ$4,$AJ$5)</f>
        <v>#NAME?</v>
      </c>
      <c r="Y13" s="189" t="e">
        <f ca="1">_xll.ciqfunctions.udf.CIQ($AI13, "IQ_TR_TARGET_EBITDA_EST",, $AJ$4,$AJ$5)</f>
        <v>#NAME?</v>
      </c>
      <c r="Z13" s="189" t="e">
        <f ca="1">_xll.ciqfunctions.udf.CIQ(AI13, "IQ_TR_IMPLIED_EV_EBIT_FWD")</f>
        <v>#NAME?</v>
      </c>
      <c r="AA13" s="190"/>
      <c r="AB13" s="191" t="str">
        <f t="shared" ca="1" si="1"/>
        <v>n/a</v>
      </c>
      <c r="AC13" s="191" t="str">
        <f t="shared" ca="1" si="1"/>
        <v>n/a</v>
      </c>
      <c r="AD13" s="191" t="str">
        <f t="shared" ca="1" si="1"/>
        <v>n/a</v>
      </c>
      <c r="AF13" s="192" t="e">
        <f ca="1">IF((_xll.ciqfunctions.udf.CIQ($AI13, "IQ_TR_TARGET_STOCKPREMIUM_1W")/100)&lt;=0,"NM",_xll.ciqfunctions.udf.CIQ($AI13, "IQ_TR_TARGET_STOCKPREMIUM_1W")/100)</f>
        <v>#NAME?</v>
      </c>
      <c r="AG13" s="192" t="e">
        <f ca="1">IF((_xll.ciqfunctions.udf.CIQ($AI13, "IQ_TR_TARGET_STOCKPREMIUM_1M")/100)&lt;=0,"NM",_xll.ciqfunctions.udf.CIQ($AI13, "IQ_TR_TARGET_STOCKPREMIUM_1M")/100)</f>
        <v>#NAME?</v>
      </c>
      <c r="AI13" s="193" t="str">
        <f>+'Capital IQ Sheet-STM'!AK13</f>
        <v>IQTR267072117</v>
      </c>
      <c r="AJ13" s="186" t="e">
        <f ca="1">_xll.ciqfunctions.udf.CIQ(AI13, "IQ_BUSINESS_DESCRIPTION")</f>
        <v>#NAME?</v>
      </c>
    </row>
    <row r="14" spans="2:36" s="186" customFormat="1" ht="12.75" customHeight="1">
      <c r="B14" s="185" t="e">
        <f ca="1">_xll.ciqfunctions.udf.CIQ($AI14,"IQ_TR_CLOSED_DATE")</f>
        <v>#NAME?</v>
      </c>
      <c r="C14" s="186" t="e">
        <f ca="1">_xll.ciqfunctions.udf.CIQ($AI14,"IQ_TR_BUYERNAME")</f>
        <v>#NAME?</v>
      </c>
      <c r="D14" s="186" t="e">
        <f ca="1">_xll.ciqfunctions.udf.CIQ($AI14,"IQ_TR_TARGETNAME")</f>
        <v>#NAME?</v>
      </c>
      <c r="E14" s="186" t="e">
        <f ca="1">_xll.ciqfunctions.udf.CIQ($AI14, "IQ_PRIMARY_INDUSTRY")</f>
        <v>#NAME?</v>
      </c>
      <c r="F14" s="187" t="e">
        <f ca="1">_xll.ciqfunctions.udf.CIQ($AI14, "IQ_TR_PCT_SOUGHT")/100</f>
        <v>#NAME?</v>
      </c>
      <c r="G14" s="188" t="e">
        <f ca="1">_xll.ciqfunctions.udf.CIQ(AI14, "IQ_TR_MAJ_MIN_STAKE")</f>
        <v>#NAME?</v>
      </c>
      <c r="I14" s="189" t="e">
        <f ca="1">_xll.ciqfunctions.udf.CIQ($AI14, "IQ_TR_IMPLIED_EV_FINAL", , $AJ$4,$AJ$5)</f>
        <v>#NAME?</v>
      </c>
      <c r="J14" s="189" t="e">
        <f ca="1">IF(_xll.ciqfunctions.udf.CIQ(AI14, "IQ_TR_TOTAL_CASH")="n/a",0,_xll.ciqfunctions.udf.CIQ(AI14, "IQ_TR_TOTAL_CASH"))+IF(_xll.ciqfunctions.udf.CIQ(AI14, "IQ_TR_TOTAL_STOCK")="n/a",0,_xll.ciqfunctions.udf.CIQ(AI14, "IQ_TR_TOTAL_STOCK"))</f>
        <v>#NAME?</v>
      </c>
      <c r="K14" s="43" t="e">
        <f ca="1">_xll.ciqfunctions.udf.CIQ(AI14, "IQ_TR_EARNOUTS")</f>
        <v>#NAME?</v>
      </c>
      <c r="L14" s="189" t="e">
        <f ca="1">IF(_xll.ciqfunctions.udf.CIQ($AI14, "IQ_TR_TOTAL_GROSS_TV",$AJ$4,$AJ$5)=0,"NA",_xll.ciqfunctions.udf.CIQ($AI14, "IQ_TR_TOTAL_GROSS_TV",,"USD"))</f>
        <v>#NAME?</v>
      </c>
      <c r="M14" s="190"/>
      <c r="N14" s="189" t="e">
        <f ca="1">_xll.ciqfunctions.udf.CIQ($AI14, "IQ_TR_TARGET_TOTAL_REV",,$AJ$4,$AJ$5)</f>
        <v>#NAME?</v>
      </c>
      <c r="O14" s="189" t="e">
        <f ca="1">_xll.ciqfunctions.udf.CIQ($AI14, "IQ_TR_TARGET_EBITDA", , $AJ$4,$AJ$5)</f>
        <v>#NAME?</v>
      </c>
      <c r="P14" s="189" t="e">
        <f ca="1">_xll.ciqfunctions.udf.CIQ($AI14, "IQ_TR_TARGET_EBIT", , $AJ$4,$AJ$5)</f>
        <v>#NAME?</v>
      </c>
      <c r="Q14" s="190"/>
      <c r="R14" s="191" t="str">
        <f t="shared" ca="1" si="0"/>
        <v>n/a</v>
      </c>
      <c r="S14" s="191" t="str">
        <f t="shared" ca="1" si="0"/>
        <v>n/a</v>
      </c>
      <c r="T14" s="191" t="str">
        <f t="shared" ca="1" si="0"/>
        <v>n/a</v>
      </c>
      <c r="U14" s="191" t="e">
        <f ca="1">IF(_xll.ciqfunctions.udf.CIQ($AI14, "IQ_TR_IMPLIED_EQ_BV")=0,"NA",_xll.ciqfunctions.udf.CIQ($AI14, "IQ_TR_IMPLIED_EQ_BV"))</f>
        <v>#NAME?</v>
      </c>
      <c r="V14" s="191" t="e">
        <f ca="1">IF(_xll.ciqfunctions.udf.CIQ($AI14, "IQ_TR_IMPLIED_EQ_NI_LTM")=0,"NA",_xll.ciqfunctions.udf.CIQ($AI14, "IQ_TR_IMPLIED_EQ_NI_LTM"))</f>
        <v>#NAME?</v>
      </c>
      <c r="W14" s="190"/>
      <c r="X14" s="189" t="e">
        <f ca="1">_xll.ciqfunctions.udf.CIQ($AI14, "IQ_TR_TARGET_REVENUE_EST",, $AJ$4,$AJ$5)</f>
        <v>#NAME?</v>
      </c>
      <c r="Y14" s="189" t="e">
        <f ca="1">_xll.ciqfunctions.udf.CIQ($AI14, "IQ_TR_TARGET_EBITDA_EST",, $AJ$4,$AJ$5)</f>
        <v>#NAME?</v>
      </c>
      <c r="Z14" s="189" t="e">
        <f ca="1">_xll.ciqfunctions.udf.CIQ(AI14, "IQ_TR_IMPLIED_EV_EBIT_FWD")</f>
        <v>#NAME?</v>
      </c>
      <c r="AA14" s="190"/>
      <c r="AB14" s="191" t="str">
        <f t="shared" ca="1" si="1"/>
        <v>n/a</v>
      </c>
      <c r="AC14" s="191" t="str">
        <f t="shared" ca="1" si="1"/>
        <v>n/a</v>
      </c>
      <c r="AD14" s="191" t="str">
        <f t="shared" ca="1" si="1"/>
        <v>n/a</v>
      </c>
      <c r="AF14" s="192" t="e">
        <f ca="1">IF((_xll.ciqfunctions.udf.CIQ($AI14, "IQ_TR_TARGET_STOCKPREMIUM_1W")/100)&lt;=0,"NM",_xll.ciqfunctions.udf.CIQ($AI14, "IQ_TR_TARGET_STOCKPREMIUM_1W")/100)</f>
        <v>#NAME?</v>
      </c>
      <c r="AG14" s="192" t="e">
        <f ca="1">IF((_xll.ciqfunctions.udf.CIQ($AI14, "IQ_TR_TARGET_STOCKPREMIUM_1M")/100)&lt;=0,"NM",_xll.ciqfunctions.udf.CIQ($AI14, "IQ_TR_TARGET_STOCKPREMIUM_1M")/100)</f>
        <v>#NAME?</v>
      </c>
      <c r="AI14" s="193" t="str">
        <f>+'Capital IQ Sheet-STM'!AK14</f>
        <v>IQTR265010178</v>
      </c>
      <c r="AJ14" s="186" t="e">
        <f ca="1">_xll.ciqfunctions.udf.CIQ(AI14, "IQ_BUSINESS_DESCRIPTION")</f>
        <v>#NAME?</v>
      </c>
    </row>
    <row r="15" spans="2:36" s="186" customFormat="1" ht="12.75" customHeight="1">
      <c r="B15" s="185" t="e">
        <f ca="1">_xll.ciqfunctions.udf.CIQ($AI15,"IQ_TR_CLOSED_DATE")</f>
        <v>#NAME?</v>
      </c>
      <c r="C15" s="186" t="e">
        <f ca="1">_xll.ciqfunctions.udf.CIQ($AI15,"IQ_TR_BUYERNAME")</f>
        <v>#NAME?</v>
      </c>
      <c r="D15" s="186" t="e">
        <f ca="1">_xll.ciqfunctions.udf.CIQ($AI15,"IQ_TR_TARGETNAME")</f>
        <v>#NAME?</v>
      </c>
      <c r="E15" s="186" t="e">
        <f ca="1">_xll.ciqfunctions.udf.CIQ($AI15, "IQ_PRIMARY_INDUSTRY")</f>
        <v>#NAME?</v>
      </c>
      <c r="F15" s="187" t="e">
        <f ca="1">_xll.ciqfunctions.udf.CIQ($AI15, "IQ_TR_PCT_SOUGHT")/100</f>
        <v>#NAME?</v>
      </c>
      <c r="G15" s="188" t="e">
        <f ca="1">_xll.ciqfunctions.udf.CIQ(AI15, "IQ_TR_MAJ_MIN_STAKE")</f>
        <v>#NAME?</v>
      </c>
      <c r="I15" s="189" t="e">
        <f ca="1">_xll.ciqfunctions.udf.CIQ($AI15, "IQ_TR_IMPLIED_EV_FINAL", , $AJ$4,$AJ$5)</f>
        <v>#NAME?</v>
      </c>
      <c r="J15" s="189" t="e">
        <f ca="1">IF(_xll.ciqfunctions.udf.CIQ(AI15, "IQ_TR_TOTAL_CASH")="n/a",0,_xll.ciqfunctions.udf.CIQ(AI15, "IQ_TR_TOTAL_CASH"))+IF(_xll.ciqfunctions.udf.CIQ(AI15, "IQ_TR_TOTAL_STOCK")="n/a",0,_xll.ciqfunctions.udf.CIQ(AI15, "IQ_TR_TOTAL_STOCK"))</f>
        <v>#NAME?</v>
      </c>
      <c r="K15" s="43" t="e">
        <f ca="1">_xll.ciqfunctions.udf.CIQ(AI15, "IQ_TR_EARNOUTS")</f>
        <v>#NAME?</v>
      </c>
      <c r="L15" s="189" t="e">
        <f ca="1">IF(_xll.ciqfunctions.udf.CIQ($AI15, "IQ_TR_TOTAL_GROSS_TV",$AJ$4,$AJ$5)=0,"NA",_xll.ciqfunctions.udf.CIQ($AI15, "IQ_TR_TOTAL_GROSS_TV",,"USD"))</f>
        <v>#NAME?</v>
      </c>
      <c r="M15" s="190"/>
      <c r="N15" s="189" t="e">
        <f ca="1">_xll.ciqfunctions.udf.CIQ($AI15, "IQ_TR_TARGET_TOTAL_REV",,$AJ$4,$AJ$5)</f>
        <v>#NAME?</v>
      </c>
      <c r="O15" s="189" t="e">
        <f ca="1">_xll.ciqfunctions.udf.CIQ($AI15, "IQ_TR_TARGET_EBITDA", , $AJ$4,$AJ$5)</f>
        <v>#NAME?</v>
      </c>
      <c r="P15" s="189" t="e">
        <f ca="1">_xll.ciqfunctions.udf.CIQ($AI15, "IQ_TR_TARGET_EBIT", , $AJ$4,$AJ$5)</f>
        <v>#NAME?</v>
      </c>
      <c r="Q15" s="190"/>
      <c r="R15" s="191" t="str">
        <f t="shared" ca="1" si="0"/>
        <v>n/a</v>
      </c>
      <c r="S15" s="191" t="str">
        <f t="shared" ca="1" si="0"/>
        <v>n/a</v>
      </c>
      <c r="T15" s="191" t="str">
        <f t="shared" ca="1" si="0"/>
        <v>n/a</v>
      </c>
      <c r="U15" s="191" t="e">
        <f ca="1">IF(_xll.ciqfunctions.udf.CIQ($AI15, "IQ_TR_IMPLIED_EQ_BV")=0,"NA",_xll.ciqfunctions.udf.CIQ($AI15, "IQ_TR_IMPLIED_EQ_BV"))</f>
        <v>#NAME?</v>
      </c>
      <c r="V15" s="191" t="e">
        <f ca="1">IF(_xll.ciqfunctions.udf.CIQ($AI15, "IQ_TR_IMPLIED_EQ_NI_LTM")=0,"NA",_xll.ciqfunctions.udf.CIQ($AI15, "IQ_TR_IMPLIED_EQ_NI_LTM"))</f>
        <v>#NAME?</v>
      </c>
      <c r="W15" s="190"/>
      <c r="X15" s="189" t="e">
        <f ca="1">_xll.ciqfunctions.udf.CIQ($AI15, "IQ_TR_TARGET_REVENUE_EST",, $AJ$4,$AJ$5)</f>
        <v>#NAME?</v>
      </c>
      <c r="Y15" s="189" t="e">
        <f ca="1">_xll.ciqfunctions.udf.CIQ($AI15, "IQ_TR_TARGET_EBITDA_EST",, $AJ$4,$AJ$5)</f>
        <v>#NAME?</v>
      </c>
      <c r="Z15" s="189" t="e">
        <f ca="1">_xll.ciqfunctions.udf.CIQ(AI15, "IQ_TR_IMPLIED_EV_EBIT_FWD")</f>
        <v>#NAME?</v>
      </c>
      <c r="AA15" s="190"/>
      <c r="AB15" s="191" t="str">
        <f t="shared" ca="1" si="1"/>
        <v>n/a</v>
      </c>
      <c r="AC15" s="191" t="str">
        <f t="shared" ca="1" si="1"/>
        <v>n/a</v>
      </c>
      <c r="AD15" s="191" t="str">
        <f t="shared" ca="1" si="1"/>
        <v>n/a</v>
      </c>
      <c r="AF15" s="192" t="e">
        <f ca="1">IF((_xll.ciqfunctions.udf.CIQ($AI15, "IQ_TR_TARGET_STOCKPREMIUM_1W")/100)&lt;=0,"NM",_xll.ciqfunctions.udf.CIQ($AI15, "IQ_TR_TARGET_STOCKPREMIUM_1W")/100)</f>
        <v>#NAME?</v>
      </c>
      <c r="AG15" s="192" t="e">
        <f ca="1">IF((_xll.ciqfunctions.udf.CIQ($AI15, "IQ_TR_TARGET_STOCKPREMIUM_1M")/100)&lt;=0,"NM",_xll.ciqfunctions.udf.CIQ($AI15, "IQ_TR_TARGET_STOCKPREMIUM_1M")/100)</f>
        <v>#NAME?</v>
      </c>
      <c r="AI15" s="193" t="str">
        <f>+'Capital IQ Sheet-STM'!AK15</f>
        <v>IQTR248903420</v>
      </c>
      <c r="AJ15" s="186" t="e">
        <f ca="1">_xll.ciqfunctions.udf.CIQ(AI15, "IQ_BUSINESS_DESCRIPTION")</f>
        <v>#NAME?</v>
      </c>
    </row>
    <row r="16" spans="2:36" s="186" customFormat="1" ht="12.75" customHeight="1">
      <c r="B16" s="185" t="e">
        <f ca="1">_xll.ciqfunctions.udf.CIQ($AI16,"IQ_TR_CLOSED_DATE")</f>
        <v>#NAME?</v>
      </c>
      <c r="C16" s="186" t="e">
        <f ca="1">_xll.ciqfunctions.udf.CIQ($AI16,"IQ_TR_BUYERNAME")</f>
        <v>#NAME?</v>
      </c>
      <c r="D16" s="186" t="e">
        <f ca="1">_xll.ciqfunctions.udf.CIQ($AI16,"IQ_TR_TARGETNAME")</f>
        <v>#NAME?</v>
      </c>
      <c r="E16" s="186" t="e">
        <f ca="1">_xll.ciqfunctions.udf.CIQ($AI16, "IQ_PRIMARY_INDUSTRY")</f>
        <v>#NAME?</v>
      </c>
      <c r="F16" s="187" t="e">
        <f ca="1">_xll.ciqfunctions.udf.CIQ($AI16, "IQ_TR_PCT_SOUGHT")/100</f>
        <v>#NAME?</v>
      </c>
      <c r="G16" s="188" t="e">
        <f ca="1">_xll.ciqfunctions.udf.CIQ(AI16, "IQ_TR_MAJ_MIN_STAKE")</f>
        <v>#NAME?</v>
      </c>
      <c r="I16" s="189" t="e">
        <f ca="1">_xll.ciqfunctions.udf.CIQ($AI16, "IQ_TR_IMPLIED_EV_FINAL", , $AJ$4,$AJ$5)</f>
        <v>#NAME?</v>
      </c>
      <c r="J16" s="189" t="e">
        <f ca="1">IF(_xll.ciqfunctions.udf.CIQ(AI16, "IQ_TR_TOTAL_CASH")="n/a",0,_xll.ciqfunctions.udf.CIQ(AI16, "IQ_TR_TOTAL_CASH"))+IF(_xll.ciqfunctions.udf.CIQ(AI16, "IQ_TR_TOTAL_STOCK")="n/a",0,_xll.ciqfunctions.udf.CIQ(AI16, "IQ_TR_TOTAL_STOCK"))</f>
        <v>#NAME?</v>
      </c>
      <c r="K16" s="43" t="e">
        <f ca="1">_xll.ciqfunctions.udf.CIQ(AI16, "IQ_TR_EARNOUTS")</f>
        <v>#NAME?</v>
      </c>
      <c r="L16" s="189" t="e">
        <f ca="1">IF(_xll.ciqfunctions.udf.CIQ($AI16, "IQ_TR_TOTAL_GROSS_TV",$AJ$4,$AJ$5)=0,"NA",_xll.ciqfunctions.udf.CIQ($AI16, "IQ_TR_TOTAL_GROSS_TV",,"USD"))</f>
        <v>#NAME?</v>
      </c>
      <c r="M16" s="190"/>
      <c r="N16" s="189" t="e">
        <f ca="1">_xll.ciqfunctions.udf.CIQ($AI16, "IQ_TR_TARGET_TOTAL_REV",,$AJ$4,$AJ$5)</f>
        <v>#NAME?</v>
      </c>
      <c r="O16" s="189" t="e">
        <f ca="1">_xll.ciqfunctions.udf.CIQ($AI16, "IQ_TR_TARGET_EBITDA", , $AJ$4,$AJ$5)</f>
        <v>#NAME?</v>
      </c>
      <c r="P16" s="189" t="e">
        <f ca="1">_xll.ciqfunctions.udf.CIQ($AI16, "IQ_TR_TARGET_EBIT", , $AJ$4,$AJ$5)</f>
        <v>#NAME?</v>
      </c>
      <c r="Q16" s="190"/>
      <c r="R16" s="191" t="str">
        <f t="shared" ca="1" si="0"/>
        <v>n/a</v>
      </c>
      <c r="S16" s="191" t="str">
        <f t="shared" ca="1" si="0"/>
        <v>n/a</v>
      </c>
      <c r="T16" s="191" t="str">
        <f t="shared" ca="1" si="0"/>
        <v>n/a</v>
      </c>
      <c r="U16" s="191" t="e">
        <f ca="1">IF(_xll.ciqfunctions.udf.CIQ($AI16, "IQ_TR_IMPLIED_EQ_BV")=0,"NA",_xll.ciqfunctions.udf.CIQ($AI16, "IQ_TR_IMPLIED_EQ_BV"))</f>
        <v>#NAME?</v>
      </c>
      <c r="V16" s="191" t="e">
        <f ca="1">IF(_xll.ciqfunctions.udf.CIQ($AI16, "IQ_TR_IMPLIED_EQ_NI_LTM")=0,"NA",_xll.ciqfunctions.udf.CIQ($AI16, "IQ_TR_IMPLIED_EQ_NI_LTM"))</f>
        <v>#NAME?</v>
      </c>
      <c r="W16" s="190"/>
      <c r="X16" s="189" t="e">
        <f ca="1">_xll.ciqfunctions.udf.CIQ($AI16, "IQ_TR_TARGET_REVENUE_EST",, $AJ$4,$AJ$5)</f>
        <v>#NAME?</v>
      </c>
      <c r="Y16" s="189" t="e">
        <f ca="1">_xll.ciqfunctions.udf.CIQ($AI16, "IQ_TR_TARGET_EBITDA_EST",, $AJ$4,$AJ$5)</f>
        <v>#NAME?</v>
      </c>
      <c r="Z16" s="189" t="e">
        <f ca="1">_xll.ciqfunctions.udf.CIQ(AI16, "IQ_TR_IMPLIED_EV_EBIT_FWD")</f>
        <v>#NAME?</v>
      </c>
      <c r="AA16" s="190"/>
      <c r="AB16" s="191" t="str">
        <f t="shared" ca="1" si="1"/>
        <v>n/a</v>
      </c>
      <c r="AC16" s="191" t="str">
        <f t="shared" ca="1" si="1"/>
        <v>n/a</v>
      </c>
      <c r="AD16" s="191" t="str">
        <f t="shared" ca="1" si="1"/>
        <v>n/a</v>
      </c>
      <c r="AF16" s="192" t="e">
        <f ca="1">IF((_xll.ciqfunctions.udf.CIQ($AI16, "IQ_TR_TARGET_STOCKPREMIUM_1W")/100)&lt;=0,"NM",_xll.ciqfunctions.udf.CIQ($AI16, "IQ_TR_TARGET_STOCKPREMIUM_1W")/100)</f>
        <v>#NAME?</v>
      </c>
      <c r="AG16" s="192" t="e">
        <f ca="1">IF((_xll.ciqfunctions.udf.CIQ($AI16, "IQ_TR_TARGET_STOCKPREMIUM_1M")/100)&lt;=0,"NM",_xll.ciqfunctions.udf.CIQ($AI16, "IQ_TR_TARGET_STOCKPREMIUM_1M")/100)</f>
        <v>#NAME?</v>
      </c>
      <c r="AI16" s="193" t="str">
        <f>+'Capital IQ Sheet-STM'!AK16</f>
        <v>IQTR245160973</v>
      </c>
      <c r="AJ16" s="186" t="e">
        <f ca="1">_xll.ciqfunctions.udf.CIQ(AI16, "IQ_BUSINESS_DESCRIPTION")</f>
        <v>#NAME?</v>
      </c>
    </row>
    <row r="17" spans="2:36" s="186" customFormat="1" ht="12.75" customHeight="1">
      <c r="B17" s="185" t="e">
        <f ca="1">_xll.ciqfunctions.udf.CIQ($AI17,"IQ_TR_CLOSED_DATE")</f>
        <v>#NAME?</v>
      </c>
      <c r="C17" s="186" t="e">
        <f ca="1">_xll.ciqfunctions.udf.CIQ($AI17,"IQ_TR_BUYERNAME")</f>
        <v>#NAME?</v>
      </c>
      <c r="D17" s="186" t="e">
        <f ca="1">_xll.ciqfunctions.udf.CIQ($AI17,"IQ_TR_TARGETNAME")</f>
        <v>#NAME?</v>
      </c>
      <c r="E17" s="186" t="e">
        <f ca="1">_xll.ciqfunctions.udf.CIQ($AI17, "IQ_PRIMARY_INDUSTRY")</f>
        <v>#NAME?</v>
      </c>
      <c r="F17" s="187" t="e">
        <f ca="1">_xll.ciqfunctions.udf.CIQ($AI17, "IQ_TR_PCT_SOUGHT")/100</f>
        <v>#NAME?</v>
      </c>
      <c r="G17" s="188" t="e">
        <f ca="1">_xll.ciqfunctions.udf.CIQ(AI17, "IQ_TR_MAJ_MIN_STAKE")</f>
        <v>#NAME?</v>
      </c>
      <c r="I17" s="189" t="e">
        <f ca="1">_xll.ciqfunctions.udf.CIQ($AI17, "IQ_TR_IMPLIED_EV_FINAL", , $AJ$4,$AJ$5)</f>
        <v>#NAME?</v>
      </c>
      <c r="J17" s="189" t="e">
        <f ca="1">IF(_xll.ciqfunctions.udf.CIQ(AI17, "IQ_TR_TOTAL_CASH")="n/a",0,_xll.ciqfunctions.udf.CIQ(AI17, "IQ_TR_TOTAL_CASH"))+IF(_xll.ciqfunctions.udf.CIQ(AI17, "IQ_TR_TOTAL_STOCK")="n/a",0,_xll.ciqfunctions.udf.CIQ(AI17, "IQ_TR_TOTAL_STOCK"))</f>
        <v>#NAME?</v>
      </c>
      <c r="K17" s="43" t="e">
        <f ca="1">_xll.ciqfunctions.udf.CIQ(AI17, "IQ_TR_EARNOUTS")</f>
        <v>#NAME?</v>
      </c>
      <c r="L17" s="189" t="e">
        <f ca="1">IF(_xll.ciqfunctions.udf.CIQ($AI17, "IQ_TR_TOTAL_GROSS_TV",$AJ$4,$AJ$5)=0,"NA",_xll.ciqfunctions.udf.CIQ($AI17, "IQ_TR_TOTAL_GROSS_TV",,"USD"))</f>
        <v>#NAME?</v>
      </c>
      <c r="M17" s="190"/>
      <c r="N17" s="189" t="e">
        <f ca="1">_xll.ciqfunctions.udf.CIQ($AI17, "IQ_TR_TARGET_TOTAL_REV",,$AJ$4,$AJ$5)</f>
        <v>#NAME?</v>
      </c>
      <c r="O17" s="189" t="e">
        <f ca="1">_xll.ciqfunctions.udf.CIQ($AI17, "IQ_TR_TARGET_EBITDA", , $AJ$4,$AJ$5)</f>
        <v>#NAME?</v>
      </c>
      <c r="P17" s="189" t="e">
        <f ca="1">_xll.ciqfunctions.udf.CIQ($AI17, "IQ_TR_TARGET_EBIT", , $AJ$4,$AJ$5)</f>
        <v>#NAME?</v>
      </c>
      <c r="Q17" s="190"/>
      <c r="R17" s="191" t="str">
        <f t="shared" ca="1" si="0"/>
        <v>n/a</v>
      </c>
      <c r="S17" s="191" t="str">
        <f t="shared" ca="1" si="0"/>
        <v>n/a</v>
      </c>
      <c r="T17" s="191" t="str">
        <f t="shared" ca="1" si="0"/>
        <v>n/a</v>
      </c>
      <c r="U17" s="191" t="e">
        <f ca="1">IF(_xll.ciqfunctions.udf.CIQ($AI17, "IQ_TR_IMPLIED_EQ_BV")=0,"NA",_xll.ciqfunctions.udf.CIQ($AI17, "IQ_TR_IMPLIED_EQ_BV"))</f>
        <v>#NAME?</v>
      </c>
      <c r="V17" s="191" t="e">
        <f ca="1">IF(_xll.ciqfunctions.udf.CIQ($AI17, "IQ_TR_IMPLIED_EQ_NI_LTM")=0,"NA",_xll.ciqfunctions.udf.CIQ($AI17, "IQ_TR_IMPLIED_EQ_NI_LTM"))</f>
        <v>#NAME?</v>
      </c>
      <c r="W17" s="190"/>
      <c r="X17" s="189" t="e">
        <f ca="1">_xll.ciqfunctions.udf.CIQ($AI17, "IQ_TR_TARGET_REVENUE_EST",, $AJ$4,$AJ$5)</f>
        <v>#NAME?</v>
      </c>
      <c r="Y17" s="189" t="e">
        <f ca="1">_xll.ciqfunctions.udf.CIQ($AI17, "IQ_TR_TARGET_EBITDA_EST",, $AJ$4,$AJ$5)</f>
        <v>#NAME?</v>
      </c>
      <c r="Z17" s="189" t="e">
        <f ca="1">_xll.ciqfunctions.udf.CIQ(AI17, "IQ_TR_IMPLIED_EV_EBIT_FWD")</f>
        <v>#NAME?</v>
      </c>
      <c r="AA17" s="190"/>
      <c r="AB17" s="191" t="str">
        <f t="shared" ca="1" si="1"/>
        <v>n/a</v>
      </c>
      <c r="AC17" s="191" t="str">
        <f t="shared" ca="1" si="1"/>
        <v>n/a</v>
      </c>
      <c r="AD17" s="191" t="str">
        <f t="shared" ca="1" si="1"/>
        <v>n/a</v>
      </c>
      <c r="AF17" s="192" t="e">
        <f ca="1">IF((_xll.ciqfunctions.udf.CIQ($AI17, "IQ_TR_TARGET_STOCKPREMIUM_1W")/100)&lt;=0,"NM",_xll.ciqfunctions.udf.CIQ($AI17, "IQ_TR_TARGET_STOCKPREMIUM_1W")/100)</f>
        <v>#NAME?</v>
      </c>
      <c r="AG17" s="192" t="e">
        <f ca="1">IF((_xll.ciqfunctions.udf.CIQ($AI17, "IQ_TR_TARGET_STOCKPREMIUM_1M")/100)&lt;=0,"NM",_xll.ciqfunctions.udf.CIQ($AI17, "IQ_TR_TARGET_STOCKPREMIUM_1M")/100)</f>
        <v>#NAME?</v>
      </c>
      <c r="AI17" s="193">
        <f>+'Capital IQ Sheet-STM'!AK17</f>
        <v>0</v>
      </c>
      <c r="AJ17" s="186" t="e">
        <f ca="1">_xll.ciqfunctions.udf.CIQ(AI17, "IQ_BUSINESS_DESCRIPTION")</f>
        <v>#NAME?</v>
      </c>
    </row>
    <row r="18" spans="2:36" s="186" customFormat="1" ht="12.75" customHeight="1">
      <c r="B18" s="185" t="e">
        <f ca="1">_xll.ciqfunctions.udf.CIQ($AI18,"IQ_TR_CLOSED_DATE")</f>
        <v>#NAME?</v>
      </c>
      <c r="C18" s="186" t="e">
        <f ca="1">_xll.ciqfunctions.udf.CIQ($AI18,"IQ_TR_BUYERNAME")</f>
        <v>#NAME?</v>
      </c>
      <c r="D18" s="186" t="e">
        <f ca="1">_xll.ciqfunctions.udf.CIQ($AI18,"IQ_TR_TARGETNAME")</f>
        <v>#NAME?</v>
      </c>
      <c r="E18" s="186" t="e">
        <f ca="1">_xll.ciqfunctions.udf.CIQ($AI18, "IQ_PRIMARY_INDUSTRY")</f>
        <v>#NAME?</v>
      </c>
      <c r="F18" s="187" t="e">
        <f ca="1">_xll.ciqfunctions.udf.CIQ($AI18, "IQ_TR_PCT_SOUGHT")/100</f>
        <v>#NAME?</v>
      </c>
      <c r="G18" s="188" t="e">
        <f ca="1">_xll.ciqfunctions.udf.CIQ(AI18, "IQ_TR_MAJ_MIN_STAKE")</f>
        <v>#NAME?</v>
      </c>
      <c r="I18" s="189" t="e">
        <f ca="1">_xll.ciqfunctions.udf.CIQ($AI18, "IQ_TR_IMPLIED_EV_FINAL", , $AJ$4,$AJ$5)</f>
        <v>#NAME?</v>
      </c>
      <c r="J18" s="189" t="e">
        <f ca="1">IF(_xll.ciqfunctions.udf.CIQ(AI18, "IQ_TR_TOTAL_CASH")="n/a",0,_xll.ciqfunctions.udf.CIQ(AI18, "IQ_TR_TOTAL_CASH"))+IF(_xll.ciqfunctions.udf.CIQ(AI18, "IQ_TR_TOTAL_STOCK")="n/a",0,_xll.ciqfunctions.udf.CIQ(AI18, "IQ_TR_TOTAL_STOCK"))</f>
        <v>#NAME?</v>
      </c>
      <c r="K18" s="43" t="e">
        <f ca="1">_xll.ciqfunctions.udf.CIQ(AI18, "IQ_TR_EARNOUTS")</f>
        <v>#NAME?</v>
      </c>
      <c r="L18" s="189" t="e">
        <f ca="1">IF(_xll.ciqfunctions.udf.CIQ($AI18, "IQ_TR_TOTAL_GROSS_TV",$AJ$4,$AJ$5)=0,"NA",_xll.ciqfunctions.udf.CIQ($AI18, "IQ_TR_TOTAL_GROSS_TV",,"USD"))</f>
        <v>#NAME?</v>
      </c>
      <c r="M18" s="190"/>
      <c r="N18" s="189" t="e">
        <f ca="1">_xll.ciqfunctions.udf.CIQ($AI18, "IQ_TR_TARGET_TOTAL_REV",,$AJ$4,$AJ$5)</f>
        <v>#NAME?</v>
      </c>
      <c r="O18" s="189" t="e">
        <f ca="1">_xll.ciqfunctions.udf.CIQ($AI18, "IQ_TR_TARGET_EBITDA", , $AJ$4,$AJ$5)</f>
        <v>#NAME?</v>
      </c>
      <c r="P18" s="189" t="e">
        <f ca="1">_xll.ciqfunctions.udf.CIQ($AI18, "IQ_TR_TARGET_EBIT", , $AJ$4,$AJ$5)</f>
        <v>#NAME?</v>
      </c>
      <c r="Q18" s="190"/>
      <c r="R18" s="191" t="str">
        <f t="shared" ca="1" si="0"/>
        <v>n/a</v>
      </c>
      <c r="S18" s="191" t="str">
        <f t="shared" ca="1" si="0"/>
        <v>n/a</v>
      </c>
      <c r="T18" s="191" t="str">
        <f t="shared" ca="1" si="0"/>
        <v>n/a</v>
      </c>
      <c r="U18" s="191" t="e">
        <f ca="1">IF(_xll.ciqfunctions.udf.CIQ($AI18, "IQ_TR_IMPLIED_EQ_BV")=0,"NA",_xll.ciqfunctions.udf.CIQ($AI18, "IQ_TR_IMPLIED_EQ_BV"))</f>
        <v>#NAME?</v>
      </c>
      <c r="V18" s="191" t="e">
        <f ca="1">IF(_xll.ciqfunctions.udf.CIQ($AI18, "IQ_TR_IMPLIED_EQ_NI_LTM")=0,"NA",_xll.ciqfunctions.udf.CIQ($AI18, "IQ_TR_IMPLIED_EQ_NI_LTM"))</f>
        <v>#NAME?</v>
      </c>
      <c r="W18" s="190"/>
      <c r="X18" s="189" t="e">
        <f ca="1">_xll.ciqfunctions.udf.CIQ($AI18, "IQ_TR_TARGET_REVENUE_EST",, $AJ$4,$AJ$5)</f>
        <v>#NAME?</v>
      </c>
      <c r="Y18" s="189" t="e">
        <f ca="1">_xll.ciqfunctions.udf.CIQ($AI18, "IQ_TR_TARGET_EBITDA_EST",, $AJ$4,$AJ$5)</f>
        <v>#NAME?</v>
      </c>
      <c r="Z18" s="189" t="e">
        <f ca="1">_xll.ciqfunctions.udf.CIQ(AI18, "IQ_TR_IMPLIED_EV_EBIT_FWD")</f>
        <v>#NAME?</v>
      </c>
      <c r="AA18" s="190"/>
      <c r="AB18" s="191" t="str">
        <f t="shared" ca="1" si="1"/>
        <v>n/a</v>
      </c>
      <c r="AC18" s="191" t="str">
        <f t="shared" ca="1" si="1"/>
        <v>n/a</v>
      </c>
      <c r="AD18" s="191" t="str">
        <f t="shared" ca="1" si="1"/>
        <v>n/a</v>
      </c>
      <c r="AF18" s="192" t="e">
        <f ca="1">IF((_xll.ciqfunctions.udf.CIQ($AI18, "IQ_TR_TARGET_STOCKPREMIUM_1W")/100)&lt;=0,"NM",_xll.ciqfunctions.udf.CIQ($AI18, "IQ_TR_TARGET_STOCKPREMIUM_1W")/100)</f>
        <v>#NAME?</v>
      </c>
      <c r="AG18" s="192" t="e">
        <f ca="1">IF((_xll.ciqfunctions.udf.CIQ($AI18, "IQ_TR_TARGET_STOCKPREMIUM_1M")/100)&lt;=0,"NM",_xll.ciqfunctions.udf.CIQ($AI18, "IQ_TR_TARGET_STOCKPREMIUM_1M")/100)</f>
        <v>#NAME?</v>
      </c>
      <c r="AI18" s="193">
        <f>+'Capital IQ Sheet-STM'!AK18</f>
        <v>0</v>
      </c>
      <c r="AJ18" s="186" t="e">
        <f ca="1">_xll.ciqfunctions.udf.CIQ(AI18, "IQ_BUSINESS_DESCRIPTION")</f>
        <v>#NAME?</v>
      </c>
    </row>
    <row r="19" spans="2:36" s="186" customFormat="1" ht="12.75" customHeight="1">
      <c r="B19" s="185" t="e">
        <f ca="1">_xll.ciqfunctions.udf.CIQ($AI19,"IQ_TR_CLOSED_DATE")</f>
        <v>#NAME?</v>
      </c>
      <c r="C19" s="186" t="e">
        <f ca="1">_xll.ciqfunctions.udf.CIQ($AI19,"IQ_TR_BUYERNAME")</f>
        <v>#NAME?</v>
      </c>
      <c r="D19" s="186" t="e">
        <f ca="1">_xll.ciqfunctions.udf.CIQ($AI19,"IQ_TR_TARGETNAME")</f>
        <v>#NAME?</v>
      </c>
      <c r="E19" s="186" t="e">
        <f ca="1">_xll.ciqfunctions.udf.CIQ($AI19, "IQ_PRIMARY_INDUSTRY")</f>
        <v>#NAME?</v>
      </c>
      <c r="F19" s="187" t="e">
        <f ca="1">_xll.ciqfunctions.udf.CIQ($AI19, "IQ_TR_PCT_SOUGHT")/100</f>
        <v>#NAME?</v>
      </c>
      <c r="G19" s="188" t="e">
        <f ca="1">_xll.ciqfunctions.udf.CIQ(AI19, "IQ_TR_MAJ_MIN_STAKE")</f>
        <v>#NAME?</v>
      </c>
      <c r="I19" s="189" t="e">
        <f ca="1">_xll.ciqfunctions.udf.CIQ($AI19, "IQ_TR_IMPLIED_EV_FINAL", , $AJ$4,$AJ$5)</f>
        <v>#NAME?</v>
      </c>
      <c r="J19" s="189" t="e">
        <f ca="1">IF(_xll.ciqfunctions.udf.CIQ(AI19, "IQ_TR_TOTAL_CASH")="n/a",0,_xll.ciqfunctions.udf.CIQ(AI19, "IQ_TR_TOTAL_CASH"))+IF(_xll.ciqfunctions.udf.CIQ(AI19, "IQ_TR_TOTAL_STOCK")="n/a",0,_xll.ciqfunctions.udf.CIQ(AI19, "IQ_TR_TOTAL_STOCK"))</f>
        <v>#NAME?</v>
      </c>
      <c r="K19" s="43" t="e">
        <f ca="1">_xll.ciqfunctions.udf.CIQ(AI19, "IQ_TR_EARNOUTS")</f>
        <v>#NAME?</v>
      </c>
      <c r="L19" s="189" t="e">
        <f ca="1">IF(_xll.ciqfunctions.udf.CIQ($AI19, "IQ_TR_TOTAL_GROSS_TV",$AJ$4,$AJ$5)=0,"NA",_xll.ciqfunctions.udf.CIQ($AI19, "IQ_TR_TOTAL_GROSS_TV",,"USD"))</f>
        <v>#NAME?</v>
      </c>
      <c r="M19" s="190"/>
      <c r="N19" s="189" t="e">
        <f ca="1">_xll.ciqfunctions.udf.CIQ($AI19, "IQ_TR_TARGET_TOTAL_REV",,$AJ$4,$AJ$5)</f>
        <v>#NAME?</v>
      </c>
      <c r="O19" s="189" t="e">
        <f ca="1">_xll.ciqfunctions.udf.CIQ($AI19, "IQ_TR_TARGET_EBITDA", , $AJ$4,$AJ$5)</f>
        <v>#NAME?</v>
      </c>
      <c r="P19" s="189" t="e">
        <f ca="1">_xll.ciqfunctions.udf.CIQ($AI19, "IQ_TR_TARGET_EBIT", , $AJ$4,$AJ$5)</f>
        <v>#NAME?</v>
      </c>
      <c r="Q19" s="190"/>
      <c r="R19" s="191" t="str">
        <f t="shared" ca="1" si="0"/>
        <v>n/a</v>
      </c>
      <c r="S19" s="191" t="str">
        <f t="shared" ca="1" si="0"/>
        <v>n/a</v>
      </c>
      <c r="T19" s="191" t="str">
        <f t="shared" ca="1" si="0"/>
        <v>n/a</v>
      </c>
      <c r="U19" s="191" t="e">
        <f ca="1">IF(_xll.ciqfunctions.udf.CIQ($AI19, "IQ_TR_IMPLIED_EQ_BV")=0,"NA",_xll.ciqfunctions.udf.CIQ($AI19, "IQ_TR_IMPLIED_EQ_BV"))</f>
        <v>#NAME?</v>
      </c>
      <c r="V19" s="191" t="e">
        <f ca="1">IF(_xll.ciqfunctions.udf.CIQ($AI19, "IQ_TR_IMPLIED_EQ_NI_LTM")=0,"NA",_xll.ciqfunctions.udf.CIQ($AI19, "IQ_TR_IMPLIED_EQ_NI_LTM"))</f>
        <v>#NAME?</v>
      </c>
      <c r="W19" s="190"/>
      <c r="X19" s="189" t="e">
        <f ca="1">_xll.ciqfunctions.udf.CIQ($AI19, "IQ_TR_TARGET_REVENUE_EST",, $AJ$4,$AJ$5)</f>
        <v>#NAME?</v>
      </c>
      <c r="Y19" s="189" t="e">
        <f ca="1">_xll.ciqfunctions.udf.CIQ($AI19, "IQ_TR_TARGET_EBITDA_EST",, $AJ$4,$AJ$5)</f>
        <v>#NAME?</v>
      </c>
      <c r="Z19" s="189" t="e">
        <f ca="1">_xll.ciqfunctions.udf.CIQ(AI19, "IQ_TR_IMPLIED_EV_EBIT_FWD")</f>
        <v>#NAME?</v>
      </c>
      <c r="AA19" s="190"/>
      <c r="AB19" s="191" t="str">
        <f t="shared" ca="1" si="1"/>
        <v>n/a</v>
      </c>
      <c r="AC19" s="191" t="str">
        <f t="shared" ca="1" si="1"/>
        <v>n/a</v>
      </c>
      <c r="AD19" s="191" t="str">
        <f t="shared" ca="1" si="1"/>
        <v>n/a</v>
      </c>
      <c r="AF19" s="192" t="e">
        <f ca="1">IF((_xll.ciqfunctions.udf.CIQ($AI19, "IQ_TR_TARGET_STOCKPREMIUM_1W")/100)&lt;=0,"NM",_xll.ciqfunctions.udf.CIQ($AI19, "IQ_TR_TARGET_STOCKPREMIUM_1W")/100)</f>
        <v>#NAME?</v>
      </c>
      <c r="AG19" s="192" t="e">
        <f ca="1">IF((_xll.ciqfunctions.udf.CIQ($AI19, "IQ_TR_TARGET_STOCKPREMIUM_1M")/100)&lt;=0,"NM",_xll.ciqfunctions.udf.CIQ($AI19, "IQ_TR_TARGET_STOCKPREMIUM_1M")/100)</f>
        <v>#NAME?</v>
      </c>
      <c r="AI19" s="193">
        <f>+'Capital IQ Sheet-STM'!AK19</f>
        <v>0</v>
      </c>
      <c r="AJ19" s="186" t="e">
        <f ca="1">_xll.ciqfunctions.udf.CIQ(AI19, "IQ_BUSINESS_DESCRIPTION")</f>
        <v>#NAME?</v>
      </c>
    </row>
    <row r="20" spans="2:36" s="186" customFormat="1" ht="12.75" customHeight="1">
      <c r="B20" s="185" t="e">
        <f ca="1">_xll.ciqfunctions.udf.CIQ($AI20,"IQ_TR_CLOSED_DATE")</f>
        <v>#NAME?</v>
      </c>
      <c r="C20" s="186" t="e">
        <f ca="1">_xll.ciqfunctions.udf.CIQ($AI20,"IQ_TR_BUYERNAME")</f>
        <v>#NAME?</v>
      </c>
      <c r="D20" s="186" t="e">
        <f ca="1">_xll.ciqfunctions.udf.CIQ($AI20,"IQ_TR_TARGETNAME")</f>
        <v>#NAME?</v>
      </c>
      <c r="E20" s="186" t="e">
        <f ca="1">_xll.ciqfunctions.udf.CIQ($AI20, "IQ_PRIMARY_INDUSTRY")</f>
        <v>#NAME?</v>
      </c>
      <c r="F20" s="187" t="e">
        <f ca="1">_xll.ciqfunctions.udf.CIQ($AI20, "IQ_TR_PCT_SOUGHT")/100</f>
        <v>#NAME?</v>
      </c>
      <c r="G20" s="188" t="e">
        <f ca="1">_xll.ciqfunctions.udf.CIQ(AI20, "IQ_TR_MAJ_MIN_STAKE")</f>
        <v>#NAME?</v>
      </c>
      <c r="I20" s="189" t="e">
        <f ca="1">_xll.ciqfunctions.udf.CIQ($AI20, "IQ_TR_IMPLIED_EV_FINAL", , $AJ$4,$AJ$5)</f>
        <v>#NAME?</v>
      </c>
      <c r="J20" s="189" t="e">
        <f ca="1">IF(_xll.ciqfunctions.udf.CIQ(AI20, "IQ_TR_TOTAL_CASH")="n/a",0,_xll.ciqfunctions.udf.CIQ(AI20, "IQ_TR_TOTAL_CASH"))+IF(_xll.ciqfunctions.udf.CIQ(AI20, "IQ_TR_TOTAL_STOCK")="n/a",0,_xll.ciqfunctions.udf.CIQ(AI20, "IQ_TR_TOTAL_STOCK"))</f>
        <v>#NAME?</v>
      </c>
      <c r="K20" s="43" t="e">
        <f ca="1">_xll.ciqfunctions.udf.CIQ(AI20, "IQ_TR_EARNOUTS")</f>
        <v>#NAME?</v>
      </c>
      <c r="L20" s="189" t="e">
        <f ca="1">IF(_xll.ciqfunctions.udf.CIQ($AI20, "IQ_TR_TOTAL_GROSS_TV",$AJ$4,$AJ$5)=0,"NA",_xll.ciqfunctions.udf.CIQ($AI20, "IQ_TR_TOTAL_GROSS_TV",,"USD"))</f>
        <v>#NAME?</v>
      </c>
      <c r="M20" s="190"/>
      <c r="N20" s="189" t="e">
        <f ca="1">_xll.ciqfunctions.udf.CIQ($AI20, "IQ_TR_TARGET_TOTAL_REV",,$AJ$4,$AJ$5)</f>
        <v>#NAME?</v>
      </c>
      <c r="O20" s="189" t="e">
        <f ca="1">_xll.ciqfunctions.udf.CIQ($AI20, "IQ_TR_TARGET_EBITDA", , $AJ$4,$AJ$5)</f>
        <v>#NAME?</v>
      </c>
      <c r="P20" s="189" t="e">
        <f ca="1">_xll.ciqfunctions.udf.CIQ($AI20, "IQ_TR_TARGET_EBIT", , $AJ$4,$AJ$5)</f>
        <v>#NAME?</v>
      </c>
      <c r="Q20" s="190"/>
      <c r="R20" s="191" t="str">
        <f t="shared" ca="1" si="0"/>
        <v>n/a</v>
      </c>
      <c r="S20" s="191" t="str">
        <f t="shared" ca="1" si="0"/>
        <v>n/a</v>
      </c>
      <c r="T20" s="191" t="str">
        <f t="shared" ca="1" si="0"/>
        <v>n/a</v>
      </c>
      <c r="U20" s="191" t="e">
        <f ca="1">IF(_xll.ciqfunctions.udf.CIQ($AI20, "IQ_TR_IMPLIED_EQ_BV")=0,"NA",_xll.ciqfunctions.udf.CIQ($AI20, "IQ_TR_IMPLIED_EQ_BV"))</f>
        <v>#NAME?</v>
      </c>
      <c r="V20" s="191" t="e">
        <f ca="1">IF(_xll.ciqfunctions.udf.CIQ($AI20, "IQ_TR_IMPLIED_EQ_NI_LTM")=0,"NA",_xll.ciqfunctions.udf.CIQ($AI20, "IQ_TR_IMPLIED_EQ_NI_LTM"))</f>
        <v>#NAME?</v>
      </c>
      <c r="W20" s="190"/>
      <c r="X20" s="189" t="e">
        <f ca="1">_xll.ciqfunctions.udf.CIQ($AI20, "IQ_TR_TARGET_REVENUE_EST",, $AJ$4,$AJ$5)</f>
        <v>#NAME?</v>
      </c>
      <c r="Y20" s="189" t="e">
        <f ca="1">_xll.ciqfunctions.udf.CIQ($AI20, "IQ_TR_TARGET_EBITDA_EST",, $AJ$4,$AJ$5)</f>
        <v>#NAME?</v>
      </c>
      <c r="Z20" s="189" t="e">
        <f ca="1">_xll.ciqfunctions.udf.CIQ(AI20, "IQ_TR_IMPLIED_EV_EBIT_FWD")</f>
        <v>#NAME?</v>
      </c>
      <c r="AA20" s="190"/>
      <c r="AB20" s="191" t="str">
        <f t="shared" ca="1" si="1"/>
        <v>n/a</v>
      </c>
      <c r="AC20" s="191" t="str">
        <f t="shared" ca="1" si="1"/>
        <v>n/a</v>
      </c>
      <c r="AD20" s="191" t="str">
        <f t="shared" ca="1" si="1"/>
        <v>n/a</v>
      </c>
      <c r="AF20" s="192" t="e">
        <f ca="1">IF((_xll.ciqfunctions.udf.CIQ($AI20, "IQ_TR_TARGET_STOCKPREMIUM_1W")/100)&lt;=0,"NM",_xll.ciqfunctions.udf.CIQ($AI20, "IQ_TR_TARGET_STOCKPREMIUM_1W")/100)</f>
        <v>#NAME?</v>
      </c>
      <c r="AG20" s="192" t="e">
        <f ca="1">IF((_xll.ciqfunctions.udf.CIQ($AI20, "IQ_TR_TARGET_STOCKPREMIUM_1M")/100)&lt;=0,"NM",_xll.ciqfunctions.udf.CIQ($AI20, "IQ_TR_TARGET_STOCKPREMIUM_1M")/100)</f>
        <v>#NAME?</v>
      </c>
      <c r="AI20" s="193">
        <f>+'Capital IQ Sheet-STM'!AK20</f>
        <v>0</v>
      </c>
      <c r="AJ20" s="186" t="e">
        <f ca="1">_xll.ciqfunctions.udf.CIQ(AI20, "IQ_BUSINESS_DESCRIPTION")</f>
        <v>#NAME?</v>
      </c>
    </row>
    <row r="21" spans="2:36" s="186" customFormat="1" ht="12.75" customHeight="1">
      <c r="B21" s="185" t="e">
        <f ca="1">_xll.ciqfunctions.udf.CIQ($AI21,"IQ_TR_CLOSED_DATE")</f>
        <v>#NAME?</v>
      </c>
      <c r="C21" s="186" t="e">
        <f ca="1">_xll.ciqfunctions.udf.CIQ($AI21,"IQ_TR_BUYERNAME")</f>
        <v>#NAME?</v>
      </c>
      <c r="D21" s="186" t="e">
        <f ca="1">_xll.ciqfunctions.udf.CIQ($AI21,"IQ_TR_TARGETNAME")</f>
        <v>#NAME?</v>
      </c>
      <c r="E21" s="186" t="e">
        <f ca="1">_xll.ciqfunctions.udf.CIQ($AI21, "IQ_PRIMARY_INDUSTRY")</f>
        <v>#NAME?</v>
      </c>
      <c r="F21" s="187" t="e">
        <f ca="1">_xll.ciqfunctions.udf.CIQ($AI21, "IQ_TR_PCT_SOUGHT")/100</f>
        <v>#NAME?</v>
      </c>
      <c r="G21" s="188" t="e">
        <f ca="1">_xll.ciqfunctions.udf.CIQ(AI21, "IQ_TR_MAJ_MIN_STAKE")</f>
        <v>#NAME?</v>
      </c>
      <c r="I21" s="189" t="e">
        <f ca="1">_xll.ciqfunctions.udf.CIQ($AI21, "IQ_TR_IMPLIED_EV_FINAL", , $AJ$4,$AJ$5)</f>
        <v>#NAME?</v>
      </c>
      <c r="J21" s="189" t="e">
        <f ca="1">IF(_xll.ciqfunctions.udf.CIQ(AI21, "IQ_TR_TOTAL_CASH")="n/a",0,_xll.ciqfunctions.udf.CIQ(AI21, "IQ_TR_TOTAL_CASH"))+IF(_xll.ciqfunctions.udf.CIQ(AI21, "IQ_TR_TOTAL_STOCK")="n/a",0,_xll.ciqfunctions.udf.CIQ(AI21, "IQ_TR_TOTAL_STOCK"))</f>
        <v>#NAME?</v>
      </c>
      <c r="K21" s="43" t="e">
        <f ca="1">_xll.ciqfunctions.udf.CIQ(AI21, "IQ_TR_EARNOUTS")</f>
        <v>#NAME?</v>
      </c>
      <c r="L21" s="189" t="e">
        <f ca="1">IF(_xll.ciqfunctions.udf.CIQ($AI21, "IQ_TR_TOTAL_GROSS_TV",$AJ$4,$AJ$5)=0,"NA",_xll.ciqfunctions.udf.CIQ($AI21, "IQ_TR_TOTAL_GROSS_TV",,"USD"))</f>
        <v>#NAME?</v>
      </c>
      <c r="M21" s="190"/>
      <c r="N21" s="189" t="e">
        <f ca="1">_xll.ciqfunctions.udf.CIQ($AI21, "IQ_TR_TARGET_TOTAL_REV",,$AJ$4,$AJ$5)</f>
        <v>#NAME?</v>
      </c>
      <c r="O21" s="189" t="e">
        <f ca="1">_xll.ciqfunctions.udf.CIQ($AI21, "IQ_TR_TARGET_EBITDA", , $AJ$4,$AJ$5)</f>
        <v>#NAME?</v>
      </c>
      <c r="P21" s="189" t="e">
        <f ca="1">_xll.ciqfunctions.udf.CIQ($AI21, "IQ_TR_TARGET_EBIT", , $AJ$4,$AJ$5)</f>
        <v>#NAME?</v>
      </c>
      <c r="Q21" s="190"/>
      <c r="R21" s="191" t="str">
        <f t="shared" ca="1" si="0"/>
        <v>n/a</v>
      </c>
      <c r="S21" s="191" t="str">
        <f t="shared" ca="1" si="0"/>
        <v>n/a</v>
      </c>
      <c r="T21" s="191" t="str">
        <f t="shared" ca="1" si="0"/>
        <v>n/a</v>
      </c>
      <c r="U21" s="191" t="e">
        <f ca="1">IF(_xll.ciqfunctions.udf.CIQ($AI21, "IQ_TR_IMPLIED_EQ_BV")=0,"NA",_xll.ciqfunctions.udf.CIQ($AI21, "IQ_TR_IMPLIED_EQ_BV"))</f>
        <v>#NAME?</v>
      </c>
      <c r="V21" s="191" t="e">
        <f ca="1">IF(_xll.ciqfunctions.udf.CIQ($AI21, "IQ_TR_IMPLIED_EQ_NI_LTM")=0,"NA",_xll.ciqfunctions.udf.CIQ($AI21, "IQ_TR_IMPLIED_EQ_NI_LTM"))</f>
        <v>#NAME?</v>
      </c>
      <c r="W21" s="190"/>
      <c r="X21" s="189" t="e">
        <f ca="1">_xll.ciqfunctions.udf.CIQ($AI21, "IQ_TR_TARGET_REVENUE_EST",, $AJ$4,$AJ$5)</f>
        <v>#NAME?</v>
      </c>
      <c r="Y21" s="189" t="e">
        <f ca="1">_xll.ciqfunctions.udf.CIQ($AI21, "IQ_TR_TARGET_EBITDA_EST",, $AJ$4,$AJ$5)</f>
        <v>#NAME?</v>
      </c>
      <c r="Z21" s="189" t="e">
        <f ca="1">_xll.ciqfunctions.udf.CIQ(AI21, "IQ_TR_IMPLIED_EV_EBIT_FWD")</f>
        <v>#NAME?</v>
      </c>
      <c r="AA21" s="190"/>
      <c r="AB21" s="191" t="str">
        <f t="shared" ca="1" si="1"/>
        <v>n/a</v>
      </c>
      <c r="AC21" s="191" t="str">
        <f t="shared" ca="1" si="1"/>
        <v>n/a</v>
      </c>
      <c r="AD21" s="191" t="str">
        <f t="shared" ca="1" si="1"/>
        <v>n/a</v>
      </c>
      <c r="AF21" s="192" t="e">
        <f ca="1">IF((_xll.ciqfunctions.udf.CIQ($AI21, "IQ_TR_TARGET_STOCKPREMIUM_1W")/100)&lt;=0,"NM",_xll.ciqfunctions.udf.CIQ($AI21, "IQ_TR_TARGET_STOCKPREMIUM_1W")/100)</f>
        <v>#NAME?</v>
      </c>
      <c r="AG21" s="192" t="e">
        <f ca="1">IF((_xll.ciqfunctions.udf.CIQ($AI21, "IQ_TR_TARGET_STOCKPREMIUM_1M")/100)&lt;=0,"NM",_xll.ciqfunctions.udf.CIQ($AI21, "IQ_TR_TARGET_STOCKPREMIUM_1M")/100)</f>
        <v>#NAME?</v>
      </c>
      <c r="AI21" s="193">
        <f>+'Capital IQ Sheet-STM'!AK21</f>
        <v>0</v>
      </c>
      <c r="AJ21" s="186" t="e">
        <f ca="1">_xll.ciqfunctions.udf.CIQ(AI21, "IQ_BUSINESS_DESCRIPTION")</f>
        <v>#NAME?</v>
      </c>
    </row>
    <row r="22" spans="2:36" s="186" customFormat="1" ht="12.75" customHeight="1">
      <c r="B22" s="185" t="e">
        <f ca="1">_xll.ciqfunctions.udf.CIQ($AI22,"IQ_TR_CLOSED_DATE")</f>
        <v>#NAME?</v>
      </c>
      <c r="C22" s="186" t="e">
        <f ca="1">_xll.ciqfunctions.udf.CIQ($AI22,"IQ_TR_BUYERNAME")</f>
        <v>#NAME?</v>
      </c>
      <c r="D22" s="186" t="e">
        <f ca="1">_xll.ciqfunctions.udf.CIQ($AI22,"IQ_TR_TARGETNAME")</f>
        <v>#NAME?</v>
      </c>
      <c r="E22" s="186" t="e">
        <f ca="1">_xll.ciqfunctions.udf.CIQ($AI22, "IQ_PRIMARY_INDUSTRY")</f>
        <v>#NAME?</v>
      </c>
      <c r="F22" s="187" t="e">
        <f ca="1">_xll.ciqfunctions.udf.CIQ($AI22, "IQ_TR_PCT_SOUGHT")/100</f>
        <v>#NAME?</v>
      </c>
      <c r="G22" s="188" t="e">
        <f ca="1">_xll.ciqfunctions.udf.CIQ(AI22, "IQ_TR_MAJ_MIN_STAKE")</f>
        <v>#NAME?</v>
      </c>
      <c r="I22" s="189" t="e">
        <f ca="1">_xll.ciqfunctions.udf.CIQ($AI22, "IQ_TR_IMPLIED_EV_FINAL", , $AJ$4,$AJ$5)</f>
        <v>#NAME?</v>
      </c>
      <c r="J22" s="189" t="e">
        <f ca="1">IF(_xll.ciqfunctions.udf.CIQ(AI22, "IQ_TR_TOTAL_CASH")="n/a",0,_xll.ciqfunctions.udf.CIQ(AI22, "IQ_TR_TOTAL_CASH"))+IF(_xll.ciqfunctions.udf.CIQ(AI22, "IQ_TR_TOTAL_STOCK")="n/a",0,_xll.ciqfunctions.udf.CIQ(AI22, "IQ_TR_TOTAL_STOCK"))</f>
        <v>#NAME?</v>
      </c>
      <c r="K22" s="43" t="e">
        <f ca="1">_xll.ciqfunctions.udf.CIQ(AI22, "IQ_TR_EARNOUTS")</f>
        <v>#NAME?</v>
      </c>
      <c r="L22" s="189" t="e">
        <f ca="1">IF(_xll.ciqfunctions.udf.CIQ($AI22, "IQ_TR_TOTAL_GROSS_TV",$AJ$4,$AJ$5)=0,"NA",_xll.ciqfunctions.udf.CIQ($AI22, "IQ_TR_TOTAL_GROSS_TV",,"USD"))</f>
        <v>#NAME?</v>
      </c>
      <c r="M22" s="190"/>
      <c r="N22" s="189" t="e">
        <f ca="1">_xll.ciqfunctions.udf.CIQ($AI22, "IQ_TR_TARGET_TOTAL_REV",,$AJ$4,$AJ$5)</f>
        <v>#NAME?</v>
      </c>
      <c r="O22" s="189" t="e">
        <f ca="1">_xll.ciqfunctions.udf.CIQ($AI22, "IQ_TR_TARGET_EBITDA", , $AJ$4,$AJ$5)</f>
        <v>#NAME?</v>
      </c>
      <c r="P22" s="189" t="e">
        <f ca="1">_xll.ciqfunctions.udf.CIQ($AI22, "IQ_TR_TARGET_EBIT", , $AJ$4,$AJ$5)</f>
        <v>#NAME?</v>
      </c>
      <c r="Q22" s="190"/>
      <c r="R22" s="191" t="str">
        <f t="shared" ca="1" si="0"/>
        <v>n/a</v>
      </c>
      <c r="S22" s="191" t="str">
        <f t="shared" ca="1" si="0"/>
        <v>n/a</v>
      </c>
      <c r="T22" s="191" t="str">
        <f t="shared" ca="1" si="0"/>
        <v>n/a</v>
      </c>
      <c r="U22" s="191" t="e">
        <f ca="1">IF(_xll.ciqfunctions.udf.CIQ($AI22, "IQ_TR_IMPLIED_EQ_BV")=0,"NA",_xll.ciqfunctions.udf.CIQ($AI22, "IQ_TR_IMPLIED_EQ_BV"))</f>
        <v>#NAME?</v>
      </c>
      <c r="V22" s="191" t="e">
        <f ca="1">IF(_xll.ciqfunctions.udf.CIQ($AI22, "IQ_TR_IMPLIED_EQ_NI_LTM")=0,"NA",_xll.ciqfunctions.udf.CIQ($AI22, "IQ_TR_IMPLIED_EQ_NI_LTM"))</f>
        <v>#NAME?</v>
      </c>
      <c r="W22" s="190"/>
      <c r="X22" s="189" t="e">
        <f ca="1">_xll.ciqfunctions.udf.CIQ($AI22, "IQ_TR_TARGET_REVENUE_EST",, $AJ$4,$AJ$5)</f>
        <v>#NAME?</v>
      </c>
      <c r="Y22" s="189" t="e">
        <f ca="1">_xll.ciqfunctions.udf.CIQ($AI22, "IQ_TR_TARGET_EBITDA_EST",, $AJ$4,$AJ$5)</f>
        <v>#NAME?</v>
      </c>
      <c r="Z22" s="189" t="e">
        <f ca="1">_xll.ciqfunctions.udf.CIQ(AI22, "IQ_TR_IMPLIED_EV_EBIT_FWD")</f>
        <v>#NAME?</v>
      </c>
      <c r="AA22" s="190"/>
      <c r="AB22" s="191" t="str">
        <f t="shared" ca="1" si="1"/>
        <v>n/a</v>
      </c>
      <c r="AC22" s="191" t="str">
        <f t="shared" ca="1" si="1"/>
        <v>n/a</v>
      </c>
      <c r="AD22" s="191" t="str">
        <f t="shared" ca="1" si="1"/>
        <v>n/a</v>
      </c>
      <c r="AF22" s="192" t="e">
        <f ca="1">IF((_xll.ciqfunctions.udf.CIQ($AI22, "IQ_TR_TARGET_STOCKPREMIUM_1W")/100)&lt;=0,"NM",_xll.ciqfunctions.udf.CIQ($AI22, "IQ_TR_TARGET_STOCKPREMIUM_1W")/100)</f>
        <v>#NAME?</v>
      </c>
      <c r="AG22" s="192" t="e">
        <f ca="1">IF((_xll.ciqfunctions.udf.CIQ($AI22, "IQ_TR_TARGET_STOCKPREMIUM_1M")/100)&lt;=0,"NM",_xll.ciqfunctions.udf.CIQ($AI22, "IQ_TR_TARGET_STOCKPREMIUM_1M")/100)</f>
        <v>#NAME?</v>
      </c>
      <c r="AI22" s="193">
        <f>+'Capital IQ Sheet-STM'!AK22</f>
        <v>0</v>
      </c>
      <c r="AJ22" s="186" t="e">
        <f ca="1">_xll.ciqfunctions.udf.CIQ(AI22, "IQ_BUSINESS_DESCRIPTION")</f>
        <v>#NAME?</v>
      </c>
    </row>
    <row r="23" spans="2:36" s="186" customFormat="1" ht="12.75" customHeight="1">
      <c r="B23" s="185" t="e">
        <f ca="1">_xll.ciqfunctions.udf.CIQ($AI23,"IQ_TR_CLOSED_DATE")</f>
        <v>#NAME?</v>
      </c>
      <c r="C23" s="186" t="e">
        <f ca="1">_xll.ciqfunctions.udf.CIQ($AI23,"IQ_TR_BUYERNAME")</f>
        <v>#NAME?</v>
      </c>
      <c r="D23" s="186" t="e">
        <f ca="1">_xll.ciqfunctions.udf.CIQ($AI23,"IQ_TR_TARGETNAME")</f>
        <v>#NAME?</v>
      </c>
      <c r="E23" s="186" t="e">
        <f ca="1">_xll.ciqfunctions.udf.CIQ($AI23, "IQ_PRIMARY_INDUSTRY")</f>
        <v>#NAME?</v>
      </c>
      <c r="F23" s="187" t="e">
        <f ca="1">_xll.ciqfunctions.udf.CIQ($AI23, "IQ_TR_PCT_SOUGHT")/100</f>
        <v>#NAME?</v>
      </c>
      <c r="G23" s="188" t="e">
        <f ca="1">_xll.ciqfunctions.udf.CIQ(AI23, "IQ_TR_MAJ_MIN_STAKE")</f>
        <v>#NAME?</v>
      </c>
      <c r="I23" s="189" t="e">
        <f ca="1">_xll.ciqfunctions.udf.CIQ($AI23, "IQ_TR_IMPLIED_EV_FINAL", , $AJ$4,$AJ$5)</f>
        <v>#NAME?</v>
      </c>
      <c r="J23" s="189" t="e">
        <f ca="1">IF(_xll.ciqfunctions.udf.CIQ(AI23, "IQ_TR_TOTAL_CASH")="n/a",0,_xll.ciqfunctions.udf.CIQ(AI23, "IQ_TR_TOTAL_CASH"))+IF(_xll.ciqfunctions.udf.CIQ(AI23, "IQ_TR_TOTAL_STOCK")="n/a",0,_xll.ciqfunctions.udf.CIQ(AI23, "IQ_TR_TOTAL_STOCK"))</f>
        <v>#NAME?</v>
      </c>
      <c r="K23" s="43" t="e">
        <f ca="1">_xll.ciqfunctions.udf.CIQ(AI23, "IQ_TR_EARNOUTS")</f>
        <v>#NAME?</v>
      </c>
      <c r="L23" s="189" t="e">
        <f ca="1">IF(_xll.ciqfunctions.udf.CIQ($AI23, "IQ_TR_TOTAL_GROSS_TV",$AJ$4,$AJ$5)=0,"NA",_xll.ciqfunctions.udf.CIQ($AI23, "IQ_TR_TOTAL_GROSS_TV",,"USD"))</f>
        <v>#NAME?</v>
      </c>
      <c r="M23" s="190"/>
      <c r="N23" s="189" t="e">
        <f ca="1">_xll.ciqfunctions.udf.CIQ($AI23, "IQ_TR_TARGET_TOTAL_REV",,$AJ$4,$AJ$5)</f>
        <v>#NAME?</v>
      </c>
      <c r="O23" s="189" t="e">
        <f ca="1">_xll.ciqfunctions.udf.CIQ($AI23, "IQ_TR_TARGET_EBITDA", , $AJ$4,$AJ$5)</f>
        <v>#NAME?</v>
      </c>
      <c r="P23" s="189" t="e">
        <f ca="1">_xll.ciqfunctions.udf.CIQ($AI23, "IQ_TR_TARGET_EBIT", , $AJ$4,$AJ$5)</f>
        <v>#NAME?</v>
      </c>
      <c r="Q23" s="190"/>
      <c r="R23" s="191" t="str">
        <f t="shared" ca="1" si="0"/>
        <v>n/a</v>
      </c>
      <c r="S23" s="191" t="str">
        <f t="shared" ca="1" si="0"/>
        <v>n/a</v>
      </c>
      <c r="T23" s="191" t="str">
        <f t="shared" ca="1" si="0"/>
        <v>n/a</v>
      </c>
      <c r="U23" s="191" t="e">
        <f ca="1">IF(_xll.ciqfunctions.udf.CIQ($AI23, "IQ_TR_IMPLIED_EQ_BV")=0,"NA",_xll.ciqfunctions.udf.CIQ($AI23, "IQ_TR_IMPLIED_EQ_BV"))</f>
        <v>#NAME?</v>
      </c>
      <c r="V23" s="191" t="e">
        <f ca="1">IF(_xll.ciqfunctions.udf.CIQ($AI23, "IQ_TR_IMPLIED_EQ_NI_LTM")=0,"NA",_xll.ciqfunctions.udf.CIQ($AI23, "IQ_TR_IMPLIED_EQ_NI_LTM"))</f>
        <v>#NAME?</v>
      </c>
      <c r="W23" s="190"/>
      <c r="X23" s="189" t="e">
        <f ca="1">_xll.ciqfunctions.udf.CIQ($AI23, "IQ_TR_TARGET_REVENUE_EST",, $AJ$4,$AJ$5)</f>
        <v>#NAME?</v>
      </c>
      <c r="Y23" s="189" t="e">
        <f ca="1">_xll.ciqfunctions.udf.CIQ($AI23, "IQ_TR_TARGET_EBITDA_EST",, $AJ$4,$AJ$5)</f>
        <v>#NAME?</v>
      </c>
      <c r="Z23" s="189" t="e">
        <f ca="1">_xll.ciqfunctions.udf.CIQ(AI23, "IQ_TR_IMPLIED_EV_EBIT_FWD")</f>
        <v>#NAME?</v>
      </c>
      <c r="AA23" s="190"/>
      <c r="AB23" s="191" t="str">
        <f t="shared" ca="1" si="1"/>
        <v>n/a</v>
      </c>
      <c r="AC23" s="191" t="str">
        <f t="shared" ca="1" si="1"/>
        <v>n/a</v>
      </c>
      <c r="AD23" s="191" t="str">
        <f t="shared" ca="1" si="1"/>
        <v>n/a</v>
      </c>
      <c r="AF23" s="192" t="e">
        <f ca="1">IF((_xll.ciqfunctions.udf.CIQ($AI23, "IQ_TR_TARGET_STOCKPREMIUM_1W")/100)&lt;=0,"NM",_xll.ciqfunctions.udf.CIQ($AI23, "IQ_TR_TARGET_STOCKPREMIUM_1W")/100)</f>
        <v>#NAME?</v>
      </c>
      <c r="AG23" s="192" t="e">
        <f ca="1">IF((_xll.ciqfunctions.udf.CIQ($AI23, "IQ_TR_TARGET_STOCKPREMIUM_1M")/100)&lt;=0,"NM",_xll.ciqfunctions.udf.CIQ($AI23, "IQ_TR_TARGET_STOCKPREMIUM_1M")/100)</f>
        <v>#NAME?</v>
      </c>
      <c r="AI23" s="193">
        <f>+'Capital IQ Sheet-STM'!AK23</f>
        <v>0</v>
      </c>
      <c r="AJ23" s="186" t="e">
        <f ca="1">_xll.ciqfunctions.udf.CIQ(AI23, "IQ_BUSINESS_DESCRIPTION")</f>
        <v>#NAME?</v>
      </c>
    </row>
    <row r="24" spans="2:36" s="186" customFormat="1" ht="12.75" customHeight="1">
      <c r="B24" s="185" t="e">
        <f ca="1">_xll.ciqfunctions.udf.CIQ($AI24,"IQ_TR_CLOSED_DATE")</f>
        <v>#NAME?</v>
      </c>
      <c r="C24" s="186" t="e">
        <f ca="1">_xll.ciqfunctions.udf.CIQ($AI24,"IQ_TR_BUYERNAME")</f>
        <v>#NAME?</v>
      </c>
      <c r="D24" s="186" t="e">
        <f ca="1">_xll.ciqfunctions.udf.CIQ($AI24,"IQ_TR_TARGETNAME")</f>
        <v>#NAME?</v>
      </c>
      <c r="E24" s="186" t="e">
        <f ca="1">_xll.ciqfunctions.udf.CIQ($AI24, "IQ_PRIMARY_INDUSTRY")</f>
        <v>#NAME?</v>
      </c>
      <c r="F24" s="187" t="e">
        <f ca="1">_xll.ciqfunctions.udf.CIQ($AI24, "IQ_TR_PCT_SOUGHT")/100</f>
        <v>#NAME?</v>
      </c>
      <c r="G24" s="188" t="e">
        <f ca="1">_xll.ciqfunctions.udf.CIQ(AI24, "IQ_TR_MAJ_MIN_STAKE")</f>
        <v>#NAME?</v>
      </c>
      <c r="I24" s="189" t="e">
        <f ca="1">_xll.ciqfunctions.udf.CIQ($AI24, "IQ_TR_IMPLIED_EV_FINAL", , $AJ$4,$AJ$5)</f>
        <v>#NAME?</v>
      </c>
      <c r="J24" s="189" t="e">
        <f ca="1">IF(_xll.ciqfunctions.udf.CIQ(AI24, "IQ_TR_TOTAL_CASH")="n/a",0,_xll.ciqfunctions.udf.CIQ(AI24, "IQ_TR_TOTAL_CASH"))+IF(_xll.ciqfunctions.udf.CIQ(AI24, "IQ_TR_TOTAL_STOCK")="n/a",0,_xll.ciqfunctions.udf.CIQ(AI24, "IQ_TR_TOTAL_STOCK"))</f>
        <v>#NAME?</v>
      </c>
      <c r="K24" s="43" t="e">
        <f ca="1">_xll.ciqfunctions.udf.CIQ(AI24, "IQ_TR_EARNOUTS")</f>
        <v>#NAME?</v>
      </c>
      <c r="L24" s="189" t="e">
        <f ca="1">IF(_xll.ciqfunctions.udf.CIQ($AI24, "IQ_TR_TOTAL_GROSS_TV",$AJ$4,$AJ$5)=0,"NA",_xll.ciqfunctions.udf.CIQ($AI24, "IQ_TR_TOTAL_GROSS_TV",,"USD"))</f>
        <v>#NAME?</v>
      </c>
      <c r="M24" s="190"/>
      <c r="N24" s="189" t="e">
        <f ca="1">_xll.ciqfunctions.udf.CIQ($AI24, "IQ_TR_TARGET_TOTAL_REV",,$AJ$4,$AJ$5)</f>
        <v>#NAME?</v>
      </c>
      <c r="O24" s="189" t="e">
        <f ca="1">_xll.ciqfunctions.udf.CIQ($AI24, "IQ_TR_TARGET_EBITDA", , $AJ$4,$AJ$5)</f>
        <v>#NAME?</v>
      </c>
      <c r="P24" s="189" t="e">
        <f ca="1">_xll.ciqfunctions.udf.CIQ($AI24, "IQ_TR_TARGET_EBIT", , $AJ$4,$AJ$5)</f>
        <v>#NAME?</v>
      </c>
      <c r="Q24" s="190"/>
      <c r="R24" s="191" t="str">
        <f t="shared" ca="1" si="0"/>
        <v>n/a</v>
      </c>
      <c r="S24" s="191" t="str">
        <f t="shared" ca="1" si="0"/>
        <v>n/a</v>
      </c>
      <c r="T24" s="191" t="str">
        <f t="shared" ca="1" si="0"/>
        <v>n/a</v>
      </c>
      <c r="U24" s="191" t="e">
        <f ca="1">IF(_xll.ciqfunctions.udf.CIQ($AI24, "IQ_TR_IMPLIED_EQ_BV")=0,"NA",_xll.ciqfunctions.udf.CIQ($AI24, "IQ_TR_IMPLIED_EQ_BV"))</f>
        <v>#NAME?</v>
      </c>
      <c r="V24" s="191" t="e">
        <f ca="1">IF(_xll.ciqfunctions.udf.CIQ($AI24, "IQ_TR_IMPLIED_EQ_NI_LTM")=0,"NA",_xll.ciqfunctions.udf.CIQ($AI24, "IQ_TR_IMPLIED_EQ_NI_LTM"))</f>
        <v>#NAME?</v>
      </c>
      <c r="W24" s="190"/>
      <c r="X24" s="189" t="e">
        <f ca="1">_xll.ciqfunctions.udf.CIQ($AI24, "IQ_TR_TARGET_REVENUE_EST",, $AJ$4,$AJ$5)</f>
        <v>#NAME?</v>
      </c>
      <c r="Y24" s="189" t="e">
        <f ca="1">_xll.ciqfunctions.udf.CIQ($AI24, "IQ_TR_TARGET_EBITDA_EST",, $AJ$4,$AJ$5)</f>
        <v>#NAME?</v>
      </c>
      <c r="Z24" s="189" t="e">
        <f ca="1">_xll.ciqfunctions.udf.CIQ(AI24, "IQ_TR_IMPLIED_EV_EBIT_FWD")</f>
        <v>#NAME?</v>
      </c>
      <c r="AA24" s="190"/>
      <c r="AB24" s="191" t="str">
        <f t="shared" ca="1" si="1"/>
        <v>n/a</v>
      </c>
      <c r="AC24" s="191" t="str">
        <f t="shared" ca="1" si="1"/>
        <v>n/a</v>
      </c>
      <c r="AD24" s="191" t="str">
        <f t="shared" ca="1" si="1"/>
        <v>n/a</v>
      </c>
      <c r="AF24" s="192" t="e">
        <f ca="1">IF((_xll.ciqfunctions.udf.CIQ($AI24, "IQ_TR_TARGET_STOCKPREMIUM_1W")/100)&lt;=0,"NM",_xll.ciqfunctions.udf.CIQ($AI24, "IQ_TR_TARGET_STOCKPREMIUM_1W")/100)</f>
        <v>#NAME?</v>
      </c>
      <c r="AG24" s="192" t="e">
        <f ca="1">IF((_xll.ciqfunctions.udf.CIQ($AI24, "IQ_TR_TARGET_STOCKPREMIUM_1M")/100)&lt;=0,"NM",_xll.ciqfunctions.udf.CIQ($AI24, "IQ_TR_TARGET_STOCKPREMIUM_1M")/100)</f>
        <v>#NAME?</v>
      </c>
      <c r="AI24" s="193">
        <f>+'Capital IQ Sheet-STM'!AK24</f>
        <v>0</v>
      </c>
      <c r="AJ24" s="186" t="e">
        <f ca="1">_xll.ciqfunctions.udf.CIQ(AI24, "IQ_BUSINESS_DESCRIPTION")</f>
        <v>#NAME?</v>
      </c>
    </row>
    <row r="25" spans="2:36" s="186" customFormat="1" ht="12.75" customHeight="1">
      <c r="B25" s="185" t="e">
        <f ca="1">_xll.ciqfunctions.udf.CIQ($AI25,"IQ_TR_CLOSED_DATE")</f>
        <v>#NAME?</v>
      </c>
      <c r="C25" s="186" t="e">
        <f ca="1">_xll.ciqfunctions.udf.CIQ($AI25,"IQ_TR_BUYERNAME")</f>
        <v>#NAME?</v>
      </c>
      <c r="D25" s="186" t="e">
        <f ca="1">_xll.ciqfunctions.udf.CIQ($AI25,"IQ_TR_TARGETNAME")</f>
        <v>#NAME?</v>
      </c>
      <c r="E25" s="186" t="e">
        <f ca="1">_xll.ciqfunctions.udf.CIQ($AI25, "IQ_PRIMARY_INDUSTRY")</f>
        <v>#NAME?</v>
      </c>
      <c r="F25" s="187" t="e">
        <f ca="1">_xll.ciqfunctions.udf.CIQ($AI25, "IQ_TR_PCT_SOUGHT")/100</f>
        <v>#NAME?</v>
      </c>
      <c r="G25" s="188" t="e">
        <f ca="1">_xll.ciqfunctions.udf.CIQ(AI25, "IQ_TR_MAJ_MIN_STAKE")</f>
        <v>#NAME?</v>
      </c>
      <c r="I25" s="189" t="e">
        <f ca="1">_xll.ciqfunctions.udf.CIQ($AI25, "IQ_TR_IMPLIED_EV_FINAL", , $AJ$4,$AJ$5)</f>
        <v>#NAME?</v>
      </c>
      <c r="J25" s="189" t="e">
        <f ca="1">IF(_xll.ciqfunctions.udf.CIQ(AI25, "IQ_TR_TOTAL_CASH")="n/a",0,_xll.ciqfunctions.udf.CIQ(AI25, "IQ_TR_TOTAL_CASH"))+IF(_xll.ciqfunctions.udf.CIQ(AI25, "IQ_TR_TOTAL_STOCK")="n/a",0,_xll.ciqfunctions.udf.CIQ(AI25, "IQ_TR_TOTAL_STOCK"))</f>
        <v>#NAME?</v>
      </c>
      <c r="K25" s="43" t="e">
        <f ca="1">_xll.ciqfunctions.udf.CIQ(AI25, "IQ_TR_EARNOUTS")</f>
        <v>#NAME?</v>
      </c>
      <c r="L25" s="189" t="e">
        <f ca="1">IF(_xll.ciqfunctions.udf.CIQ($AI25, "IQ_TR_TOTAL_GROSS_TV",$AJ$4,$AJ$5)=0,"NA",_xll.ciqfunctions.udf.CIQ($AI25, "IQ_TR_TOTAL_GROSS_TV",,"USD"))</f>
        <v>#NAME?</v>
      </c>
      <c r="M25" s="190"/>
      <c r="N25" s="189" t="e">
        <f ca="1">_xll.ciqfunctions.udf.CIQ($AI25, "IQ_TR_TARGET_TOTAL_REV",,$AJ$4,$AJ$5)</f>
        <v>#NAME?</v>
      </c>
      <c r="O25" s="189" t="e">
        <f ca="1">_xll.ciqfunctions.udf.CIQ($AI25, "IQ_TR_TARGET_EBITDA", , $AJ$4,$AJ$5)</f>
        <v>#NAME?</v>
      </c>
      <c r="P25" s="189" t="e">
        <f ca="1">_xll.ciqfunctions.udf.CIQ($AI25, "IQ_TR_TARGET_EBIT", , $AJ$4,$AJ$5)</f>
        <v>#NAME?</v>
      </c>
      <c r="Q25" s="190"/>
      <c r="R25" s="191" t="str">
        <f t="shared" ca="1" si="0"/>
        <v>n/a</v>
      </c>
      <c r="S25" s="191" t="str">
        <f t="shared" ca="1" si="0"/>
        <v>n/a</v>
      </c>
      <c r="T25" s="191" t="str">
        <f t="shared" ca="1" si="0"/>
        <v>n/a</v>
      </c>
      <c r="U25" s="191" t="e">
        <f ca="1">IF(_xll.ciqfunctions.udf.CIQ($AI25, "IQ_TR_IMPLIED_EQ_BV")=0,"NA",_xll.ciqfunctions.udf.CIQ($AI25, "IQ_TR_IMPLIED_EQ_BV"))</f>
        <v>#NAME?</v>
      </c>
      <c r="V25" s="191" t="e">
        <f ca="1">IF(_xll.ciqfunctions.udf.CIQ($AI25, "IQ_TR_IMPLIED_EQ_NI_LTM")=0,"NA",_xll.ciqfunctions.udf.CIQ($AI25, "IQ_TR_IMPLIED_EQ_NI_LTM"))</f>
        <v>#NAME?</v>
      </c>
      <c r="W25" s="190"/>
      <c r="X25" s="189" t="e">
        <f ca="1">_xll.ciqfunctions.udf.CIQ($AI25, "IQ_TR_TARGET_REVENUE_EST",, $AJ$4,$AJ$5)</f>
        <v>#NAME?</v>
      </c>
      <c r="Y25" s="189" t="e">
        <f ca="1">_xll.ciqfunctions.udf.CIQ($AI25, "IQ_TR_TARGET_EBITDA_EST",, $AJ$4,$AJ$5)</f>
        <v>#NAME?</v>
      </c>
      <c r="Z25" s="189" t="e">
        <f ca="1">_xll.ciqfunctions.udf.CIQ(AI25, "IQ_TR_IMPLIED_EV_EBIT_FWD")</f>
        <v>#NAME?</v>
      </c>
      <c r="AA25" s="190"/>
      <c r="AB25" s="191" t="str">
        <f t="shared" ca="1" si="1"/>
        <v>n/a</v>
      </c>
      <c r="AC25" s="191" t="str">
        <f t="shared" ca="1" si="1"/>
        <v>n/a</v>
      </c>
      <c r="AD25" s="191" t="str">
        <f t="shared" ca="1" si="1"/>
        <v>n/a</v>
      </c>
      <c r="AF25" s="192" t="e">
        <f ca="1">IF((_xll.ciqfunctions.udf.CIQ($AI25, "IQ_TR_TARGET_STOCKPREMIUM_1W")/100)&lt;=0,"NM",_xll.ciqfunctions.udf.CIQ($AI25, "IQ_TR_TARGET_STOCKPREMIUM_1W")/100)</f>
        <v>#NAME?</v>
      </c>
      <c r="AG25" s="192" t="e">
        <f ca="1">IF((_xll.ciqfunctions.udf.CIQ($AI25, "IQ_TR_TARGET_STOCKPREMIUM_1M")/100)&lt;=0,"NM",_xll.ciqfunctions.udf.CIQ($AI25, "IQ_TR_TARGET_STOCKPREMIUM_1M")/100)</f>
        <v>#NAME?</v>
      </c>
      <c r="AI25" s="193">
        <f>+'Capital IQ Sheet-STM'!AK25</f>
        <v>0</v>
      </c>
      <c r="AJ25" s="186" t="e">
        <f ca="1">_xll.ciqfunctions.udf.CIQ(AI25, "IQ_BUSINESS_DESCRIPTION")</f>
        <v>#NAME?</v>
      </c>
    </row>
    <row r="26" spans="2:36" s="186" customFormat="1" ht="12.75" customHeight="1">
      <c r="B26" s="185" t="e">
        <f ca="1">_xll.ciqfunctions.udf.CIQ($AI26,"IQ_TR_CLOSED_DATE")</f>
        <v>#NAME?</v>
      </c>
      <c r="C26" s="186" t="e">
        <f ca="1">_xll.ciqfunctions.udf.CIQ($AI26,"IQ_TR_BUYERNAME")</f>
        <v>#NAME?</v>
      </c>
      <c r="D26" s="186" t="e">
        <f ca="1">_xll.ciqfunctions.udf.CIQ($AI26,"IQ_TR_TARGETNAME")</f>
        <v>#NAME?</v>
      </c>
      <c r="E26" s="186" t="e">
        <f ca="1">_xll.ciqfunctions.udf.CIQ($AI26, "IQ_PRIMARY_INDUSTRY")</f>
        <v>#NAME?</v>
      </c>
      <c r="F26" s="187" t="e">
        <f ca="1">_xll.ciqfunctions.udf.CIQ($AI26, "IQ_TR_PCT_SOUGHT")/100</f>
        <v>#NAME?</v>
      </c>
      <c r="G26" s="188" t="e">
        <f ca="1">_xll.ciqfunctions.udf.CIQ(AI26, "IQ_TR_MAJ_MIN_STAKE")</f>
        <v>#NAME?</v>
      </c>
      <c r="I26" s="189" t="e">
        <f ca="1">_xll.ciqfunctions.udf.CIQ($AI26, "IQ_TR_IMPLIED_EV_FINAL", , $AJ$4,$AJ$5)</f>
        <v>#NAME?</v>
      </c>
      <c r="J26" s="189" t="e">
        <f ca="1">IF(_xll.ciqfunctions.udf.CIQ(AI26, "IQ_TR_TOTAL_CASH")="n/a",0,_xll.ciqfunctions.udf.CIQ(AI26, "IQ_TR_TOTAL_CASH"))+IF(_xll.ciqfunctions.udf.CIQ(AI26, "IQ_TR_TOTAL_STOCK")="n/a",0,_xll.ciqfunctions.udf.CIQ(AI26, "IQ_TR_TOTAL_STOCK"))</f>
        <v>#NAME?</v>
      </c>
      <c r="K26" s="43" t="e">
        <f ca="1">_xll.ciqfunctions.udf.CIQ(AI26, "IQ_TR_EARNOUTS")</f>
        <v>#NAME?</v>
      </c>
      <c r="L26" s="189" t="e">
        <f ca="1">IF(_xll.ciqfunctions.udf.CIQ($AI26, "IQ_TR_TOTAL_GROSS_TV",$AJ$4,$AJ$5)=0,"NA",_xll.ciqfunctions.udf.CIQ($AI26, "IQ_TR_TOTAL_GROSS_TV",,"USD"))</f>
        <v>#NAME?</v>
      </c>
      <c r="M26" s="190"/>
      <c r="N26" s="189" t="e">
        <f ca="1">_xll.ciqfunctions.udf.CIQ($AI26, "IQ_TR_TARGET_TOTAL_REV",,$AJ$4,$AJ$5)</f>
        <v>#NAME?</v>
      </c>
      <c r="O26" s="189" t="e">
        <f ca="1">_xll.ciqfunctions.udf.CIQ($AI26, "IQ_TR_TARGET_EBITDA", , $AJ$4,$AJ$5)</f>
        <v>#NAME?</v>
      </c>
      <c r="P26" s="189" t="e">
        <f ca="1">_xll.ciqfunctions.udf.CIQ($AI26, "IQ_TR_TARGET_EBIT", , $AJ$4,$AJ$5)</f>
        <v>#NAME?</v>
      </c>
      <c r="Q26" s="190"/>
      <c r="R26" s="191" t="str">
        <f t="shared" ca="1" si="0"/>
        <v>n/a</v>
      </c>
      <c r="S26" s="191" t="str">
        <f t="shared" ca="1" si="0"/>
        <v>n/a</v>
      </c>
      <c r="T26" s="191" t="str">
        <f t="shared" ca="1" si="0"/>
        <v>n/a</v>
      </c>
      <c r="U26" s="191" t="e">
        <f ca="1">IF(_xll.ciqfunctions.udf.CIQ($AI26, "IQ_TR_IMPLIED_EQ_BV")=0,"NA",_xll.ciqfunctions.udf.CIQ($AI26, "IQ_TR_IMPLIED_EQ_BV"))</f>
        <v>#NAME?</v>
      </c>
      <c r="V26" s="191" t="e">
        <f ca="1">IF(_xll.ciqfunctions.udf.CIQ($AI26, "IQ_TR_IMPLIED_EQ_NI_LTM")=0,"NA",_xll.ciqfunctions.udf.CIQ($AI26, "IQ_TR_IMPLIED_EQ_NI_LTM"))</f>
        <v>#NAME?</v>
      </c>
      <c r="W26" s="190"/>
      <c r="X26" s="189" t="e">
        <f ca="1">_xll.ciqfunctions.udf.CIQ($AI26, "IQ_TR_TARGET_REVENUE_EST",, $AJ$4,$AJ$5)</f>
        <v>#NAME?</v>
      </c>
      <c r="Y26" s="189" t="e">
        <f ca="1">_xll.ciqfunctions.udf.CIQ($AI26, "IQ_TR_TARGET_EBITDA_EST",, $AJ$4,$AJ$5)</f>
        <v>#NAME?</v>
      </c>
      <c r="Z26" s="189" t="e">
        <f ca="1">_xll.ciqfunctions.udf.CIQ(AI26, "IQ_TR_IMPLIED_EV_EBIT_FWD")</f>
        <v>#NAME?</v>
      </c>
      <c r="AA26" s="190"/>
      <c r="AB26" s="191" t="str">
        <f t="shared" ca="1" si="1"/>
        <v>n/a</v>
      </c>
      <c r="AC26" s="191" t="str">
        <f t="shared" ca="1" si="1"/>
        <v>n/a</v>
      </c>
      <c r="AD26" s="191" t="str">
        <f t="shared" ca="1" si="1"/>
        <v>n/a</v>
      </c>
      <c r="AF26" s="192" t="e">
        <f ca="1">IF((_xll.ciqfunctions.udf.CIQ($AI26, "IQ_TR_TARGET_STOCKPREMIUM_1W")/100)&lt;=0,"NM",_xll.ciqfunctions.udf.CIQ($AI26, "IQ_TR_TARGET_STOCKPREMIUM_1W")/100)</f>
        <v>#NAME?</v>
      </c>
      <c r="AG26" s="192" t="e">
        <f ca="1">IF((_xll.ciqfunctions.udf.CIQ($AI26, "IQ_TR_TARGET_STOCKPREMIUM_1M")/100)&lt;=0,"NM",_xll.ciqfunctions.udf.CIQ($AI26, "IQ_TR_TARGET_STOCKPREMIUM_1M")/100)</f>
        <v>#NAME?</v>
      </c>
      <c r="AI26" s="193">
        <f>+'Capital IQ Sheet-STM'!AK26</f>
        <v>0</v>
      </c>
      <c r="AJ26" s="186" t="e">
        <f ca="1">_xll.ciqfunctions.udf.CIQ(AI26, "IQ_BUSINESS_DESCRIPTION")</f>
        <v>#NAME?</v>
      </c>
    </row>
    <row r="27" spans="2:36" s="186" customFormat="1" ht="12.75" customHeight="1">
      <c r="B27" s="185" t="e">
        <f ca="1">_xll.ciqfunctions.udf.CIQ($AI27,"IQ_TR_CLOSED_DATE")</f>
        <v>#NAME?</v>
      </c>
      <c r="C27" s="186" t="e">
        <f ca="1">_xll.ciqfunctions.udf.CIQ($AI27,"IQ_TR_BUYERNAME")</f>
        <v>#NAME?</v>
      </c>
      <c r="D27" s="186" t="e">
        <f ca="1">_xll.ciqfunctions.udf.CIQ($AI27,"IQ_TR_TARGETNAME")</f>
        <v>#NAME?</v>
      </c>
      <c r="E27" s="186" t="e">
        <f ca="1">_xll.ciqfunctions.udf.CIQ($AI27, "IQ_PRIMARY_INDUSTRY")</f>
        <v>#NAME?</v>
      </c>
      <c r="F27" s="187" t="e">
        <f ca="1">_xll.ciqfunctions.udf.CIQ($AI27, "IQ_TR_PCT_SOUGHT")/100</f>
        <v>#NAME?</v>
      </c>
      <c r="G27" s="188" t="e">
        <f ca="1">_xll.ciqfunctions.udf.CIQ(AI27, "IQ_TR_MAJ_MIN_STAKE")</f>
        <v>#NAME?</v>
      </c>
      <c r="I27" s="189" t="e">
        <f ca="1">_xll.ciqfunctions.udf.CIQ($AI27, "IQ_TR_IMPLIED_EV_FINAL", , $AJ$4,$AJ$5)</f>
        <v>#NAME?</v>
      </c>
      <c r="J27" s="189" t="e">
        <f ca="1">IF(_xll.ciqfunctions.udf.CIQ(AI27, "IQ_TR_TOTAL_CASH")="n/a",0,_xll.ciqfunctions.udf.CIQ(AI27, "IQ_TR_TOTAL_CASH"))+IF(_xll.ciqfunctions.udf.CIQ(AI27, "IQ_TR_TOTAL_STOCK")="n/a",0,_xll.ciqfunctions.udf.CIQ(AI27, "IQ_TR_TOTAL_STOCK"))</f>
        <v>#NAME?</v>
      </c>
      <c r="K27" s="43" t="e">
        <f ca="1">_xll.ciqfunctions.udf.CIQ(AI27, "IQ_TR_EARNOUTS")</f>
        <v>#NAME?</v>
      </c>
      <c r="L27" s="189" t="e">
        <f ca="1">IF(_xll.ciqfunctions.udf.CIQ($AI27, "IQ_TR_TOTAL_GROSS_TV",$AJ$4,$AJ$5)=0,"NA",_xll.ciqfunctions.udf.CIQ($AI27, "IQ_TR_TOTAL_GROSS_TV",,"USD"))</f>
        <v>#NAME?</v>
      </c>
      <c r="M27" s="190"/>
      <c r="N27" s="189" t="e">
        <f ca="1">_xll.ciqfunctions.udf.CIQ($AI27, "IQ_TR_TARGET_TOTAL_REV",,$AJ$4,$AJ$5)</f>
        <v>#NAME?</v>
      </c>
      <c r="O27" s="189" t="e">
        <f ca="1">_xll.ciqfunctions.udf.CIQ($AI27, "IQ_TR_TARGET_EBITDA", , $AJ$4,$AJ$5)</f>
        <v>#NAME?</v>
      </c>
      <c r="P27" s="189" t="e">
        <f ca="1">_xll.ciqfunctions.udf.CIQ($AI27, "IQ_TR_TARGET_EBIT", , $AJ$4,$AJ$5)</f>
        <v>#NAME?</v>
      </c>
      <c r="Q27" s="190"/>
      <c r="R27" s="191" t="str">
        <f t="shared" ca="1" si="0"/>
        <v>n/a</v>
      </c>
      <c r="S27" s="191" t="str">
        <f t="shared" ca="1" si="0"/>
        <v>n/a</v>
      </c>
      <c r="T27" s="191" t="str">
        <f t="shared" ca="1" si="0"/>
        <v>n/a</v>
      </c>
      <c r="U27" s="191" t="e">
        <f ca="1">IF(_xll.ciqfunctions.udf.CIQ($AI27, "IQ_TR_IMPLIED_EQ_BV")=0,"NA",_xll.ciqfunctions.udf.CIQ($AI27, "IQ_TR_IMPLIED_EQ_BV"))</f>
        <v>#NAME?</v>
      </c>
      <c r="V27" s="191" t="e">
        <f ca="1">IF(_xll.ciqfunctions.udf.CIQ($AI27, "IQ_TR_IMPLIED_EQ_NI_LTM")=0,"NA",_xll.ciqfunctions.udf.CIQ($AI27, "IQ_TR_IMPLIED_EQ_NI_LTM"))</f>
        <v>#NAME?</v>
      </c>
      <c r="W27" s="190"/>
      <c r="X27" s="189" t="e">
        <f ca="1">_xll.ciqfunctions.udf.CIQ($AI27, "IQ_TR_TARGET_REVENUE_EST",, $AJ$4,$AJ$5)</f>
        <v>#NAME?</v>
      </c>
      <c r="Y27" s="189" t="e">
        <f ca="1">_xll.ciqfunctions.udf.CIQ($AI27, "IQ_TR_TARGET_EBITDA_EST",, $AJ$4,$AJ$5)</f>
        <v>#NAME?</v>
      </c>
      <c r="Z27" s="189" t="e">
        <f ca="1">_xll.ciqfunctions.udf.CIQ(AI27, "IQ_TR_IMPLIED_EV_EBIT_FWD")</f>
        <v>#NAME?</v>
      </c>
      <c r="AA27" s="190"/>
      <c r="AB27" s="191" t="str">
        <f t="shared" ca="1" si="1"/>
        <v>n/a</v>
      </c>
      <c r="AC27" s="191" t="str">
        <f t="shared" ca="1" si="1"/>
        <v>n/a</v>
      </c>
      <c r="AD27" s="191" t="str">
        <f t="shared" ca="1" si="1"/>
        <v>n/a</v>
      </c>
      <c r="AF27" s="192" t="e">
        <f ca="1">IF((_xll.ciqfunctions.udf.CIQ($AI27, "IQ_TR_TARGET_STOCKPREMIUM_1W")/100)&lt;=0,"NM",_xll.ciqfunctions.udf.CIQ($AI27, "IQ_TR_TARGET_STOCKPREMIUM_1W")/100)</f>
        <v>#NAME?</v>
      </c>
      <c r="AG27" s="192" t="e">
        <f ca="1">IF((_xll.ciqfunctions.udf.CIQ($AI27, "IQ_TR_TARGET_STOCKPREMIUM_1M")/100)&lt;=0,"NM",_xll.ciqfunctions.udf.CIQ($AI27, "IQ_TR_TARGET_STOCKPREMIUM_1M")/100)</f>
        <v>#NAME?</v>
      </c>
      <c r="AI27" s="193">
        <f>+'Capital IQ Sheet-STM'!AK27</f>
        <v>0</v>
      </c>
      <c r="AJ27" s="186" t="e">
        <f ca="1">_xll.ciqfunctions.udf.CIQ(AI27, "IQ_BUSINESS_DESCRIPTION")</f>
        <v>#NAME?</v>
      </c>
    </row>
    <row r="28" spans="2:36" s="186" customFormat="1" ht="12.75" customHeight="1">
      <c r="B28" s="185" t="e">
        <f ca="1">_xll.ciqfunctions.udf.CIQ($AI28,"IQ_TR_CLOSED_DATE")</f>
        <v>#NAME?</v>
      </c>
      <c r="C28" s="186" t="e">
        <f ca="1">_xll.ciqfunctions.udf.CIQ($AI28,"IQ_TR_BUYERNAME")</f>
        <v>#NAME?</v>
      </c>
      <c r="D28" s="186" t="e">
        <f ca="1">_xll.ciqfunctions.udf.CIQ($AI28,"IQ_TR_TARGETNAME")</f>
        <v>#NAME?</v>
      </c>
      <c r="E28" s="186" t="e">
        <f ca="1">_xll.ciqfunctions.udf.CIQ($AI28, "IQ_PRIMARY_INDUSTRY")</f>
        <v>#NAME?</v>
      </c>
      <c r="F28" s="187" t="e">
        <f ca="1">_xll.ciqfunctions.udf.CIQ($AI28, "IQ_TR_PCT_SOUGHT")/100</f>
        <v>#NAME?</v>
      </c>
      <c r="G28" s="188" t="e">
        <f ca="1">_xll.ciqfunctions.udf.CIQ(AI28, "IQ_TR_MAJ_MIN_STAKE")</f>
        <v>#NAME?</v>
      </c>
      <c r="I28" s="189" t="e">
        <f ca="1">_xll.ciqfunctions.udf.CIQ($AI28, "IQ_TR_IMPLIED_EV_FINAL", , $AJ$4,$AJ$5)</f>
        <v>#NAME?</v>
      </c>
      <c r="J28" s="189" t="e">
        <f ca="1">IF(_xll.ciqfunctions.udf.CIQ(AI28, "IQ_TR_TOTAL_CASH")="n/a",0,_xll.ciqfunctions.udf.CIQ(AI28, "IQ_TR_TOTAL_CASH"))+IF(_xll.ciqfunctions.udf.CIQ(AI28, "IQ_TR_TOTAL_STOCK")="n/a",0,_xll.ciqfunctions.udf.CIQ(AI28, "IQ_TR_TOTAL_STOCK"))</f>
        <v>#NAME?</v>
      </c>
      <c r="K28" s="43" t="e">
        <f ca="1">_xll.ciqfunctions.udf.CIQ(AI28, "IQ_TR_EARNOUTS")</f>
        <v>#NAME?</v>
      </c>
      <c r="L28" s="189" t="e">
        <f ca="1">IF(_xll.ciqfunctions.udf.CIQ($AI28, "IQ_TR_TOTAL_GROSS_TV",$AJ$4,$AJ$5)=0,"NA",_xll.ciqfunctions.udf.CIQ($AI28, "IQ_TR_TOTAL_GROSS_TV",,"USD"))</f>
        <v>#NAME?</v>
      </c>
      <c r="M28" s="190"/>
      <c r="N28" s="189" t="e">
        <f ca="1">_xll.ciqfunctions.udf.CIQ($AI28, "IQ_TR_TARGET_TOTAL_REV",,$AJ$4,$AJ$5)</f>
        <v>#NAME?</v>
      </c>
      <c r="O28" s="189" t="e">
        <f ca="1">_xll.ciqfunctions.udf.CIQ($AI28, "IQ_TR_TARGET_EBITDA", , $AJ$4,$AJ$5)</f>
        <v>#NAME?</v>
      </c>
      <c r="P28" s="189" t="e">
        <f ca="1">_xll.ciqfunctions.udf.CIQ($AI28, "IQ_TR_TARGET_EBIT", , $AJ$4,$AJ$5)</f>
        <v>#NAME?</v>
      </c>
      <c r="Q28" s="190"/>
      <c r="R28" s="191" t="str">
        <f t="shared" ca="1" si="0"/>
        <v>n/a</v>
      </c>
      <c r="S28" s="191" t="str">
        <f t="shared" ca="1" si="0"/>
        <v>n/a</v>
      </c>
      <c r="T28" s="191" t="str">
        <f t="shared" ca="1" si="0"/>
        <v>n/a</v>
      </c>
      <c r="U28" s="191" t="e">
        <f ca="1">IF(_xll.ciqfunctions.udf.CIQ($AI28, "IQ_TR_IMPLIED_EQ_BV")=0,"NA",_xll.ciqfunctions.udf.CIQ($AI28, "IQ_TR_IMPLIED_EQ_BV"))</f>
        <v>#NAME?</v>
      </c>
      <c r="V28" s="191" t="e">
        <f ca="1">IF(_xll.ciqfunctions.udf.CIQ($AI28, "IQ_TR_IMPLIED_EQ_NI_LTM")=0,"NA",_xll.ciqfunctions.udf.CIQ($AI28, "IQ_TR_IMPLIED_EQ_NI_LTM"))</f>
        <v>#NAME?</v>
      </c>
      <c r="W28" s="190"/>
      <c r="X28" s="189" t="e">
        <f ca="1">_xll.ciqfunctions.udf.CIQ($AI28, "IQ_TR_TARGET_REVENUE_EST",, $AJ$4,$AJ$5)</f>
        <v>#NAME?</v>
      </c>
      <c r="Y28" s="189" t="e">
        <f ca="1">_xll.ciqfunctions.udf.CIQ($AI28, "IQ_TR_TARGET_EBITDA_EST",, $AJ$4,$AJ$5)</f>
        <v>#NAME?</v>
      </c>
      <c r="Z28" s="189" t="e">
        <f ca="1">_xll.ciqfunctions.udf.CIQ(AI28, "IQ_TR_IMPLIED_EV_EBIT_FWD")</f>
        <v>#NAME?</v>
      </c>
      <c r="AA28" s="190"/>
      <c r="AB28" s="191" t="str">
        <f t="shared" ca="1" si="1"/>
        <v>n/a</v>
      </c>
      <c r="AC28" s="191" t="str">
        <f t="shared" ca="1" si="1"/>
        <v>n/a</v>
      </c>
      <c r="AD28" s="191" t="str">
        <f t="shared" ca="1" si="1"/>
        <v>n/a</v>
      </c>
      <c r="AF28" s="192" t="e">
        <f ca="1">IF((_xll.ciqfunctions.udf.CIQ($AI28, "IQ_TR_TARGET_STOCKPREMIUM_1W")/100)&lt;=0,"NM",_xll.ciqfunctions.udf.CIQ($AI28, "IQ_TR_TARGET_STOCKPREMIUM_1W")/100)</f>
        <v>#NAME?</v>
      </c>
      <c r="AG28" s="192" t="e">
        <f ca="1">IF((_xll.ciqfunctions.udf.CIQ($AI28, "IQ_TR_TARGET_STOCKPREMIUM_1M")/100)&lt;=0,"NM",_xll.ciqfunctions.udf.CIQ($AI28, "IQ_TR_TARGET_STOCKPREMIUM_1M")/100)</f>
        <v>#NAME?</v>
      </c>
      <c r="AI28" s="193">
        <f>+'Capital IQ Sheet-STM'!AK28</f>
        <v>0</v>
      </c>
      <c r="AJ28" s="186" t="e">
        <f ca="1">_xll.ciqfunctions.udf.CIQ(AI28, "IQ_BUSINESS_DESCRIPTION")</f>
        <v>#NAME?</v>
      </c>
    </row>
    <row r="29" spans="2:36" s="186" customFormat="1" ht="12.75" customHeight="1">
      <c r="B29" s="185" t="e">
        <f ca="1">_xll.ciqfunctions.udf.CIQ($AI29,"IQ_TR_CLOSED_DATE")</f>
        <v>#NAME?</v>
      </c>
      <c r="C29" s="186" t="e">
        <f ca="1">_xll.ciqfunctions.udf.CIQ($AI29,"IQ_TR_BUYERNAME")</f>
        <v>#NAME?</v>
      </c>
      <c r="D29" s="186" t="e">
        <f ca="1">_xll.ciqfunctions.udf.CIQ($AI29,"IQ_TR_TARGETNAME")</f>
        <v>#NAME?</v>
      </c>
      <c r="E29" s="186" t="e">
        <f ca="1">_xll.ciqfunctions.udf.CIQ($AI29, "IQ_PRIMARY_INDUSTRY")</f>
        <v>#NAME?</v>
      </c>
      <c r="F29" s="187" t="e">
        <f ca="1">_xll.ciqfunctions.udf.CIQ($AI29, "IQ_TR_PCT_SOUGHT")/100</f>
        <v>#NAME?</v>
      </c>
      <c r="G29" s="188" t="e">
        <f ca="1">_xll.ciqfunctions.udf.CIQ(AI29, "IQ_TR_MAJ_MIN_STAKE")</f>
        <v>#NAME?</v>
      </c>
      <c r="I29" s="189" t="e">
        <f ca="1">_xll.ciqfunctions.udf.CIQ($AI29, "IQ_TR_IMPLIED_EV_FINAL", , $AJ$4,$AJ$5)</f>
        <v>#NAME?</v>
      </c>
      <c r="J29" s="189" t="e">
        <f ca="1">IF(_xll.ciqfunctions.udf.CIQ(AI29, "IQ_TR_TOTAL_CASH")="n/a",0,_xll.ciqfunctions.udf.CIQ(AI29, "IQ_TR_TOTAL_CASH"))+IF(_xll.ciqfunctions.udf.CIQ(AI29, "IQ_TR_TOTAL_STOCK")="n/a",0,_xll.ciqfunctions.udf.CIQ(AI29, "IQ_TR_TOTAL_STOCK"))</f>
        <v>#NAME?</v>
      </c>
      <c r="K29" s="43" t="e">
        <f ca="1">_xll.ciqfunctions.udf.CIQ(AI29, "IQ_TR_EARNOUTS")</f>
        <v>#NAME?</v>
      </c>
      <c r="L29" s="189" t="e">
        <f ca="1">IF(_xll.ciqfunctions.udf.CIQ($AI29, "IQ_TR_TOTAL_GROSS_TV",$AJ$4,$AJ$5)=0,"NA",_xll.ciqfunctions.udf.CIQ($AI29, "IQ_TR_TOTAL_GROSS_TV",,"USD"))</f>
        <v>#NAME?</v>
      </c>
      <c r="M29" s="190"/>
      <c r="N29" s="189" t="e">
        <f ca="1">_xll.ciqfunctions.udf.CIQ($AI29, "IQ_TR_TARGET_TOTAL_REV",,$AJ$4,$AJ$5)</f>
        <v>#NAME?</v>
      </c>
      <c r="O29" s="189" t="e">
        <f ca="1">_xll.ciqfunctions.udf.CIQ($AI29, "IQ_TR_TARGET_EBITDA", , $AJ$4,$AJ$5)</f>
        <v>#NAME?</v>
      </c>
      <c r="P29" s="189" t="e">
        <f ca="1">_xll.ciqfunctions.udf.CIQ($AI29, "IQ_TR_TARGET_EBIT", , $AJ$4,$AJ$5)</f>
        <v>#NAME?</v>
      </c>
      <c r="Q29" s="190"/>
      <c r="R29" s="191" t="str">
        <f t="shared" ca="1" si="0"/>
        <v>n/a</v>
      </c>
      <c r="S29" s="191" t="str">
        <f t="shared" ca="1" si="0"/>
        <v>n/a</v>
      </c>
      <c r="T29" s="191" t="str">
        <f t="shared" ca="1" si="0"/>
        <v>n/a</v>
      </c>
      <c r="U29" s="191" t="e">
        <f ca="1">IF(_xll.ciqfunctions.udf.CIQ($AI29, "IQ_TR_IMPLIED_EQ_BV")=0,"NA",_xll.ciqfunctions.udf.CIQ($AI29, "IQ_TR_IMPLIED_EQ_BV"))</f>
        <v>#NAME?</v>
      </c>
      <c r="V29" s="191" t="e">
        <f ca="1">IF(_xll.ciqfunctions.udf.CIQ($AI29, "IQ_TR_IMPLIED_EQ_NI_LTM")=0,"NA",_xll.ciqfunctions.udf.CIQ($AI29, "IQ_TR_IMPLIED_EQ_NI_LTM"))</f>
        <v>#NAME?</v>
      </c>
      <c r="W29" s="190"/>
      <c r="X29" s="189" t="e">
        <f ca="1">_xll.ciqfunctions.udf.CIQ($AI29, "IQ_TR_TARGET_REVENUE_EST",, $AJ$4,$AJ$5)</f>
        <v>#NAME?</v>
      </c>
      <c r="Y29" s="189" t="e">
        <f ca="1">_xll.ciqfunctions.udf.CIQ($AI29, "IQ_TR_TARGET_EBITDA_EST",, $AJ$4,$AJ$5)</f>
        <v>#NAME?</v>
      </c>
      <c r="Z29" s="189" t="e">
        <f ca="1">_xll.ciqfunctions.udf.CIQ(AI29, "IQ_TR_IMPLIED_EV_EBIT_FWD")</f>
        <v>#NAME?</v>
      </c>
      <c r="AA29" s="190"/>
      <c r="AB29" s="191" t="str">
        <f t="shared" ca="1" si="1"/>
        <v>n/a</v>
      </c>
      <c r="AC29" s="191" t="str">
        <f t="shared" ca="1" si="1"/>
        <v>n/a</v>
      </c>
      <c r="AD29" s="191" t="str">
        <f t="shared" ca="1" si="1"/>
        <v>n/a</v>
      </c>
      <c r="AF29" s="192" t="e">
        <f ca="1">IF((_xll.ciqfunctions.udf.CIQ($AI29, "IQ_TR_TARGET_STOCKPREMIUM_1W")/100)&lt;=0,"NM",_xll.ciqfunctions.udf.CIQ($AI29, "IQ_TR_TARGET_STOCKPREMIUM_1W")/100)</f>
        <v>#NAME?</v>
      </c>
      <c r="AG29" s="192" t="e">
        <f ca="1">IF((_xll.ciqfunctions.udf.CIQ($AI29, "IQ_TR_TARGET_STOCKPREMIUM_1M")/100)&lt;=0,"NM",_xll.ciqfunctions.udf.CIQ($AI29, "IQ_TR_TARGET_STOCKPREMIUM_1M")/100)</f>
        <v>#NAME?</v>
      </c>
      <c r="AI29" s="193">
        <f>+'Capital IQ Sheet-STM'!AK29</f>
        <v>0</v>
      </c>
      <c r="AJ29" s="186" t="e">
        <f ca="1">_xll.ciqfunctions.udf.CIQ(AI29, "IQ_BUSINESS_DESCRIPTION")</f>
        <v>#NAME?</v>
      </c>
    </row>
    <row r="30" spans="2:36" s="186" customFormat="1" ht="12.75" customHeight="1">
      <c r="B30" s="185"/>
      <c r="F30" s="187"/>
      <c r="G30" s="188"/>
      <c r="I30" s="189"/>
      <c r="J30" s="189"/>
      <c r="K30" s="189"/>
      <c r="L30" s="189"/>
      <c r="M30" s="190"/>
      <c r="N30" s="189"/>
      <c r="O30" s="189"/>
      <c r="P30" s="189"/>
      <c r="Q30" s="190"/>
      <c r="R30" s="191"/>
      <c r="S30" s="191"/>
      <c r="T30" s="191"/>
      <c r="U30" s="191"/>
      <c r="V30" s="191"/>
      <c r="W30" s="190"/>
      <c r="X30" s="189"/>
      <c r="Y30" s="189"/>
      <c r="Z30" s="189"/>
      <c r="AA30" s="190"/>
      <c r="AB30" s="191"/>
      <c r="AC30" s="191"/>
      <c r="AD30" s="191"/>
      <c r="AF30" s="192"/>
      <c r="AG30" s="192"/>
      <c r="AI30" s="193">
        <f>+'Capital IQ Sheet-STM'!AK30</f>
        <v>0</v>
      </c>
    </row>
    <row r="31" spans="2:36" s="186" customFormat="1" ht="12.75" customHeight="1">
      <c r="B31" s="185"/>
      <c r="F31" s="187"/>
      <c r="G31" s="188"/>
      <c r="I31" s="189"/>
      <c r="J31" s="189"/>
      <c r="K31" s="189"/>
      <c r="L31" s="189"/>
      <c r="M31" s="190"/>
      <c r="N31" s="189"/>
      <c r="O31" s="189"/>
      <c r="P31" s="189"/>
      <c r="Q31" s="190"/>
      <c r="R31" s="191"/>
      <c r="S31" s="191"/>
      <c r="T31" s="191"/>
      <c r="U31" s="191"/>
      <c r="V31" s="191"/>
      <c r="W31" s="190"/>
      <c r="X31" s="189"/>
      <c r="Y31" s="189"/>
      <c r="Z31" s="189"/>
      <c r="AA31" s="190"/>
      <c r="AB31" s="191"/>
      <c r="AC31" s="191"/>
      <c r="AD31" s="191"/>
      <c r="AF31" s="192"/>
      <c r="AG31" s="192"/>
      <c r="AI31" s="193">
        <f>+'Capital IQ Sheet-STM'!AK31</f>
        <v>0</v>
      </c>
    </row>
    <row r="32" spans="2:36" s="186" customFormat="1" ht="12.75" customHeight="1">
      <c r="B32" s="185"/>
      <c r="F32" s="187"/>
      <c r="G32" s="188"/>
      <c r="I32" s="189"/>
      <c r="J32" s="189"/>
      <c r="K32" s="189"/>
      <c r="L32" s="189"/>
      <c r="M32" s="190"/>
      <c r="N32" s="189"/>
      <c r="O32" s="189"/>
      <c r="P32" s="189"/>
      <c r="Q32" s="190"/>
      <c r="R32" s="191"/>
      <c r="S32" s="191"/>
      <c r="T32" s="191"/>
      <c r="U32" s="191"/>
      <c r="V32" s="191"/>
      <c r="W32" s="190"/>
      <c r="X32" s="189"/>
      <c r="Y32" s="189"/>
      <c r="Z32" s="189"/>
      <c r="AA32" s="190"/>
      <c r="AB32" s="191"/>
      <c r="AC32" s="191"/>
      <c r="AD32" s="191"/>
      <c r="AF32" s="192"/>
      <c r="AG32" s="192"/>
      <c r="AI32" s="193">
        <f>+'Capital IQ Sheet-STM'!AK32</f>
        <v>0</v>
      </c>
    </row>
    <row r="33" spans="2:35" s="186" customFormat="1" ht="12.75" customHeight="1">
      <c r="B33" s="185"/>
      <c r="F33" s="187"/>
      <c r="G33" s="188"/>
      <c r="I33" s="189"/>
      <c r="J33" s="189"/>
      <c r="K33" s="189"/>
      <c r="L33" s="189"/>
      <c r="M33" s="190"/>
      <c r="N33" s="189"/>
      <c r="O33" s="189"/>
      <c r="P33" s="189"/>
      <c r="Q33" s="190"/>
      <c r="R33" s="191"/>
      <c r="S33" s="191"/>
      <c r="T33" s="191"/>
      <c r="U33" s="191"/>
      <c r="V33" s="191"/>
      <c r="W33" s="190"/>
      <c r="X33" s="189"/>
      <c r="Y33" s="189"/>
      <c r="Z33" s="189"/>
      <c r="AA33" s="190"/>
      <c r="AB33" s="191"/>
      <c r="AC33" s="191"/>
      <c r="AD33" s="191"/>
      <c r="AF33" s="192"/>
      <c r="AG33" s="192"/>
      <c r="AI33" s="193">
        <f>+'Capital IQ Sheet-STM'!AK33</f>
        <v>0</v>
      </c>
    </row>
    <row r="34" spans="2:35" s="186" customFormat="1" ht="12.75" customHeight="1">
      <c r="B34" s="185"/>
      <c r="F34" s="187"/>
      <c r="G34" s="188"/>
      <c r="I34" s="189"/>
      <c r="J34" s="189"/>
      <c r="K34" s="189"/>
      <c r="L34" s="189"/>
      <c r="M34" s="190"/>
      <c r="N34" s="189"/>
      <c r="O34" s="189"/>
      <c r="P34" s="189"/>
      <c r="Q34" s="190"/>
      <c r="R34" s="191"/>
      <c r="S34" s="191"/>
      <c r="T34" s="191"/>
      <c r="U34" s="191"/>
      <c r="V34" s="191"/>
      <c r="W34" s="190"/>
      <c r="X34" s="189"/>
      <c r="Y34" s="189"/>
      <c r="Z34" s="189"/>
      <c r="AA34" s="190"/>
      <c r="AB34" s="191"/>
      <c r="AC34" s="191"/>
      <c r="AD34" s="191"/>
      <c r="AF34" s="192"/>
      <c r="AG34" s="192"/>
      <c r="AI34" s="193">
        <f>+'Capital IQ Sheet-STM'!AK34</f>
        <v>0</v>
      </c>
    </row>
    <row r="35" spans="2:35" s="186" customFormat="1" ht="12.75" customHeight="1">
      <c r="B35" s="185"/>
      <c r="F35" s="187"/>
      <c r="G35" s="188"/>
      <c r="I35" s="189"/>
      <c r="J35" s="189"/>
      <c r="K35" s="189"/>
      <c r="L35" s="189"/>
      <c r="M35" s="190"/>
      <c r="N35" s="189"/>
      <c r="O35" s="189"/>
      <c r="P35" s="189"/>
      <c r="Q35" s="190"/>
      <c r="R35" s="191"/>
      <c r="S35" s="191"/>
      <c r="T35" s="191"/>
      <c r="U35" s="191"/>
      <c r="V35" s="191"/>
      <c r="W35" s="190"/>
      <c r="X35" s="189"/>
      <c r="Y35" s="189"/>
      <c r="Z35" s="189"/>
      <c r="AA35" s="190"/>
      <c r="AB35" s="191"/>
      <c r="AC35" s="191"/>
      <c r="AD35" s="191"/>
      <c r="AF35" s="192"/>
      <c r="AG35" s="192"/>
      <c r="AI35" s="193">
        <f>+'Capital IQ Sheet-STM'!AK35</f>
        <v>0</v>
      </c>
    </row>
    <row r="36" spans="2:35" s="186" customFormat="1" ht="12.75" customHeight="1">
      <c r="B36" s="185"/>
      <c r="F36" s="187"/>
      <c r="G36" s="188"/>
      <c r="I36" s="189"/>
      <c r="J36" s="189"/>
      <c r="K36" s="189"/>
      <c r="L36" s="189"/>
      <c r="M36" s="190"/>
      <c r="N36" s="189"/>
      <c r="O36" s="189"/>
      <c r="P36" s="189"/>
      <c r="Q36" s="190"/>
      <c r="R36" s="191"/>
      <c r="S36" s="191"/>
      <c r="T36" s="191"/>
      <c r="U36" s="191"/>
      <c r="V36" s="191"/>
      <c r="W36" s="190"/>
      <c r="X36" s="189"/>
      <c r="Y36" s="189"/>
      <c r="Z36" s="189"/>
      <c r="AA36" s="190"/>
      <c r="AB36" s="191"/>
      <c r="AC36" s="191"/>
      <c r="AD36" s="191"/>
      <c r="AF36" s="192"/>
      <c r="AG36" s="192"/>
      <c r="AI36" s="193">
        <f>+'Capital IQ Sheet-STM'!AK36</f>
        <v>0</v>
      </c>
    </row>
    <row r="37" spans="2:35" s="186" customFormat="1" ht="12.75" customHeight="1">
      <c r="B37" s="185"/>
      <c r="F37" s="187"/>
      <c r="G37" s="188"/>
      <c r="I37" s="189"/>
      <c r="J37" s="189"/>
      <c r="K37" s="189"/>
      <c r="L37" s="189"/>
      <c r="M37" s="190"/>
      <c r="N37" s="189"/>
      <c r="O37" s="189"/>
      <c r="P37" s="189"/>
      <c r="Q37" s="190"/>
      <c r="R37" s="191"/>
      <c r="S37" s="191"/>
      <c r="T37" s="191"/>
      <c r="U37" s="191"/>
      <c r="V37" s="191"/>
      <c r="W37" s="190"/>
      <c r="X37" s="189"/>
      <c r="Y37" s="189"/>
      <c r="Z37" s="189"/>
      <c r="AA37" s="190"/>
      <c r="AB37" s="191"/>
      <c r="AC37" s="191"/>
      <c r="AD37" s="191"/>
      <c r="AF37" s="192"/>
      <c r="AG37" s="192"/>
      <c r="AI37" s="193">
        <f>+'Capital IQ Sheet-STM'!AK37</f>
        <v>0</v>
      </c>
    </row>
    <row r="38" spans="2:35" s="186" customFormat="1" ht="12.75" customHeight="1">
      <c r="B38" s="185"/>
      <c r="F38" s="187"/>
      <c r="G38" s="188"/>
      <c r="I38" s="189"/>
      <c r="J38" s="189"/>
      <c r="K38" s="189"/>
      <c r="L38" s="189"/>
      <c r="M38" s="190"/>
      <c r="N38" s="189"/>
      <c r="O38" s="189"/>
      <c r="P38" s="189"/>
      <c r="Q38" s="190"/>
      <c r="R38" s="191"/>
      <c r="S38" s="191"/>
      <c r="T38" s="191"/>
      <c r="U38" s="191"/>
      <c r="V38" s="191"/>
      <c r="W38" s="190"/>
      <c r="X38" s="189"/>
      <c r="Y38" s="189"/>
      <c r="Z38" s="189"/>
      <c r="AA38" s="190"/>
      <c r="AB38" s="191"/>
      <c r="AC38" s="191"/>
      <c r="AD38" s="191"/>
      <c r="AF38" s="192"/>
      <c r="AG38" s="192"/>
      <c r="AI38" s="193">
        <f>+'Capital IQ Sheet-STM'!AK38</f>
        <v>0</v>
      </c>
    </row>
    <row r="39" spans="2:35" s="186" customFormat="1" ht="12.75" customHeight="1">
      <c r="B39" s="185"/>
      <c r="F39" s="187"/>
      <c r="G39" s="188"/>
      <c r="I39" s="189"/>
      <c r="J39" s="189"/>
      <c r="K39" s="189"/>
      <c r="L39" s="189"/>
      <c r="M39" s="190"/>
      <c r="N39" s="189"/>
      <c r="O39" s="189"/>
      <c r="P39" s="189"/>
      <c r="Q39" s="190"/>
      <c r="R39" s="191"/>
      <c r="S39" s="191"/>
      <c r="T39" s="191"/>
      <c r="U39" s="191"/>
      <c r="V39" s="191"/>
      <c r="W39" s="190"/>
      <c r="X39" s="189"/>
      <c r="Y39" s="189"/>
      <c r="Z39" s="189"/>
      <c r="AA39" s="190"/>
      <c r="AB39" s="191"/>
      <c r="AC39" s="191"/>
      <c r="AD39" s="191"/>
      <c r="AF39" s="192"/>
      <c r="AG39" s="192"/>
      <c r="AI39" s="193">
        <f>+'Capital IQ Sheet-STM'!AK39</f>
        <v>0</v>
      </c>
    </row>
    <row r="40" spans="2:35" s="186" customFormat="1" ht="12.75" customHeight="1">
      <c r="B40" s="185"/>
      <c r="F40" s="187"/>
      <c r="G40" s="188"/>
      <c r="I40" s="189"/>
      <c r="J40" s="189"/>
      <c r="K40" s="189"/>
      <c r="L40" s="189"/>
      <c r="M40" s="190"/>
      <c r="N40" s="189"/>
      <c r="O40" s="189"/>
      <c r="P40" s="189"/>
      <c r="Q40" s="190"/>
      <c r="R40" s="191"/>
      <c r="S40" s="191"/>
      <c r="T40" s="191"/>
      <c r="U40" s="191"/>
      <c r="V40" s="191"/>
      <c r="W40" s="190"/>
      <c r="X40" s="189"/>
      <c r="Y40" s="189"/>
      <c r="Z40" s="189"/>
      <c r="AA40" s="190"/>
      <c r="AB40" s="191"/>
      <c r="AC40" s="191"/>
      <c r="AD40" s="191"/>
      <c r="AF40" s="192"/>
      <c r="AG40" s="192"/>
      <c r="AI40" s="193">
        <f>+'Capital IQ Sheet-STM'!AK40</f>
        <v>0</v>
      </c>
    </row>
    <row r="41" spans="2:35" s="186" customFormat="1" ht="12.75" customHeight="1">
      <c r="B41" s="185"/>
      <c r="F41" s="187"/>
      <c r="G41" s="188"/>
      <c r="I41" s="189"/>
      <c r="J41" s="189"/>
      <c r="K41" s="189"/>
      <c r="L41" s="189"/>
      <c r="M41" s="190"/>
      <c r="N41" s="189"/>
      <c r="O41" s="189"/>
      <c r="P41" s="189"/>
      <c r="Q41" s="190"/>
      <c r="R41" s="191"/>
      <c r="S41" s="191"/>
      <c r="T41" s="191"/>
      <c r="U41" s="191"/>
      <c r="V41" s="191"/>
      <c r="W41" s="190"/>
      <c r="X41" s="189"/>
      <c r="Y41" s="189"/>
      <c r="Z41" s="189"/>
      <c r="AA41" s="190"/>
      <c r="AB41" s="191"/>
      <c r="AC41" s="191"/>
      <c r="AD41" s="191"/>
      <c r="AF41" s="192"/>
      <c r="AG41" s="192"/>
      <c r="AI41" s="193"/>
    </row>
    <row r="42" spans="2:35" s="186" customFormat="1" ht="12.75" customHeight="1">
      <c r="B42" s="185"/>
      <c r="F42" s="187"/>
      <c r="G42" s="188"/>
      <c r="I42" s="189"/>
      <c r="J42" s="189"/>
      <c r="K42" s="189"/>
      <c r="L42" s="189"/>
      <c r="M42" s="190"/>
      <c r="N42" s="189"/>
      <c r="O42" s="189"/>
      <c r="P42" s="189"/>
      <c r="Q42" s="190"/>
      <c r="R42" s="191"/>
      <c r="S42" s="191"/>
      <c r="T42" s="191"/>
      <c r="U42" s="191"/>
      <c r="V42" s="191"/>
      <c r="W42" s="190"/>
      <c r="X42" s="189"/>
      <c r="Y42" s="189"/>
      <c r="Z42" s="189"/>
      <c r="AA42" s="190"/>
      <c r="AB42" s="191"/>
      <c r="AC42" s="191"/>
      <c r="AD42" s="191"/>
      <c r="AF42" s="192"/>
      <c r="AG42" s="192"/>
      <c r="AI42" s="193"/>
    </row>
    <row r="43" spans="2:35" s="186" customFormat="1" ht="12.75" customHeight="1">
      <c r="B43" s="185"/>
      <c r="F43" s="187"/>
      <c r="G43" s="188"/>
      <c r="I43" s="189"/>
      <c r="J43" s="189"/>
      <c r="K43" s="189"/>
      <c r="L43" s="189"/>
      <c r="M43" s="190"/>
      <c r="N43" s="189"/>
      <c r="O43" s="189"/>
      <c r="P43" s="189"/>
      <c r="Q43" s="190"/>
      <c r="R43" s="191"/>
      <c r="S43" s="191"/>
      <c r="T43" s="191"/>
      <c r="U43" s="191"/>
      <c r="V43" s="191"/>
      <c r="W43" s="190"/>
      <c r="X43" s="189"/>
      <c r="Y43" s="189"/>
      <c r="Z43" s="189"/>
      <c r="AA43" s="190"/>
      <c r="AB43" s="191"/>
      <c r="AC43" s="191"/>
      <c r="AD43" s="191"/>
      <c r="AF43" s="192"/>
      <c r="AG43" s="192"/>
      <c r="AI43" s="193"/>
    </row>
    <row r="44" spans="2:35" s="186" customFormat="1" ht="12.75" customHeight="1">
      <c r="B44" s="185"/>
      <c r="F44" s="187"/>
      <c r="G44" s="188"/>
      <c r="I44" s="189"/>
      <c r="J44" s="189"/>
      <c r="K44" s="189"/>
      <c r="L44" s="189"/>
      <c r="M44" s="190"/>
      <c r="N44" s="189"/>
      <c r="O44" s="189"/>
      <c r="P44" s="189"/>
      <c r="Q44" s="190"/>
      <c r="R44" s="191"/>
      <c r="S44" s="191"/>
      <c r="T44" s="191"/>
      <c r="U44" s="191"/>
      <c r="V44" s="191"/>
      <c r="W44" s="190"/>
      <c r="X44" s="189"/>
      <c r="Y44" s="189"/>
      <c r="Z44" s="189"/>
      <c r="AA44" s="190"/>
      <c r="AB44" s="191"/>
      <c r="AC44" s="191"/>
      <c r="AD44" s="191"/>
      <c r="AF44" s="192"/>
      <c r="AG44" s="192"/>
      <c r="AI44" s="193"/>
    </row>
    <row r="45" spans="2:35" s="171" customFormat="1" ht="12.75" customHeight="1"/>
    <row r="46" spans="2:35" s="171" customFormat="1" ht="12.75" customHeight="1"/>
    <row r="47" spans="2:35" s="171" customFormat="1" ht="12.75" customHeight="1">
      <c r="B47" s="194" t="s">
        <v>111</v>
      </c>
      <c r="C47" s="195"/>
      <c r="D47" s="195"/>
      <c r="E47" s="195"/>
      <c r="F47" s="195"/>
      <c r="G47" s="195"/>
      <c r="H47" s="195"/>
      <c r="I47" s="196" t="e">
        <f ca="1">MAX(I10:I45)</f>
        <v>#NAME?</v>
      </c>
      <c r="J47" s="224"/>
      <c r="K47" s="224"/>
      <c r="L47" s="196"/>
      <c r="M47" s="195"/>
      <c r="N47" s="196" t="e">
        <f ca="1">MAX(N10:N45)</f>
        <v>#NAME?</v>
      </c>
      <c r="O47" s="196" t="e">
        <f ca="1">MAX(O10:O45)</f>
        <v>#NAME?</v>
      </c>
      <c r="P47" s="196" t="e">
        <f ca="1">MAX(P10:P45)</f>
        <v>#NAME?</v>
      </c>
      <c r="Q47" s="197"/>
      <c r="R47" s="198">
        <f ca="1">MAX(R10:R45)</f>
        <v>0</v>
      </c>
      <c r="S47" s="198">
        <f ca="1">MAX(S10:S45)</f>
        <v>0</v>
      </c>
      <c r="T47" s="198">
        <f ca="1">MAX(T10:T45)</f>
        <v>0</v>
      </c>
      <c r="U47" s="198" t="e">
        <f ca="1">MAX(U10:U45)</f>
        <v>#NAME?</v>
      </c>
      <c r="V47" s="198" t="e">
        <f ca="1">MAX(V10:V45)</f>
        <v>#NAME?</v>
      </c>
      <c r="W47" s="195"/>
      <c r="X47" s="196" t="e">
        <f ca="1">MAX(X10:X45)</f>
        <v>#NAME?</v>
      </c>
      <c r="Y47" s="196" t="e">
        <f ca="1">MAX(Y10:Y45)</f>
        <v>#NAME?</v>
      </c>
      <c r="Z47" s="196" t="e">
        <f ca="1">MAX(Z10:Z45)</f>
        <v>#NAME?</v>
      </c>
      <c r="AA47" s="195"/>
      <c r="AB47" s="198">
        <f ca="1">MAX(AB10:AB45)</f>
        <v>0</v>
      </c>
      <c r="AC47" s="198">
        <f ca="1">MAX(AC10:AC45)</f>
        <v>0</v>
      </c>
      <c r="AD47" s="198">
        <f ca="1">MAX(AD10:AD45)</f>
        <v>0</v>
      </c>
      <c r="AE47" s="195"/>
      <c r="AF47" s="199" t="e">
        <f ca="1">MAX(AF10:AF45)</f>
        <v>#NAME?</v>
      </c>
      <c r="AG47" s="200" t="e">
        <f ca="1">MAX(AG10:AG45)</f>
        <v>#NAME?</v>
      </c>
    </row>
    <row r="48" spans="2:35" s="171" customFormat="1" ht="12.75" customHeight="1">
      <c r="B48" s="201" t="s">
        <v>115</v>
      </c>
      <c r="C48" s="202"/>
      <c r="D48" s="202"/>
      <c r="E48" s="202"/>
      <c r="F48" s="202"/>
      <c r="G48" s="202"/>
      <c r="H48" s="202"/>
      <c r="I48" s="203" t="e">
        <f ca="1">QUARTILE(I10:I45,3)</f>
        <v>#NAME?</v>
      </c>
      <c r="J48" s="203"/>
      <c r="K48" s="203"/>
      <c r="L48" s="203"/>
      <c r="M48" s="202"/>
      <c r="N48" s="203" t="e">
        <f ca="1">QUARTILE(N10:N45,3)</f>
        <v>#NAME?</v>
      </c>
      <c r="O48" s="203" t="e">
        <f ca="1">QUARTILE(O10:O45,3)</f>
        <v>#NAME?</v>
      </c>
      <c r="P48" s="203" t="e">
        <f ca="1">QUARTILE(P10:P45,3)</f>
        <v>#NAME?</v>
      </c>
      <c r="Q48" s="204"/>
      <c r="R48" s="205" t="e">
        <f ca="1">QUARTILE(R10:R45,3)</f>
        <v>#NUM!</v>
      </c>
      <c r="S48" s="205" t="e">
        <f ca="1">QUARTILE(S10:S45,3)</f>
        <v>#NUM!</v>
      </c>
      <c r="T48" s="205" t="e">
        <f ca="1">QUARTILE(T10:T45,3)</f>
        <v>#NUM!</v>
      </c>
      <c r="U48" s="205" t="e">
        <f ca="1">QUARTILE(U10:U45,3)</f>
        <v>#NAME?</v>
      </c>
      <c r="V48" s="205" t="e">
        <f ca="1">QUARTILE(V10:V45,3)</f>
        <v>#NAME?</v>
      </c>
      <c r="W48" s="202"/>
      <c r="X48" s="203" t="e">
        <f ca="1">QUARTILE(X10:X45,3)</f>
        <v>#NAME?</v>
      </c>
      <c r="Y48" s="203" t="e">
        <f ca="1">QUARTILE(Y10:Y45,3)</f>
        <v>#NAME?</v>
      </c>
      <c r="Z48" s="203" t="e">
        <f ca="1">QUARTILE(Z10:Z45,3)</f>
        <v>#NAME?</v>
      </c>
      <c r="AA48" s="202"/>
      <c r="AB48" s="205" t="e">
        <f ca="1">QUARTILE(AB10:AB45,3)</f>
        <v>#NUM!</v>
      </c>
      <c r="AC48" s="205" t="e">
        <f ca="1">QUARTILE(AC10:AC45,3)</f>
        <v>#NUM!</v>
      </c>
      <c r="AD48" s="205" t="e">
        <f ca="1">QUARTILE(AD10:AD45,3)</f>
        <v>#NUM!</v>
      </c>
      <c r="AE48" s="202"/>
      <c r="AF48" s="206" t="e">
        <f ca="1">QUARTILE(AF10:AF45,3)</f>
        <v>#NAME?</v>
      </c>
      <c r="AG48" s="207" t="e">
        <f ca="1">QUARTILE(AG10:AG45,3)</f>
        <v>#NAME?</v>
      </c>
    </row>
    <row r="49" spans="2:33" s="171" customFormat="1" ht="12.75" customHeight="1">
      <c r="B49" s="201" t="s">
        <v>113</v>
      </c>
      <c r="C49" s="202"/>
      <c r="D49" s="202"/>
      <c r="E49" s="202"/>
      <c r="F49" s="202"/>
      <c r="G49" s="202"/>
      <c r="H49" s="202"/>
      <c r="I49" s="203" t="e">
        <f ca="1">AVERAGE(I10:I45)</f>
        <v>#NAME?</v>
      </c>
      <c r="J49" s="203"/>
      <c r="K49" s="203"/>
      <c r="L49" s="203"/>
      <c r="M49" s="202"/>
      <c r="N49" s="203" t="e">
        <f ca="1">AVERAGE(N10:N45)</f>
        <v>#NAME?</v>
      </c>
      <c r="O49" s="203" t="e">
        <f ca="1">AVERAGE(O10:O45)</f>
        <v>#NAME?</v>
      </c>
      <c r="P49" s="203" t="e">
        <f ca="1">AVERAGE(P10:P45)</f>
        <v>#NAME?</v>
      </c>
      <c r="Q49" s="204"/>
      <c r="R49" s="205" t="e">
        <f ca="1">AVERAGE(R10:R45)</f>
        <v>#DIV/0!</v>
      </c>
      <c r="S49" s="205" t="e">
        <f ca="1">AVERAGE(S10:S45)</f>
        <v>#DIV/0!</v>
      </c>
      <c r="T49" s="205" t="e">
        <f ca="1">AVERAGE(T10:T45)</f>
        <v>#DIV/0!</v>
      </c>
      <c r="U49" s="205" t="e">
        <f ca="1">AVERAGE(U10:U45)</f>
        <v>#NAME?</v>
      </c>
      <c r="V49" s="205" t="e">
        <f ca="1">AVERAGE(V10:V45)</f>
        <v>#NAME?</v>
      </c>
      <c r="W49" s="202"/>
      <c r="X49" s="203" t="e">
        <f ca="1">AVERAGE(X10:X45)</f>
        <v>#NAME?</v>
      </c>
      <c r="Y49" s="203" t="e">
        <f ca="1">AVERAGE(Y10:Y45)</f>
        <v>#NAME?</v>
      </c>
      <c r="Z49" s="203" t="e">
        <f ca="1">AVERAGE(Z10:Z45)</f>
        <v>#NAME?</v>
      </c>
      <c r="AA49" s="202"/>
      <c r="AB49" s="205" t="e">
        <f ca="1">AVERAGE(AB10:AB45)</f>
        <v>#DIV/0!</v>
      </c>
      <c r="AC49" s="205" t="e">
        <f ca="1">AVERAGE(AC10:AC45)</f>
        <v>#DIV/0!</v>
      </c>
      <c r="AD49" s="205" t="e">
        <f ca="1">AVERAGE(AD10:AD45)</f>
        <v>#DIV/0!</v>
      </c>
      <c r="AE49" s="202"/>
      <c r="AF49" s="206" t="e">
        <f ca="1">AVERAGE(AF10:AF45)</f>
        <v>#NAME?</v>
      </c>
      <c r="AG49" s="207" t="e">
        <f ca="1">AVERAGE(AG10:AG45)</f>
        <v>#NAME?</v>
      </c>
    </row>
    <row r="50" spans="2:33" s="171" customFormat="1" ht="12.75" customHeight="1">
      <c r="B50" s="201" t="s">
        <v>44</v>
      </c>
      <c r="C50" s="202"/>
      <c r="D50" s="202"/>
      <c r="E50" s="202"/>
      <c r="F50" s="202"/>
      <c r="G50" s="202"/>
      <c r="H50" s="202"/>
      <c r="I50" s="203" t="e">
        <f ca="1">MEDIAN(I10:I45)</f>
        <v>#NAME?</v>
      </c>
      <c r="J50" s="203"/>
      <c r="K50" s="203"/>
      <c r="L50" s="203"/>
      <c r="M50" s="202"/>
      <c r="N50" s="203" t="e">
        <f ca="1">MEDIAN(N10:N45)</f>
        <v>#NAME?</v>
      </c>
      <c r="O50" s="203" t="e">
        <f ca="1">MEDIAN(O10:O45)</f>
        <v>#NAME?</v>
      </c>
      <c r="P50" s="203" t="e">
        <f ca="1">MEDIAN(P10:P45)</f>
        <v>#NAME?</v>
      </c>
      <c r="Q50" s="204"/>
      <c r="R50" s="205" t="e">
        <f ca="1">MEDIAN(R10:R45)</f>
        <v>#NUM!</v>
      </c>
      <c r="S50" s="205" t="e">
        <f ca="1">MEDIAN(S10:S45)</f>
        <v>#NUM!</v>
      </c>
      <c r="T50" s="205" t="e">
        <f ca="1">MEDIAN(T10:T45)</f>
        <v>#NUM!</v>
      </c>
      <c r="U50" s="205" t="e">
        <f ca="1">MEDIAN(U10:U45)</f>
        <v>#NAME?</v>
      </c>
      <c r="V50" s="205" t="e">
        <f ca="1">MEDIAN(V10:V45)</f>
        <v>#NAME?</v>
      </c>
      <c r="W50" s="202"/>
      <c r="X50" s="203" t="e">
        <f ca="1">MEDIAN(X10:X45)</f>
        <v>#NAME?</v>
      </c>
      <c r="Y50" s="203" t="e">
        <f ca="1">MEDIAN(Y10:Y45)</f>
        <v>#NAME?</v>
      </c>
      <c r="Z50" s="203" t="e">
        <f ca="1">MEDIAN(Z10:Z45)</f>
        <v>#NAME?</v>
      </c>
      <c r="AA50" s="202"/>
      <c r="AB50" s="205" t="e">
        <f ca="1">MEDIAN(AB10:AB45)</f>
        <v>#NUM!</v>
      </c>
      <c r="AC50" s="205" t="e">
        <f ca="1">MEDIAN(AC10:AC45)</f>
        <v>#NUM!</v>
      </c>
      <c r="AD50" s="205" t="e">
        <f ca="1">MEDIAN(AD10:AD45)</f>
        <v>#NUM!</v>
      </c>
      <c r="AE50" s="202"/>
      <c r="AF50" s="206" t="e">
        <f ca="1">MEDIAN(AF10:AF45)</f>
        <v>#NAME?</v>
      </c>
      <c r="AG50" s="207" t="e">
        <f ca="1">MEDIAN(AG10:AG45)</f>
        <v>#NAME?</v>
      </c>
    </row>
    <row r="51" spans="2:33" s="171" customFormat="1" ht="12.75" customHeight="1">
      <c r="B51" s="201" t="s">
        <v>114</v>
      </c>
      <c r="C51" s="202"/>
      <c r="D51" s="202"/>
      <c r="E51" s="202"/>
      <c r="F51" s="202"/>
      <c r="G51" s="202"/>
      <c r="H51" s="202"/>
      <c r="I51" s="203" t="e">
        <f ca="1">QUARTILE(I10:I45,1)</f>
        <v>#NAME?</v>
      </c>
      <c r="J51" s="203"/>
      <c r="K51" s="203"/>
      <c r="L51" s="203"/>
      <c r="M51" s="202"/>
      <c r="N51" s="203" t="e">
        <f ca="1">QUARTILE(N10:N45,1)</f>
        <v>#NAME?</v>
      </c>
      <c r="O51" s="203" t="e">
        <f ca="1">QUARTILE(O10:O45,1)</f>
        <v>#NAME?</v>
      </c>
      <c r="P51" s="203" t="e">
        <f ca="1">QUARTILE(P10:P45,1)</f>
        <v>#NAME?</v>
      </c>
      <c r="Q51" s="204"/>
      <c r="R51" s="205" t="e">
        <f ca="1">QUARTILE(R10:R45,1)</f>
        <v>#NUM!</v>
      </c>
      <c r="S51" s="205" t="e">
        <f ca="1">QUARTILE(S10:S45,1)</f>
        <v>#NUM!</v>
      </c>
      <c r="T51" s="205" t="e">
        <f ca="1">QUARTILE(T10:T45,1)</f>
        <v>#NUM!</v>
      </c>
      <c r="U51" s="205" t="e">
        <f ca="1">QUARTILE(U10:U45,1)</f>
        <v>#NAME?</v>
      </c>
      <c r="V51" s="205" t="e">
        <f ca="1">QUARTILE(V10:V45,1)</f>
        <v>#NAME?</v>
      </c>
      <c r="W51" s="202"/>
      <c r="X51" s="203" t="e">
        <f ca="1">QUARTILE(X10:X45,1)</f>
        <v>#NAME?</v>
      </c>
      <c r="Y51" s="203" t="e">
        <f ca="1">QUARTILE(Y10:Y45,1)</f>
        <v>#NAME?</v>
      </c>
      <c r="Z51" s="203" t="e">
        <f ca="1">QUARTILE(Z10:Z45,1)</f>
        <v>#NAME?</v>
      </c>
      <c r="AA51" s="202"/>
      <c r="AB51" s="205" t="e">
        <f ca="1">QUARTILE(AB10:AB45,1)</f>
        <v>#NUM!</v>
      </c>
      <c r="AC51" s="205" t="e">
        <f ca="1">QUARTILE(AC10:AC45,1)</f>
        <v>#NUM!</v>
      </c>
      <c r="AD51" s="205" t="e">
        <f ca="1">QUARTILE(AD10:AD45,1)</f>
        <v>#NUM!</v>
      </c>
      <c r="AE51" s="202"/>
      <c r="AF51" s="206" t="e">
        <f ca="1">QUARTILE(AF10:AF45,1)</f>
        <v>#NAME?</v>
      </c>
      <c r="AG51" s="207" t="e">
        <f ca="1">QUARTILE(AG10:AG45,1)</f>
        <v>#NAME?</v>
      </c>
    </row>
    <row r="52" spans="2:33" s="171" customFormat="1" ht="12.75" customHeight="1">
      <c r="B52" s="208" t="s">
        <v>112</v>
      </c>
      <c r="C52" s="209"/>
      <c r="D52" s="209"/>
      <c r="E52" s="209"/>
      <c r="F52" s="209"/>
      <c r="G52" s="209"/>
      <c r="H52" s="209"/>
      <c r="I52" s="210" t="e">
        <f ca="1">MIN(I10:I45)</f>
        <v>#NAME?</v>
      </c>
      <c r="J52" s="210"/>
      <c r="K52" s="210"/>
      <c r="L52" s="210"/>
      <c r="M52" s="209"/>
      <c r="N52" s="210" t="e">
        <f ca="1">MIN(N10:N45)</f>
        <v>#NAME?</v>
      </c>
      <c r="O52" s="210" t="e">
        <f ca="1">MIN(O10:O45)</f>
        <v>#NAME?</v>
      </c>
      <c r="P52" s="210" t="e">
        <f ca="1">MIN(P10:P45)</f>
        <v>#NAME?</v>
      </c>
      <c r="Q52" s="211"/>
      <c r="R52" s="212">
        <f ca="1">MIN(R10:R45)</f>
        <v>0</v>
      </c>
      <c r="S52" s="212">
        <f ca="1">MIN(S10:S45)</f>
        <v>0</v>
      </c>
      <c r="T52" s="212">
        <f ca="1">MIN(T10:T45)</f>
        <v>0</v>
      </c>
      <c r="U52" s="212" t="e">
        <f ca="1">MIN(U10:U45)</f>
        <v>#NAME?</v>
      </c>
      <c r="V52" s="212" t="e">
        <f ca="1">MIN(V10:V45)</f>
        <v>#NAME?</v>
      </c>
      <c r="W52" s="209"/>
      <c r="X52" s="210" t="e">
        <f ca="1">MIN(X10:X45)</f>
        <v>#NAME?</v>
      </c>
      <c r="Y52" s="210" t="e">
        <f ca="1">MIN(Y10:Y45)</f>
        <v>#NAME?</v>
      </c>
      <c r="Z52" s="210" t="e">
        <f ca="1">MIN(Z10:Z45)</f>
        <v>#NAME?</v>
      </c>
      <c r="AA52" s="209"/>
      <c r="AB52" s="212">
        <f ca="1">MIN(AB10:AB45)</f>
        <v>0</v>
      </c>
      <c r="AC52" s="212">
        <f ca="1">MIN(AC10:AC45)</f>
        <v>0</v>
      </c>
      <c r="AD52" s="212">
        <f ca="1">MIN(AD10:AD45)</f>
        <v>0</v>
      </c>
      <c r="AE52" s="209"/>
      <c r="AF52" s="213" t="e">
        <f ca="1">MIN(AF10:AF45)</f>
        <v>#NAME?</v>
      </c>
      <c r="AG52" s="214" t="e">
        <f ca="1">MIN(AG10:AG45)</f>
        <v>#NAME?</v>
      </c>
    </row>
    <row r="53" spans="2:33" s="171" customFormat="1" ht="12.75" customHeight="1"/>
    <row r="54" spans="2:33" s="171" customFormat="1" ht="12.75" customHeight="1"/>
    <row r="55" spans="2:33" s="171" customFormat="1" ht="12.75" customHeight="1">
      <c r="B55" s="215" t="s">
        <v>116</v>
      </c>
    </row>
    <row r="56" spans="2:33" s="171" customFormat="1" ht="12.75" customHeight="1"/>
    <row r="57" spans="2:33" s="171" customFormat="1" ht="12.75" customHeight="1"/>
  </sheetData>
  <conditionalFormatting sqref="AG4">
    <cfRule type="cellIs" dxfId="10" priority="1" stopIfTrue="1" operator="equal">
      <formula>"input"</formula>
    </cfRule>
  </conditionalFormatting>
  <conditionalFormatting sqref="R4">
    <cfRule type="cellIs" dxfId="9" priority="5" stopIfTrue="1" operator="equal">
      <formula>"input"</formula>
    </cfRule>
  </conditionalFormatting>
  <conditionalFormatting sqref="B4:M4">
    <cfRule type="cellIs" dxfId="8" priority="11" stopIfTrue="1" operator="equal">
      <formula>"input"</formula>
    </cfRule>
  </conditionalFormatting>
  <conditionalFormatting sqref="N4">
    <cfRule type="cellIs" dxfId="7" priority="9" stopIfTrue="1" operator="equal">
      <formula>"input"</formula>
    </cfRule>
  </conditionalFormatting>
  <conditionalFormatting sqref="N4">
    <cfRule type="cellIs" dxfId="6" priority="10" stopIfTrue="1" operator="equal">
      <formula>"input"</formula>
    </cfRule>
  </conditionalFormatting>
  <conditionalFormatting sqref="O4:Q4">
    <cfRule type="cellIs" dxfId="5" priority="7" stopIfTrue="1" operator="equal">
      <formula>"input"</formula>
    </cfRule>
  </conditionalFormatting>
  <conditionalFormatting sqref="O4:Q4">
    <cfRule type="cellIs" dxfId="4" priority="8" stopIfTrue="1" operator="equal">
      <formula>"input"</formula>
    </cfRule>
  </conditionalFormatting>
  <conditionalFormatting sqref="R4">
    <cfRule type="cellIs" dxfId="3" priority="6" stopIfTrue="1" operator="equal">
      <formula>"input"</formula>
    </cfRule>
  </conditionalFormatting>
  <conditionalFormatting sqref="S4:AF4">
    <cfRule type="cellIs" dxfId="2" priority="3" stopIfTrue="1" operator="equal">
      <formula>"input"</formula>
    </cfRule>
  </conditionalFormatting>
  <conditionalFormatting sqref="S4:AF4">
    <cfRule type="cellIs" dxfId="1" priority="4" stopIfTrue="1" operator="equal">
      <formula>"input"</formula>
    </cfRule>
  </conditionalFormatting>
  <conditionalFormatting sqref="AG4">
    <cfRule type="cellIs" dxfId="0" priority="2" stopIfTrue="1" operator="equal">
      <formula>"input"</formula>
    </cfRule>
  </conditionalFormatting>
  <pageMargins left="0.7" right="0.7" top="0.75" bottom="0.75" header="0.3" footer="0.3"/>
  <pageSetup scale="92" orientation="portrait" r:id="rId1"/>
  <colBreaks count="1" manualBreakCount="1">
    <brk id="13" max="54" man="1"/>
  </colBreak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46">
    <tabColor theme="1"/>
  </sheetPr>
  <dimension ref="A1"/>
  <sheetViews>
    <sheetView showGridLines="0" workbookViewId="0">
      <selection activeCell="N20" sqref="N20"/>
    </sheetView>
  </sheetViews>
  <sheetFormatPr defaultRowHeight="12.75"/>
  <cols>
    <col min="1" max="16384" width="9.33203125" style="62"/>
  </cols>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47"/>
  <dimension ref="B2:E47"/>
  <sheetViews>
    <sheetView showGridLines="0" workbookViewId="0">
      <selection activeCell="N17" sqref="N17"/>
    </sheetView>
  </sheetViews>
  <sheetFormatPr defaultRowHeight="12.75"/>
  <cols>
    <col min="1" max="1" width="2.83203125" style="62" customWidth="1"/>
    <col min="2" max="2" width="18.1640625" style="62" bestFit="1" customWidth="1"/>
    <col min="3" max="3" width="23.1640625" style="62" bestFit="1" customWidth="1"/>
    <col min="4" max="4" width="18.33203125" style="62" bestFit="1" customWidth="1"/>
    <col min="5" max="5" width="20.5" style="62" bestFit="1" customWidth="1"/>
    <col min="6" max="16384" width="9.33203125" style="62"/>
  </cols>
  <sheetData>
    <row r="2" spans="2:5">
      <c r="B2" s="1" t="s">
        <v>546</v>
      </c>
      <c r="C2" s="1" t="s">
        <v>391</v>
      </c>
      <c r="D2" s="1" t="s">
        <v>564</v>
      </c>
      <c r="E2" s="1" t="s">
        <v>565</v>
      </c>
    </row>
    <row r="3" spans="2:5">
      <c r="B3" s="62" t="s">
        <v>560</v>
      </c>
      <c r="C3" s="62" t="s">
        <v>562</v>
      </c>
      <c r="D3" s="62" t="s">
        <v>566</v>
      </c>
      <c r="E3" s="62" t="s">
        <v>568</v>
      </c>
    </row>
    <row r="4" spans="2:5">
      <c r="B4" s="62" t="s">
        <v>515</v>
      </c>
      <c r="C4" s="62" t="s">
        <v>393</v>
      </c>
      <c r="D4" s="62" t="s">
        <v>567</v>
      </c>
      <c r="E4" s="62" t="s">
        <v>569</v>
      </c>
    </row>
    <row r="5" spans="2:5">
      <c r="B5" s="62" t="s">
        <v>255</v>
      </c>
      <c r="C5" s="62" t="s">
        <v>13</v>
      </c>
      <c r="E5" s="62" t="s">
        <v>570</v>
      </c>
    </row>
    <row r="6" spans="2:5">
      <c r="B6" s="62" t="s">
        <v>516</v>
      </c>
    </row>
    <row r="7" spans="2:5">
      <c r="B7" s="62" t="s">
        <v>517</v>
      </c>
    </row>
    <row r="8" spans="2:5">
      <c r="B8" s="62" t="s">
        <v>519</v>
      </c>
    </row>
    <row r="9" spans="2:5">
      <c r="B9" s="62" t="s">
        <v>518</v>
      </c>
    </row>
    <row r="10" spans="2:5">
      <c r="B10" s="62" t="s">
        <v>547</v>
      </c>
    </row>
    <row r="11" spans="2:5">
      <c r="B11" s="57" t="s">
        <v>554</v>
      </c>
    </row>
    <row r="12" spans="2:5">
      <c r="B12" s="57" t="s">
        <v>555</v>
      </c>
    </row>
    <row r="13" spans="2:5">
      <c r="B13" s="57" t="s">
        <v>556</v>
      </c>
    </row>
    <row r="14" spans="2:5">
      <c r="B14" s="57" t="s">
        <v>557</v>
      </c>
    </row>
    <row r="15" spans="2:5">
      <c r="B15" s="62" t="s">
        <v>733</v>
      </c>
    </row>
    <row r="16" spans="2:5">
      <c r="B16" s="62" t="s">
        <v>520</v>
      </c>
    </row>
    <row r="17" spans="2:2">
      <c r="B17" s="62" t="s">
        <v>521</v>
      </c>
    </row>
    <row r="18" spans="2:2">
      <c r="B18" s="62" t="s">
        <v>522</v>
      </c>
    </row>
    <row r="19" spans="2:2">
      <c r="B19" s="62" t="s">
        <v>523</v>
      </c>
    </row>
    <row r="20" spans="2:2">
      <c r="B20" s="62" t="s">
        <v>524</v>
      </c>
    </row>
    <row r="21" spans="2:2">
      <c r="B21" s="62" t="s">
        <v>525</v>
      </c>
    </row>
    <row r="22" spans="2:2">
      <c r="B22" s="62" t="s">
        <v>526</v>
      </c>
    </row>
    <row r="23" spans="2:2">
      <c r="B23" s="62" t="s">
        <v>527</v>
      </c>
    </row>
    <row r="24" spans="2:2">
      <c r="B24" s="62" t="s">
        <v>528</v>
      </c>
    </row>
    <row r="25" spans="2:2">
      <c r="B25" s="62" t="s">
        <v>529</v>
      </c>
    </row>
    <row r="26" spans="2:2">
      <c r="B26" s="62" t="s">
        <v>530</v>
      </c>
    </row>
    <row r="27" spans="2:2">
      <c r="B27" s="62" t="s">
        <v>531</v>
      </c>
    </row>
    <row r="28" spans="2:2">
      <c r="B28" s="62" t="s">
        <v>532</v>
      </c>
    </row>
    <row r="29" spans="2:2">
      <c r="B29" s="62" t="s">
        <v>533</v>
      </c>
    </row>
    <row r="30" spans="2:2">
      <c r="B30" s="62" t="s">
        <v>534</v>
      </c>
    </row>
    <row r="31" spans="2:2">
      <c r="B31" s="62" t="s">
        <v>535</v>
      </c>
    </row>
    <row r="32" spans="2:2">
      <c r="B32" s="62" t="s">
        <v>536</v>
      </c>
    </row>
    <row r="33" spans="2:2">
      <c r="B33" s="62" t="s">
        <v>537</v>
      </c>
    </row>
    <row r="34" spans="2:2">
      <c r="B34" s="62" t="s">
        <v>538</v>
      </c>
    </row>
    <row r="35" spans="2:2">
      <c r="B35" s="62" t="s">
        <v>543</v>
      </c>
    </row>
    <row r="36" spans="2:2">
      <c r="B36" s="62" t="s">
        <v>544</v>
      </c>
    </row>
    <row r="37" spans="2:2">
      <c r="B37" s="62" t="s">
        <v>548</v>
      </c>
    </row>
    <row r="38" spans="2:2">
      <c r="B38" s="62" t="s">
        <v>539</v>
      </c>
    </row>
    <row r="39" spans="2:2">
      <c r="B39" s="62" t="s">
        <v>549</v>
      </c>
    </row>
    <row r="40" spans="2:2">
      <c r="B40" s="62" t="s">
        <v>550</v>
      </c>
    </row>
    <row r="41" spans="2:2">
      <c r="B41" s="62" t="s">
        <v>551</v>
      </c>
    </row>
    <row r="42" spans="2:2">
      <c r="B42" s="62" t="s">
        <v>540</v>
      </c>
    </row>
    <row r="43" spans="2:2">
      <c r="B43" s="62" t="s">
        <v>545</v>
      </c>
    </row>
    <row r="44" spans="2:2">
      <c r="B44" s="62" t="s">
        <v>552</v>
      </c>
    </row>
    <row r="45" spans="2:2">
      <c r="B45" s="62" t="s">
        <v>553</v>
      </c>
    </row>
    <row r="46" spans="2:2">
      <c r="B46" s="62" t="s">
        <v>541</v>
      </c>
    </row>
    <row r="47" spans="2:2">
      <c r="B47" s="62" t="s">
        <v>542</v>
      </c>
    </row>
  </sheetData>
  <sortState ref="B3:B46">
    <sortCondition ref="B3:B46"/>
  </sortState>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2"/>
  <dimension ref="A5:H24"/>
  <sheetViews>
    <sheetView showGridLines="0" workbookViewId="0">
      <selection activeCell="L13" sqref="L13"/>
    </sheetView>
  </sheetViews>
  <sheetFormatPr defaultRowHeight="12.75"/>
  <cols>
    <col min="1" max="1" width="9.33203125" style="62"/>
    <col min="2" max="2" width="5.33203125" style="62" customWidth="1"/>
    <col min="3" max="3" width="34.5" style="62" bestFit="1" customWidth="1"/>
    <col min="4" max="4" width="9.33203125" style="50"/>
    <col min="5" max="16384" width="9.33203125" style="62"/>
  </cols>
  <sheetData>
    <row r="5" spans="1:5">
      <c r="B5" s="62" t="s">
        <v>584</v>
      </c>
    </row>
    <row r="7" spans="1:5">
      <c r="A7" s="62" t="s">
        <v>160</v>
      </c>
      <c r="B7" s="64">
        <v>1</v>
      </c>
      <c r="C7" s="62" t="s">
        <v>585</v>
      </c>
      <c r="D7" s="50" t="s">
        <v>649</v>
      </c>
    </row>
    <row r="8" spans="1:5">
      <c r="A8" s="62" t="s">
        <v>160</v>
      </c>
      <c r="B8" s="64">
        <f t="shared" ref="B8:B13" si="0">+B7+1</f>
        <v>2</v>
      </c>
      <c r="C8" s="62" t="s">
        <v>586</v>
      </c>
      <c r="D8" s="50" t="s">
        <v>649</v>
      </c>
    </row>
    <row r="9" spans="1:5">
      <c r="A9" s="62" t="s">
        <v>160</v>
      </c>
      <c r="B9" s="64">
        <f t="shared" si="0"/>
        <v>3</v>
      </c>
      <c r="C9" s="62" t="s">
        <v>587</v>
      </c>
      <c r="D9" s="50" t="s">
        <v>649</v>
      </c>
    </row>
    <row r="10" spans="1:5">
      <c r="A10" s="62" t="s">
        <v>160</v>
      </c>
      <c r="B10" s="64">
        <f t="shared" si="0"/>
        <v>4</v>
      </c>
      <c r="C10" s="62" t="s">
        <v>605</v>
      </c>
      <c r="D10" s="50" t="s">
        <v>649</v>
      </c>
    </row>
    <row r="11" spans="1:5">
      <c r="A11" s="62" t="s">
        <v>599</v>
      </c>
      <c r="B11" s="64">
        <f t="shared" si="0"/>
        <v>5</v>
      </c>
      <c r="C11" s="62" t="s">
        <v>600</v>
      </c>
      <c r="D11" s="50" t="s">
        <v>649</v>
      </c>
    </row>
    <row r="12" spans="1:5">
      <c r="A12" s="62" t="s">
        <v>599</v>
      </c>
      <c r="B12" s="64">
        <f t="shared" si="0"/>
        <v>6</v>
      </c>
      <c r="C12" s="62" t="s">
        <v>601</v>
      </c>
      <c r="D12" s="50" t="s">
        <v>649</v>
      </c>
    </row>
    <row r="13" spans="1:5">
      <c r="A13" s="62" t="s">
        <v>602</v>
      </c>
      <c r="B13" s="64">
        <f t="shared" si="0"/>
        <v>7</v>
      </c>
      <c r="C13" s="62" t="s">
        <v>603</v>
      </c>
      <c r="D13" s="50" t="s">
        <v>649</v>
      </c>
      <c r="E13" s="62" t="s">
        <v>659</v>
      </c>
    </row>
    <row r="14" spans="1:5">
      <c r="A14" s="62" t="s">
        <v>604</v>
      </c>
      <c r="B14" s="64">
        <f t="shared" ref="B14:B22" si="1">+B13+1</f>
        <v>8</v>
      </c>
      <c r="C14" s="62" t="s">
        <v>600</v>
      </c>
      <c r="D14" s="50" t="s">
        <v>649</v>
      </c>
    </row>
    <row r="15" spans="1:5">
      <c r="A15" s="62" t="s">
        <v>604</v>
      </c>
      <c r="B15" s="64">
        <f t="shared" si="1"/>
        <v>9</v>
      </c>
      <c r="C15" s="62" t="s">
        <v>601</v>
      </c>
      <c r="D15" s="50" t="s">
        <v>649</v>
      </c>
    </row>
    <row r="16" spans="1:5">
      <c r="A16" s="62" t="s">
        <v>606</v>
      </c>
      <c r="B16" s="64">
        <f t="shared" si="1"/>
        <v>10</v>
      </c>
      <c r="C16" s="62" t="s">
        <v>607</v>
      </c>
    </row>
    <row r="17" spans="1:8">
      <c r="A17" s="62" t="s">
        <v>74</v>
      </c>
      <c r="B17" s="64">
        <f t="shared" si="1"/>
        <v>11</v>
      </c>
      <c r="C17" s="62" t="s">
        <v>608</v>
      </c>
    </row>
    <row r="18" spans="1:8">
      <c r="A18" s="62" t="s">
        <v>604</v>
      </c>
      <c r="B18" s="64">
        <f t="shared" si="1"/>
        <v>12</v>
      </c>
      <c r="C18" s="62" t="s">
        <v>667</v>
      </c>
      <c r="E18" s="62" t="s">
        <v>668</v>
      </c>
    </row>
    <row r="19" spans="1:8">
      <c r="B19" s="64">
        <f t="shared" si="1"/>
        <v>13</v>
      </c>
      <c r="C19" s="62" t="s">
        <v>724</v>
      </c>
      <c r="D19" s="50" t="s">
        <v>726</v>
      </c>
      <c r="G19" s="1" t="s">
        <v>649</v>
      </c>
    </row>
    <row r="20" spans="1:8">
      <c r="B20" s="64">
        <f t="shared" si="1"/>
        <v>14</v>
      </c>
      <c r="C20" s="62" t="s">
        <v>725</v>
      </c>
      <c r="D20" s="50" t="s">
        <v>726</v>
      </c>
      <c r="G20" s="1" t="s">
        <v>649</v>
      </c>
    </row>
    <row r="21" spans="1:8">
      <c r="B21" s="64">
        <f t="shared" si="1"/>
        <v>15</v>
      </c>
      <c r="C21" s="62" t="s">
        <v>727</v>
      </c>
      <c r="D21" s="50" t="s">
        <v>726</v>
      </c>
      <c r="G21" s="1" t="s">
        <v>649</v>
      </c>
      <c r="H21" s="62" t="s">
        <v>730</v>
      </c>
    </row>
    <row r="22" spans="1:8">
      <c r="B22" s="64">
        <f t="shared" si="1"/>
        <v>16</v>
      </c>
      <c r="C22" s="62" t="s">
        <v>728</v>
      </c>
      <c r="D22" s="50" t="s">
        <v>726</v>
      </c>
    </row>
    <row r="23" spans="1:8">
      <c r="C23" s="62" t="s">
        <v>729</v>
      </c>
      <c r="D23" s="50" t="s">
        <v>726</v>
      </c>
      <c r="G23" s="1" t="s">
        <v>649</v>
      </c>
      <c r="H23" s="62" t="s">
        <v>731</v>
      </c>
    </row>
    <row r="24" spans="1:8">
      <c r="C24" s="62" t="s">
        <v>732</v>
      </c>
      <c r="D24" s="50" t="s">
        <v>726</v>
      </c>
      <c r="G24" s="1" t="s">
        <v>649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75</vt:i4>
      </vt:variant>
      <vt:variant>
        <vt:lpstr>Named Ranges</vt:lpstr>
      </vt:variant>
      <vt:variant>
        <vt:i4>83</vt:i4>
      </vt:variant>
    </vt:vector>
  </HeadingPairs>
  <TitlesOfParts>
    <vt:vector size="158" baseType="lpstr">
      <vt:lpstr>Model Guidelines</vt:lpstr>
      <vt:lpstr>MASTER PubCo Inputs</vt:lpstr>
      <vt:lpstr>Change Log</vt:lpstr>
      <vt:lpstr>Notes &amp; Assumptions</vt:lpstr>
      <vt:lpstr>Checklist</vt:lpstr>
      <vt:lpstr>Exhibits--&gt;&gt;</vt:lpstr>
      <vt:lpstr>Title</vt:lpstr>
      <vt:lpstr>Outline</vt:lpstr>
      <vt:lpstr>Val Summ</vt:lpstr>
      <vt:lpstr>Allocation Method &gt;&gt;</vt:lpstr>
      <vt:lpstr>PWERM</vt:lpstr>
      <vt:lpstr>Exit Probability</vt:lpstr>
      <vt:lpstr>PoTS</vt:lpstr>
      <vt:lpstr>OPM 1</vt:lpstr>
      <vt:lpstr>OPM 2</vt:lpstr>
      <vt:lpstr>DCF &gt;&gt;</vt:lpstr>
      <vt:lpstr>DCF</vt:lpstr>
      <vt:lpstr>Depreciation - MACRS</vt:lpstr>
      <vt:lpstr>Hist IS</vt:lpstr>
      <vt:lpstr>Hist BS</vt:lpstr>
      <vt:lpstr>Discount Rate FP &gt;&gt;</vt:lpstr>
      <vt:lpstr>WACC CAPM</vt:lpstr>
      <vt:lpstr>Beta Calc</vt:lpstr>
      <vt:lpstr>WACC PWERM</vt:lpstr>
      <vt:lpstr>RoR Stage of Dev</vt:lpstr>
      <vt:lpstr>GCM FP &gt;&gt;</vt:lpstr>
      <vt:lpstr>GCM SUMM</vt:lpstr>
      <vt:lpstr>Comp.1</vt:lpstr>
      <vt:lpstr>Comp.2</vt:lpstr>
      <vt:lpstr>Comp.5</vt:lpstr>
      <vt:lpstr>Comp.6</vt:lpstr>
      <vt:lpstr>GTM FP &gt;&gt;</vt:lpstr>
      <vt:lpstr>GTM SUMM</vt:lpstr>
      <vt:lpstr>Trans.1</vt:lpstr>
      <vt:lpstr>Trans.2</vt:lpstr>
      <vt:lpstr>Cap Structure FP &gt;&gt;</vt:lpstr>
      <vt:lpstr>Cap Table</vt:lpstr>
      <vt:lpstr>Econ Rights</vt:lpstr>
      <vt:lpstr>Support FP &gt;&gt;</vt:lpstr>
      <vt:lpstr>DLOM</vt:lpstr>
      <vt:lpstr>Asset Vol_OPM</vt:lpstr>
      <vt:lpstr>Asset Vol_DLOM</vt:lpstr>
      <vt:lpstr>Asset Vol_IPO Early</vt:lpstr>
      <vt:lpstr>Asset Vol_IPO Late</vt:lpstr>
      <vt:lpstr>Asset Vol_M&amp;A Early</vt:lpstr>
      <vt:lpstr>Asset Vol_M&amp;A Late</vt:lpstr>
      <vt:lpstr>Equity Vol</vt:lpstr>
      <vt:lpstr>Risk-Free Rates</vt:lpstr>
      <vt:lpstr>Licensing Deals</vt:lpstr>
      <vt:lpstr>IPO Data_BioPharma</vt:lpstr>
      <vt:lpstr>IPO Data_Med Device</vt:lpstr>
      <vt:lpstr>IPO Data_Diagnostic</vt:lpstr>
      <vt:lpstr>Control Premium Summary</vt:lpstr>
      <vt:lpstr>Title_Workpapers &gt; &gt;</vt:lpstr>
      <vt:lpstr>Outline_Workpapers</vt:lpstr>
      <vt:lpstr>Hybrid OPM</vt:lpstr>
      <vt:lpstr>OPM 1 Hybrid</vt:lpstr>
      <vt:lpstr>OPM 2 Hybrid</vt:lpstr>
      <vt:lpstr>DLOM Hybrid</vt:lpstr>
      <vt:lpstr>Asset Vol Hybrid</vt:lpstr>
      <vt:lpstr>Class Vol</vt:lpstr>
      <vt:lpstr>Market Trends since Prior Val</vt:lpstr>
      <vt:lpstr>Comparative Sheet</vt:lpstr>
      <vt:lpstr>Comp.4</vt:lpstr>
      <vt:lpstr>DLOM Rest Stock</vt:lpstr>
      <vt:lpstr>Lack Voting</vt:lpstr>
      <vt:lpstr>PBC -&gt;&gt;&gt;</vt:lpstr>
      <vt:lpstr>CAPIQ -&gt;&gt;&gt;</vt:lpstr>
      <vt:lpstr>Capital IQ Sheet-GPC</vt:lpstr>
      <vt:lpstr>Capital IQ Sheet-STM</vt:lpstr>
      <vt:lpstr>GPC Linked</vt:lpstr>
      <vt:lpstr>STM Linked</vt:lpstr>
      <vt:lpstr>&lt;DO NOT INCLUDE&gt;</vt:lpstr>
      <vt:lpstr>List Data</vt:lpstr>
      <vt:lpstr>Template Details</vt:lpstr>
      <vt:lpstr>'Allocation Method &gt;&gt;'!Print_Area</vt:lpstr>
      <vt:lpstr>'Asset Vol Hybrid'!Print_Area</vt:lpstr>
      <vt:lpstr>'Asset Vol_DLOM'!Print_Area</vt:lpstr>
      <vt:lpstr>'Asset Vol_IPO Early'!Print_Area</vt:lpstr>
      <vt:lpstr>'Asset Vol_IPO Late'!Print_Area</vt:lpstr>
      <vt:lpstr>'Asset Vol_M&amp;A Early'!Print_Area</vt:lpstr>
      <vt:lpstr>'Asset Vol_M&amp;A Late'!Print_Area</vt:lpstr>
      <vt:lpstr>'Asset Vol_OPM'!Print_Area</vt:lpstr>
      <vt:lpstr>'Beta Calc'!Print_Area</vt:lpstr>
      <vt:lpstr>'Cap Structure FP &gt;&gt;'!Print_Area</vt:lpstr>
      <vt:lpstr>'Cap Table'!Print_Area</vt:lpstr>
      <vt:lpstr>'Capital IQ Sheet-GPC'!Print_Area</vt:lpstr>
      <vt:lpstr>'Capital IQ Sheet-STM'!Print_Area</vt:lpstr>
      <vt:lpstr>Checklist!Print_Area</vt:lpstr>
      <vt:lpstr>'Class Vol'!Print_Area</vt:lpstr>
      <vt:lpstr>Comp.1!Print_Area</vt:lpstr>
      <vt:lpstr>Comp.2!Print_Area</vt:lpstr>
      <vt:lpstr>Comp.4!Print_Area</vt:lpstr>
      <vt:lpstr>Comp.5!Print_Area</vt:lpstr>
      <vt:lpstr>Comp.6!Print_Area</vt:lpstr>
      <vt:lpstr>'Comparative Sheet'!Print_Area</vt:lpstr>
      <vt:lpstr>DCF!Print_Area</vt:lpstr>
      <vt:lpstr>'DCF &gt;&gt;'!Print_Area</vt:lpstr>
      <vt:lpstr>'Depreciation - MACRS'!Print_Area</vt:lpstr>
      <vt:lpstr>'Discount Rate FP &gt;&gt;'!Print_Area</vt:lpstr>
      <vt:lpstr>DLOM!Print_Area</vt:lpstr>
      <vt:lpstr>'DLOM Hybrid'!Print_Area</vt:lpstr>
      <vt:lpstr>'DLOM Rest Stock'!Print_Area</vt:lpstr>
      <vt:lpstr>'Econ Rights'!Print_Area</vt:lpstr>
      <vt:lpstr>'Equity Vol'!Print_Area</vt:lpstr>
      <vt:lpstr>'Exit Probability'!Print_Area</vt:lpstr>
      <vt:lpstr>'GCM FP &gt;&gt;'!Print_Area</vt:lpstr>
      <vt:lpstr>'GCM SUMM'!Print_Area</vt:lpstr>
      <vt:lpstr>'GPC Linked'!Print_Area</vt:lpstr>
      <vt:lpstr>'GTM FP &gt;&gt;'!Print_Area</vt:lpstr>
      <vt:lpstr>'GTM SUMM'!Print_Area</vt:lpstr>
      <vt:lpstr>'Hist BS'!Print_Area</vt:lpstr>
      <vt:lpstr>'Hist IS'!Print_Area</vt:lpstr>
      <vt:lpstr>'Hybrid OPM'!Print_Area</vt:lpstr>
      <vt:lpstr>'IPO Data_BioPharma'!Print_Area</vt:lpstr>
      <vt:lpstr>'IPO Data_Diagnostic'!Print_Area</vt:lpstr>
      <vt:lpstr>'IPO Data_Med Device'!Print_Area</vt:lpstr>
      <vt:lpstr>'Lack Voting'!Print_Area</vt:lpstr>
      <vt:lpstr>'Licensing Deals'!Print_Area</vt:lpstr>
      <vt:lpstr>'Market Trends since Prior Val'!Print_Area</vt:lpstr>
      <vt:lpstr>'OPM 1'!Print_Area</vt:lpstr>
      <vt:lpstr>'OPM 1 Hybrid'!Print_Area</vt:lpstr>
      <vt:lpstr>'OPM 2'!Print_Area</vt:lpstr>
      <vt:lpstr>'OPM 2 Hybrid'!Print_Area</vt:lpstr>
      <vt:lpstr>Outline!Print_Area</vt:lpstr>
      <vt:lpstr>Outline_Workpapers!Print_Area</vt:lpstr>
      <vt:lpstr>PoTS!Print_Area</vt:lpstr>
      <vt:lpstr>PWERM!Print_Area</vt:lpstr>
      <vt:lpstr>'Risk-Free Rates'!Print_Area</vt:lpstr>
      <vt:lpstr>'RoR Stage of Dev'!Print_Area</vt:lpstr>
      <vt:lpstr>'STM Linked'!Print_Area</vt:lpstr>
      <vt:lpstr>'Support FP &gt;&gt;'!Print_Area</vt:lpstr>
      <vt:lpstr>Title!Print_Area</vt:lpstr>
      <vt:lpstr>'Title_Workpapers &gt; &gt;'!Print_Area</vt:lpstr>
      <vt:lpstr>Trans.1!Print_Area</vt:lpstr>
      <vt:lpstr>Trans.2!Print_Area</vt:lpstr>
      <vt:lpstr>'Val Summ'!Print_Area</vt:lpstr>
      <vt:lpstr>'WACC CAPM'!Print_Area</vt:lpstr>
      <vt:lpstr>'WACC PWERM'!Print_Area</vt:lpstr>
      <vt:lpstr>Comp.1!Print_Titles</vt:lpstr>
      <vt:lpstr>Comp.2!Print_Titles</vt:lpstr>
      <vt:lpstr>Comp.4!Print_Titles</vt:lpstr>
      <vt:lpstr>Comp.5!Print_Titles</vt:lpstr>
      <vt:lpstr>Comp.6!Print_Titles</vt:lpstr>
      <vt:lpstr>'Comparative Sheet'!Print_Titles</vt:lpstr>
      <vt:lpstr>DCF!Print_Titles</vt:lpstr>
      <vt:lpstr>'IPO Data_BioPharma'!Print_Titles</vt:lpstr>
      <vt:lpstr>'IPO Data_Diagnostic'!Print_Titles</vt:lpstr>
      <vt:lpstr>'IPO Data_Med Device'!Print_Titles</vt:lpstr>
      <vt:lpstr>'Licensing Deals'!Print_Titles</vt:lpstr>
      <vt:lpstr>'Market Trends since Prior Val'!Print_Titles</vt:lpstr>
      <vt:lpstr>'OPM 1'!Print_Titles</vt:lpstr>
      <vt:lpstr>'OPM 1 Hybrid'!Print_Titles</vt:lpstr>
      <vt:lpstr>PoTS!Print_Titles</vt:lpstr>
      <vt:lpstr>PWERM!Print_Titles</vt:lpstr>
      <vt:lpstr>'Risk-Free Rates'!Print_Titles</vt:lpstr>
      <vt:lpstr>Trans.1!Print_Titles</vt:lpstr>
      <vt:lpstr>Trans.2!Print_Titles</vt:lpstr>
    </vt:vector>
  </TitlesOfParts>
  <Company>Burr Pilger Mayer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Nishant Soni</cp:lastModifiedBy>
  <cp:lastPrinted>2018-11-21T05:56:37Z</cp:lastPrinted>
  <dcterms:created xsi:type="dcterms:W3CDTF">2014-03-18T02:31:57Z</dcterms:created>
  <dcterms:modified xsi:type="dcterms:W3CDTF">2018-12-05T04:05:51Z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utoColor">
    <vt:lpwstr>False</vt:lpwstr>
  </property>
</Properties>
</file>